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"/>
    </mc:Choice>
  </mc:AlternateContent>
  <xr:revisionPtr revIDLastSave="0" documentId="13_ncr:1_{410B7FD3-1364-044A-8E5F-A692CEF4656F}" xr6:coauthVersionLast="40" xr6:coauthVersionMax="40" xr10:uidLastSave="{00000000-0000-0000-0000-000000000000}"/>
  <bookViews>
    <workbookView xWindow="14240" yWindow="1640" windowWidth="14400" windowHeight="16420" tabRatio="1000" xr2:uid="{00000000-000D-0000-FFFF-FFFF00000000}"/>
  </bookViews>
  <sheets>
    <sheet name="Collection" sheetId="1" r:id="rId1"/>
    <sheet name="Bucket Counts" sheetId="2" r:id="rId2"/>
    <sheet name="Summary-info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9-month Size" sheetId="16" r:id="rId13"/>
  </sheets>
  <definedNames>
    <definedName name="_xlnm._FilterDatabase" localSheetId="0" hidden="1">Collection!$A$1:$U$303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5" l="1"/>
  <c r="C17" i="15"/>
  <c r="C18" i="15"/>
  <c r="C19" i="15"/>
  <c r="C16" i="15"/>
  <c r="C12" i="15"/>
  <c r="C14" i="15"/>
  <c r="C15" i="15"/>
  <c r="D9" i="15"/>
  <c r="H9" i="15" s="1"/>
  <c r="C9" i="15"/>
  <c r="C10" i="15"/>
  <c r="C5" i="15"/>
  <c r="C6" i="15"/>
  <c r="C7" i="15"/>
  <c r="C8" i="15"/>
  <c r="F17" i="15"/>
  <c r="F16" i="15"/>
  <c r="F12" i="15"/>
  <c r="F9" i="15"/>
  <c r="P142" i="2"/>
  <c r="P80" i="2"/>
  <c r="P79" i="2"/>
  <c r="BO17" i="15" s="1"/>
  <c r="P78" i="2"/>
  <c r="P114" i="2"/>
  <c r="P113" i="2"/>
  <c r="P112" i="2"/>
  <c r="BQ22" i="15" s="1"/>
  <c r="BN17" i="15"/>
  <c r="BN18" i="15"/>
  <c r="BN19" i="15"/>
  <c r="BN20" i="15"/>
  <c r="BN21" i="15"/>
  <c r="BC11" i="15"/>
  <c r="BA11" i="15"/>
  <c r="AZ10" i="15"/>
  <c r="A23" i="15"/>
  <c r="AE23" i="15" s="1"/>
  <c r="AV9" i="15"/>
  <c r="AS5" i="15"/>
  <c r="AS6" i="15"/>
  <c r="AV11" i="15"/>
  <c r="AT11" i="15"/>
  <c r="AL22" i="15"/>
  <c r="I126" i="1"/>
  <c r="O126" i="1" s="1"/>
  <c r="AE22" i="15" s="1"/>
  <c r="P90" i="2"/>
  <c r="P89" i="2"/>
  <c r="AF22" i="15" s="1"/>
  <c r="P88" i="2"/>
  <c r="P148" i="2"/>
  <c r="P147" i="2"/>
  <c r="P146" i="2"/>
  <c r="P144" i="2"/>
  <c r="P143" i="2"/>
  <c r="P141" i="2"/>
  <c r="P140" i="2"/>
  <c r="P139" i="2"/>
  <c r="AH5" i="15"/>
  <c r="AF5" i="15"/>
  <c r="AH11" i="15"/>
  <c r="AE9" i="15"/>
  <c r="AE10" i="15"/>
  <c r="AF11" i="15"/>
  <c r="AH6" i="15"/>
  <c r="AF6" i="15"/>
  <c r="Q16" i="15"/>
  <c r="T17" i="15"/>
  <c r="I78" i="1"/>
  <c r="O78" i="1" s="1"/>
  <c r="X11" i="15" s="1"/>
  <c r="AA12" i="15"/>
  <c r="X9" i="15"/>
  <c r="X10" i="15"/>
  <c r="Y9" i="15"/>
  <c r="EF22" i="15"/>
  <c r="EG22" i="15"/>
  <c r="EF17" i="15"/>
  <c r="EF18" i="15"/>
  <c r="EF19" i="15"/>
  <c r="EF20" i="15"/>
  <c r="EF21" i="15"/>
  <c r="EG17" i="15"/>
  <c r="EF16" i="15"/>
  <c r="EG16" i="15"/>
  <c r="EF12" i="15"/>
  <c r="EF13" i="15"/>
  <c r="EF14" i="15"/>
  <c r="EF15" i="15"/>
  <c r="EG12" i="15"/>
  <c r="EF9" i="15"/>
  <c r="I71" i="1"/>
  <c r="O71" i="1" s="1"/>
  <c r="EF10" i="15" s="1"/>
  <c r="EF11" i="15"/>
  <c r="EG9" i="15"/>
  <c r="EF5" i="15"/>
  <c r="EF6" i="15"/>
  <c r="EF7" i="15"/>
  <c r="EF8" i="15"/>
  <c r="DY22" i="15"/>
  <c r="DZ22" i="15"/>
  <c r="DY17" i="15"/>
  <c r="DY18" i="15"/>
  <c r="DY19" i="15"/>
  <c r="DY20" i="15"/>
  <c r="DY21" i="15"/>
  <c r="DY16" i="15"/>
  <c r="DY12" i="15"/>
  <c r="DY13" i="15"/>
  <c r="DY14" i="15"/>
  <c r="DY15" i="15"/>
  <c r="DY10" i="15"/>
  <c r="DY11" i="15"/>
  <c r="DY5" i="15"/>
  <c r="DY6" i="15"/>
  <c r="DR22" i="15"/>
  <c r="DR17" i="15"/>
  <c r="DR18" i="15"/>
  <c r="DR19" i="15"/>
  <c r="DR20" i="15"/>
  <c r="DR21" i="15"/>
  <c r="DR16" i="15"/>
  <c r="I85" i="1"/>
  <c r="O85" i="1" s="1"/>
  <c r="DR12" i="15" s="1"/>
  <c r="I95" i="1"/>
  <c r="O95" i="1" s="1"/>
  <c r="DR13" i="15" s="1"/>
  <c r="DR14" i="15"/>
  <c r="DR9" i="15"/>
  <c r="DR10" i="15"/>
  <c r="DR11" i="15"/>
  <c r="DS9" i="15"/>
  <c r="DR5" i="15"/>
  <c r="DR6" i="15"/>
  <c r="DR7" i="15"/>
  <c r="DR8" i="15"/>
  <c r="DK22" i="15"/>
  <c r="DK23" i="15"/>
  <c r="DL22" i="15"/>
  <c r="DK17" i="15"/>
  <c r="DK18" i="15"/>
  <c r="DK19" i="15"/>
  <c r="DK20" i="15"/>
  <c r="DK21" i="15"/>
  <c r="DL17" i="15"/>
  <c r="DK16" i="15"/>
  <c r="DL16" i="15"/>
  <c r="DK12" i="15"/>
  <c r="DK13" i="15"/>
  <c r="DK14" i="15"/>
  <c r="DK15" i="15"/>
  <c r="DL12" i="15"/>
  <c r="DK9" i="15"/>
  <c r="DK10" i="15"/>
  <c r="DK11" i="15"/>
  <c r="DK5" i="15"/>
  <c r="DK7" i="15"/>
  <c r="DK8" i="15"/>
  <c r="DD22" i="15"/>
  <c r="DD23" i="15"/>
  <c r="DD17" i="15"/>
  <c r="DD18" i="15"/>
  <c r="DD19" i="15"/>
  <c r="DD20" i="15"/>
  <c r="DD21" i="15"/>
  <c r="DD16" i="15"/>
  <c r="I82" i="1"/>
  <c r="O82" i="1" s="1"/>
  <c r="DD12" i="15" s="1"/>
  <c r="DD13" i="15"/>
  <c r="DD14" i="15"/>
  <c r="DD15" i="15"/>
  <c r="I70" i="1"/>
  <c r="O70" i="1" s="1"/>
  <c r="DD10" i="15" s="1"/>
  <c r="DD11" i="15"/>
  <c r="DD5" i="15"/>
  <c r="DD6" i="15"/>
  <c r="CW22" i="15"/>
  <c r="CW23" i="15"/>
  <c r="CW17" i="15"/>
  <c r="CW19" i="15"/>
  <c r="CW21" i="15"/>
  <c r="CW16" i="15"/>
  <c r="CW12" i="15"/>
  <c r="CW13" i="15"/>
  <c r="CW14" i="15"/>
  <c r="CW15" i="15"/>
  <c r="CW9" i="15"/>
  <c r="CW10" i="15"/>
  <c r="CW11" i="15"/>
  <c r="CW7" i="15"/>
  <c r="CW8" i="15"/>
  <c r="CP23" i="15"/>
  <c r="CP17" i="15"/>
  <c r="CP18" i="15"/>
  <c r="CP19" i="15"/>
  <c r="CP20" i="15"/>
  <c r="CP16" i="15"/>
  <c r="I81" i="1"/>
  <c r="O81" i="1" s="1"/>
  <c r="CP12" i="15" s="1"/>
  <c r="I94" i="1"/>
  <c r="O94" i="1" s="1"/>
  <c r="CP13" i="15" s="1"/>
  <c r="CP14" i="15"/>
  <c r="CP15" i="15"/>
  <c r="I68" i="1"/>
  <c r="O68" i="1" s="1"/>
  <c r="CP10" i="15" s="1"/>
  <c r="I74" i="1"/>
  <c r="O74" i="1" s="1"/>
  <c r="CP11" i="15" s="1"/>
  <c r="CP6" i="15"/>
  <c r="CP7" i="15"/>
  <c r="CP8" i="15"/>
  <c r="CI22" i="15"/>
  <c r="CI23" i="15"/>
  <c r="CI17" i="15"/>
  <c r="CI19" i="15"/>
  <c r="CI21" i="15"/>
  <c r="CI16" i="15"/>
  <c r="CI12" i="15"/>
  <c r="CI13" i="15"/>
  <c r="CI14" i="15"/>
  <c r="CI15" i="15"/>
  <c r="CI9" i="15"/>
  <c r="I67" i="1"/>
  <c r="O67" i="1" s="1"/>
  <c r="CI10" i="15" s="1"/>
  <c r="I76" i="1"/>
  <c r="O76" i="1" s="1"/>
  <c r="CI11" i="15" s="1"/>
  <c r="CI5" i="15"/>
  <c r="CB22" i="15"/>
  <c r="CB23" i="15"/>
  <c r="CC22" i="15"/>
  <c r="CB17" i="15"/>
  <c r="CB18" i="15"/>
  <c r="CB19" i="15"/>
  <c r="CB20" i="15"/>
  <c r="CB21" i="15"/>
  <c r="CC17" i="15"/>
  <c r="CB16" i="15"/>
  <c r="CC16" i="15"/>
  <c r="CB12" i="15"/>
  <c r="CB13" i="15"/>
  <c r="CB14" i="15"/>
  <c r="CB15" i="15"/>
  <c r="CC12" i="15"/>
  <c r="CB9" i="15"/>
  <c r="CB10" i="15"/>
  <c r="CB11" i="15"/>
  <c r="CC9" i="15"/>
  <c r="CB5" i="15"/>
  <c r="CB6" i="15"/>
  <c r="CB7" i="15"/>
  <c r="CB8" i="15"/>
  <c r="BU22" i="15"/>
  <c r="BU23" i="15"/>
  <c r="BV22" i="15"/>
  <c r="BU17" i="15"/>
  <c r="BU18" i="15"/>
  <c r="BU19" i="15"/>
  <c r="BU20" i="15"/>
  <c r="BU21" i="15"/>
  <c r="BV17" i="15"/>
  <c r="BU16" i="15"/>
  <c r="BV16" i="15"/>
  <c r="BU12" i="15"/>
  <c r="BU13" i="15"/>
  <c r="BU14" i="15"/>
  <c r="BU15" i="15"/>
  <c r="BV12" i="15"/>
  <c r="BU9" i="15"/>
  <c r="BU10" i="15"/>
  <c r="BU11" i="15"/>
  <c r="BV9" i="15"/>
  <c r="BU5" i="15"/>
  <c r="BU6" i="15"/>
  <c r="BU7" i="15"/>
  <c r="BU8" i="15"/>
  <c r="BN22" i="15"/>
  <c r="BN23" i="15"/>
  <c r="BN16" i="15"/>
  <c r="I79" i="1"/>
  <c r="O79" i="1" s="1"/>
  <c r="BN12" i="15" s="1"/>
  <c r="I86" i="1"/>
  <c r="O86" i="1" s="1"/>
  <c r="BN13" i="15" s="1"/>
  <c r="BN14" i="15"/>
  <c r="BN15" i="15"/>
  <c r="BO12" i="15"/>
  <c r="BN9" i="15"/>
  <c r="BN10" i="15"/>
  <c r="BN11" i="15"/>
  <c r="BO9" i="15"/>
  <c r="BN5" i="15"/>
  <c r="BN6" i="15"/>
  <c r="BN7" i="15"/>
  <c r="BN8" i="15"/>
  <c r="BG22" i="15"/>
  <c r="BG23" i="15"/>
  <c r="BG18" i="15"/>
  <c r="BG19" i="15"/>
  <c r="BG20" i="15"/>
  <c r="BG21" i="15"/>
  <c r="BG16" i="15"/>
  <c r="I80" i="1"/>
  <c r="O80" i="1" s="1"/>
  <c r="BG13" i="15"/>
  <c r="BG14" i="15"/>
  <c r="BG15" i="15"/>
  <c r="BG9" i="15"/>
  <c r="I66" i="1"/>
  <c r="O66" i="1"/>
  <c r="BG10" i="15" s="1"/>
  <c r="I75" i="1"/>
  <c r="O75" i="1" s="1"/>
  <c r="BG11" i="15" s="1"/>
  <c r="BH9" i="15"/>
  <c r="BG5" i="15"/>
  <c r="BG6" i="15"/>
  <c r="BG7" i="15"/>
  <c r="BG8" i="15"/>
  <c r="AZ22" i="15"/>
  <c r="AZ23" i="15"/>
  <c r="AZ19" i="15"/>
  <c r="AZ20" i="15"/>
  <c r="AZ21" i="15"/>
  <c r="AZ16" i="15"/>
  <c r="AZ12" i="15"/>
  <c r="I96" i="1"/>
  <c r="O96" i="1" s="1"/>
  <c r="I97" i="1"/>
  <c r="O97" i="1" s="1"/>
  <c r="AZ14" i="15"/>
  <c r="AZ15" i="15"/>
  <c r="AZ11" i="15"/>
  <c r="AZ5" i="15"/>
  <c r="AZ6" i="15"/>
  <c r="AS23" i="15"/>
  <c r="AS17" i="15"/>
  <c r="AS18" i="15"/>
  <c r="AS19" i="15"/>
  <c r="AS21" i="15"/>
  <c r="AS16" i="15"/>
  <c r="AS12" i="15"/>
  <c r="I91" i="1"/>
  <c r="O91" i="1" s="1"/>
  <c r="AS13" i="15" s="1"/>
  <c r="AS14" i="15"/>
  <c r="AS15" i="15"/>
  <c r="I69" i="1"/>
  <c r="O69" i="1" s="1"/>
  <c r="AS10" i="15" s="1"/>
  <c r="AS11" i="15"/>
  <c r="AL23" i="15"/>
  <c r="AL18" i="15"/>
  <c r="AL19" i="15"/>
  <c r="AL20" i="15"/>
  <c r="AL21" i="15"/>
  <c r="AL16" i="15"/>
  <c r="AL12" i="15"/>
  <c r="AL13" i="15"/>
  <c r="AL14" i="15"/>
  <c r="AL15" i="15"/>
  <c r="AL10" i="15"/>
  <c r="AL11" i="15"/>
  <c r="AL5" i="15"/>
  <c r="AL8" i="15"/>
  <c r="AE17" i="15"/>
  <c r="AE19" i="15"/>
  <c r="AE21" i="15"/>
  <c r="AE16" i="15"/>
  <c r="AE12" i="15"/>
  <c r="AE13" i="15"/>
  <c r="AE14" i="15"/>
  <c r="AE15" i="15"/>
  <c r="AE11" i="15"/>
  <c r="AE7" i="15"/>
  <c r="AE8" i="15"/>
  <c r="I92" i="1"/>
  <c r="O92" i="1" s="1"/>
  <c r="C13" i="15" s="1"/>
  <c r="I77" i="1"/>
  <c r="O77" i="1"/>
  <c r="C11" i="15" s="1"/>
  <c r="I10" i="15"/>
  <c r="I9" i="15"/>
  <c r="I7" i="15"/>
  <c r="I6" i="15"/>
  <c r="I5" i="15"/>
  <c r="J22" i="15"/>
  <c r="J23" i="15"/>
  <c r="J17" i="15"/>
  <c r="J19" i="15"/>
  <c r="J16" i="15"/>
  <c r="J12" i="15"/>
  <c r="I89" i="1"/>
  <c r="O89" i="1" s="1"/>
  <c r="I90" i="1"/>
  <c r="O90" i="1" s="1"/>
  <c r="J14" i="15"/>
  <c r="J15" i="15"/>
  <c r="I72" i="1"/>
  <c r="O72" i="1" s="1"/>
  <c r="J10" i="15" s="1"/>
  <c r="J11" i="15"/>
  <c r="J5" i="15"/>
  <c r="J6" i="15"/>
  <c r="Q22" i="15"/>
  <c r="Q18" i="15"/>
  <c r="Q19" i="15"/>
  <c r="Q20" i="15"/>
  <c r="Q21" i="15"/>
  <c r="I83" i="1"/>
  <c r="O83" i="1" s="1"/>
  <c r="Q12" i="15" s="1"/>
  <c r="I88" i="1"/>
  <c r="O88" i="1" s="1"/>
  <c r="I93" i="1"/>
  <c r="O93" i="1" s="1"/>
  <c r="Q14" i="15"/>
  <c r="T16" i="15"/>
  <c r="Q9" i="15"/>
  <c r="Q10" i="15"/>
  <c r="I73" i="1"/>
  <c r="O73" i="1" s="1"/>
  <c r="Q11" i="15" s="1"/>
  <c r="R9" i="15"/>
  <c r="Q6" i="15"/>
  <c r="Q7" i="15"/>
  <c r="T12" i="15"/>
  <c r="P57" i="2"/>
  <c r="P70" i="2"/>
  <c r="P73" i="2"/>
  <c r="P77" i="2"/>
  <c r="P58" i="2"/>
  <c r="P50" i="2"/>
  <c r="P51" i="2"/>
  <c r="P52" i="2"/>
  <c r="AF17" i="15" s="1"/>
  <c r="P53" i="2"/>
  <c r="P54" i="2"/>
  <c r="P55" i="2"/>
  <c r="P56" i="2"/>
  <c r="P93" i="2"/>
  <c r="P92" i="2"/>
  <c r="P91" i="2"/>
  <c r="P153" i="2"/>
  <c r="P152" i="2"/>
  <c r="P151" i="2"/>
  <c r="P563" i="2"/>
  <c r="Q567" i="2"/>
  <c r="P567" i="2"/>
  <c r="P686" i="2"/>
  <c r="P679" i="2"/>
  <c r="P546" i="2"/>
  <c r="P542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Y385" i="2"/>
  <c r="P354" i="2"/>
  <c r="P355" i="2"/>
  <c r="Q354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P385" i="2"/>
  <c r="Q385" i="2"/>
  <c r="P386" i="2"/>
  <c r="Q386" i="2"/>
  <c r="P387" i="2"/>
  <c r="Q387" i="2"/>
  <c r="P388" i="2"/>
  <c r="Q388" i="2"/>
  <c r="P853" i="2"/>
  <c r="EI11" i="15"/>
  <c r="EG11" i="15"/>
  <c r="P898" i="2"/>
  <c r="P899" i="2"/>
  <c r="P897" i="2"/>
  <c r="P834" i="2"/>
  <c r="P900" i="2"/>
  <c r="P833" i="2"/>
  <c r="P778" i="2"/>
  <c r="P779" i="2"/>
  <c r="P836" i="2"/>
  <c r="P777" i="2"/>
  <c r="P742" i="2"/>
  <c r="P743" i="2"/>
  <c r="P780" i="2"/>
  <c r="P741" i="2"/>
  <c r="P674" i="2"/>
  <c r="P675" i="2"/>
  <c r="P744" i="2"/>
  <c r="P673" i="2"/>
  <c r="P602" i="2"/>
  <c r="P603" i="2"/>
  <c r="P676" i="2"/>
  <c r="P601" i="2"/>
  <c r="P604" i="2"/>
  <c r="P474" i="2"/>
  <c r="P475" i="2"/>
  <c r="P473" i="2"/>
  <c r="P406" i="2"/>
  <c r="P407" i="2"/>
  <c r="P476" i="2"/>
  <c r="P405" i="2"/>
  <c r="P370" i="2"/>
  <c r="P371" i="2"/>
  <c r="P408" i="2"/>
  <c r="P369" i="2"/>
  <c r="P306" i="2"/>
  <c r="P307" i="2"/>
  <c r="P372" i="2"/>
  <c r="P305" i="2"/>
  <c r="P242" i="2"/>
  <c r="P243" i="2"/>
  <c r="P308" i="2"/>
  <c r="P241" i="2"/>
  <c r="P182" i="2"/>
  <c r="P183" i="2"/>
  <c r="P244" i="2"/>
  <c r="P181" i="2"/>
  <c r="P122" i="2"/>
  <c r="P123" i="2"/>
  <c r="P184" i="2"/>
  <c r="CZ23" i="15"/>
  <c r="CX23" i="15"/>
  <c r="CY23" i="15"/>
  <c r="P121" i="2"/>
  <c r="CZ22" i="15" s="1"/>
  <c r="P71" i="2"/>
  <c r="CY22" i="15"/>
  <c r="CZ21" i="15"/>
  <c r="CX21" i="15"/>
  <c r="CY21" i="15"/>
  <c r="CZ20" i="15"/>
  <c r="CX20" i="15"/>
  <c r="CY20" i="15"/>
  <c r="CZ19" i="15"/>
  <c r="CX19" i="15"/>
  <c r="CY19" i="15"/>
  <c r="CZ18" i="15"/>
  <c r="CX18" i="15"/>
  <c r="CY18" i="15"/>
  <c r="CZ17" i="15"/>
  <c r="P44" i="2"/>
  <c r="CX16" i="15" s="1"/>
  <c r="CY17" i="15"/>
  <c r="CZ16" i="15"/>
  <c r="P29" i="2"/>
  <c r="CX12" i="15" s="1"/>
  <c r="CY16" i="15"/>
  <c r="CZ15" i="15"/>
  <c r="CX15" i="15"/>
  <c r="CY15" i="15"/>
  <c r="CZ14" i="15"/>
  <c r="CX14" i="15"/>
  <c r="CY14" i="15"/>
  <c r="CZ13" i="15"/>
  <c r="CX13" i="15"/>
  <c r="CY13" i="15"/>
  <c r="CZ12" i="15"/>
  <c r="P18" i="2"/>
  <c r="CX9" i="15" s="1"/>
  <c r="CY12" i="15"/>
  <c r="CZ11" i="15"/>
  <c r="CX11" i="15"/>
  <c r="CY11" i="15"/>
  <c r="CZ10" i="15"/>
  <c r="CX10" i="15"/>
  <c r="CY10" i="15"/>
  <c r="CZ9" i="15"/>
  <c r="CY9" i="15"/>
  <c r="CZ8" i="15"/>
  <c r="CX8" i="15"/>
  <c r="CY8" i="15"/>
  <c r="CZ7" i="15"/>
  <c r="CX7" i="15"/>
  <c r="CY7" i="15"/>
  <c r="CZ6" i="15"/>
  <c r="CX6" i="15"/>
  <c r="CY6" i="15"/>
  <c r="CZ5" i="15"/>
  <c r="CX5" i="15"/>
  <c r="CY5" i="15"/>
  <c r="M11" i="15"/>
  <c r="K11" i="15"/>
  <c r="P13" i="2"/>
  <c r="K9" i="15" s="1"/>
  <c r="P218" i="2"/>
  <c r="P219" i="2"/>
  <c r="P220" i="2"/>
  <c r="EB11" i="15"/>
  <c r="DZ11" i="15"/>
  <c r="P16" i="2"/>
  <c r="DZ9" i="15" s="1"/>
  <c r="EI23" i="15"/>
  <c r="EG23" i="15"/>
  <c r="EH23" i="15"/>
  <c r="EI22" i="15"/>
  <c r="EH22" i="15"/>
  <c r="EI21" i="15"/>
  <c r="EG21" i="15"/>
  <c r="EH21" i="15"/>
  <c r="EI20" i="15"/>
  <c r="EG20" i="15"/>
  <c r="EH20" i="15"/>
  <c r="EI19" i="15"/>
  <c r="EG19" i="15"/>
  <c r="EH19" i="15"/>
  <c r="EI18" i="15"/>
  <c r="EG18" i="15"/>
  <c r="EH18" i="15"/>
  <c r="EI17" i="15"/>
  <c r="EH17" i="15"/>
  <c r="EI16" i="15"/>
  <c r="EH16" i="15"/>
  <c r="EI15" i="15"/>
  <c r="EG15" i="15"/>
  <c r="EH15" i="15"/>
  <c r="EI14" i="15"/>
  <c r="EG14" i="15"/>
  <c r="EH14" i="15"/>
  <c r="EI13" i="15"/>
  <c r="EG13" i="15"/>
  <c r="EH13" i="15"/>
  <c r="EI12" i="15"/>
  <c r="EH12" i="15"/>
  <c r="EH11" i="15"/>
  <c r="EI10" i="15"/>
  <c r="EG10" i="15"/>
  <c r="EH10" i="15"/>
  <c r="EI9" i="15"/>
  <c r="EH9" i="15"/>
  <c r="EI8" i="15"/>
  <c r="EG8" i="15"/>
  <c r="EH8" i="15"/>
  <c r="EI7" i="15"/>
  <c r="EG7" i="15"/>
  <c r="EH7" i="15"/>
  <c r="EI6" i="15"/>
  <c r="EG6" i="15"/>
  <c r="EH6" i="15"/>
  <c r="EI5" i="15"/>
  <c r="EG5" i="15"/>
  <c r="EH5" i="15"/>
  <c r="EB23" i="15"/>
  <c r="DZ23" i="15"/>
  <c r="EA23" i="15"/>
  <c r="EB22" i="15"/>
  <c r="P62" i="2"/>
  <c r="P63" i="2"/>
  <c r="EA22" i="15"/>
  <c r="EB21" i="15"/>
  <c r="DZ21" i="15"/>
  <c r="EA21" i="15"/>
  <c r="EB20" i="15"/>
  <c r="DZ20" i="15"/>
  <c r="EA20" i="15"/>
  <c r="EB19" i="15"/>
  <c r="DZ19" i="15"/>
  <c r="EA19" i="15"/>
  <c r="EB18" i="15"/>
  <c r="DZ18" i="15"/>
  <c r="EA18" i="15"/>
  <c r="EB17" i="15"/>
  <c r="P40" i="2"/>
  <c r="DZ16" i="15" s="1"/>
  <c r="EA17" i="15"/>
  <c r="EB16" i="15"/>
  <c r="P19" i="2"/>
  <c r="DZ12" i="15" s="1"/>
  <c r="EA16" i="15"/>
  <c r="EB15" i="15"/>
  <c r="DZ15" i="15"/>
  <c r="EA15" i="15"/>
  <c r="EB14" i="15"/>
  <c r="DZ14" i="15"/>
  <c r="EA14" i="15"/>
  <c r="EB13" i="15"/>
  <c r="DZ13" i="15"/>
  <c r="EA13" i="15"/>
  <c r="EB12" i="15"/>
  <c r="EA12" i="15"/>
  <c r="EA11" i="15"/>
  <c r="EB10" i="15"/>
  <c r="DZ10" i="15"/>
  <c r="EA10" i="15"/>
  <c r="EB9" i="15"/>
  <c r="EA9" i="15"/>
  <c r="EB8" i="15"/>
  <c r="DZ8" i="15"/>
  <c r="EA8" i="15"/>
  <c r="EB7" i="15"/>
  <c r="DZ7" i="15"/>
  <c r="EA7" i="15"/>
  <c r="EB6" i="15"/>
  <c r="DZ6" i="15"/>
  <c r="EA6" i="15"/>
  <c r="EB5" i="15"/>
  <c r="DZ5" i="15"/>
  <c r="EA5" i="15"/>
  <c r="P107" i="2"/>
  <c r="P108" i="2"/>
  <c r="DU23" i="15"/>
  <c r="DS23" i="15"/>
  <c r="DT23" i="15"/>
  <c r="P106" i="2"/>
  <c r="DU22" i="15" s="1"/>
  <c r="P59" i="2"/>
  <c r="DT22" i="15"/>
  <c r="DU21" i="15"/>
  <c r="DS21" i="15"/>
  <c r="DT21" i="15"/>
  <c r="DU20" i="15"/>
  <c r="DS20" i="15"/>
  <c r="DT20" i="15"/>
  <c r="DU19" i="15"/>
  <c r="DS19" i="15"/>
  <c r="DT19" i="15"/>
  <c r="DU18" i="15"/>
  <c r="DS18" i="15"/>
  <c r="DT18" i="15"/>
  <c r="DU17" i="15"/>
  <c r="P38" i="2"/>
  <c r="DS16" i="15" s="1"/>
  <c r="DT17" i="15"/>
  <c r="DU16" i="15"/>
  <c r="P27" i="2"/>
  <c r="DS12" i="15" s="1"/>
  <c r="DT16" i="15"/>
  <c r="DU15" i="15"/>
  <c r="DS15" i="15"/>
  <c r="DT15" i="15"/>
  <c r="DU14" i="15"/>
  <c r="DS14" i="15"/>
  <c r="DT14" i="15"/>
  <c r="DU13" i="15"/>
  <c r="DS13" i="15"/>
  <c r="DT13" i="15"/>
  <c r="DU12" i="15"/>
  <c r="DT12" i="15"/>
  <c r="DU11" i="15"/>
  <c r="DS11" i="15"/>
  <c r="DT11" i="15"/>
  <c r="DU10" i="15"/>
  <c r="DS10" i="15"/>
  <c r="DT10" i="15"/>
  <c r="DU9" i="15"/>
  <c r="DT9" i="15"/>
  <c r="DU8" i="15"/>
  <c r="DS8" i="15"/>
  <c r="DT8" i="15"/>
  <c r="DU7" i="15"/>
  <c r="DS7" i="15"/>
  <c r="DT7" i="15"/>
  <c r="DU6" i="15"/>
  <c r="DS6" i="15"/>
  <c r="DT6" i="15"/>
  <c r="DU5" i="15"/>
  <c r="DS5" i="15"/>
  <c r="DT5" i="15"/>
  <c r="DN23" i="15"/>
  <c r="DL23" i="15"/>
  <c r="DM23" i="15"/>
  <c r="DN22" i="15"/>
  <c r="DM22" i="15"/>
  <c r="DN21" i="15"/>
  <c r="DL21" i="15"/>
  <c r="DM21" i="15"/>
  <c r="DN20" i="15"/>
  <c r="DL20" i="15"/>
  <c r="DM20" i="15"/>
  <c r="DN19" i="15"/>
  <c r="DL19" i="15"/>
  <c r="DM19" i="15"/>
  <c r="DN18" i="15"/>
  <c r="DL18" i="15"/>
  <c r="DM18" i="15"/>
  <c r="DN17" i="15"/>
  <c r="DM17" i="15"/>
  <c r="DN16" i="15"/>
  <c r="DM16" i="15"/>
  <c r="DN15" i="15"/>
  <c r="DL15" i="15"/>
  <c r="DM15" i="15"/>
  <c r="DN14" i="15"/>
  <c r="DL14" i="15"/>
  <c r="DM14" i="15"/>
  <c r="DN13" i="15"/>
  <c r="DL13" i="15"/>
  <c r="DM13" i="15"/>
  <c r="DN12" i="15"/>
  <c r="P15" i="2"/>
  <c r="DL9" i="15" s="1"/>
  <c r="DM12" i="15"/>
  <c r="DN11" i="15"/>
  <c r="DL11" i="15"/>
  <c r="DM11" i="15"/>
  <c r="DN10" i="15"/>
  <c r="DL10" i="15"/>
  <c r="DM10" i="15"/>
  <c r="DN9" i="15"/>
  <c r="DM9" i="15"/>
  <c r="DN8" i="15"/>
  <c r="DL8" i="15"/>
  <c r="DM8" i="15"/>
  <c r="DN7" i="15"/>
  <c r="DL7" i="15"/>
  <c r="DM7" i="15"/>
  <c r="DN6" i="15"/>
  <c r="DL6" i="15"/>
  <c r="DM6" i="15"/>
  <c r="DN5" i="15"/>
  <c r="DL5" i="15"/>
  <c r="DM5" i="15"/>
  <c r="P890" i="2"/>
  <c r="P891" i="2"/>
  <c r="P889" i="2"/>
  <c r="P870" i="2"/>
  <c r="P871" i="2"/>
  <c r="P892" i="2"/>
  <c r="P810" i="2"/>
  <c r="P811" i="2"/>
  <c r="P872" i="2"/>
  <c r="P809" i="2"/>
  <c r="P722" i="2"/>
  <c r="P723" i="2"/>
  <c r="P812" i="2"/>
  <c r="P721" i="2"/>
  <c r="P650" i="2"/>
  <c r="P651" i="2"/>
  <c r="P724" i="2"/>
  <c r="P649" i="2"/>
  <c r="P630" i="2"/>
  <c r="P631" i="2"/>
  <c r="P652" i="2"/>
  <c r="P629" i="2"/>
  <c r="P632" i="2"/>
  <c r="P502" i="2"/>
  <c r="P503" i="2"/>
  <c r="P501" i="2"/>
  <c r="P402" i="2"/>
  <c r="P403" i="2"/>
  <c r="P504" i="2"/>
  <c r="P401" i="2"/>
  <c r="P374" i="2"/>
  <c r="P375" i="2"/>
  <c r="P404" i="2"/>
  <c r="P373" i="2"/>
  <c r="P310" i="2"/>
  <c r="P311" i="2"/>
  <c r="P376" i="2"/>
  <c r="P309" i="2"/>
  <c r="P246" i="2"/>
  <c r="P247" i="2"/>
  <c r="P312" i="2"/>
  <c r="P245" i="2"/>
  <c r="P186" i="2"/>
  <c r="P187" i="2"/>
  <c r="P248" i="2"/>
  <c r="P185" i="2"/>
  <c r="P125" i="2"/>
  <c r="DE22" i="15" s="1"/>
  <c r="P126" i="2"/>
  <c r="P188" i="2"/>
  <c r="DG23" i="15"/>
  <c r="DE23" i="15"/>
  <c r="DF23" i="15"/>
  <c r="P124" i="2"/>
  <c r="DG22" i="15" s="1"/>
  <c r="P76" i="2"/>
  <c r="DE17" i="15" s="1"/>
  <c r="DF22" i="15"/>
  <c r="DG21" i="15"/>
  <c r="DE21" i="15"/>
  <c r="DF21" i="15"/>
  <c r="DG20" i="15"/>
  <c r="DE20" i="15"/>
  <c r="DF20" i="15"/>
  <c r="DG19" i="15"/>
  <c r="DE19" i="15"/>
  <c r="DF19" i="15"/>
  <c r="DG18" i="15"/>
  <c r="DE18" i="15"/>
  <c r="DF18" i="15"/>
  <c r="DG17" i="15"/>
  <c r="P47" i="2"/>
  <c r="DE16" i="15" s="1"/>
  <c r="DF17" i="15"/>
  <c r="DG16" i="15"/>
  <c r="P32" i="2"/>
  <c r="DE12" i="15" s="1"/>
  <c r="DF16" i="15"/>
  <c r="DG15" i="15"/>
  <c r="DE15" i="15"/>
  <c r="DF15" i="15"/>
  <c r="DG14" i="15"/>
  <c r="DE14" i="15"/>
  <c r="DF14" i="15"/>
  <c r="DG13" i="15"/>
  <c r="DE13" i="15"/>
  <c r="DF13" i="15"/>
  <c r="DG12" i="15"/>
  <c r="P2" i="2"/>
  <c r="P3" i="2"/>
  <c r="P4" i="2"/>
  <c r="DF12" i="15"/>
  <c r="DG11" i="15"/>
  <c r="DE11" i="15"/>
  <c r="DF11" i="15"/>
  <c r="DG10" i="15"/>
  <c r="DE10" i="15"/>
  <c r="DF10" i="15"/>
  <c r="DG9" i="15"/>
  <c r="DF9" i="15"/>
  <c r="DG8" i="15"/>
  <c r="DE8" i="15"/>
  <c r="DF8" i="15"/>
  <c r="DG7" i="15"/>
  <c r="DE7" i="15"/>
  <c r="DF7" i="15"/>
  <c r="DG6" i="15"/>
  <c r="DE6" i="15"/>
  <c r="DF6" i="15"/>
  <c r="DG5" i="15"/>
  <c r="DE5" i="15"/>
  <c r="DF5" i="15"/>
  <c r="P886" i="2"/>
  <c r="P885" i="2"/>
  <c r="P846" i="2"/>
  <c r="P847" i="2"/>
  <c r="P888" i="2"/>
  <c r="P794" i="2"/>
  <c r="P795" i="2"/>
  <c r="P848" i="2"/>
  <c r="P706" i="2"/>
  <c r="P707" i="2"/>
  <c r="P796" i="2"/>
  <c r="P705" i="2"/>
  <c r="P646" i="2"/>
  <c r="P647" i="2"/>
  <c r="P708" i="2"/>
  <c r="P645" i="2"/>
  <c r="P614" i="2"/>
  <c r="P615" i="2"/>
  <c r="P648" i="2"/>
  <c r="P613" i="2"/>
  <c r="P616" i="2"/>
  <c r="P482" i="2"/>
  <c r="P483" i="2"/>
  <c r="P481" i="2"/>
  <c r="P382" i="2"/>
  <c r="P383" i="2"/>
  <c r="P484" i="2"/>
  <c r="P381" i="2"/>
  <c r="P350" i="2"/>
  <c r="P351" i="2"/>
  <c r="P384" i="2"/>
  <c r="P349" i="2"/>
  <c r="P286" i="2"/>
  <c r="P287" i="2"/>
  <c r="P352" i="2"/>
  <c r="P285" i="2"/>
  <c r="P226" i="2"/>
  <c r="P227" i="2"/>
  <c r="P288" i="2"/>
  <c r="P225" i="2"/>
  <c r="P166" i="2"/>
  <c r="P167" i="2"/>
  <c r="P228" i="2"/>
  <c r="P165" i="2"/>
  <c r="P110" i="2"/>
  <c r="P111" i="2"/>
  <c r="P116" i="2"/>
  <c r="P117" i="2"/>
  <c r="P168" i="2"/>
  <c r="CS23" i="15"/>
  <c r="CQ23" i="15"/>
  <c r="CR23" i="15"/>
  <c r="P109" i="2"/>
  <c r="P115" i="2"/>
  <c r="P72" i="2"/>
  <c r="CQ17" i="15" s="1"/>
  <c r="CR22" i="15"/>
  <c r="CS21" i="15"/>
  <c r="CQ21" i="15"/>
  <c r="CR21" i="15"/>
  <c r="CS20" i="15"/>
  <c r="CQ20" i="15"/>
  <c r="CR20" i="15"/>
  <c r="CS19" i="15"/>
  <c r="CQ19" i="15"/>
  <c r="CR19" i="15"/>
  <c r="CS18" i="15"/>
  <c r="CQ18" i="15"/>
  <c r="CR18" i="15"/>
  <c r="CS17" i="15"/>
  <c r="P45" i="2"/>
  <c r="CQ16" i="15" s="1"/>
  <c r="CR17" i="15"/>
  <c r="CS16" i="15"/>
  <c r="P30" i="2"/>
  <c r="CQ12" i="15" s="1"/>
  <c r="CR16" i="15"/>
  <c r="CS15" i="15"/>
  <c r="CQ15" i="15"/>
  <c r="CR15" i="15"/>
  <c r="CS14" i="15"/>
  <c r="CQ14" i="15"/>
  <c r="CR14" i="15"/>
  <c r="CS13" i="15"/>
  <c r="CQ13" i="15"/>
  <c r="CR13" i="15"/>
  <c r="CS12" i="15"/>
  <c r="P17" i="2"/>
  <c r="CQ9" i="15" s="1"/>
  <c r="CR12" i="15"/>
  <c r="CS11" i="15"/>
  <c r="CQ11" i="15"/>
  <c r="CR11" i="15"/>
  <c r="CS10" i="15"/>
  <c r="CQ10" i="15"/>
  <c r="CR10" i="15"/>
  <c r="CS9" i="15"/>
  <c r="CR9" i="15"/>
  <c r="CS8" i="15"/>
  <c r="CQ8" i="15"/>
  <c r="CR8" i="15"/>
  <c r="CS7" i="15"/>
  <c r="CQ7" i="15"/>
  <c r="CR7" i="15"/>
  <c r="CS6" i="15"/>
  <c r="CQ6" i="15"/>
  <c r="CR6" i="15"/>
  <c r="CS5" i="15"/>
  <c r="CQ5" i="15"/>
  <c r="CR5" i="15"/>
  <c r="P858" i="2"/>
  <c r="P802" i="2"/>
  <c r="P803" i="2"/>
  <c r="P860" i="2"/>
  <c r="P801" i="2"/>
  <c r="P714" i="2"/>
  <c r="P715" i="2"/>
  <c r="P713" i="2"/>
  <c r="P654" i="2"/>
  <c r="P655" i="2"/>
  <c r="P716" i="2"/>
  <c r="P653" i="2"/>
  <c r="P618" i="2"/>
  <c r="P619" i="2"/>
  <c r="P656" i="2"/>
  <c r="P617" i="2"/>
  <c r="P620" i="2"/>
  <c r="P494" i="2"/>
  <c r="P495" i="2"/>
  <c r="P493" i="2"/>
  <c r="P394" i="2"/>
  <c r="P395" i="2"/>
  <c r="P496" i="2"/>
  <c r="P393" i="2"/>
  <c r="P362" i="2"/>
  <c r="P363" i="2"/>
  <c r="P396" i="2"/>
  <c r="P361" i="2"/>
  <c r="P302" i="2"/>
  <c r="P303" i="2"/>
  <c r="P364" i="2"/>
  <c r="P301" i="2"/>
  <c r="P238" i="2"/>
  <c r="P239" i="2"/>
  <c r="P304" i="2"/>
  <c r="P237" i="2"/>
  <c r="P178" i="2"/>
  <c r="P179" i="2"/>
  <c r="P240" i="2"/>
  <c r="P177" i="2"/>
  <c r="P128" i="2"/>
  <c r="P129" i="2"/>
  <c r="P180" i="2"/>
  <c r="CL23" i="15"/>
  <c r="CJ23" i="15"/>
  <c r="CK23" i="15"/>
  <c r="P127" i="2"/>
  <c r="CL22" i="15" s="1"/>
  <c r="P81" i="2"/>
  <c r="CJ17" i="15" s="1"/>
  <c r="CK22" i="15"/>
  <c r="CL21" i="15"/>
  <c r="CJ21" i="15"/>
  <c r="CK21" i="15"/>
  <c r="CL20" i="15"/>
  <c r="CJ20" i="15"/>
  <c r="CK20" i="15"/>
  <c r="CL19" i="15"/>
  <c r="CJ19" i="15"/>
  <c r="CK19" i="15"/>
  <c r="CL18" i="15"/>
  <c r="CJ18" i="15"/>
  <c r="CK18" i="15"/>
  <c r="CL17" i="15"/>
  <c r="P49" i="2"/>
  <c r="CJ16" i="15" s="1"/>
  <c r="CK17" i="15"/>
  <c r="CL16" i="15"/>
  <c r="P33" i="2"/>
  <c r="CJ12" i="15" s="1"/>
  <c r="CK16" i="15"/>
  <c r="CL15" i="15"/>
  <c r="CJ15" i="15"/>
  <c r="CK15" i="15"/>
  <c r="CL14" i="15"/>
  <c r="CJ14" i="15"/>
  <c r="CK14" i="15"/>
  <c r="CL13" i="15"/>
  <c r="CJ13" i="15"/>
  <c r="CK13" i="15"/>
  <c r="CL12" i="15"/>
  <c r="P5" i="2"/>
  <c r="P6" i="2"/>
  <c r="P7" i="2"/>
  <c r="CK12" i="15"/>
  <c r="CL11" i="15"/>
  <c r="CJ11" i="15"/>
  <c r="CK11" i="15"/>
  <c r="CL10" i="15"/>
  <c r="CJ10" i="15"/>
  <c r="CK10" i="15"/>
  <c r="CL9" i="15"/>
  <c r="CK9" i="15"/>
  <c r="CL8" i="15"/>
  <c r="CJ8" i="15"/>
  <c r="CK8" i="15"/>
  <c r="CL7" i="15"/>
  <c r="CJ7" i="15"/>
  <c r="CK7" i="15"/>
  <c r="CL6" i="15"/>
  <c r="CJ6" i="15"/>
  <c r="CK6" i="15"/>
  <c r="CL5" i="15"/>
  <c r="CJ5" i="15"/>
  <c r="CK5" i="15"/>
  <c r="P894" i="2"/>
  <c r="P895" i="2"/>
  <c r="P893" i="2"/>
  <c r="P842" i="2"/>
  <c r="P843" i="2"/>
  <c r="P896" i="2"/>
  <c r="P841" i="2"/>
  <c r="P782" i="2"/>
  <c r="P783" i="2"/>
  <c r="P844" i="2"/>
  <c r="P781" i="2"/>
  <c r="P750" i="2"/>
  <c r="P751" i="2"/>
  <c r="P784" i="2"/>
  <c r="P749" i="2"/>
  <c r="P690" i="2"/>
  <c r="P691" i="2"/>
  <c r="P752" i="2"/>
  <c r="P689" i="2"/>
  <c r="P574" i="2"/>
  <c r="P575" i="2"/>
  <c r="P692" i="2"/>
  <c r="P573" i="2"/>
  <c r="P562" i="2"/>
  <c r="P576" i="2"/>
  <c r="P561" i="2"/>
  <c r="P466" i="2"/>
  <c r="P467" i="2"/>
  <c r="P564" i="2"/>
  <c r="P465" i="2"/>
  <c r="P434" i="2"/>
  <c r="P435" i="2"/>
  <c r="P468" i="2"/>
  <c r="P433" i="2"/>
  <c r="P338" i="2"/>
  <c r="P339" i="2"/>
  <c r="P436" i="2"/>
  <c r="P337" i="2"/>
  <c r="P274" i="2"/>
  <c r="P275" i="2"/>
  <c r="P340" i="2"/>
  <c r="P273" i="2"/>
  <c r="P214" i="2"/>
  <c r="P215" i="2"/>
  <c r="P276" i="2"/>
  <c r="P213" i="2"/>
  <c r="P155" i="2"/>
  <c r="P156" i="2"/>
  <c r="P216" i="2"/>
  <c r="CE23" i="15"/>
  <c r="CC23" i="15"/>
  <c r="CD23" i="15"/>
  <c r="CE22" i="15"/>
  <c r="CD22" i="15"/>
  <c r="CE21" i="15"/>
  <c r="CC21" i="15"/>
  <c r="CD21" i="15"/>
  <c r="CE20" i="15"/>
  <c r="CC20" i="15"/>
  <c r="CD20" i="15"/>
  <c r="CE19" i="15"/>
  <c r="CC19" i="15"/>
  <c r="CD19" i="15"/>
  <c r="CE18" i="15"/>
  <c r="CC18" i="15"/>
  <c r="CD18" i="15"/>
  <c r="CE17" i="15"/>
  <c r="CD17" i="15"/>
  <c r="CE16" i="15"/>
  <c r="CD16" i="15"/>
  <c r="CE15" i="15"/>
  <c r="CC15" i="15"/>
  <c r="CD15" i="15"/>
  <c r="CE14" i="15"/>
  <c r="CC14" i="15"/>
  <c r="CD14" i="15"/>
  <c r="CE13" i="15"/>
  <c r="CC13" i="15"/>
  <c r="CD13" i="15"/>
  <c r="CE12" i="15"/>
  <c r="CD12" i="15"/>
  <c r="CE11" i="15"/>
  <c r="CC11" i="15"/>
  <c r="CD11" i="15"/>
  <c r="CE10" i="15"/>
  <c r="CC10" i="15"/>
  <c r="CD10" i="15"/>
  <c r="CE9" i="15"/>
  <c r="CD9" i="15"/>
  <c r="CE8" i="15"/>
  <c r="CC8" i="15"/>
  <c r="CD8" i="15"/>
  <c r="CE7" i="15"/>
  <c r="CC7" i="15"/>
  <c r="CD7" i="15"/>
  <c r="CE6" i="15"/>
  <c r="CC6" i="15"/>
  <c r="CD6" i="15"/>
  <c r="CE5" i="15"/>
  <c r="CC5" i="15"/>
  <c r="CD5" i="15"/>
  <c r="P838" i="2"/>
  <c r="P839" i="2"/>
  <c r="P837" i="2"/>
  <c r="P786" i="2"/>
  <c r="P787" i="2"/>
  <c r="P840" i="2"/>
  <c r="P785" i="2"/>
  <c r="P754" i="2"/>
  <c r="P755" i="2"/>
  <c r="P788" i="2"/>
  <c r="P753" i="2"/>
  <c r="P687" i="2"/>
  <c r="P756" i="2"/>
  <c r="P685" i="2"/>
  <c r="P578" i="2"/>
  <c r="P579" i="2"/>
  <c r="P688" i="2"/>
  <c r="P577" i="2"/>
  <c r="P554" i="2"/>
  <c r="P555" i="2"/>
  <c r="P580" i="2"/>
  <c r="P553" i="2"/>
  <c r="P458" i="2"/>
  <c r="P459" i="2"/>
  <c r="P556" i="2"/>
  <c r="P457" i="2"/>
  <c r="P430" i="2"/>
  <c r="P431" i="2"/>
  <c r="P460" i="2"/>
  <c r="P429" i="2"/>
  <c r="P334" i="2"/>
  <c r="P335" i="2"/>
  <c r="P432" i="2"/>
  <c r="P333" i="2"/>
  <c r="P278" i="2"/>
  <c r="P279" i="2"/>
  <c r="P336" i="2"/>
  <c r="P277" i="2"/>
  <c r="P280" i="2"/>
  <c r="BX23" i="15"/>
  <c r="BV23" i="15"/>
  <c r="BW23" i="15"/>
  <c r="BX22" i="15"/>
  <c r="BW22" i="15"/>
  <c r="BX21" i="15"/>
  <c r="BV21" i="15"/>
  <c r="BW21" i="15"/>
  <c r="BX20" i="15"/>
  <c r="BV20" i="15"/>
  <c r="BW20" i="15"/>
  <c r="BX19" i="15"/>
  <c r="BV19" i="15"/>
  <c r="BW19" i="15"/>
  <c r="BX18" i="15"/>
  <c r="BV18" i="15"/>
  <c r="BW18" i="15"/>
  <c r="BX17" i="15"/>
  <c r="BW17" i="15"/>
  <c r="BX16" i="15"/>
  <c r="BW16" i="15"/>
  <c r="BX15" i="15"/>
  <c r="BV15" i="15"/>
  <c r="BW15" i="15"/>
  <c r="BX14" i="15"/>
  <c r="BV14" i="15"/>
  <c r="BW14" i="15"/>
  <c r="BX13" i="15"/>
  <c r="BV13" i="15"/>
  <c r="BW13" i="15"/>
  <c r="BX12" i="15"/>
  <c r="BW12" i="15"/>
  <c r="BX11" i="15"/>
  <c r="BV11" i="15"/>
  <c r="BW11" i="15"/>
  <c r="BX10" i="15"/>
  <c r="BV10" i="15"/>
  <c r="BW10" i="15"/>
  <c r="BX9" i="15"/>
  <c r="BW9" i="15"/>
  <c r="BX8" i="15"/>
  <c r="BV8" i="15"/>
  <c r="BW8" i="15"/>
  <c r="BX7" i="15"/>
  <c r="BV7" i="15"/>
  <c r="BW7" i="15"/>
  <c r="BX6" i="15"/>
  <c r="BV6" i="15"/>
  <c r="BW6" i="15"/>
  <c r="BX5" i="15"/>
  <c r="BV5" i="15"/>
  <c r="BW5" i="15"/>
  <c r="P882" i="2"/>
  <c r="P883" i="2"/>
  <c r="P917" i="2"/>
  <c r="P918" i="2"/>
  <c r="P919" i="2"/>
  <c r="P920" i="2"/>
  <c r="P881" i="2"/>
  <c r="P862" i="2"/>
  <c r="P863" i="2"/>
  <c r="P884" i="2"/>
  <c r="P861" i="2"/>
  <c r="P814" i="2"/>
  <c r="P815" i="2"/>
  <c r="P864" i="2"/>
  <c r="P813" i="2"/>
  <c r="P726" i="2"/>
  <c r="P727" i="2"/>
  <c r="P816" i="2"/>
  <c r="P725" i="2"/>
  <c r="P658" i="2"/>
  <c r="P659" i="2"/>
  <c r="P728" i="2"/>
  <c r="P657" i="2"/>
  <c r="P622" i="2"/>
  <c r="P623" i="2"/>
  <c r="P660" i="2"/>
  <c r="P621" i="2"/>
  <c r="P624" i="2"/>
  <c r="P490" i="2"/>
  <c r="P491" i="2"/>
  <c r="P489" i="2"/>
  <c r="P390" i="2"/>
  <c r="P391" i="2"/>
  <c r="P492" i="2"/>
  <c r="P389" i="2"/>
  <c r="P358" i="2"/>
  <c r="P359" i="2"/>
  <c r="P392" i="2"/>
  <c r="P357" i="2"/>
  <c r="P298" i="2"/>
  <c r="P299" i="2"/>
  <c r="P360" i="2"/>
  <c r="P297" i="2"/>
  <c r="P234" i="2"/>
  <c r="P235" i="2"/>
  <c r="P300" i="2"/>
  <c r="P233" i="2"/>
  <c r="P174" i="2"/>
  <c r="P175" i="2"/>
  <c r="P236" i="2"/>
  <c r="P173" i="2"/>
  <c r="P176" i="2"/>
  <c r="BQ23" i="15"/>
  <c r="BO23" i="15"/>
  <c r="BP23" i="15"/>
  <c r="BP22" i="15"/>
  <c r="BQ21" i="15"/>
  <c r="BO21" i="15"/>
  <c r="BP21" i="15"/>
  <c r="BQ20" i="15"/>
  <c r="BO20" i="15"/>
  <c r="BP20" i="15"/>
  <c r="BQ19" i="15"/>
  <c r="BO19" i="15"/>
  <c r="BP19" i="15"/>
  <c r="BQ18" i="15"/>
  <c r="BO18" i="15"/>
  <c r="BP18" i="15"/>
  <c r="BQ17" i="15"/>
  <c r="P48" i="2"/>
  <c r="BO16" i="15" s="1"/>
  <c r="BP17" i="15"/>
  <c r="BQ16" i="15"/>
  <c r="BP16" i="15"/>
  <c r="BQ15" i="15"/>
  <c r="BO15" i="15"/>
  <c r="BP15" i="15"/>
  <c r="BQ14" i="15"/>
  <c r="BO14" i="15"/>
  <c r="BP14" i="15"/>
  <c r="BQ13" i="15"/>
  <c r="BO13" i="15"/>
  <c r="BP13" i="15"/>
  <c r="BQ12" i="15"/>
  <c r="BP12" i="15"/>
  <c r="BQ11" i="15"/>
  <c r="BO11" i="15"/>
  <c r="BP11" i="15"/>
  <c r="BQ10" i="15"/>
  <c r="BO10" i="15"/>
  <c r="BP10" i="15"/>
  <c r="BQ9" i="15"/>
  <c r="BP9" i="15"/>
  <c r="BQ8" i="15"/>
  <c r="BO8" i="15"/>
  <c r="BP8" i="15"/>
  <c r="BQ7" i="15"/>
  <c r="BO7" i="15"/>
  <c r="BP7" i="15"/>
  <c r="BQ6" i="15"/>
  <c r="BO6" i="15"/>
  <c r="BP6" i="15"/>
  <c r="BQ5" i="15"/>
  <c r="BO5" i="15"/>
  <c r="BP5" i="15"/>
  <c r="P874" i="2"/>
  <c r="P875" i="2"/>
  <c r="P921" i="2"/>
  <c r="P922" i="2"/>
  <c r="P923" i="2"/>
  <c r="P924" i="2"/>
  <c r="P866" i="2"/>
  <c r="P867" i="2"/>
  <c r="P876" i="2"/>
  <c r="P865" i="2"/>
  <c r="P806" i="2"/>
  <c r="P807" i="2"/>
  <c r="P868" i="2"/>
  <c r="P805" i="2"/>
  <c r="P718" i="2"/>
  <c r="P719" i="2"/>
  <c r="P808" i="2"/>
  <c r="P717" i="2"/>
  <c r="P662" i="2"/>
  <c r="P663" i="2"/>
  <c r="P720" i="2"/>
  <c r="P661" i="2"/>
  <c r="P626" i="2"/>
  <c r="P627" i="2"/>
  <c r="P664" i="2"/>
  <c r="P625" i="2"/>
  <c r="P628" i="2"/>
  <c r="P498" i="2"/>
  <c r="P499" i="2"/>
  <c r="P497" i="2"/>
  <c r="P398" i="2"/>
  <c r="P399" i="2"/>
  <c r="P500" i="2"/>
  <c r="P397" i="2"/>
  <c r="P366" i="2"/>
  <c r="P367" i="2"/>
  <c r="P400" i="2"/>
  <c r="P365" i="2"/>
  <c r="P294" i="2"/>
  <c r="P295" i="2"/>
  <c r="P368" i="2"/>
  <c r="P293" i="2"/>
  <c r="P230" i="2"/>
  <c r="P231" i="2"/>
  <c r="P296" i="2"/>
  <c r="P229" i="2"/>
  <c r="P170" i="2"/>
  <c r="P171" i="2"/>
  <c r="P232" i="2"/>
  <c r="P169" i="2"/>
  <c r="P119" i="2"/>
  <c r="P120" i="2"/>
  <c r="P172" i="2"/>
  <c r="BJ23" i="15"/>
  <c r="BH23" i="15"/>
  <c r="BI23" i="15"/>
  <c r="P118" i="2"/>
  <c r="BJ22" i="15"/>
  <c r="P74" i="2"/>
  <c r="P75" i="2"/>
  <c r="BI22" i="15"/>
  <c r="BJ21" i="15"/>
  <c r="BH21" i="15"/>
  <c r="BI21" i="15"/>
  <c r="BJ20" i="15"/>
  <c r="BH20" i="15"/>
  <c r="BI20" i="15"/>
  <c r="BJ19" i="15"/>
  <c r="BH19" i="15"/>
  <c r="BI19" i="15"/>
  <c r="BJ18" i="15"/>
  <c r="BH18" i="15"/>
  <c r="BI18" i="15"/>
  <c r="BJ17" i="15"/>
  <c r="P46" i="2"/>
  <c r="BH16" i="15" s="1"/>
  <c r="BI17" i="15"/>
  <c r="BJ16" i="15"/>
  <c r="P31" i="2"/>
  <c r="BH12" i="15" s="1"/>
  <c r="BI16" i="15"/>
  <c r="BJ15" i="15"/>
  <c r="BH15" i="15"/>
  <c r="BI15" i="15"/>
  <c r="BJ14" i="15"/>
  <c r="BH14" i="15"/>
  <c r="BI14" i="15"/>
  <c r="BJ13" i="15"/>
  <c r="BH13" i="15"/>
  <c r="BI13" i="15"/>
  <c r="BJ12" i="15"/>
  <c r="BI12" i="15"/>
  <c r="BJ11" i="15"/>
  <c r="BH11" i="15"/>
  <c r="BI11" i="15"/>
  <c r="BJ10" i="15"/>
  <c r="BH10" i="15"/>
  <c r="BI10" i="15"/>
  <c r="BJ9" i="15"/>
  <c r="BI9" i="15"/>
  <c r="BJ8" i="15"/>
  <c r="BH8" i="15"/>
  <c r="BI8" i="15"/>
  <c r="BJ7" i="15"/>
  <c r="BH7" i="15"/>
  <c r="BI7" i="15"/>
  <c r="BJ6" i="15"/>
  <c r="BH6" i="15"/>
  <c r="BI6" i="15"/>
  <c r="BJ5" i="15"/>
  <c r="BH5" i="15"/>
  <c r="BI5" i="15"/>
  <c r="P638" i="2"/>
  <c r="P639" i="2"/>
  <c r="P700" i="2"/>
  <c r="P598" i="2"/>
  <c r="P599" i="2"/>
  <c r="P640" i="2"/>
  <c r="P597" i="2"/>
  <c r="P543" i="2"/>
  <c r="P600" i="2"/>
  <c r="P541" i="2"/>
  <c r="P446" i="2"/>
  <c r="P447" i="2"/>
  <c r="P544" i="2"/>
  <c r="P445" i="2"/>
  <c r="P414" i="2"/>
  <c r="P415" i="2"/>
  <c r="P448" i="2"/>
  <c r="P413" i="2"/>
  <c r="P318" i="2"/>
  <c r="P319" i="2"/>
  <c r="P416" i="2"/>
  <c r="P317" i="2"/>
  <c r="P250" i="2"/>
  <c r="P251" i="2"/>
  <c r="P320" i="2"/>
  <c r="P249" i="2"/>
  <c r="P190" i="2"/>
  <c r="P191" i="2"/>
  <c r="P252" i="2"/>
  <c r="P189" i="2"/>
  <c r="P132" i="2"/>
  <c r="P133" i="2"/>
  <c r="P192" i="2"/>
  <c r="P131" i="2"/>
  <c r="P95" i="2"/>
  <c r="P96" i="2"/>
  <c r="P134" i="2"/>
  <c r="BC23" i="15"/>
  <c r="BA23" i="15"/>
  <c r="BB23" i="15"/>
  <c r="P94" i="2"/>
  <c r="BC22" i="15" s="1"/>
  <c r="P66" i="2"/>
  <c r="P67" i="2"/>
  <c r="BB22" i="15"/>
  <c r="BC21" i="15"/>
  <c r="BA21" i="15"/>
  <c r="BB21" i="15"/>
  <c r="BC20" i="15"/>
  <c r="BA20" i="15"/>
  <c r="BB20" i="15"/>
  <c r="BC19" i="15"/>
  <c r="BA19" i="15"/>
  <c r="BB19" i="15"/>
  <c r="BC18" i="15"/>
  <c r="BA18" i="15"/>
  <c r="BB18" i="15"/>
  <c r="BC17" i="15"/>
  <c r="P42" i="2"/>
  <c r="BA16" i="15" s="1"/>
  <c r="BB17" i="15"/>
  <c r="BC16" i="15"/>
  <c r="P22" i="2"/>
  <c r="BA12" i="15" s="1"/>
  <c r="BB16" i="15"/>
  <c r="BC15" i="15"/>
  <c r="BA15" i="15"/>
  <c r="BB15" i="15"/>
  <c r="BC14" i="15"/>
  <c r="BA14" i="15"/>
  <c r="BB14" i="15"/>
  <c r="BC13" i="15"/>
  <c r="BA13" i="15"/>
  <c r="BB13" i="15"/>
  <c r="BC12" i="15"/>
  <c r="P14" i="2"/>
  <c r="BA9" i="15" s="1"/>
  <c r="BB12" i="15"/>
  <c r="BB11" i="15"/>
  <c r="BC10" i="15"/>
  <c r="BA10" i="15"/>
  <c r="BB10" i="15"/>
  <c r="BC9" i="15"/>
  <c r="BB9" i="15"/>
  <c r="BC8" i="15"/>
  <c r="BA8" i="15"/>
  <c r="BB8" i="15"/>
  <c r="BC7" i="15"/>
  <c r="BA7" i="15"/>
  <c r="BB7" i="15"/>
  <c r="BC6" i="15"/>
  <c r="BA6" i="15"/>
  <c r="BB6" i="15"/>
  <c r="BC5" i="15"/>
  <c r="BA5" i="15"/>
  <c r="BB5" i="15"/>
  <c r="P850" i="2"/>
  <c r="P849" i="2"/>
  <c r="P790" i="2"/>
  <c r="P791" i="2"/>
  <c r="P852" i="2"/>
  <c r="P789" i="2"/>
  <c r="P702" i="2"/>
  <c r="P703" i="2"/>
  <c r="P792" i="2"/>
  <c r="P634" i="2"/>
  <c r="P635" i="2"/>
  <c r="P704" i="2"/>
  <c r="P610" i="2"/>
  <c r="P611" i="2"/>
  <c r="P636" i="2"/>
  <c r="P609" i="2"/>
  <c r="P612" i="2"/>
  <c r="P478" i="2"/>
  <c r="P479" i="2"/>
  <c r="P477" i="2"/>
  <c r="P378" i="2"/>
  <c r="P379" i="2"/>
  <c r="P480" i="2"/>
  <c r="P377" i="2"/>
  <c r="P346" i="2"/>
  <c r="P347" i="2"/>
  <c r="P380" i="2"/>
  <c r="P345" i="2"/>
  <c r="P290" i="2"/>
  <c r="P291" i="2"/>
  <c r="P348" i="2"/>
  <c r="P289" i="2"/>
  <c r="P222" i="2"/>
  <c r="P223" i="2"/>
  <c r="P292" i="2"/>
  <c r="P221" i="2"/>
  <c r="P162" i="2"/>
  <c r="P163" i="2"/>
  <c r="P224" i="2"/>
  <c r="P161" i="2"/>
  <c r="P101" i="2"/>
  <c r="P102" i="2"/>
  <c r="P164" i="2"/>
  <c r="AV23" i="15"/>
  <c r="AT23" i="15"/>
  <c r="AU23" i="15"/>
  <c r="P100" i="2"/>
  <c r="AV22" i="15" s="1"/>
  <c r="P68" i="2"/>
  <c r="P69" i="2"/>
  <c r="AU22" i="15"/>
  <c r="AV21" i="15"/>
  <c r="AT21" i="15"/>
  <c r="AU21" i="15"/>
  <c r="AV20" i="15"/>
  <c r="AT20" i="15"/>
  <c r="AU20" i="15"/>
  <c r="AV19" i="15"/>
  <c r="AT19" i="15"/>
  <c r="AU19" i="15"/>
  <c r="AV18" i="15"/>
  <c r="AT18" i="15"/>
  <c r="AU18" i="15"/>
  <c r="AV17" i="15"/>
  <c r="P43" i="2"/>
  <c r="AT16" i="15" s="1"/>
  <c r="AU17" i="15"/>
  <c r="AV16" i="15"/>
  <c r="P21" i="2"/>
  <c r="AT12" i="15" s="1"/>
  <c r="AU16" i="15"/>
  <c r="AV15" i="15"/>
  <c r="AT15" i="15"/>
  <c r="AU15" i="15"/>
  <c r="AV14" i="15"/>
  <c r="AT14" i="15"/>
  <c r="AU14" i="15"/>
  <c r="AV13" i="15"/>
  <c r="AT13" i="15"/>
  <c r="AU13" i="15"/>
  <c r="AV12" i="15"/>
  <c r="P8" i="2"/>
  <c r="P9" i="2"/>
  <c r="P10" i="2"/>
  <c r="AU12" i="15"/>
  <c r="AU11" i="15"/>
  <c r="AV10" i="15"/>
  <c r="AT10" i="15"/>
  <c r="AU10" i="15"/>
  <c r="AU9" i="15"/>
  <c r="AV8" i="15"/>
  <c r="AT8" i="15"/>
  <c r="AU8" i="15"/>
  <c r="AV7" i="15"/>
  <c r="AT7" i="15"/>
  <c r="AU7" i="15"/>
  <c r="AV6" i="15"/>
  <c r="AT6" i="15"/>
  <c r="AU6" i="15"/>
  <c r="AV5" i="15"/>
  <c r="AT5" i="15"/>
  <c r="AU5" i="15"/>
  <c r="P826" i="2"/>
  <c r="P827" i="2"/>
  <c r="P774" i="2"/>
  <c r="P775" i="2"/>
  <c r="P828" i="2"/>
  <c r="P746" i="2"/>
  <c r="P694" i="2"/>
  <c r="P695" i="2"/>
  <c r="P748" i="2"/>
  <c r="P570" i="2"/>
  <c r="P571" i="2"/>
  <c r="P696" i="2"/>
  <c r="P569" i="2"/>
  <c r="P566" i="2"/>
  <c r="P572" i="2"/>
  <c r="P565" i="2"/>
  <c r="P470" i="2"/>
  <c r="P471" i="2"/>
  <c r="P568" i="2"/>
  <c r="P469" i="2"/>
  <c r="P426" i="2"/>
  <c r="P427" i="2"/>
  <c r="P472" i="2"/>
  <c r="P425" i="2"/>
  <c r="P330" i="2"/>
  <c r="P331" i="2"/>
  <c r="P428" i="2"/>
  <c r="P329" i="2"/>
  <c r="P262" i="2"/>
  <c r="P263" i="2"/>
  <c r="P332" i="2"/>
  <c r="P261" i="2"/>
  <c r="P206" i="2"/>
  <c r="P207" i="2"/>
  <c r="P264" i="2"/>
  <c r="P205" i="2"/>
  <c r="P149" i="2"/>
  <c r="P208" i="2"/>
  <c r="P83" i="2"/>
  <c r="P84" i="2"/>
  <c r="P150" i="2"/>
  <c r="AO23" i="15"/>
  <c r="AM23" i="15"/>
  <c r="AN23" i="15"/>
  <c r="P82" i="2"/>
  <c r="AO22" i="15" s="1"/>
  <c r="AN22" i="15"/>
  <c r="AO21" i="15"/>
  <c r="AM21" i="15"/>
  <c r="AN21" i="15"/>
  <c r="AO20" i="15"/>
  <c r="AM20" i="15"/>
  <c r="AN20" i="15"/>
  <c r="AO19" i="15"/>
  <c r="AM19" i="15"/>
  <c r="AN19" i="15"/>
  <c r="AO18" i="15"/>
  <c r="AM18" i="15"/>
  <c r="AN18" i="15"/>
  <c r="AO17" i="15"/>
  <c r="P36" i="2"/>
  <c r="AM16" i="15" s="1"/>
  <c r="AN17" i="15"/>
  <c r="AO16" i="15"/>
  <c r="P26" i="2"/>
  <c r="AM12" i="15" s="1"/>
  <c r="AN16" i="15"/>
  <c r="AO15" i="15"/>
  <c r="AM15" i="15"/>
  <c r="AN15" i="15"/>
  <c r="AO14" i="15"/>
  <c r="AM14" i="15"/>
  <c r="AN14" i="15"/>
  <c r="AO13" i="15"/>
  <c r="AM13" i="15"/>
  <c r="AN13" i="15"/>
  <c r="AO12" i="15"/>
  <c r="P12" i="2"/>
  <c r="AM9" i="15" s="1"/>
  <c r="AN12" i="15"/>
  <c r="AO11" i="15"/>
  <c r="AM11" i="15"/>
  <c r="AN11" i="15"/>
  <c r="AO10" i="15"/>
  <c r="AM10" i="15"/>
  <c r="AN10" i="15"/>
  <c r="AO9" i="15"/>
  <c r="AN9" i="15"/>
  <c r="AO8" i="15"/>
  <c r="AM8" i="15"/>
  <c r="AN8" i="15"/>
  <c r="AO7" i="15"/>
  <c r="AM7" i="15"/>
  <c r="AN7" i="15"/>
  <c r="AO6" i="15"/>
  <c r="AM6" i="15"/>
  <c r="AN6" i="15"/>
  <c r="AO5" i="15"/>
  <c r="AM5" i="15"/>
  <c r="AN5" i="15"/>
  <c r="P906" i="2"/>
  <c r="P907" i="2"/>
  <c r="P910" i="2"/>
  <c r="P911" i="2"/>
  <c r="P830" i="2"/>
  <c r="P831" i="2"/>
  <c r="P770" i="2"/>
  <c r="P771" i="2"/>
  <c r="P735" i="2"/>
  <c r="P666" i="2"/>
  <c r="P667" i="2"/>
  <c r="P594" i="2"/>
  <c r="P595" i="2"/>
  <c r="P442" i="2"/>
  <c r="P443" i="2"/>
  <c r="P422" i="2"/>
  <c r="P423" i="2"/>
  <c r="P326" i="2"/>
  <c r="P327" i="2"/>
  <c r="P258" i="2"/>
  <c r="P259" i="2"/>
  <c r="P198" i="2"/>
  <c r="P199" i="2"/>
  <c r="AH23" i="15"/>
  <c r="AF23" i="15"/>
  <c r="AG23" i="15"/>
  <c r="AH22" i="15"/>
  <c r="AG22" i="15"/>
  <c r="AH21" i="15"/>
  <c r="AF21" i="15"/>
  <c r="AG21" i="15"/>
  <c r="AH20" i="15"/>
  <c r="AF20" i="15"/>
  <c r="AG20" i="15"/>
  <c r="AH19" i="15"/>
  <c r="AF19" i="15"/>
  <c r="AG19" i="15"/>
  <c r="AH18" i="15"/>
  <c r="AF18" i="15"/>
  <c r="AG18" i="15"/>
  <c r="AH17" i="15"/>
  <c r="P35" i="2"/>
  <c r="AF16" i="15" s="1"/>
  <c r="AG17" i="15"/>
  <c r="AH16" i="15"/>
  <c r="P24" i="2"/>
  <c r="AF12" i="15" s="1"/>
  <c r="AG16" i="15"/>
  <c r="AH15" i="15"/>
  <c r="AF15" i="15"/>
  <c r="AG15" i="15"/>
  <c r="AH14" i="15"/>
  <c r="AF14" i="15"/>
  <c r="AG14" i="15"/>
  <c r="AH13" i="15"/>
  <c r="AF13" i="15"/>
  <c r="AG13" i="15"/>
  <c r="AH12" i="15"/>
  <c r="P11" i="2"/>
  <c r="AF9" i="15" s="1"/>
  <c r="AG12" i="15"/>
  <c r="AG11" i="15"/>
  <c r="AH10" i="15"/>
  <c r="AF10" i="15"/>
  <c r="AG10" i="15"/>
  <c r="AH9" i="15"/>
  <c r="AG9" i="15"/>
  <c r="AH8" i="15"/>
  <c r="AF8" i="15"/>
  <c r="AG8" i="15"/>
  <c r="AH7" i="15"/>
  <c r="AF7" i="15"/>
  <c r="AG7" i="15"/>
  <c r="AG6" i="15"/>
  <c r="AG5" i="15"/>
  <c r="P818" i="2"/>
  <c r="P819" i="2"/>
  <c r="P766" i="2"/>
  <c r="P767" i="2"/>
  <c r="P730" i="2"/>
  <c r="P731" i="2"/>
  <c r="P670" i="2"/>
  <c r="P671" i="2"/>
  <c r="P590" i="2"/>
  <c r="P591" i="2"/>
  <c r="P550" i="2"/>
  <c r="P551" i="2"/>
  <c r="P454" i="2"/>
  <c r="P455" i="2"/>
  <c r="P410" i="2"/>
  <c r="P411" i="2"/>
  <c r="P314" i="2"/>
  <c r="P315" i="2"/>
  <c r="P254" i="2"/>
  <c r="P255" i="2"/>
  <c r="P194" i="2"/>
  <c r="P195" i="2"/>
  <c r="P136" i="2"/>
  <c r="P137" i="2"/>
  <c r="P86" i="2"/>
  <c r="P87" i="2"/>
  <c r="AA23" i="15"/>
  <c r="Y23" i="15"/>
  <c r="Z23" i="15"/>
  <c r="P60" i="2"/>
  <c r="P61" i="2"/>
  <c r="X17" i="15"/>
  <c r="X18" i="15"/>
  <c r="X19" i="15"/>
  <c r="X20" i="15"/>
  <c r="X21" i="15"/>
  <c r="Z22" i="15"/>
  <c r="AA21" i="15"/>
  <c r="Y21" i="15"/>
  <c r="Z21" i="15"/>
  <c r="AA20" i="15"/>
  <c r="Y20" i="15"/>
  <c r="Z20" i="15"/>
  <c r="AA19" i="15"/>
  <c r="Y19" i="15"/>
  <c r="Z19" i="15"/>
  <c r="AA18" i="15"/>
  <c r="Y18" i="15"/>
  <c r="Z18" i="15"/>
  <c r="AA17" i="15"/>
  <c r="P39" i="2"/>
  <c r="Y16" i="15" s="1"/>
  <c r="X16" i="15"/>
  <c r="Z17" i="15"/>
  <c r="AA16" i="15"/>
  <c r="P28" i="2"/>
  <c r="Y12" i="15" s="1"/>
  <c r="I84" i="1"/>
  <c r="O84" i="1" s="1"/>
  <c r="X12" i="15" s="1"/>
  <c r="I87" i="1"/>
  <c r="O87" i="1" s="1"/>
  <c r="X13" i="15" s="1"/>
  <c r="X14" i="15"/>
  <c r="X15" i="15"/>
  <c r="Z16" i="15"/>
  <c r="AA15" i="15"/>
  <c r="Y15" i="15"/>
  <c r="Z15" i="15"/>
  <c r="AA14" i="15"/>
  <c r="Y14" i="15"/>
  <c r="Z14" i="15"/>
  <c r="AA13" i="15"/>
  <c r="Y13" i="15"/>
  <c r="Z13" i="15"/>
  <c r="Z12" i="15"/>
  <c r="AA11" i="15"/>
  <c r="Y11" i="15"/>
  <c r="Z11" i="15"/>
  <c r="AA10" i="15"/>
  <c r="Y10" i="15"/>
  <c r="Z10" i="15"/>
  <c r="AA9" i="15"/>
  <c r="X5" i="15"/>
  <c r="X6" i="15"/>
  <c r="X7" i="15"/>
  <c r="X8" i="15"/>
  <c r="Z9" i="15"/>
  <c r="AA8" i="15"/>
  <c r="Y8" i="15"/>
  <c r="Z8" i="15"/>
  <c r="AA7" i="15"/>
  <c r="Y7" i="15"/>
  <c r="Z7" i="15"/>
  <c r="AA6" i="15"/>
  <c r="Y6" i="15"/>
  <c r="Z6" i="15"/>
  <c r="AA5" i="15"/>
  <c r="Y5" i="15"/>
  <c r="Z5" i="15"/>
  <c r="P759" i="2"/>
  <c r="P682" i="2"/>
  <c r="P683" i="2"/>
  <c r="P760" i="2"/>
  <c r="P586" i="2"/>
  <c r="P587" i="2"/>
  <c r="P684" i="2"/>
  <c r="P585" i="2"/>
  <c r="P547" i="2"/>
  <c r="P588" i="2"/>
  <c r="P545" i="2"/>
  <c r="P450" i="2"/>
  <c r="P451" i="2"/>
  <c r="P548" i="2"/>
  <c r="P449" i="2"/>
  <c r="P418" i="2"/>
  <c r="P419" i="2"/>
  <c r="P452" i="2"/>
  <c r="P417" i="2"/>
  <c r="P322" i="2"/>
  <c r="P323" i="2"/>
  <c r="P420" i="2"/>
  <c r="P321" i="2"/>
  <c r="P266" i="2"/>
  <c r="P267" i="2"/>
  <c r="P324" i="2"/>
  <c r="P265" i="2"/>
  <c r="P202" i="2"/>
  <c r="P203" i="2"/>
  <c r="P268" i="2"/>
  <c r="P201" i="2"/>
  <c r="P145" i="2"/>
  <c r="P204" i="2"/>
  <c r="P98" i="2"/>
  <c r="P99" i="2"/>
  <c r="T23" i="15"/>
  <c r="R23" i="15"/>
  <c r="S23" i="15"/>
  <c r="P97" i="2"/>
  <c r="T22" i="15" s="1"/>
  <c r="S22" i="15"/>
  <c r="T21" i="15"/>
  <c r="R21" i="15"/>
  <c r="S21" i="15"/>
  <c r="T20" i="15"/>
  <c r="R20" i="15"/>
  <c r="S20" i="15"/>
  <c r="T19" i="15"/>
  <c r="R19" i="15"/>
  <c r="S19" i="15"/>
  <c r="T18" i="15"/>
  <c r="R18" i="15"/>
  <c r="S18" i="15"/>
  <c r="P37" i="2"/>
  <c r="R16" i="15" s="1"/>
  <c r="S17" i="15"/>
  <c r="P20" i="2"/>
  <c r="R12" i="15" s="1"/>
  <c r="S16" i="15"/>
  <c r="T15" i="15"/>
  <c r="R15" i="15"/>
  <c r="S15" i="15"/>
  <c r="T14" i="15"/>
  <c r="R14" i="15"/>
  <c r="S14" i="15"/>
  <c r="T13" i="15"/>
  <c r="R13" i="15"/>
  <c r="S13" i="15"/>
  <c r="S12" i="15"/>
  <c r="T11" i="15"/>
  <c r="R11" i="15"/>
  <c r="S11" i="15"/>
  <c r="T10" i="15"/>
  <c r="R10" i="15"/>
  <c r="S10" i="15"/>
  <c r="T9" i="15"/>
  <c r="S9" i="15"/>
  <c r="T8" i="15"/>
  <c r="R8" i="15"/>
  <c r="S8" i="15"/>
  <c r="T7" i="15"/>
  <c r="R7" i="15"/>
  <c r="S7" i="15"/>
  <c r="T6" i="15"/>
  <c r="R6" i="15"/>
  <c r="S6" i="15"/>
  <c r="T5" i="15"/>
  <c r="R5" i="15"/>
  <c r="S5" i="15"/>
  <c r="P902" i="2"/>
  <c r="P903" i="2"/>
  <c r="P913" i="2"/>
  <c r="P914" i="2"/>
  <c r="P915" i="2"/>
  <c r="P916" i="2"/>
  <c r="P901" i="2"/>
  <c r="P822" i="2"/>
  <c r="P823" i="2"/>
  <c r="P904" i="2"/>
  <c r="P821" i="2"/>
  <c r="P762" i="2"/>
  <c r="P763" i="2"/>
  <c r="P824" i="2"/>
  <c r="P738" i="2"/>
  <c r="P739" i="2"/>
  <c r="P764" i="2"/>
  <c r="P678" i="2"/>
  <c r="P740" i="2"/>
  <c r="P582" i="2"/>
  <c r="P583" i="2"/>
  <c r="P680" i="2"/>
  <c r="P558" i="2"/>
  <c r="P559" i="2"/>
  <c r="P584" i="2"/>
  <c r="P557" i="2"/>
  <c r="P462" i="2"/>
  <c r="P463" i="2"/>
  <c r="P560" i="2"/>
  <c r="P461" i="2"/>
  <c r="P438" i="2"/>
  <c r="P439" i="2"/>
  <c r="P464" i="2"/>
  <c r="P437" i="2"/>
  <c r="P342" i="2"/>
  <c r="P343" i="2"/>
  <c r="P440" i="2"/>
  <c r="P341" i="2"/>
  <c r="P270" i="2"/>
  <c r="P271" i="2"/>
  <c r="P344" i="2"/>
  <c r="P269" i="2"/>
  <c r="P210" i="2"/>
  <c r="P211" i="2"/>
  <c r="P272" i="2"/>
  <c r="P209" i="2"/>
  <c r="P212" i="2"/>
  <c r="P154" i="2"/>
  <c r="M23" i="15"/>
  <c r="K23" i="15"/>
  <c r="L23" i="15"/>
  <c r="M22" i="15"/>
  <c r="P64" i="2"/>
  <c r="P65" i="2"/>
  <c r="L22" i="15"/>
  <c r="M21" i="15"/>
  <c r="K21" i="15"/>
  <c r="L21" i="15"/>
  <c r="M20" i="15"/>
  <c r="K20" i="15"/>
  <c r="L20" i="15"/>
  <c r="M19" i="15"/>
  <c r="K19" i="15"/>
  <c r="L19" i="15"/>
  <c r="M18" i="15"/>
  <c r="K18" i="15"/>
  <c r="L18" i="15"/>
  <c r="M17" i="15"/>
  <c r="P41" i="2"/>
  <c r="K16" i="15" s="1"/>
  <c r="L17" i="15"/>
  <c r="M16" i="15"/>
  <c r="P25" i="2"/>
  <c r="K12" i="15" s="1"/>
  <c r="L16" i="15"/>
  <c r="M15" i="15"/>
  <c r="K15" i="15"/>
  <c r="L15" i="15"/>
  <c r="M14" i="15"/>
  <c r="K14" i="15"/>
  <c r="L14" i="15"/>
  <c r="M13" i="15"/>
  <c r="K13" i="15"/>
  <c r="L13" i="15"/>
  <c r="M12" i="15"/>
  <c r="L12" i="15"/>
  <c r="L11" i="15"/>
  <c r="M10" i="15"/>
  <c r="K10" i="15"/>
  <c r="L10" i="15"/>
  <c r="M9" i="15"/>
  <c r="L9" i="15"/>
  <c r="M8" i="15"/>
  <c r="K8" i="15"/>
  <c r="L8" i="15"/>
  <c r="M7" i="15"/>
  <c r="K7" i="15"/>
  <c r="L7" i="15"/>
  <c r="M6" i="15"/>
  <c r="K6" i="15"/>
  <c r="L6" i="15"/>
  <c r="M5" i="15"/>
  <c r="K5" i="15"/>
  <c r="L5" i="15"/>
  <c r="P23" i="2"/>
  <c r="D12" i="15" s="1"/>
  <c r="F5" i="15"/>
  <c r="D5" i="15"/>
  <c r="P879" i="2"/>
  <c r="P854" i="2"/>
  <c r="P855" i="2"/>
  <c r="P799" i="2"/>
  <c r="P710" i="2"/>
  <c r="P711" i="2"/>
  <c r="P642" i="2"/>
  <c r="P643" i="2"/>
  <c r="P606" i="2"/>
  <c r="P607" i="2"/>
  <c r="P486" i="2"/>
  <c r="P487" i="2"/>
  <c r="P282" i="2"/>
  <c r="P283" i="2"/>
  <c r="P158" i="2"/>
  <c r="P159" i="2"/>
  <c r="P104" i="2"/>
  <c r="P105" i="2"/>
  <c r="P103" i="2"/>
  <c r="F22" i="15" s="1"/>
  <c r="P34" i="2"/>
  <c r="D16" i="15" s="1"/>
  <c r="P217" i="2"/>
  <c r="P281" i="2"/>
  <c r="P353" i="2"/>
  <c r="P485" i="2"/>
  <c r="P605" i="2"/>
  <c r="P709" i="2"/>
  <c r="F6" i="15"/>
  <c r="D6" i="15"/>
  <c r="F11" i="15"/>
  <c r="D11" i="15"/>
  <c r="F7" i="15"/>
  <c r="D7" i="15"/>
  <c r="F8" i="15"/>
  <c r="D8" i="15"/>
  <c r="F10" i="15"/>
  <c r="D10" i="15"/>
  <c r="F13" i="15"/>
  <c r="D13" i="15"/>
  <c r="F14" i="15"/>
  <c r="D14" i="15"/>
  <c r="F15" i="15"/>
  <c r="D15" i="15"/>
  <c r="F18" i="15"/>
  <c r="D18" i="15"/>
  <c r="F19" i="15"/>
  <c r="D19" i="15"/>
  <c r="F20" i="15"/>
  <c r="D20" i="15"/>
  <c r="F21" i="15"/>
  <c r="D21" i="15"/>
  <c r="F23" i="15"/>
  <c r="D23" i="15"/>
  <c r="P157" i="2"/>
  <c r="P712" i="2"/>
  <c r="P800" i="2"/>
  <c r="P856" i="2"/>
  <c r="P880" i="2"/>
  <c r="P356" i="2"/>
  <c r="P488" i="2"/>
  <c r="N2" i="4" s="1"/>
  <c r="P608" i="2"/>
  <c r="P644" i="2"/>
  <c r="E19" i="15"/>
  <c r="E20" i="15"/>
  <c r="E21" i="15"/>
  <c r="E22" i="15"/>
  <c r="E23" i="15"/>
  <c r="P160" i="2"/>
  <c r="P284" i="2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5" i="15"/>
  <c r="Z20" i="4"/>
  <c r="Z19" i="4"/>
  <c r="Z18" i="4"/>
  <c r="Z21" i="4"/>
  <c r="Z7" i="4"/>
  <c r="Z6" i="4"/>
  <c r="X21" i="4"/>
  <c r="X20" i="4"/>
  <c r="X19" i="4"/>
  <c r="X18" i="4"/>
  <c r="Z5" i="4"/>
  <c r="Z8" i="4"/>
  <c r="Z9" i="4"/>
  <c r="Z12" i="4"/>
  <c r="Z13" i="4"/>
  <c r="Z16" i="4"/>
  <c r="Z17" i="4"/>
  <c r="Y4" i="4"/>
  <c r="Z4" i="4" s="1"/>
  <c r="I127" i="1"/>
  <c r="O127" i="1" s="1"/>
  <c r="Q23" i="15" s="1"/>
  <c r="E17" i="16"/>
  <c r="E16" i="16"/>
  <c r="E15" i="16"/>
  <c r="E14" i="16"/>
  <c r="E13" i="16"/>
  <c r="E12" i="16"/>
  <c r="E11" i="16"/>
  <c r="E10" i="16"/>
  <c r="E9" i="16"/>
  <c r="E8" i="16"/>
  <c r="E7" i="16"/>
  <c r="E6" i="16"/>
  <c r="D17" i="16"/>
  <c r="D16" i="16"/>
  <c r="D15" i="16"/>
  <c r="D14" i="16"/>
  <c r="D13" i="16"/>
  <c r="D12" i="16"/>
  <c r="D11" i="16"/>
  <c r="D10" i="16"/>
  <c r="D9" i="16"/>
  <c r="D7" i="16"/>
  <c r="D6" i="16"/>
  <c r="E5" i="16"/>
  <c r="D5" i="16"/>
  <c r="E4" i="16"/>
  <c r="D4" i="16"/>
  <c r="E3" i="16"/>
  <c r="D3" i="16"/>
  <c r="E2" i="16"/>
  <c r="D2" i="16"/>
  <c r="C2" i="16"/>
  <c r="G2" i="16" s="1"/>
  <c r="C3" i="16"/>
  <c r="G3" i="16" s="1"/>
  <c r="C7" i="16"/>
  <c r="G7" i="16" s="1"/>
  <c r="C6" i="16"/>
  <c r="G6" i="16" s="1"/>
  <c r="C12" i="16"/>
  <c r="G12" i="16"/>
  <c r="H3" i="16"/>
  <c r="H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C4" i="16"/>
  <c r="G4" i="16" s="1"/>
  <c r="C5" i="16"/>
  <c r="G5" i="16" s="1"/>
  <c r="C8" i="16"/>
  <c r="G8" i="16" s="1"/>
  <c r="C9" i="16"/>
  <c r="G9" i="16" s="1"/>
  <c r="C10" i="16"/>
  <c r="G10" i="16" s="1"/>
  <c r="C11" i="16"/>
  <c r="G11" i="16" s="1"/>
  <c r="C13" i="16"/>
  <c r="G13" i="16" s="1"/>
  <c r="C14" i="16"/>
  <c r="G14" i="16" s="1"/>
  <c r="C15" i="16"/>
  <c r="G15" i="16"/>
  <c r="C16" i="16"/>
  <c r="G16" i="16" s="1"/>
  <c r="C17" i="16"/>
  <c r="G17" i="16" s="1"/>
  <c r="D8" i="16"/>
  <c r="AF30" i="16"/>
  <c r="AF61" i="16"/>
  <c r="P85" i="2"/>
  <c r="AA22" i="15" s="1"/>
  <c r="P130" i="2"/>
  <c r="P135" i="2"/>
  <c r="P138" i="2"/>
  <c r="P193" i="2"/>
  <c r="P196" i="2"/>
  <c r="P197" i="2"/>
  <c r="P200" i="2"/>
  <c r="P253" i="2"/>
  <c r="P256" i="2"/>
  <c r="P257" i="2"/>
  <c r="P260" i="2"/>
  <c r="P313" i="2"/>
  <c r="P316" i="2"/>
  <c r="P325" i="2"/>
  <c r="P328" i="2"/>
  <c r="P409" i="2"/>
  <c r="P412" i="2"/>
  <c r="P421" i="2"/>
  <c r="P424" i="2"/>
  <c r="P441" i="2"/>
  <c r="P444" i="2"/>
  <c r="P453" i="2"/>
  <c r="P456" i="2"/>
  <c r="P540" i="2"/>
  <c r="P549" i="2"/>
  <c r="P552" i="2"/>
  <c r="P589" i="2"/>
  <c r="P592" i="2"/>
  <c r="P596" i="2"/>
  <c r="P668" i="2"/>
  <c r="P669" i="2"/>
  <c r="P672" i="2"/>
  <c r="P729" i="2"/>
  <c r="P732" i="2"/>
  <c r="P736" i="2"/>
  <c r="P765" i="2"/>
  <c r="P768" i="2"/>
  <c r="P772" i="2"/>
  <c r="P817" i="2"/>
  <c r="P820" i="2"/>
  <c r="P832" i="2"/>
  <c r="P905" i="2"/>
  <c r="P908" i="2"/>
  <c r="P909" i="2"/>
  <c r="P912" i="2"/>
  <c r="Y409" i="2"/>
  <c r="Y473" i="2"/>
  <c r="Y193" i="2"/>
  <c r="Y201" i="2"/>
  <c r="AB201" i="2"/>
  <c r="Q201" i="2"/>
  <c r="Q202" i="2"/>
  <c r="Q203" i="2"/>
  <c r="Q204" i="2"/>
  <c r="AA201" i="2" s="1"/>
  <c r="Q144" i="2"/>
  <c r="Q14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189" i="2"/>
  <c r="AB189" i="2" s="1"/>
  <c r="Y197" i="2"/>
  <c r="AB197" i="2" s="1"/>
  <c r="Y205" i="2"/>
  <c r="AB205" i="2" s="1"/>
  <c r="Y209" i="2"/>
  <c r="AB209" i="2" s="1"/>
  <c r="Y213" i="2"/>
  <c r="AB213" i="2" s="1"/>
  <c r="Y217" i="2"/>
  <c r="AB217" i="2" s="1"/>
  <c r="Y221" i="2"/>
  <c r="AB221" i="2" s="1"/>
  <c r="Y225" i="2"/>
  <c r="AB225" i="2" s="1"/>
  <c r="Y229" i="2"/>
  <c r="AB229" i="2" s="1"/>
  <c r="Y233" i="2"/>
  <c r="Y237" i="2"/>
  <c r="Y241" i="2"/>
  <c r="Y245" i="2"/>
  <c r="Y18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32" i="2"/>
  <c r="Y33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49" i="2"/>
  <c r="Y68" i="2"/>
  <c r="Y70" i="2"/>
  <c r="Y72" i="2"/>
  <c r="Y74" i="2"/>
  <c r="Y76" i="2"/>
  <c r="Y78" i="2"/>
  <c r="Y81" i="2"/>
  <c r="Y82" i="2"/>
  <c r="Y85" i="2"/>
  <c r="Y88" i="2"/>
  <c r="Y91" i="2"/>
  <c r="Y94" i="2"/>
  <c r="Y97" i="2"/>
  <c r="Y100" i="2"/>
  <c r="Y103" i="2"/>
  <c r="Y106" i="2"/>
  <c r="Y109" i="2"/>
  <c r="Y112" i="2"/>
  <c r="Y115" i="2"/>
  <c r="Y118" i="2"/>
  <c r="Y121" i="2"/>
  <c r="Y124" i="2"/>
  <c r="Y127" i="2"/>
  <c r="Y131" i="2"/>
  <c r="Y135" i="2"/>
  <c r="Y139" i="2"/>
  <c r="Y143" i="2"/>
  <c r="Y147" i="2"/>
  <c r="Y151" i="2"/>
  <c r="Y155" i="2"/>
  <c r="Y157" i="2"/>
  <c r="Y161" i="2"/>
  <c r="Y165" i="2"/>
  <c r="Y169" i="2"/>
  <c r="Y173" i="2"/>
  <c r="Y177" i="2"/>
  <c r="Y181" i="2"/>
  <c r="Y185" i="2"/>
  <c r="J70" i="1"/>
  <c r="Q70" i="1" s="1"/>
  <c r="C133" i="4"/>
  <c r="H125" i="4" s="1"/>
  <c r="C132" i="4"/>
  <c r="H124" i="4" s="1"/>
  <c r="J68" i="1"/>
  <c r="C131" i="4"/>
  <c r="H123" i="4" s="1"/>
  <c r="J67" i="1"/>
  <c r="Q67" i="1" s="1"/>
  <c r="C130" i="4"/>
  <c r="H122" i="4" s="1"/>
  <c r="C129" i="4"/>
  <c r="H121" i="4" s="1"/>
  <c r="C128" i="4"/>
  <c r="H120" i="4" s="1"/>
  <c r="J79" i="1"/>
  <c r="Q79" i="1" s="1"/>
  <c r="J86" i="1"/>
  <c r="Q86" i="1" s="1"/>
  <c r="C127" i="4"/>
  <c r="H119" i="4" s="1"/>
  <c r="J66" i="1"/>
  <c r="Q66" i="1" s="1"/>
  <c r="C126" i="4"/>
  <c r="H118" i="4" s="1"/>
  <c r="J96" i="1"/>
  <c r="Q96" i="1" s="1"/>
  <c r="J97" i="1"/>
  <c r="Q97" i="1" s="1"/>
  <c r="C124" i="4"/>
  <c r="C125" i="4"/>
  <c r="C122" i="4"/>
  <c r="C123" i="4"/>
  <c r="J85" i="1"/>
  <c r="J95" i="1"/>
  <c r="Q95" i="1" s="1"/>
  <c r="C120" i="4"/>
  <c r="C121" i="4"/>
  <c r="J69" i="1"/>
  <c r="Q69" i="1" s="1"/>
  <c r="J71" i="1"/>
  <c r="Q71" i="1" s="1"/>
  <c r="J72" i="1"/>
  <c r="Q72" i="1" s="1"/>
  <c r="J73" i="1"/>
  <c r="J74" i="1"/>
  <c r="Q74" i="1" s="1"/>
  <c r="J75" i="1"/>
  <c r="Q75" i="1" s="1"/>
  <c r="J76" i="1"/>
  <c r="Q76" i="1" s="1"/>
  <c r="J77" i="1"/>
  <c r="Q77" i="1" s="1"/>
  <c r="J80" i="1"/>
  <c r="J81" i="1"/>
  <c r="Q81" i="1" s="1"/>
  <c r="J82" i="1"/>
  <c r="Q82" i="1" s="1"/>
  <c r="J83" i="1"/>
  <c r="Q83" i="1" s="1"/>
  <c r="D115" i="4" s="1"/>
  <c r="J84" i="1"/>
  <c r="J87" i="1"/>
  <c r="Q87" i="1" s="1"/>
  <c r="J88" i="1"/>
  <c r="Q88" i="1" s="1"/>
  <c r="J89" i="1"/>
  <c r="Q89" i="1" s="1"/>
  <c r="J90" i="1"/>
  <c r="Q90" i="1" s="1"/>
  <c r="J91" i="1"/>
  <c r="Q91" i="1" s="1"/>
  <c r="J92" i="1"/>
  <c r="Q92" i="1" s="1"/>
  <c r="J93" i="1"/>
  <c r="Q93" i="1" s="1"/>
  <c r="J94" i="1"/>
  <c r="Q94" i="1" s="1"/>
  <c r="C118" i="4"/>
  <c r="C119" i="4"/>
  <c r="C116" i="4"/>
  <c r="C117" i="4"/>
  <c r="C114" i="4"/>
  <c r="C115" i="4"/>
  <c r="D112" i="4"/>
  <c r="C112" i="4"/>
  <c r="C113" i="4"/>
  <c r="C110" i="4"/>
  <c r="C111" i="4"/>
  <c r="N10" i="4"/>
  <c r="Q83" i="4"/>
  <c r="R13" i="4" s="1"/>
  <c r="W13" i="4" s="1"/>
  <c r="P13" i="4"/>
  <c r="Q82" i="4"/>
  <c r="P12" i="4"/>
  <c r="Q81" i="4"/>
  <c r="R11" i="4" s="1"/>
  <c r="W11" i="4" s="1"/>
  <c r="P11" i="4"/>
  <c r="Q80" i="4"/>
  <c r="P10" i="4"/>
  <c r="N13" i="4"/>
  <c r="N12" i="4"/>
  <c r="Y577" i="2"/>
  <c r="AB577" i="2" s="1"/>
  <c r="Q554" i="2"/>
  <c r="Q555" i="2"/>
  <c r="Q577" i="2"/>
  <c r="Q578" i="2"/>
  <c r="S578" i="2" s="1"/>
  <c r="Q579" i="2"/>
  <c r="Q580" i="2"/>
  <c r="N11" i="4"/>
  <c r="O11" i="4"/>
  <c r="K53" i="10"/>
  <c r="K54" i="10"/>
  <c r="K52" i="10"/>
  <c r="K51" i="10"/>
  <c r="N17" i="4"/>
  <c r="N16" i="4"/>
  <c r="N15" i="4"/>
  <c r="N14" i="4"/>
  <c r="N9" i="4"/>
  <c r="N8" i="4"/>
  <c r="Y509" i="2"/>
  <c r="Q478" i="2"/>
  <c r="R478" i="2" s="1"/>
  <c r="Q479" i="2"/>
  <c r="Q509" i="2"/>
  <c r="Q510" i="2"/>
  <c r="Q511" i="2"/>
  <c r="R511" i="2" s="1"/>
  <c r="Q512" i="2"/>
  <c r="R512" i="2" s="1"/>
  <c r="N7" i="4"/>
  <c r="O7" i="4"/>
  <c r="N6" i="4"/>
  <c r="O6" i="4"/>
  <c r="N5" i="4"/>
  <c r="N4" i="4"/>
  <c r="N3" i="4"/>
  <c r="Q87" i="4"/>
  <c r="R17" i="4" s="1"/>
  <c r="W17" i="4" s="1"/>
  <c r="Q86" i="4"/>
  <c r="R16" i="4" s="1"/>
  <c r="W16" i="4" s="1"/>
  <c r="Q85" i="4"/>
  <c r="R15" i="4"/>
  <c r="W15" i="4" s="1"/>
  <c r="Q84" i="4"/>
  <c r="P14" i="4"/>
  <c r="Q79" i="4"/>
  <c r="P9" i="4"/>
  <c r="R9" i="4"/>
  <c r="Q78" i="4"/>
  <c r="R8" i="4" s="1"/>
  <c r="W8" i="4" s="1"/>
  <c r="Q77" i="4"/>
  <c r="P7" i="4"/>
  <c r="Q76" i="4"/>
  <c r="R6" i="4" s="1"/>
  <c r="W6" i="4" s="1"/>
  <c r="Q75" i="4"/>
  <c r="P5" i="4"/>
  <c r="Q74" i="4"/>
  <c r="P4" i="4"/>
  <c r="Q73" i="4"/>
  <c r="R3" i="4" s="1"/>
  <c r="Y921" i="2"/>
  <c r="Q874" i="2"/>
  <c r="Q875" i="2"/>
  <c r="Y917" i="2"/>
  <c r="Q882" i="2"/>
  <c r="R882" i="2" s="1"/>
  <c r="Q883" i="2"/>
  <c r="R883" i="2" s="1"/>
  <c r="Y913" i="2"/>
  <c r="Q902" i="2"/>
  <c r="R902" i="2" s="1"/>
  <c r="Q903" i="2"/>
  <c r="R903" i="2" s="1"/>
  <c r="Y909" i="2"/>
  <c r="AB909" i="2" s="1"/>
  <c r="Q906" i="2"/>
  <c r="Q907" i="2"/>
  <c r="R907" i="2" s="1"/>
  <c r="Y905" i="2"/>
  <c r="Q830" i="2"/>
  <c r="Q831" i="2"/>
  <c r="AA829" i="2" s="1"/>
  <c r="Y901" i="2"/>
  <c r="AB901" i="2" s="1"/>
  <c r="Q822" i="2"/>
  <c r="Q823" i="2"/>
  <c r="R823" i="2" s="1"/>
  <c r="Y897" i="2"/>
  <c r="Q834" i="2"/>
  <c r="R834" i="2" s="1"/>
  <c r="Y893" i="2"/>
  <c r="Q842" i="2"/>
  <c r="Q843" i="2"/>
  <c r="R843" i="2" s="1"/>
  <c r="Y889" i="2"/>
  <c r="Q870" i="2"/>
  <c r="R870" i="2" s="1"/>
  <c r="Q871" i="2"/>
  <c r="R871" i="2" s="1"/>
  <c r="Y885" i="2"/>
  <c r="AB885" i="2" s="1"/>
  <c r="Q846" i="2"/>
  <c r="Q847" i="2"/>
  <c r="R847" i="2" s="1"/>
  <c r="Y881" i="2"/>
  <c r="AB881" i="2" s="1"/>
  <c r="Q862" i="2"/>
  <c r="Q863" i="2"/>
  <c r="R863" i="2" s="1"/>
  <c r="Y877" i="2"/>
  <c r="Q854" i="2"/>
  <c r="R854" i="2" s="1"/>
  <c r="Q855" i="2"/>
  <c r="Y873" i="2"/>
  <c r="Q866" i="2"/>
  <c r="Q867" i="2"/>
  <c r="R867" i="2" s="1"/>
  <c r="Y825" i="2"/>
  <c r="AB825" i="2" s="1"/>
  <c r="Q826" i="2"/>
  <c r="Q827" i="2"/>
  <c r="Q828" i="2"/>
  <c r="Q774" i="2"/>
  <c r="S774" i="2" s="1"/>
  <c r="Q775" i="2"/>
  <c r="Y869" i="2"/>
  <c r="Q810" i="2"/>
  <c r="R810" i="2" s="1"/>
  <c r="Q811" i="2"/>
  <c r="R811" i="2" s="1"/>
  <c r="Y865" i="2"/>
  <c r="Q806" i="2"/>
  <c r="R806" i="2" s="1"/>
  <c r="Q807" i="2"/>
  <c r="R807" i="2" s="1"/>
  <c r="Y861" i="2"/>
  <c r="Q814" i="2"/>
  <c r="R814" i="2" s="1"/>
  <c r="Q815" i="2"/>
  <c r="Y857" i="2"/>
  <c r="Q802" i="2"/>
  <c r="R802" i="2" s="1"/>
  <c r="Q803" i="2"/>
  <c r="Y853" i="2"/>
  <c r="Q799" i="2"/>
  <c r="S798" i="2" s="1"/>
  <c r="Y849" i="2"/>
  <c r="Q790" i="2"/>
  <c r="R790" i="2" s="1"/>
  <c r="Q791" i="2"/>
  <c r="Y845" i="2"/>
  <c r="Q794" i="2"/>
  <c r="R794" i="2" s="1"/>
  <c r="Q795" i="2"/>
  <c r="R795" i="2" s="1"/>
  <c r="Y841" i="2"/>
  <c r="Q782" i="2"/>
  <c r="Q783" i="2"/>
  <c r="Y837" i="2"/>
  <c r="Q786" i="2"/>
  <c r="R786" i="2" s="1"/>
  <c r="Q787" i="2"/>
  <c r="R787" i="2" s="1"/>
  <c r="Y833" i="2"/>
  <c r="AB833" i="2" s="1"/>
  <c r="Q778" i="2"/>
  <c r="Q779" i="2"/>
  <c r="Y829" i="2"/>
  <c r="Q770" i="2"/>
  <c r="Q771" i="2"/>
  <c r="R771" i="2" s="1"/>
  <c r="Y821" i="2"/>
  <c r="Q762" i="2"/>
  <c r="R762" i="2" s="1"/>
  <c r="Q763" i="2"/>
  <c r="R763" i="2" s="1"/>
  <c r="Y817" i="2"/>
  <c r="Q766" i="2"/>
  <c r="R766" i="2" s="1"/>
  <c r="Q767" i="2"/>
  <c r="R767" i="2" s="1"/>
  <c r="Y813" i="2"/>
  <c r="Q726" i="2"/>
  <c r="Q727" i="2"/>
  <c r="R727" i="2" s="1"/>
  <c r="Y809" i="2"/>
  <c r="AB809" i="2" s="1"/>
  <c r="Q722" i="2"/>
  <c r="S722" i="2" s="1"/>
  <c r="Q723" i="2"/>
  <c r="R723" i="2" s="1"/>
  <c r="Y805" i="2"/>
  <c r="Q718" i="2"/>
  <c r="R718" i="2" s="1"/>
  <c r="Q719" i="2"/>
  <c r="Y801" i="2"/>
  <c r="Q714" i="2"/>
  <c r="Q715" i="2"/>
  <c r="R715" i="2" s="1"/>
  <c r="Y797" i="2"/>
  <c r="AB797" i="2" s="1"/>
  <c r="Q710" i="2"/>
  <c r="R710" i="2" s="1"/>
  <c r="Q711" i="2"/>
  <c r="R711" i="2" s="1"/>
  <c r="Y793" i="2"/>
  <c r="Q706" i="2"/>
  <c r="R706" i="2" s="1"/>
  <c r="Q707" i="2"/>
  <c r="R707" i="2" s="1"/>
  <c r="Y789" i="2"/>
  <c r="Q702" i="2"/>
  <c r="Q703" i="2"/>
  <c r="R703" i="2" s="1"/>
  <c r="Y785" i="2"/>
  <c r="Q754" i="2"/>
  <c r="R754" i="2" s="1"/>
  <c r="Q755" i="2"/>
  <c r="R755" i="2" s="1"/>
  <c r="Y781" i="2"/>
  <c r="AB781" i="2" s="1"/>
  <c r="Q750" i="2"/>
  <c r="R750" i="2" s="1"/>
  <c r="Q751" i="2"/>
  <c r="Y777" i="2"/>
  <c r="AB777" i="2" s="1"/>
  <c r="Q742" i="2"/>
  <c r="R742" i="2" s="1"/>
  <c r="Q743" i="2"/>
  <c r="Y773" i="2"/>
  <c r="Q746" i="2"/>
  <c r="Y769" i="2"/>
  <c r="Q735" i="2"/>
  <c r="Y765" i="2"/>
  <c r="Q730" i="2"/>
  <c r="R730" i="2" s="1"/>
  <c r="Q731" i="2"/>
  <c r="Y761" i="2"/>
  <c r="Q738" i="2"/>
  <c r="R738" i="2" s="1"/>
  <c r="Q739" i="2"/>
  <c r="Y757" i="2"/>
  <c r="AB757" i="2" s="1"/>
  <c r="Q682" i="2"/>
  <c r="Q683" i="2"/>
  <c r="Y753" i="2"/>
  <c r="Q686" i="2"/>
  <c r="R686" i="2" s="1"/>
  <c r="Q687" i="2"/>
  <c r="Y749" i="2"/>
  <c r="AB749" i="2" s="1"/>
  <c r="Q690" i="2"/>
  <c r="Q691" i="2"/>
  <c r="Y745" i="2"/>
  <c r="AB745" i="2" s="1"/>
  <c r="Q694" i="2"/>
  <c r="R694" i="2" s="1"/>
  <c r="Q695" i="2"/>
  <c r="R695" i="2" s="1"/>
  <c r="Y741" i="2"/>
  <c r="AB741" i="2" s="1"/>
  <c r="Q674" i="2"/>
  <c r="Q675" i="2"/>
  <c r="R675" i="2" s="1"/>
  <c r="Y737" i="2"/>
  <c r="AB737" i="2" s="1"/>
  <c r="Q678" i="2"/>
  <c r="Q679" i="2"/>
  <c r="Y733" i="2"/>
  <c r="Q666" i="2"/>
  <c r="R666" i="2" s="1"/>
  <c r="Q667" i="2"/>
  <c r="R667" i="2" s="1"/>
  <c r="Y729" i="2"/>
  <c r="Q670" i="2"/>
  <c r="R670" i="2" s="1"/>
  <c r="Q671" i="2"/>
  <c r="Y725" i="2"/>
  <c r="AB725" i="2" s="1"/>
  <c r="Q658" i="2"/>
  <c r="Q659" i="2"/>
  <c r="R659" i="2" s="1"/>
  <c r="Y721" i="2"/>
  <c r="AB721" i="2" s="1"/>
  <c r="Q650" i="2"/>
  <c r="Q651" i="2"/>
  <c r="Y717" i="2"/>
  <c r="AB717" i="2" s="1"/>
  <c r="Q662" i="2"/>
  <c r="R662" i="2" s="1"/>
  <c r="Q663" i="2"/>
  <c r="Y713" i="2"/>
  <c r="AB713" i="2" s="1"/>
  <c r="Q654" i="2"/>
  <c r="R654" i="2" s="1"/>
  <c r="Q655" i="2"/>
  <c r="R655" i="2" s="1"/>
  <c r="Y709" i="2"/>
  <c r="AB709" i="2" s="1"/>
  <c r="Q642" i="2"/>
  <c r="Q643" i="2"/>
  <c r="Y705" i="2"/>
  <c r="AB705" i="2" s="1"/>
  <c r="Q646" i="2"/>
  <c r="Q647" i="2"/>
  <c r="Y701" i="2"/>
  <c r="AB701" i="2" s="1"/>
  <c r="Q634" i="2"/>
  <c r="R634" i="2" s="1"/>
  <c r="Q635" i="2"/>
  <c r="R635" i="2" s="1"/>
  <c r="Y697" i="2"/>
  <c r="Q638" i="2"/>
  <c r="R638" i="2" s="1"/>
  <c r="Q639" i="2"/>
  <c r="Y693" i="2"/>
  <c r="Q570" i="2"/>
  <c r="Q571" i="2"/>
  <c r="Y689" i="2"/>
  <c r="AB689" i="2" s="1"/>
  <c r="Q574" i="2"/>
  <c r="S574" i="2" s="1"/>
  <c r="Q575" i="2"/>
  <c r="Y685" i="2"/>
  <c r="Y681" i="2"/>
  <c r="Q586" i="2"/>
  <c r="Q587" i="2"/>
  <c r="Y677" i="2"/>
  <c r="Q582" i="2"/>
  <c r="R582" i="2" s="1"/>
  <c r="Q583" i="2"/>
  <c r="R583" i="2" s="1"/>
  <c r="Y673" i="2"/>
  <c r="AB673" i="2" s="1"/>
  <c r="Q602" i="2"/>
  <c r="R602" i="2" s="1"/>
  <c r="Q603" i="2"/>
  <c r="Y669" i="2"/>
  <c r="Q590" i="2"/>
  <c r="Q591" i="2"/>
  <c r="Y665" i="2"/>
  <c r="Q594" i="2"/>
  <c r="Q595" i="2"/>
  <c r="Y661" i="2"/>
  <c r="AB661" i="2" s="1"/>
  <c r="Q626" i="2"/>
  <c r="R626" i="2" s="1"/>
  <c r="Q627" i="2"/>
  <c r="Y657" i="2"/>
  <c r="Q622" i="2"/>
  <c r="R622" i="2" s="1"/>
  <c r="Q623" i="2"/>
  <c r="R623" i="2" s="1"/>
  <c r="Y653" i="2"/>
  <c r="Q618" i="2"/>
  <c r="Q619" i="2"/>
  <c r="R619" i="2" s="1"/>
  <c r="Y649" i="2"/>
  <c r="AB649" i="2" s="1"/>
  <c r="Q630" i="2"/>
  <c r="Q631" i="2"/>
  <c r="Y645" i="2"/>
  <c r="AB645" i="2" s="1"/>
  <c r="Q614" i="2"/>
  <c r="S614" i="2" s="1"/>
  <c r="Q615" i="2"/>
  <c r="R615" i="2" s="1"/>
  <c r="Y641" i="2"/>
  <c r="AB641" i="2" s="1"/>
  <c r="Q606" i="2"/>
  <c r="Q607" i="2"/>
  <c r="Y637" i="2"/>
  <c r="Q598" i="2"/>
  <c r="Q599" i="2"/>
  <c r="Y633" i="2"/>
  <c r="AB633" i="2" s="1"/>
  <c r="Q610" i="2"/>
  <c r="R610" i="2" s="1"/>
  <c r="Q611" i="2"/>
  <c r="Y621" i="2"/>
  <c r="Q522" i="2"/>
  <c r="Q523" i="2"/>
  <c r="Y629" i="2"/>
  <c r="Q534" i="2"/>
  <c r="Q535" i="2"/>
  <c r="Y625" i="2"/>
  <c r="Q530" i="2"/>
  <c r="Q531" i="2"/>
  <c r="R531" i="2" s="1"/>
  <c r="Y617" i="2"/>
  <c r="AB617" i="2" s="1"/>
  <c r="Q526" i="2"/>
  <c r="R526" i="2" s="1"/>
  <c r="Q527" i="2"/>
  <c r="Y613" i="2"/>
  <c r="Q514" i="2"/>
  <c r="R514" i="2" s="1"/>
  <c r="Q515" i="2"/>
  <c r="R515" i="2" s="1"/>
  <c r="Y609" i="2"/>
  <c r="Y605" i="2"/>
  <c r="AB605" i="2" s="1"/>
  <c r="Q518" i="2"/>
  <c r="Q519" i="2"/>
  <c r="Y601" i="2"/>
  <c r="Q506" i="2"/>
  <c r="Q507" i="2"/>
  <c r="Y597" i="2"/>
  <c r="AB597" i="2" s="1"/>
  <c r="Q542" i="2"/>
  <c r="Q543" i="2"/>
  <c r="Y593" i="2"/>
  <c r="AB593" i="2" s="1"/>
  <c r="Q538" i="2"/>
  <c r="Q539" i="2"/>
  <c r="Y589" i="2"/>
  <c r="AB589" i="2" s="1"/>
  <c r="Q550" i="2"/>
  <c r="Q551" i="2"/>
  <c r="Z589" i="2" s="1"/>
  <c r="Y585" i="2"/>
  <c r="Q546" i="2"/>
  <c r="R546" i="2" s="1"/>
  <c r="Q547" i="2"/>
  <c r="Z585" i="2" s="1"/>
  <c r="Y581" i="2"/>
  <c r="AB581" i="2" s="1"/>
  <c r="Q558" i="2"/>
  <c r="Q559" i="2"/>
  <c r="Y573" i="2"/>
  <c r="AB573" i="2" s="1"/>
  <c r="Q562" i="2"/>
  <c r="R562" i="2" s="1"/>
  <c r="Q563" i="2"/>
  <c r="Y569" i="2"/>
  <c r="Q566" i="2"/>
  <c r="Y565" i="2"/>
  <c r="AB565" i="2" s="1"/>
  <c r="Q470" i="2"/>
  <c r="Q471" i="2"/>
  <c r="Z565" i="2"/>
  <c r="Y561" i="2"/>
  <c r="AB561" i="2" s="1"/>
  <c r="Q466" i="2"/>
  <c r="Q467" i="2"/>
  <c r="R467" i="2" s="1"/>
  <c r="Y557" i="2"/>
  <c r="Q462" i="2"/>
  <c r="Q463" i="2"/>
  <c r="Z557" i="2"/>
  <c r="Y553" i="2"/>
  <c r="AB553" i="2" s="1"/>
  <c r="Q458" i="2"/>
  <c r="R458" i="2" s="1"/>
  <c r="Q459" i="2"/>
  <c r="Y549" i="2"/>
  <c r="Q454" i="2"/>
  <c r="R454" i="2" s="1"/>
  <c r="Q455" i="2"/>
  <c r="Y545" i="2"/>
  <c r="AB545" i="2" s="1"/>
  <c r="Q450" i="2"/>
  <c r="Q451" i="2"/>
  <c r="Y541" i="2"/>
  <c r="AB541" i="2" s="1"/>
  <c r="Q446" i="2"/>
  <c r="Q447" i="2"/>
  <c r="Z541" i="2"/>
  <c r="Y537" i="2"/>
  <c r="Q442" i="2"/>
  <c r="R442" i="2" s="1"/>
  <c r="Q443" i="2"/>
  <c r="Y533" i="2"/>
  <c r="Z533" i="2" s="1"/>
  <c r="Q502" i="2"/>
  <c r="Q503" i="2"/>
  <c r="Y529" i="2"/>
  <c r="AB529" i="2" s="1"/>
  <c r="Q498" i="2"/>
  <c r="Q499" i="2"/>
  <c r="S498" i="2" s="1"/>
  <c r="Y525" i="2"/>
  <c r="Q494" i="2"/>
  <c r="Q495" i="2"/>
  <c r="Y521" i="2"/>
  <c r="Q490" i="2"/>
  <c r="Q491" i="2"/>
  <c r="Y517" i="2"/>
  <c r="Q486" i="2"/>
  <c r="Q487" i="2"/>
  <c r="Y513" i="2"/>
  <c r="AB513" i="2" s="1"/>
  <c r="Q482" i="2"/>
  <c r="Q483" i="2"/>
  <c r="Y505" i="2"/>
  <c r="Q474" i="2"/>
  <c r="Q475" i="2"/>
  <c r="Z505" i="2"/>
  <c r="Y501" i="2"/>
  <c r="AB501" i="2" s="1"/>
  <c r="Q402" i="2"/>
  <c r="Q403" i="2"/>
  <c r="Y497" i="2"/>
  <c r="Q398" i="2"/>
  <c r="Q399" i="2"/>
  <c r="Z497" i="2"/>
  <c r="Y493" i="2"/>
  <c r="Q394" i="2"/>
  <c r="Q395" i="2"/>
  <c r="Y489" i="2"/>
  <c r="Q390" i="2"/>
  <c r="Z489" i="2" s="1"/>
  <c r="Q391" i="2"/>
  <c r="Y485" i="2"/>
  <c r="AB485" i="2" s="1"/>
  <c r="Y481" i="2"/>
  <c r="AB481" i="2" s="1"/>
  <c r="Q382" i="2"/>
  <c r="Q383" i="2"/>
  <c r="R383" i="2" s="1"/>
  <c r="Y477" i="2"/>
  <c r="AB477" i="2" s="1"/>
  <c r="Q378" i="2"/>
  <c r="Z477" i="2" s="1"/>
  <c r="Q379" i="2"/>
  <c r="Q406" i="2"/>
  <c r="Q407" i="2"/>
  <c r="R407" i="2" s="1"/>
  <c r="Y469" i="2"/>
  <c r="Q426" i="2"/>
  <c r="Q427" i="2"/>
  <c r="Y465" i="2"/>
  <c r="Q434" i="2"/>
  <c r="Q435" i="2"/>
  <c r="Y461" i="2"/>
  <c r="AB461" i="2" s="1"/>
  <c r="Q438" i="2"/>
  <c r="Q439" i="2"/>
  <c r="Y457" i="2"/>
  <c r="AB457" i="2" s="1"/>
  <c r="Q430" i="2"/>
  <c r="R430" i="2" s="1"/>
  <c r="Q431" i="2"/>
  <c r="Y453" i="2"/>
  <c r="Q410" i="2"/>
  <c r="Q411" i="2"/>
  <c r="Y449" i="2"/>
  <c r="Q418" i="2"/>
  <c r="R418" i="2" s="1"/>
  <c r="Q419" i="2"/>
  <c r="Y445" i="2"/>
  <c r="AB445" i="2" s="1"/>
  <c r="Q414" i="2"/>
  <c r="Q415" i="2"/>
  <c r="Y441" i="2"/>
  <c r="AB441" i="2" s="1"/>
  <c r="Q422" i="2"/>
  <c r="Q423" i="2"/>
  <c r="Q132" i="2"/>
  <c r="Q133" i="2"/>
  <c r="Q186" i="2"/>
  <c r="Q187" i="2"/>
  <c r="Q182" i="2"/>
  <c r="Q183" i="2"/>
  <c r="Q178" i="2"/>
  <c r="Q179" i="2"/>
  <c r="Z237" i="2" s="1"/>
  <c r="Q174" i="2"/>
  <c r="Z233" i="2" s="1"/>
  <c r="Q175" i="2"/>
  <c r="Q170" i="2"/>
  <c r="Z229" i="2" s="1"/>
  <c r="Q171" i="2"/>
  <c r="Q166" i="2"/>
  <c r="Q167" i="2"/>
  <c r="Q162" i="2"/>
  <c r="Q163" i="2"/>
  <c r="Q158" i="2"/>
  <c r="Q159" i="2"/>
  <c r="Q155" i="2"/>
  <c r="Q156" i="2"/>
  <c r="Q152" i="2"/>
  <c r="Z209" i="2" s="1"/>
  <c r="Q153" i="2"/>
  <c r="Q148" i="2"/>
  <c r="R148" i="2" s="1"/>
  <c r="Q149" i="2"/>
  <c r="R149" i="2" s="1"/>
  <c r="Q140" i="2"/>
  <c r="Q141" i="2"/>
  <c r="Q136" i="2"/>
  <c r="Q137" i="2"/>
  <c r="Y309" i="2"/>
  <c r="Q246" i="2"/>
  <c r="Q247" i="2"/>
  <c r="S246" i="2" s="1"/>
  <c r="Y305" i="2"/>
  <c r="Q242" i="2"/>
  <c r="Q243" i="2"/>
  <c r="S242" i="2" s="1"/>
  <c r="Y301" i="2"/>
  <c r="AB301" i="2" s="1"/>
  <c r="Q238" i="2"/>
  <c r="Q239" i="2"/>
  <c r="Y297" i="2"/>
  <c r="Q234" i="2"/>
  <c r="R234" i="2" s="1"/>
  <c r="Q235" i="2"/>
  <c r="Y293" i="2"/>
  <c r="Q230" i="2"/>
  <c r="Q231" i="2"/>
  <c r="Y289" i="2"/>
  <c r="Q222" i="2"/>
  <c r="Q223" i="2"/>
  <c r="Y285" i="2"/>
  <c r="AB285" i="2" s="1"/>
  <c r="Q226" i="2"/>
  <c r="S226" i="2" s="1"/>
  <c r="Q227" i="2"/>
  <c r="Y281" i="2"/>
  <c r="Q218" i="2"/>
  <c r="Q219" i="2"/>
  <c r="Y277" i="2"/>
  <c r="Z277" i="2" s="1"/>
  <c r="Y273" i="2"/>
  <c r="Q214" i="2"/>
  <c r="R214" i="2" s="1"/>
  <c r="Q215" i="2"/>
  <c r="R215" i="2" s="1"/>
  <c r="Y269" i="2"/>
  <c r="Q210" i="2"/>
  <c r="S210" i="2" s="1"/>
  <c r="Q211" i="2"/>
  <c r="Y265" i="2"/>
  <c r="Y261" i="2"/>
  <c r="Q206" i="2"/>
  <c r="Q207" i="2"/>
  <c r="S206" i="2" s="1"/>
  <c r="Y257" i="2"/>
  <c r="Q198" i="2"/>
  <c r="Q199" i="2"/>
  <c r="Y253" i="2"/>
  <c r="Q194" i="2"/>
  <c r="Q195" i="2"/>
  <c r="Y249" i="2"/>
  <c r="Q190" i="2"/>
  <c r="S190" i="2" s="1"/>
  <c r="Q191" i="2"/>
  <c r="R191" i="2" s="1"/>
  <c r="Y373" i="2"/>
  <c r="Q310" i="2"/>
  <c r="Q311" i="2"/>
  <c r="Y369" i="2"/>
  <c r="Q306" i="2"/>
  <c r="Q307" i="2"/>
  <c r="Y365" i="2"/>
  <c r="AB365" i="2" s="1"/>
  <c r="Q294" i="2"/>
  <c r="Q295" i="2"/>
  <c r="Y361" i="2"/>
  <c r="Q302" i="2"/>
  <c r="Q303" i="2"/>
  <c r="Y357" i="2"/>
  <c r="Q298" i="2"/>
  <c r="Q299" i="2"/>
  <c r="S298" i="2" s="1"/>
  <c r="Y353" i="2"/>
  <c r="Q282" i="2"/>
  <c r="Q283" i="2"/>
  <c r="Y349" i="2"/>
  <c r="AB349" i="2" s="1"/>
  <c r="Q286" i="2"/>
  <c r="Q287" i="2"/>
  <c r="Y345" i="2"/>
  <c r="Q290" i="2"/>
  <c r="Q291" i="2"/>
  <c r="Y341" i="2"/>
  <c r="Q270" i="2"/>
  <c r="Q271" i="2"/>
  <c r="Y337" i="2"/>
  <c r="Q274" i="2"/>
  <c r="Q275" i="2"/>
  <c r="Y333" i="2"/>
  <c r="AB333" i="2" s="1"/>
  <c r="Q278" i="2"/>
  <c r="S278" i="2" s="1"/>
  <c r="Q279" i="2"/>
  <c r="Y329" i="2"/>
  <c r="Q262" i="2"/>
  <c r="Q263" i="2"/>
  <c r="Y325" i="2"/>
  <c r="Q258" i="2"/>
  <c r="Q259" i="2"/>
  <c r="S258" i="2" s="1"/>
  <c r="Y321" i="2"/>
  <c r="AB321" i="2" s="1"/>
  <c r="Q266" i="2"/>
  <c r="Q267" i="2"/>
  <c r="Y317" i="2"/>
  <c r="Q250" i="2"/>
  <c r="Q251" i="2"/>
  <c r="Y313" i="2"/>
  <c r="Q254" i="2"/>
  <c r="Q255" i="2"/>
  <c r="Y437" i="2"/>
  <c r="Z437" i="2" s="1"/>
  <c r="Y433" i="2"/>
  <c r="Z433" i="2" s="1"/>
  <c r="Y429" i="2"/>
  <c r="Y425" i="2"/>
  <c r="Z425" i="2" s="1"/>
  <c r="Y421" i="2"/>
  <c r="Z421" i="2" s="1"/>
  <c r="Y417" i="2"/>
  <c r="Y413" i="2"/>
  <c r="AB413" i="2" s="1"/>
  <c r="Z409" i="2"/>
  <c r="Y405" i="2"/>
  <c r="Z405" i="2"/>
  <c r="Y401" i="2"/>
  <c r="Z401" i="2" s="1"/>
  <c r="Y397" i="2"/>
  <c r="Z397" i="2" s="1"/>
  <c r="Y393" i="2"/>
  <c r="AB393" i="2" s="1"/>
  <c r="Y389" i="2"/>
  <c r="Z389" i="2" s="1"/>
  <c r="Y381" i="2"/>
  <c r="Z381" i="2" s="1"/>
  <c r="Y377" i="2"/>
  <c r="Z377" i="2" s="1"/>
  <c r="AB569" i="2"/>
  <c r="Q569" i="2"/>
  <c r="S570" i="2" s="1"/>
  <c r="Q572" i="2"/>
  <c r="Q573" i="2"/>
  <c r="R573" i="2" s="1"/>
  <c r="Q576" i="2"/>
  <c r="Q581" i="2"/>
  <c r="Q584" i="2"/>
  <c r="AB585" i="2"/>
  <c r="Q585" i="2"/>
  <c r="Q588" i="2"/>
  <c r="R588" i="2" s="1"/>
  <c r="Q589" i="2"/>
  <c r="Q592" i="2"/>
  <c r="Q593" i="2"/>
  <c r="Q596" i="2"/>
  <c r="Q597" i="2"/>
  <c r="S598" i="2" s="1"/>
  <c r="Q600" i="2"/>
  <c r="R600" i="2" s="1"/>
  <c r="AB601" i="2"/>
  <c r="Q601" i="2"/>
  <c r="Q604" i="2"/>
  <c r="Q605" i="2"/>
  <c r="R605" i="2" s="1"/>
  <c r="Q608" i="2"/>
  <c r="R608" i="2" s="1"/>
  <c r="AB609" i="2"/>
  <c r="Q609" i="2"/>
  <c r="R609" i="2" s="1"/>
  <c r="Q612" i="2"/>
  <c r="R612" i="2" s="1"/>
  <c r="Q613" i="2"/>
  <c r="R613" i="2" s="1"/>
  <c r="Q616" i="2"/>
  <c r="Q617" i="2"/>
  <c r="Q620" i="2"/>
  <c r="Q625" i="2"/>
  <c r="Q628" i="2"/>
  <c r="R628" i="2" s="1"/>
  <c r="AB629" i="2"/>
  <c r="Q629" i="2"/>
  <c r="S630" i="2" s="1"/>
  <c r="Q632" i="2"/>
  <c r="R632" i="2" s="1"/>
  <c r="Q377" i="2"/>
  <c r="Q380" i="2"/>
  <c r="Q381" i="2"/>
  <c r="Q384" i="2"/>
  <c r="Q389" i="2"/>
  <c r="Q392" i="2"/>
  <c r="AA389" i="2" s="1"/>
  <c r="Q393" i="2"/>
  <c r="S394" i="2" s="1"/>
  <c r="Q396" i="2"/>
  <c r="Q397" i="2"/>
  <c r="Q400" i="2"/>
  <c r="AB401" i="2"/>
  <c r="Q401" i="2"/>
  <c r="Q404" i="2"/>
  <c r="Q405" i="2"/>
  <c r="S406" i="2" s="1"/>
  <c r="Q408" i="2"/>
  <c r="R408" i="2" s="1"/>
  <c r="Q409" i="2"/>
  <c r="Q412" i="2"/>
  <c r="Q413" i="2"/>
  <c r="Q416" i="2"/>
  <c r="Q417" i="2"/>
  <c r="Q420" i="2"/>
  <c r="AB421" i="2"/>
  <c r="Q421" i="2"/>
  <c r="R421" i="2" s="1"/>
  <c r="Q424" i="2"/>
  <c r="Q425" i="2"/>
  <c r="Q428" i="2"/>
  <c r="R428" i="2" s="1"/>
  <c r="Q429" i="2"/>
  <c r="Q432" i="2"/>
  <c r="Q433" i="2"/>
  <c r="Q436" i="2"/>
  <c r="R436" i="2" s="1"/>
  <c r="AA313" i="2"/>
  <c r="AA317" i="2"/>
  <c r="AA321" i="2"/>
  <c r="AA325" i="2"/>
  <c r="AA329" i="2"/>
  <c r="AA333" i="2"/>
  <c r="AA337" i="2"/>
  <c r="AA341" i="2"/>
  <c r="AA345" i="2"/>
  <c r="AA349" i="2"/>
  <c r="AA353" i="2"/>
  <c r="AA357" i="2"/>
  <c r="AA361" i="2"/>
  <c r="AA365" i="2"/>
  <c r="AB369" i="2"/>
  <c r="AA369" i="2"/>
  <c r="AA373" i="2"/>
  <c r="Q249" i="2"/>
  <c r="R249" i="2" s="1"/>
  <c r="Q252" i="2"/>
  <c r="Q253" i="2"/>
  <c r="Q256" i="2"/>
  <c r="Q257" i="2"/>
  <c r="Q260" i="2"/>
  <c r="Q261" i="2"/>
  <c r="S262" i="2" s="1"/>
  <c r="Q264" i="2"/>
  <c r="Q265" i="2"/>
  <c r="Q268" i="2"/>
  <c r="AB269" i="2"/>
  <c r="Q269" i="2"/>
  <c r="Q272" i="2"/>
  <c r="AB273" i="2"/>
  <c r="Q273" i="2"/>
  <c r="Q276" i="2"/>
  <c r="Q277" i="2"/>
  <c r="Q280" i="2"/>
  <c r="Q281" i="2"/>
  <c r="Q284" i="2"/>
  <c r="Q285" i="2"/>
  <c r="Q288" i="2"/>
  <c r="Q289" i="2"/>
  <c r="Q292" i="2"/>
  <c r="Q293" i="2"/>
  <c r="Q296" i="2"/>
  <c r="Q297" i="2"/>
  <c r="Q300" i="2"/>
  <c r="Q301" i="2"/>
  <c r="Q304" i="2"/>
  <c r="Q305" i="2"/>
  <c r="Q308" i="2"/>
  <c r="Q309" i="2"/>
  <c r="Q312" i="2"/>
  <c r="Q189" i="2"/>
  <c r="Q192" i="2"/>
  <c r="Q193" i="2"/>
  <c r="Q196" i="2"/>
  <c r="Q197" i="2"/>
  <c r="R197" i="2" s="1"/>
  <c r="Q200" i="2"/>
  <c r="Q205" i="2"/>
  <c r="Q208" i="2"/>
  <c r="Q209" i="2"/>
  <c r="Q212" i="2"/>
  <c r="Q213" i="2"/>
  <c r="Q216" i="2"/>
  <c r="Q217" i="2"/>
  <c r="R217" i="2" s="1"/>
  <c r="Q220" i="2"/>
  <c r="Q221" i="2"/>
  <c r="Q224" i="2"/>
  <c r="Q225" i="2"/>
  <c r="Q228" i="2"/>
  <c r="Q229" i="2"/>
  <c r="Q232" i="2"/>
  <c r="Q233" i="2"/>
  <c r="R233" i="2" s="1"/>
  <c r="Q236" i="2"/>
  <c r="Q237" i="2"/>
  <c r="Q240" i="2"/>
  <c r="Q241" i="2"/>
  <c r="Q244" i="2"/>
  <c r="Q245" i="2"/>
  <c r="Q248" i="2"/>
  <c r="Q801" i="2"/>
  <c r="S802" i="2" s="1"/>
  <c r="Q713" i="2"/>
  <c r="R713" i="2" s="1"/>
  <c r="Q716" i="2"/>
  <c r="Q680" i="2"/>
  <c r="R680" i="2" s="1"/>
  <c r="AB697" i="2"/>
  <c r="Q700" i="2"/>
  <c r="AA697" i="2" s="1"/>
  <c r="Q704" i="2"/>
  <c r="R704" i="2" s="1"/>
  <c r="Q705" i="2"/>
  <c r="Q708" i="2"/>
  <c r="Q709" i="2"/>
  <c r="AA709" i="2" s="1"/>
  <c r="Q712" i="2"/>
  <c r="R712" i="2" s="1"/>
  <c r="Q717" i="2"/>
  <c r="R717" i="2" s="1"/>
  <c r="Q720" i="2"/>
  <c r="Q721" i="2"/>
  <c r="R721" i="2" s="1"/>
  <c r="Q724" i="2"/>
  <c r="Q725" i="2"/>
  <c r="Q728" i="2"/>
  <c r="R728" i="2" s="1"/>
  <c r="AB729" i="2"/>
  <c r="Q729" i="2"/>
  <c r="R729" i="2" s="1"/>
  <c r="Q732" i="2"/>
  <c r="R732" i="2" s="1"/>
  <c r="Q736" i="2"/>
  <c r="Q740" i="2"/>
  <c r="Q741" i="2"/>
  <c r="R741" i="2" s="1"/>
  <c r="Q744" i="2"/>
  <c r="Q748" i="2"/>
  <c r="R748" i="2" s="1"/>
  <c r="Q749" i="2"/>
  <c r="R749" i="2" s="1"/>
  <c r="Q752" i="2"/>
  <c r="R752" i="2" s="1"/>
  <c r="Q753" i="2"/>
  <c r="Q756" i="2"/>
  <c r="R756" i="2" s="1"/>
  <c r="Q759" i="2"/>
  <c r="AA757" i="2" s="1"/>
  <c r="Q760" i="2"/>
  <c r="AB385" i="2"/>
  <c r="AB437" i="2"/>
  <c r="Q437" i="2"/>
  <c r="Q440" i="2"/>
  <c r="Q441" i="2"/>
  <c r="Q444" i="2"/>
  <c r="Q445" i="2"/>
  <c r="Q448" i="2"/>
  <c r="R448" i="2" s="1"/>
  <c r="Q449" i="2"/>
  <c r="Q452" i="2"/>
  <c r="R452" i="2" s="1"/>
  <c r="Q453" i="2"/>
  <c r="Q456" i="2"/>
  <c r="Q457" i="2"/>
  <c r="Q460" i="2"/>
  <c r="R460" i="2" s="1"/>
  <c r="Q461" i="2"/>
  <c r="Q464" i="2"/>
  <c r="Q465" i="2"/>
  <c r="Q468" i="2"/>
  <c r="AA465" i="2" s="1"/>
  <c r="Q469" i="2"/>
  <c r="Q472" i="2"/>
  <c r="Q473" i="2"/>
  <c r="Q476" i="2"/>
  <c r="Q477" i="2"/>
  <c r="Q480" i="2"/>
  <c r="R480" i="2" s="1"/>
  <c r="AA477" i="2"/>
  <c r="Q481" i="2"/>
  <c r="Q484" i="2"/>
  <c r="Q485" i="2"/>
  <c r="R485" i="2" s="1"/>
  <c r="Q488" i="2"/>
  <c r="Q489" i="2"/>
  <c r="Q492" i="2"/>
  <c r="AB493" i="2"/>
  <c r="Q493" i="2"/>
  <c r="AA493" i="2" s="1"/>
  <c r="Q496" i="2"/>
  <c r="Q497" i="2"/>
  <c r="Q500" i="2"/>
  <c r="Q501" i="2"/>
  <c r="Q504" i="2"/>
  <c r="R504" i="2" s="1"/>
  <c r="AB505" i="2"/>
  <c r="Q505" i="2"/>
  <c r="Q508" i="2"/>
  <c r="R508" i="2" s="1"/>
  <c r="AB509" i="2"/>
  <c r="Q513" i="2"/>
  <c r="Q516" i="2"/>
  <c r="Q517" i="2"/>
  <c r="Q520" i="2"/>
  <c r="R520" i="2" s="1"/>
  <c r="AB521" i="2"/>
  <c r="Q521" i="2"/>
  <c r="S522" i="2" s="1"/>
  <c r="Q524" i="2"/>
  <c r="Q525" i="2"/>
  <c r="Q528" i="2"/>
  <c r="AA525" i="2"/>
  <c r="Q529" i="2"/>
  <c r="Q532" i="2"/>
  <c r="R532" i="2" s="1"/>
  <c r="Q533" i="2"/>
  <c r="Q536" i="2"/>
  <c r="AB537" i="2"/>
  <c r="Q537" i="2"/>
  <c r="R537" i="2" s="1"/>
  <c r="Q540" i="2"/>
  <c r="R540" i="2" s="1"/>
  <c r="Q541" i="2"/>
  <c r="Q544" i="2"/>
  <c r="Q545" i="2"/>
  <c r="R545" i="2" s="1"/>
  <c r="Q548" i="2"/>
  <c r="AB549" i="2"/>
  <c r="Q549" i="2"/>
  <c r="Q552" i="2"/>
  <c r="Q553" i="2"/>
  <c r="Q556" i="2"/>
  <c r="AB557" i="2"/>
  <c r="Q557" i="2"/>
  <c r="Q560" i="2"/>
  <c r="Q561" i="2"/>
  <c r="Q564" i="2"/>
  <c r="Q565" i="2"/>
  <c r="Q568" i="2"/>
  <c r="Q621" i="2"/>
  <c r="Q624" i="2"/>
  <c r="Q636" i="2"/>
  <c r="Q640" i="2"/>
  <c r="Q644" i="2"/>
  <c r="R644" i="2" s="1"/>
  <c r="Q645" i="2"/>
  <c r="Q648" i="2"/>
  <c r="Q649" i="2"/>
  <c r="Q652" i="2"/>
  <c r="Q653" i="2"/>
  <c r="R653" i="2" s="1"/>
  <c r="Q656" i="2"/>
  <c r="Q657" i="2"/>
  <c r="Q660" i="2"/>
  <c r="Q661" i="2"/>
  <c r="R661" i="2" s="1"/>
  <c r="Q664" i="2"/>
  <c r="R664" i="2" s="1"/>
  <c r="Q668" i="2"/>
  <c r="R668" i="2" s="1"/>
  <c r="Q669" i="2"/>
  <c r="Q672" i="2"/>
  <c r="Q673" i="2"/>
  <c r="Q676" i="2"/>
  <c r="Q684" i="2"/>
  <c r="Q685" i="2"/>
  <c r="Q688" i="2"/>
  <c r="Q689" i="2"/>
  <c r="Q692" i="2"/>
  <c r="AB693" i="2"/>
  <c r="Q696" i="2"/>
  <c r="Q764" i="2"/>
  <c r="R764" i="2" s="1"/>
  <c r="Q765" i="2"/>
  <c r="Q768" i="2"/>
  <c r="R768" i="2" s="1"/>
  <c r="Q772" i="2"/>
  <c r="Q777" i="2"/>
  <c r="Q780" i="2"/>
  <c r="R780" i="2" s="1"/>
  <c r="Q781" i="2"/>
  <c r="R781" i="2" s="1"/>
  <c r="Q784" i="2"/>
  <c r="Q785" i="2"/>
  <c r="Q788" i="2"/>
  <c r="Q789" i="2"/>
  <c r="Q792" i="2"/>
  <c r="R792" i="2" s="1"/>
  <c r="Q796" i="2"/>
  <c r="R796" i="2" s="1"/>
  <c r="Q800" i="2"/>
  <c r="AB801" i="2"/>
  <c r="Q805" i="2"/>
  <c r="R805" i="2" s="1"/>
  <c r="Q808" i="2"/>
  <c r="Q809" i="2"/>
  <c r="Q812" i="2"/>
  <c r="R812" i="2" s="1"/>
  <c r="AB813" i="2"/>
  <c r="Q813" i="2"/>
  <c r="Q816" i="2"/>
  <c r="AB817" i="2"/>
  <c r="Q817" i="2"/>
  <c r="Q818" i="2"/>
  <c r="R818" i="2" s="1"/>
  <c r="Q819" i="2"/>
  <c r="R819" i="2" s="1"/>
  <c r="Q820" i="2"/>
  <c r="R820" i="2" s="1"/>
  <c r="Q821" i="2"/>
  <c r="Q824" i="2"/>
  <c r="R824" i="2" s="1"/>
  <c r="Q832" i="2"/>
  <c r="Q833" i="2"/>
  <c r="Q836" i="2"/>
  <c r="R836" i="2" s="1"/>
  <c r="AA833" i="2"/>
  <c r="Q837" i="2"/>
  <c r="R837" i="2" s="1"/>
  <c r="Q838" i="2"/>
  <c r="Q839" i="2"/>
  <c r="R839" i="2" s="1"/>
  <c r="Q840" i="2"/>
  <c r="Q841" i="2"/>
  <c r="Q844" i="2"/>
  <c r="R844" i="2" s="1"/>
  <c r="Q848" i="2"/>
  <c r="R848" i="2" s="1"/>
  <c r="Q849" i="2"/>
  <c r="S850" i="2" s="1"/>
  <c r="Q850" i="2"/>
  <c r="R850" i="2" s="1"/>
  <c r="Q852" i="2"/>
  <c r="R852" i="2" s="1"/>
  <c r="Q853" i="2"/>
  <c r="Q856" i="2"/>
  <c r="R856" i="2" s="1"/>
  <c r="Q858" i="2"/>
  <c r="Q860" i="2"/>
  <c r="Q861" i="2"/>
  <c r="Q864" i="2"/>
  <c r="Q865" i="2"/>
  <c r="Q868" i="2"/>
  <c r="R868" i="2" s="1"/>
  <c r="Q872" i="2"/>
  <c r="R872" i="2" s="1"/>
  <c r="AB873" i="2"/>
  <c r="Q876" i="2"/>
  <c r="AB877" i="2"/>
  <c r="Q879" i="2"/>
  <c r="Q880" i="2"/>
  <c r="R880" i="2" s="1"/>
  <c r="Q881" i="2"/>
  <c r="Q884" i="2"/>
  <c r="Q885" i="2"/>
  <c r="Q886" i="2"/>
  <c r="R886" i="2" s="1"/>
  <c r="Q888" i="2"/>
  <c r="R888" i="2" s="1"/>
  <c r="AB889" i="2"/>
  <c r="Q889" i="2"/>
  <c r="R889" i="2" s="1"/>
  <c r="Q890" i="2"/>
  <c r="R890" i="2" s="1"/>
  <c r="Q891" i="2"/>
  <c r="R891" i="2" s="1"/>
  <c r="Q892" i="2"/>
  <c r="AB893" i="2"/>
  <c r="Q893" i="2"/>
  <c r="R893" i="2" s="1"/>
  <c r="Q894" i="2"/>
  <c r="R894" i="2" s="1"/>
  <c r="Q895" i="2"/>
  <c r="R895" i="2" s="1"/>
  <c r="Q896" i="2"/>
  <c r="Q897" i="2"/>
  <c r="Q898" i="2"/>
  <c r="R898" i="2" s="1"/>
  <c r="Q899" i="2"/>
  <c r="R899" i="2" s="1"/>
  <c r="Q900" i="2"/>
  <c r="R900" i="2" s="1"/>
  <c r="Q901" i="2"/>
  <c r="R901" i="2" s="1"/>
  <c r="Q904" i="2"/>
  <c r="Q905" i="2"/>
  <c r="R905" i="2" s="1"/>
  <c r="Q908" i="2"/>
  <c r="R908" i="2" s="1"/>
  <c r="Q909" i="2"/>
  <c r="Q910" i="2"/>
  <c r="R910" i="2" s="1"/>
  <c r="Q911" i="2"/>
  <c r="R911" i="2" s="1"/>
  <c r="Q912" i="2"/>
  <c r="R912" i="2" s="1"/>
  <c r="Q913" i="2"/>
  <c r="Q914" i="2"/>
  <c r="R914" i="2" s="1"/>
  <c r="Q915" i="2"/>
  <c r="R915" i="2" s="1"/>
  <c r="Q916" i="2"/>
  <c r="AB917" i="2"/>
  <c r="Q917" i="2"/>
  <c r="Q918" i="2"/>
  <c r="Q919" i="2"/>
  <c r="Q920" i="2"/>
  <c r="R920" i="2" s="1"/>
  <c r="AB921" i="2"/>
  <c r="Q921" i="2"/>
  <c r="R921" i="2" s="1"/>
  <c r="Q922" i="2"/>
  <c r="R922" i="2" s="1"/>
  <c r="Q923" i="2"/>
  <c r="Q924" i="2"/>
  <c r="R924" i="2" s="1"/>
  <c r="S921" i="2"/>
  <c r="R919" i="2"/>
  <c r="S917" i="2"/>
  <c r="R917" i="2"/>
  <c r="R916" i="2"/>
  <c r="S913" i="2"/>
  <c r="S909" i="2"/>
  <c r="R892" i="2"/>
  <c r="R873" i="2"/>
  <c r="S905" i="2"/>
  <c r="S901" i="2"/>
  <c r="S897" i="2"/>
  <c r="S893" i="2"/>
  <c r="R887" i="2"/>
  <c r="S885" i="2"/>
  <c r="R884" i="2"/>
  <c r="S881" i="2"/>
  <c r="R878" i="2"/>
  <c r="S877" i="2"/>
  <c r="R877" i="2"/>
  <c r="R876" i="2"/>
  <c r="S873" i="2"/>
  <c r="S869" i="2"/>
  <c r="R869" i="2"/>
  <c r="S865" i="2"/>
  <c r="R865" i="2"/>
  <c r="R864" i="2"/>
  <c r="S861" i="2"/>
  <c r="R859" i="2"/>
  <c r="R858" i="2"/>
  <c r="S857" i="2"/>
  <c r="R857" i="2"/>
  <c r="S853" i="2"/>
  <c r="R851" i="2"/>
  <c r="S849" i="2"/>
  <c r="S846" i="2"/>
  <c r="S845" i="2"/>
  <c r="R845" i="2"/>
  <c r="S841" i="2"/>
  <c r="R841" i="2"/>
  <c r="R840" i="2"/>
  <c r="R838" i="2"/>
  <c r="S837" i="2"/>
  <c r="R835" i="2"/>
  <c r="S833" i="2"/>
  <c r="R832" i="2"/>
  <c r="R830" i="2"/>
  <c r="S829" i="2"/>
  <c r="R829" i="2"/>
  <c r="R828" i="2"/>
  <c r="R827" i="2"/>
  <c r="R826" i="2"/>
  <c r="S825" i="2"/>
  <c r="R825" i="2"/>
  <c r="S821" i="2"/>
  <c r="R821" i="2"/>
  <c r="S817" i="2"/>
  <c r="R817" i="2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R816" i="2"/>
  <c r="S813" i="2"/>
  <c r="R813" i="2"/>
  <c r="S809" i="2"/>
  <c r="R808" i="2"/>
  <c r="S806" i="2"/>
  <c r="S805" i="2"/>
  <c r="R804" i="2"/>
  <c r="R803" i="2"/>
  <c r="S801" i="2"/>
  <c r="R800" i="2"/>
  <c r="R799" i="2"/>
  <c r="R798" i="2"/>
  <c r="S797" i="2"/>
  <c r="R797" i="2"/>
  <c r="S793" i="2"/>
  <c r="R793" i="2"/>
  <c r="R791" i="2"/>
  <c r="S789" i="2"/>
  <c r="S785" i="2"/>
  <c r="R784" i="2"/>
  <c r="R783" i="2"/>
  <c r="S781" i="2"/>
  <c r="R778" i="2"/>
  <c r="S777" i="2"/>
  <c r="R776" i="2"/>
  <c r="R775" i="2"/>
  <c r="S773" i="2"/>
  <c r="R773" i="2"/>
  <c r="R772" i="2"/>
  <c r="R770" i="2"/>
  <c r="S769" i="2"/>
  <c r="R769" i="2"/>
  <c r="S765" i="2"/>
  <c r="S761" i="2"/>
  <c r="R761" i="2"/>
  <c r="R760" i="2"/>
  <c r="R759" i="2"/>
  <c r="S758" i="2"/>
  <c r="R758" i="2"/>
  <c r="S757" i="2"/>
  <c r="R757" i="2"/>
  <c r="S754" i="2"/>
  <c r="S753" i="2"/>
  <c r="R751" i="2"/>
  <c r="S749" i="2"/>
  <c r="R747" i="2"/>
  <c r="S745" i="2"/>
  <c r="R745" i="2"/>
  <c r="R744" i="2"/>
  <c r="R743" i="2"/>
  <c r="S741" i="2"/>
  <c r="R740" i="2"/>
  <c r="S738" i="2"/>
  <c r="S737" i="2"/>
  <c r="R737" i="2"/>
  <c r="R736" i="2"/>
  <c r="R735" i="2"/>
  <c r="R734" i="2"/>
  <c r="S733" i="2"/>
  <c r="R733" i="2"/>
  <c r="S729" i="2"/>
  <c r="S725" i="2"/>
  <c r="R725" i="2"/>
  <c r="S721" i="2"/>
  <c r="R719" i="2"/>
  <c r="S718" i="2"/>
  <c r="S717" i="2"/>
  <c r="R714" i="2"/>
  <c r="S713" i="2"/>
  <c r="S709" i="2"/>
  <c r="R709" i="2"/>
  <c r="R708" i="2"/>
  <c r="S705" i="2"/>
  <c r="S701" i="2"/>
  <c r="R701" i="2"/>
  <c r="R700" i="2"/>
  <c r="R699" i="2"/>
  <c r="S698" i="2"/>
  <c r="R698" i="2"/>
  <c r="S697" i="2"/>
  <c r="R697" i="2"/>
  <c r="C4" i="5"/>
  <c r="H4" i="5"/>
  <c r="B8" i="6"/>
  <c r="BE3" i="5" s="1"/>
  <c r="P4" i="5"/>
  <c r="Q4" i="5"/>
  <c r="Q5" i="5"/>
  <c r="W4" i="5"/>
  <c r="M4" i="5"/>
  <c r="V4" i="5"/>
  <c r="T4" i="5"/>
  <c r="BK3" i="5"/>
  <c r="X4" i="5"/>
  <c r="E4" i="5"/>
  <c r="B4" i="5"/>
  <c r="F4" i="5"/>
  <c r="BF4" i="5" s="1"/>
  <c r="D4" i="5"/>
  <c r="G4" i="5"/>
  <c r="I4" i="5"/>
  <c r="K4" i="5"/>
  <c r="U4" i="5"/>
  <c r="N4" i="5"/>
  <c r="AR4" i="5" s="1"/>
  <c r="AS3" i="5"/>
  <c r="R4" i="5"/>
  <c r="AP4" i="5" s="1"/>
  <c r="AQ4" i="5" s="1"/>
  <c r="R5" i="5"/>
  <c r="L4" i="5"/>
  <c r="AN4" i="5" s="1"/>
  <c r="AO4" i="5" s="1"/>
  <c r="Y4" i="5"/>
  <c r="AL4" i="5" s="1"/>
  <c r="AM4" i="5" s="1"/>
  <c r="S4" i="5"/>
  <c r="AJ4" i="5" s="1"/>
  <c r="B17" i="6"/>
  <c r="AY3" i="5" s="1"/>
  <c r="B16" i="6"/>
  <c r="AW3" i="5" s="1"/>
  <c r="B15" i="6"/>
  <c r="AU3" i="5" s="1"/>
  <c r="B14" i="6"/>
  <c r="B13" i="6"/>
  <c r="B12" i="6"/>
  <c r="B11" i="6"/>
  <c r="B10" i="6"/>
  <c r="B9" i="6"/>
  <c r="BG3" i="5" s="1"/>
  <c r="B7" i="6"/>
  <c r="BC3" i="5" s="1"/>
  <c r="B6" i="6"/>
  <c r="BA3" i="5" s="1"/>
  <c r="B5" i="6"/>
  <c r="BO3" i="5" s="1"/>
  <c r="B4" i="6"/>
  <c r="BM3" i="5" s="1"/>
  <c r="B3" i="6"/>
  <c r="B2" i="6"/>
  <c r="BI3" i="5" s="1"/>
  <c r="A5" i="5"/>
  <c r="U5" i="5" s="1"/>
  <c r="M54" i="10"/>
  <c r="M53" i="10"/>
  <c r="M52" i="10"/>
  <c r="M51" i="10"/>
  <c r="H58" i="10"/>
  <c r="H61" i="10"/>
  <c r="H62" i="10"/>
  <c r="H63" i="10"/>
  <c r="H64" i="10"/>
  <c r="H65" i="10"/>
  <c r="H66" i="10"/>
  <c r="H67" i="10"/>
  <c r="H68" i="10"/>
  <c r="H69" i="10"/>
  <c r="H70" i="10"/>
  <c r="H56" i="10"/>
  <c r="H57" i="10"/>
  <c r="H59" i="10"/>
  <c r="H60" i="10"/>
  <c r="H51" i="10"/>
  <c r="H52" i="10"/>
  <c r="H53" i="10"/>
  <c r="H54" i="10"/>
  <c r="H55" i="10"/>
  <c r="L71" i="4"/>
  <c r="L80" i="4" s="1"/>
  <c r="L69" i="4"/>
  <c r="L68" i="4"/>
  <c r="L67" i="4"/>
  <c r="L84" i="4"/>
  <c r="L66" i="4"/>
  <c r="L65" i="4"/>
  <c r="L82" i="4"/>
  <c r="L64" i="4"/>
  <c r="L63" i="4"/>
  <c r="L62" i="4"/>
  <c r="L79" i="4"/>
  <c r="L61" i="4"/>
  <c r="L60" i="4"/>
  <c r="L59" i="4"/>
  <c r="L76" i="4"/>
  <c r="L58" i="4"/>
  <c r="L57" i="4"/>
  <c r="L56" i="4"/>
  <c r="L55" i="4"/>
  <c r="L72" i="4"/>
  <c r="L54" i="4"/>
  <c r="R696" i="2"/>
  <c r="S693" i="2"/>
  <c r="R693" i="2"/>
  <c r="R692" i="2"/>
  <c r="R690" i="2"/>
  <c r="S689" i="2"/>
  <c r="R689" i="2"/>
  <c r="R688" i="2"/>
  <c r="R687" i="2"/>
  <c r="S685" i="2"/>
  <c r="R685" i="2"/>
  <c r="R684" i="2"/>
  <c r="R683" i="2"/>
  <c r="R682" i="2"/>
  <c r="S681" i="2"/>
  <c r="R681" i="2"/>
  <c r="R679" i="2"/>
  <c r="S678" i="2"/>
  <c r="R678" i="2"/>
  <c r="S677" i="2"/>
  <c r="R677" i="2"/>
  <c r="R676" i="2"/>
  <c r="S674" i="2"/>
  <c r="R674" i="2"/>
  <c r="S673" i="2"/>
  <c r="R673" i="2"/>
  <c r="R672" i="2"/>
  <c r="S670" i="2"/>
  <c r="S669" i="2"/>
  <c r="R669" i="2"/>
  <c r="S665" i="2"/>
  <c r="R665" i="2"/>
  <c r="R663" i="2"/>
  <c r="S661" i="2"/>
  <c r="R660" i="2"/>
  <c r="R658" i="2"/>
  <c r="S657" i="2"/>
  <c r="R657" i="2"/>
  <c r="S653" i="2"/>
  <c r="R652" i="2"/>
  <c r="R651" i="2"/>
  <c r="S650" i="2"/>
  <c r="R650" i="2"/>
  <c r="S649" i="2"/>
  <c r="R647" i="2"/>
  <c r="R646" i="2"/>
  <c r="S645" i="2"/>
  <c r="R645" i="2"/>
  <c r="S642" i="2"/>
  <c r="R642" i="2"/>
  <c r="S641" i="2"/>
  <c r="R641" i="2"/>
  <c r="R640" i="2"/>
  <c r="R639" i="2"/>
  <c r="S638" i="2"/>
  <c r="S637" i="2"/>
  <c r="R637" i="2"/>
  <c r="R636" i="2"/>
  <c r="S634" i="2"/>
  <c r="S633" i="2"/>
  <c r="R633" i="2"/>
  <c r="H43" i="10"/>
  <c r="I43" i="10" s="1"/>
  <c r="J43" i="10" s="1"/>
  <c r="R631" i="2"/>
  <c r="R630" i="2"/>
  <c r="S629" i="2"/>
  <c r="R629" i="2"/>
  <c r="R627" i="2"/>
  <c r="S626" i="2"/>
  <c r="S625" i="2"/>
  <c r="R624" i="2"/>
  <c r="S621" i="2"/>
  <c r="R621" i="2"/>
  <c r="R620" i="2"/>
  <c r="R618" i="2"/>
  <c r="S617" i="2"/>
  <c r="R617" i="2"/>
  <c r="R616" i="2"/>
  <c r="R614" i="2"/>
  <c r="S613" i="2"/>
  <c r="R611" i="2"/>
  <c r="S610" i="2"/>
  <c r="S609" i="2"/>
  <c r="R607" i="2"/>
  <c r="S605" i="2"/>
  <c r="R604" i="2"/>
  <c r="R603" i="2"/>
  <c r="S602" i="2"/>
  <c r="S601" i="2"/>
  <c r="R601" i="2"/>
  <c r="R599" i="2"/>
  <c r="R598" i="2"/>
  <c r="S597" i="2"/>
  <c r="R596" i="2"/>
  <c r="R595" i="2"/>
  <c r="S593" i="2"/>
  <c r="R593" i="2"/>
  <c r="R592" i="2"/>
  <c r="R591" i="2"/>
  <c r="R590" i="2"/>
  <c r="S589" i="2"/>
  <c r="R589" i="2"/>
  <c r="R587" i="2"/>
  <c r="R586" i="2"/>
  <c r="S585" i="2"/>
  <c r="R585" i="2"/>
  <c r="R584" i="2"/>
  <c r="S581" i="2"/>
  <c r="R581" i="2"/>
  <c r="R580" i="2"/>
  <c r="R579" i="2"/>
  <c r="S577" i="2"/>
  <c r="R577" i="2"/>
  <c r="R576" i="2"/>
  <c r="R575" i="2"/>
  <c r="R574" i="2"/>
  <c r="S573" i="2"/>
  <c r="R572" i="2"/>
  <c r="R571" i="2"/>
  <c r="R570" i="2"/>
  <c r="S569" i="2"/>
  <c r="R569" i="2"/>
  <c r="I193" i="1"/>
  <c r="O193" i="1" s="1"/>
  <c r="AB769" i="2" s="1"/>
  <c r="I192" i="1"/>
  <c r="O192" i="1" s="1"/>
  <c r="I194" i="1"/>
  <c r="O194" i="1" s="1"/>
  <c r="AB761" i="2" s="1"/>
  <c r="I189" i="1"/>
  <c r="J189" i="1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34" i="10"/>
  <c r="I34" i="10" s="1"/>
  <c r="I183" i="1"/>
  <c r="I191" i="1"/>
  <c r="H42" i="10"/>
  <c r="I42" i="10" s="1"/>
  <c r="K42" i="10" s="1"/>
  <c r="H41" i="10"/>
  <c r="I41" i="10" s="1"/>
  <c r="K41" i="10" s="1"/>
  <c r="G71" i="4"/>
  <c r="G69" i="4"/>
  <c r="I46" i="1"/>
  <c r="O46" i="1" s="1"/>
  <c r="I53" i="1"/>
  <c r="O53" i="1" s="1"/>
  <c r="DD8" i="15" s="1"/>
  <c r="I62" i="1"/>
  <c r="I33" i="1"/>
  <c r="O33" i="1" s="1"/>
  <c r="CP5" i="15" s="1"/>
  <c r="I34" i="1"/>
  <c r="O34" i="1" s="1"/>
  <c r="I35" i="1"/>
  <c r="O35" i="1" s="1"/>
  <c r="I36" i="1"/>
  <c r="O36" i="1" s="1"/>
  <c r="I37" i="1"/>
  <c r="O37" i="1" s="1"/>
  <c r="I38" i="1"/>
  <c r="O38" i="1" s="1"/>
  <c r="CW6" i="15" s="1"/>
  <c r="I41" i="1"/>
  <c r="I42" i="1"/>
  <c r="I39" i="1"/>
  <c r="O39" i="1" s="1"/>
  <c r="I40" i="1"/>
  <c r="O40" i="1" s="1"/>
  <c r="I43" i="1"/>
  <c r="I44" i="1"/>
  <c r="O44" i="1" s="1"/>
  <c r="I47" i="1"/>
  <c r="O47" i="1" s="1"/>
  <c r="I48" i="1"/>
  <c r="O48" i="1" s="1"/>
  <c r="I49" i="1"/>
  <c r="O49" i="1" s="1"/>
  <c r="I45" i="1"/>
  <c r="I50" i="1"/>
  <c r="O50" i="1" s="1"/>
  <c r="I51" i="1"/>
  <c r="O51" i="1" s="1"/>
  <c r="I52" i="1"/>
  <c r="O52" i="1" s="1"/>
  <c r="CI8" i="15" s="1"/>
  <c r="I54" i="1"/>
  <c r="I55" i="1"/>
  <c r="O55" i="1" s="1"/>
  <c r="I56" i="1"/>
  <c r="O56" i="1" s="1"/>
  <c r="DY8" i="15" s="1"/>
  <c r="I57" i="1"/>
  <c r="I58" i="1"/>
  <c r="O58" i="1" s="1"/>
  <c r="I61" i="1"/>
  <c r="O61" i="1" s="1"/>
  <c r="I59" i="1"/>
  <c r="O59" i="1" s="1"/>
  <c r="J9" i="15" s="1"/>
  <c r="I63" i="1"/>
  <c r="O63" i="1" s="1"/>
  <c r="DY9" i="15" s="1"/>
  <c r="I64" i="1"/>
  <c r="O64" i="1" s="1"/>
  <c r="AL9" i="15" s="1"/>
  <c r="I65" i="1"/>
  <c r="O65" i="1" s="1"/>
  <c r="AS9" i="15" s="1"/>
  <c r="I60" i="1"/>
  <c r="O60" i="1" s="1"/>
  <c r="AZ9" i="15" s="1"/>
  <c r="I100" i="1"/>
  <c r="M100" i="1" s="1"/>
  <c r="I101" i="1"/>
  <c r="M101" i="1" s="1"/>
  <c r="I98" i="1"/>
  <c r="I99" i="1"/>
  <c r="J99" i="1" s="1"/>
  <c r="I102" i="1"/>
  <c r="O102" i="1" s="1"/>
  <c r="I104" i="1"/>
  <c r="J104" i="1" s="1"/>
  <c r="I103" i="1"/>
  <c r="I105" i="1"/>
  <c r="J105" i="1" s="1"/>
  <c r="O105" i="1"/>
  <c r="AZ17" i="15" s="1"/>
  <c r="I110" i="1"/>
  <c r="I107" i="1"/>
  <c r="I106" i="1"/>
  <c r="M106" i="1" s="1"/>
  <c r="I108" i="1"/>
  <c r="J108" i="1" s="1"/>
  <c r="I109" i="1"/>
  <c r="I114" i="1"/>
  <c r="J114" i="1" s="1"/>
  <c r="I117" i="1"/>
  <c r="I113" i="1"/>
  <c r="I115" i="1"/>
  <c r="I116" i="1"/>
  <c r="I112" i="1"/>
  <c r="I111" i="1"/>
  <c r="J111" i="1" s="1"/>
  <c r="I118" i="1"/>
  <c r="J118" i="1" s="1"/>
  <c r="I119" i="1"/>
  <c r="I120" i="1"/>
  <c r="J120" i="1" s="1"/>
  <c r="I121" i="1"/>
  <c r="I125" i="1"/>
  <c r="J125" i="1" s="1"/>
  <c r="I123" i="1"/>
  <c r="J123" i="1" s="1"/>
  <c r="I122" i="1"/>
  <c r="J122" i="1" s="1"/>
  <c r="I124" i="1"/>
  <c r="I130" i="1"/>
  <c r="J130" i="1" s="1"/>
  <c r="I128" i="1"/>
  <c r="J128" i="1" s="1"/>
  <c r="O128" i="1"/>
  <c r="I129" i="1"/>
  <c r="J129" i="1" s="1"/>
  <c r="I131" i="1"/>
  <c r="J131" i="1" s="1"/>
  <c r="I132" i="1"/>
  <c r="J132" i="1" s="1"/>
  <c r="I133" i="1"/>
  <c r="M133" i="1" s="1"/>
  <c r="I134" i="1"/>
  <c r="O134" i="1" s="1"/>
  <c r="I135" i="1"/>
  <c r="O135" i="1"/>
  <c r="I136" i="1"/>
  <c r="J136" i="1" s="1"/>
  <c r="I141" i="1"/>
  <c r="I139" i="1"/>
  <c r="I138" i="1"/>
  <c r="O138" i="1" s="1"/>
  <c r="AB237" i="2" s="1"/>
  <c r="I140" i="1"/>
  <c r="J140" i="1" s="1"/>
  <c r="I137" i="1"/>
  <c r="I143" i="1"/>
  <c r="I142" i="1"/>
  <c r="J142" i="1" s="1"/>
  <c r="I144" i="1"/>
  <c r="J144" i="1" s="1"/>
  <c r="I145" i="1"/>
  <c r="M145" i="1" s="1"/>
  <c r="O145" i="1"/>
  <c r="I146" i="1"/>
  <c r="I150" i="1"/>
  <c r="O150" i="1"/>
  <c r="I149" i="1"/>
  <c r="J149" i="1" s="1"/>
  <c r="I147" i="1"/>
  <c r="I148" i="1"/>
  <c r="O148" i="1" s="1"/>
  <c r="I151" i="1"/>
  <c r="J151" i="1" s="1"/>
  <c r="Q151" i="1" s="1"/>
  <c r="O151" i="1"/>
  <c r="I152" i="1"/>
  <c r="J152" i="1" s="1"/>
  <c r="I153" i="1"/>
  <c r="O153" i="1"/>
  <c r="I158" i="1"/>
  <c r="I157" i="1"/>
  <c r="I154" i="1"/>
  <c r="J154" i="1" s="1"/>
  <c r="I155" i="1"/>
  <c r="M155" i="1" s="1"/>
  <c r="O155" i="1"/>
  <c r="I156" i="1"/>
  <c r="O156" i="1" s="1"/>
  <c r="I161" i="1"/>
  <c r="J161" i="1" s="1"/>
  <c r="I162" i="1"/>
  <c r="J162" i="1" s="1"/>
  <c r="I167" i="1"/>
  <c r="O167" i="1" s="1"/>
  <c r="I163" i="1"/>
  <c r="O163" i="1" s="1"/>
  <c r="I164" i="1"/>
  <c r="M164" i="1" s="1"/>
  <c r="O164" i="1"/>
  <c r="I165" i="1"/>
  <c r="J165" i="1" s="1"/>
  <c r="I160" i="1"/>
  <c r="I159" i="1"/>
  <c r="I166" i="1"/>
  <c r="I169" i="1"/>
  <c r="J169" i="1" s="1"/>
  <c r="I168" i="1"/>
  <c r="O168" i="1"/>
  <c r="AB397" i="2" s="1"/>
  <c r="I172" i="1"/>
  <c r="J172" i="1" s="1"/>
  <c r="I173" i="1"/>
  <c r="O173" i="1"/>
  <c r="I174" i="1"/>
  <c r="J174" i="1" s="1"/>
  <c r="I170" i="1"/>
  <c r="I171" i="1"/>
  <c r="O171" i="1" s="1"/>
  <c r="I175" i="1"/>
  <c r="J175" i="1" s="1"/>
  <c r="O175" i="1"/>
  <c r="Q175" i="1" s="1"/>
  <c r="I176" i="1"/>
  <c r="J176" i="1" s="1"/>
  <c r="I177" i="1"/>
  <c r="I178" i="1"/>
  <c r="O178" i="1" s="1"/>
  <c r="I179" i="1"/>
  <c r="O179" i="1" s="1"/>
  <c r="AB453" i="2" s="1"/>
  <c r="I180" i="1"/>
  <c r="J180" i="1" s="1"/>
  <c r="I181" i="1"/>
  <c r="O181" i="1" s="1"/>
  <c r="I182" i="1"/>
  <c r="J182" i="1" s="1"/>
  <c r="I185" i="1"/>
  <c r="I184" i="1"/>
  <c r="O184" i="1" s="1"/>
  <c r="I186" i="1"/>
  <c r="O186" i="1" s="1"/>
  <c r="I187" i="1"/>
  <c r="I188" i="1"/>
  <c r="O188" i="1"/>
  <c r="AB677" i="2" s="1"/>
  <c r="I190" i="1"/>
  <c r="O190" i="1" s="1"/>
  <c r="I195" i="1"/>
  <c r="O195" i="1" s="1"/>
  <c r="I196" i="1"/>
  <c r="I197" i="1"/>
  <c r="J197" i="1" s="1"/>
  <c r="I198" i="1"/>
  <c r="O198" i="1" s="1"/>
  <c r="I199" i="1"/>
  <c r="O199" i="1"/>
  <c r="I200" i="1"/>
  <c r="O200" i="1" s="1"/>
  <c r="I201" i="1"/>
  <c r="O201" i="1" s="1"/>
  <c r="I202" i="1"/>
  <c r="O202" i="1" s="1"/>
  <c r="I203" i="1"/>
  <c r="I204" i="1"/>
  <c r="I205" i="1"/>
  <c r="O205" i="1"/>
  <c r="I206" i="1"/>
  <c r="O206" i="1" s="1"/>
  <c r="I207" i="1"/>
  <c r="O207" i="1" s="1"/>
  <c r="I208" i="1"/>
  <c r="O208" i="1" s="1"/>
  <c r="I209" i="1"/>
  <c r="J209" i="1" s="1"/>
  <c r="I210" i="1"/>
  <c r="O210" i="1" s="1"/>
  <c r="I211" i="1"/>
  <c r="O211" i="1" s="1"/>
  <c r="I212" i="1"/>
  <c r="O212" i="1" s="1"/>
  <c r="I213" i="1"/>
  <c r="O213" i="1" s="1"/>
  <c r="I214" i="1"/>
  <c r="O214" i="1" s="1"/>
  <c r="I215" i="1"/>
  <c r="I216" i="1"/>
  <c r="O216" i="1" s="1"/>
  <c r="I217" i="1"/>
  <c r="O217" i="1" s="1"/>
  <c r="I218" i="1"/>
  <c r="I219" i="1"/>
  <c r="O219" i="1" s="1"/>
  <c r="I220" i="1"/>
  <c r="I221" i="1"/>
  <c r="O221" i="1" s="1"/>
  <c r="I222" i="1"/>
  <c r="O222" i="1" s="1"/>
  <c r="I223" i="1"/>
  <c r="O223" i="1" s="1"/>
  <c r="I224" i="1"/>
  <c r="O224" i="1" s="1"/>
  <c r="I225" i="1"/>
  <c r="O225" i="1"/>
  <c r="I226" i="1"/>
  <c r="M226" i="1" s="1"/>
  <c r="I227" i="1"/>
  <c r="M227" i="1" s="1"/>
  <c r="I228" i="1"/>
  <c r="O228" i="1" s="1"/>
  <c r="I229" i="1"/>
  <c r="O229" i="1"/>
  <c r="I230" i="1"/>
  <c r="O230" i="1" s="1"/>
  <c r="I231" i="1"/>
  <c r="O231" i="1"/>
  <c r="I232" i="1"/>
  <c r="I233" i="1"/>
  <c r="O233" i="1" s="1"/>
  <c r="I234" i="1"/>
  <c r="O234" i="1" s="1"/>
  <c r="I235" i="1"/>
  <c r="O235" i="1" s="1"/>
  <c r="I236" i="1"/>
  <c r="M236" i="1" s="1"/>
  <c r="I237" i="1"/>
  <c r="O237" i="1" s="1"/>
  <c r="I238" i="1"/>
  <c r="O238" i="1" s="1"/>
  <c r="I239" i="1"/>
  <c r="I240" i="1"/>
  <c r="I241" i="1"/>
  <c r="O241" i="1" s="1"/>
  <c r="I242" i="1"/>
  <c r="O242" i="1" s="1"/>
  <c r="I243" i="1"/>
  <c r="I244" i="1"/>
  <c r="M244" i="1" s="1"/>
  <c r="I245" i="1"/>
  <c r="O245" i="1" s="1"/>
  <c r="I246" i="1"/>
  <c r="O246" i="1" s="1"/>
  <c r="I247" i="1"/>
  <c r="O247" i="1" s="1"/>
  <c r="I248" i="1"/>
  <c r="O248" i="1" s="1"/>
  <c r="I249" i="1"/>
  <c r="I250" i="1"/>
  <c r="O250" i="1" s="1"/>
  <c r="I251" i="1"/>
  <c r="M251" i="1" s="1"/>
  <c r="I252" i="1"/>
  <c r="I253" i="1"/>
  <c r="O253" i="1" s="1"/>
  <c r="I254" i="1"/>
  <c r="O254" i="1" s="1"/>
  <c r="I255" i="1"/>
  <c r="I256" i="1"/>
  <c r="O256" i="1" s="1"/>
  <c r="I257" i="1"/>
  <c r="O257" i="1"/>
  <c r="I258" i="1"/>
  <c r="O258" i="1" s="1"/>
  <c r="I259" i="1"/>
  <c r="O259" i="1" s="1"/>
  <c r="I260" i="1"/>
  <c r="I261" i="1"/>
  <c r="O261" i="1" s="1"/>
  <c r="I262" i="1"/>
  <c r="I263" i="1"/>
  <c r="M263" i="1" s="1"/>
  <c r="O263" i="1"/>
  <c r="Q263" i="1" s="1"/>
  <c r="I264" i="1"/>
  <c r="O264" i="1" s="1"/>
  <c r="I265" i="1"/>
  <c r="O265" i="1" s="1"/>
  <c r="I266" i="1"/>
  <c r="I267" i="1"/>
  <c r="O267" i="1" s="1"/>
  <c r="I268" i="1"/>
  <c r="O268" i="1" s="1"/>
  <c r="I269" i="1"/>
  <c r="O269" i="1"/>
  <c r="I270" i="1"/>
  <c r="O270" i="1" s="1"/>
  <c r="I271" i="1"/>
  <c r="J271" i="1" s="1"/>
  <c r="I272" i="1"/>
  <c r="O272" i="1" s="1"/>
  <c r="I273" i="1"/>
  <c r="O273" i="1"/>
  <c r="I274" i="1"/>
  <c r="I275" i="1"/>
  <c r="I276" i="1"/>
  <c r="I277" i="1"/>
  <c r="O277" i="1" s="1"/>
  <c r="I278" i="1"/>
  <c r="O278" i="1" s="1"/>
  <c r="I279" i="1"/>
  <c r="O279" i="1"/>
  <c r="I280" i="1"/>
  <c r="O280" i="1" s="1"/>
  <c r="I281" i="1"/>
  <c r="O281" i="1" s="1"/>
  <c r="I282" i="1"/>
  <c r="I283" i="1"/>
  <c r="I284" i="1"/>
  <c r="O284" i="1" s="1"/>
  <c r="I285" i="1"/>
  <c r="O285" i="1"/>
  <c r="I286" i="1"/>
  <c r="O286" i="1" s="1"/>
  <c r="I287" i="1"/>
  <c r="O287" i="1" s="1"/>
  <c r="I288" i="1"/>
  <c r="O288" i="1" s="1"/>
  <c r="I289" i="1"/>
  <c r="O289" i="1" s="1"/>
  <c r="I290" i="1"/>
  <c r="O290" i="1" s="1"/>
  <c r="I291" i="1"/>
  <c r="O291" i="1" s="1"/>
  <c r="I292" i="1"/>
  <c r="I293" i="1"/>
  <c r="I294" i="1"/>
  <c r="O294" i="1" s="1"/>
  <c r="I295" i="1"/>
  <c r="O295" i="1" s="1"/>
  <c r="I296" i="1"/>
  <c r="M296" i="1" s="1"/>
  <c r="I297" i="1"/>
  <c r="O297" i="1" s="1"/>
  <c r="I298" i="1"/>
  <c r="O298" i="1" s="1"/>
  <c r="I299" i="1"/>
  <c r="O299" i="1" s="1"/>
  <c r="I300" i="1"/>
  <c r="I301" i="1"/>
  <c r="O301" i="1" s="1"/>
  <c r="I302" i="1"/>
  <c r="O302" i="1" s="1"/>
  <c r="I303" i="1"/>
  <c r="F71" i="4"/>
  <c r="F69" i="4"/>
  <c r="K71" i="4"/>
  <c r="K69" i="4"/>
  <c r="I71" i="4"/>
  <c r="I83" i="4" s="1"/>
  <c r="I69" i="4"/>
  <c r="H71" i="4"/>
  <c r="H69" i="4"/>
  <c r="J71" i="4"/>
  <c r="J83" i="4" s="1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K54" i="4"/>
  <c r="K55" i="4"/>
  <c r="K56" i="4"/>
  <c r="K57" i="4"/>
  <c r="K58" i="4"/>
  <c r="K59" i="4"/>
  <c r="K78" i="4"/>
  <c r="K60" i="4"/>
  <c r="K61" i="4"/>
  <c r="K62" i="4"/>
  <c r="K81" i="4"/>
  <c r="K63" i="4"/>
  <c r="K82" i="4"/>
  <c r="K64" i="4"/>
  <c r="K65" i="4"/>
  <c r="K66" i="4"/>
  <c r="K67" i="4"/>
  <c r="K68" i="4"/>
  <c r="I54" i="4"/>
  <c r="I55" i="4"/>
  <c r="I56" i="4"/>
  <c r="I75" i="4"/>
  <c r="I57" i="4"/>
  <c r="I58" i="4"/>
  <c r="I59" i="4"/>
  <c r="I60" i="4"/>
  <c r="I61" i="4"/>
  <c r="I80" i="4"/>
  <c r="I62" i="4"/>
  <c r="I63" i="4"/>
  <c r="I64" i="4"/>
  <c r="I65" i="4"/>
  <c r="I84" i="4"/>
  <c r="I66" i="4"/>
  <c r="I85" i="4"/>
  <c r="I67" i="4"/>
  <c r="I68" i="4"/>
  <c r="H54" i="4"/>
  <c r="H55" i="4"/>
  <c r="H56" i="4"/>
  <c r="H57" i="4"/>
  <c r="H58" i="4"/>
  <c r="H59" i="4"/>
  <c r="H78" i="4"/>
  <c r="H60" i="4"/>
  <c r="H61" i="4"/>
  <c r="H62" i="4"/>
  <c r="H63" i="4"/>
  <c r="H64" i="4"/>
  <c r="H65" i="4"/>
  <c r="H84" i="4"/>
  <c r="H66" i="4"/>
  <c r="H67" i="4"/>
  <c r="H68" i="4"/>
  <c r="G72" i="4"/>
  <c r="G54" i="4"/>
  <c r="G55" i="4"/>
  <c r="G74" i="4"/>
  <c r="G56" i="4"/>
  <c r="G75" i="4"/>
  <c r="G57" i="4"/>
  <c r="G58" i="4"/>
  <c r="G59" i="4"/>
  <c r="G78" i="4"/>
  <c r="G60" i="4"/>
  <c r="G40" i="4"/>
  <c r="G61" i="4"/>
  <c r="G80" i="4"/>
  <c r="G62" i="4"/>
  <c r="G81" i="4"/>
  <c r="G63" i="4"/>
  <c r="G64" i="4"/>
  <c r="G83" i="4"/>
  <c r="G65" i="4"/>
  <c r="G84" i="4"/>
  <c r="G66" i="4"/>
  <c r="G67" i="4"/>
  <c r="G68" i="4"/>
  <c r="H40" i="10"/>
  <c r="I40" i="10"/>
  <c r="L40" i="10"/>
  <c r="R568" i="2"/>
  <c r="R567" i="2"/>
  <c r="S565" i="2"/>
  <c r="R565" i="2"/>
  <c r="R564" i="2"/>
  <c r="R563" i="2"/>
  <c r="S561" i="2"/>
  <c r="R561" i="2"/>
  <c r="R559" i="2"/>
  <c r="S558" i="2"/>
  <c r="R558" i="2"/>
  <c r="S557" i="2"/>
  <c r="R557" i="2"/>
  <c r="R556" i="2"/>
  <c r="R555" i="2"/>
  <c r="R554" i="2"/>
  <c r="S553" i="2"/>
  <c r="R553" i="2"/>
  <c r="R552" i="2"/>
  <c r="R550" i="2"/>
  <c r="S549" i="2"/>
  <c r="R548" i="2"/>
  <c r="R547" i="2"/>
  <c r="S546" i="2"/>
  <c r="S545" i="2"/>
  <c r="R544" i="2"/>
  <c r="R543" i="2"/>
  <c r="R542" i="2"/>
  <c r="S541" i="2"/>
  <c r="R541" i="2"/>
  <c r="R539" i="2"/>
  <c r="S538" i="2"/>
  <c r="R538" i="2"/>
  <c r="S537" i="2"/>
  <c r="R536" i="2"/>
  <c r="R535" i="2"/>
  <c r="S534" i="2"/>
  <c r="R534" i="2"/>
  <c r="S533" i="2"/>
  <c r="R533" i="2"/>
  <c r="S530" i="2"/>
  <c r="R530" i="2"/>
  <c r="S529" i="2"/>
  <c r="R529" i="2"/>
  <c r="R528" i="2"/>
  <c r="R527" i="2"/>
  <c r="S526" i="2"/>
  <c r="S525" i="2"/>
  <c r="R525" i="2"/>
  <c r="R524" i="2"/>
  <c r="R523" i="2"/>
  <c r="R522" i="2"/>
  <c r="S521" i="2"/>
  <c r="R521" i="2"/>
  <c r="R519" i="2"/>
  <c r="R518" i="2"/>
  <c r="S517" i="2"/>
  <c r="R517" i="2"/>
  <c r="R516" i="2"/>
  <c r="S513" i="2"/>
  <c r="R513" i="2"/>
  <c r="S510" i="2"/>
  <c r="R510" i="2"/>
  <c r="S509" i="2"/>
  <c r="R509" i="2"/>
  <c r="R507" i="2"/>
  <c r="R506" i="2"/>
  <c r="S505" i="2"/>
  <c r="R505" i="2"/>
  <c r="R503" i="2"/>
  <c r="S502" i="2"/>
  <c r="R502" i="2"/>
  <c r="S501" i="2"/>
  <c r="R500" i="2"/>
  <c r="R499" i="2"/>
  <c r="R498" i="2"/>
  <c r="S497" i="2"/>
  <c r="R497" i="2"/>
  <c r="R496" i="2"/>
  <c r="R495" i="2"/>
  <c r="R494" i="2"/>
  <c r="S493" i="2"/>
  <c r="R493" i="2"/>
  <c r="R492" i="2"/>
  <c r="R491" i="2"/>
  <c r="S489" i="2"/>
  <c r="R489" i="2"/>
  <c r="R488" i="2"/>
  <c r="R487" i="2"/>
  <c r="R486" i="2"/>
  <c r="S485" i="2"/>
  <c r="R484" i="2"/>
  <c r="R483" i="2"/>
  <c r="S482" i="2"/>
  <c r="R482" i="2"/>
  <c r="S481" i="2"/>
  <c r="R481" i="2"/>
  <c r="R479" i="2"/>
  <c r="S477" i="2"/>
  <c r="R477" i="2"/>
  <c r="R476" i="2"/>
  <c r="R475" i="2"/>
  <c r="S474" i="2"/>
  <c r="R474" i="2"/>
  <c r="S473" i="2"/>
  <c r="R472" i="2"/>
  <c r="R471" i="2"/>
  <c r="S470" i="2"/>
  <c r="R470" i="2"/>
  <c r="S469" i="2"/>
  <c r="R469" i="2"/>
  <c r="R466" i="2"/>
  <c r="S465" i="2"/>
  <c r="R465" i="2"/>
  <c r="R463" i="2"/>
  <c r="R462" i="2"/>
  <c r="S461" i="2"/>
  <c r="R461" i="2"/>
  <c r="R459" i="2"/>
  <c r="S457" i="2"/>
  <c r="R457" i="2"/>
  <c r="R456" i="2"/>
  <c r="R455" i="2"/>
  <c r="S454" i="2"/>
  <c r="S453" i="2"/>
  <c r="R453" i="2"/>
  <c r="R451" i="2"/>
  <c r="S449" i="2"/>
  <c r="R449" i="2"/>
  <c r="R447" i="2"/>
  <c r="S446" i="2"/>
  <c r="R446" i="2"/>
  <c r="S445" i="2"/>
  <c r="R445" i="2"/>
  <c r="R444" i="2"/>
  <c r="R443" i="2"/>
  <c r="S441" i="2"/>
  <c r="R441" i="2"/>
  <c r="H39" i="10"/>
  <c r="I39" i="10" s="1"/>
  <c r="H38" i="10"/>
  <c r="I38" i="10" s="1"/>
  <c r="K38" i="10" s="1"/>
  <c r="S402" i="2"/>
  <c r="S386" i="2"/>
  <c r="R440" i="2"/>
  <c r="R439" i="2"/>
  <c r="R438" i="2"/>
  <c r="S437" i="2"/>
  <c r="R437" i="2"/>
  <c r="R435" i="2"/>
  <c r="R434" i="2"/>
  <c r="S433" i="2"/>
  <c r="R433" i="2"/>
  <c r="R432" i="2"/>
  <c r="R431" i="2"/>
  <c r="S430" i="2"/>
  <c r="S429" i="2"/>
  <c r="R429" i="2"/>
  <c r="R427" i="2"/>
  <c r="S426" i="2"/>
  <c r="R426" i="2"/>
  <c r="S425" i="2"/>
  <c r="R425" i="2"/>
  <c r="R423" i="2"/>
  <c r="R422" i="2"/>
  <c r="S421" i="2"/>
  <c r="R420" i="2"/>
  <c r="R419" i="2"/>
  <c r="S418" i="2"/>
  <c r="S417" i="2"/>
  <c r="R417" i="2"/>
  <c r="R416" i="2"/>
  <c r="R415" i="2"/>
  <c r="S414" i="2"/>
  <c r="R414" i="2"/>
  <c r="S413" i="2"/>
  <c r="R413" i="2"/>
  <c r="R411" i="2"/>
  <c r="R410" i="2"/>
  <c r="S409" i="2"/>
  <c r="R409" i="2"/>
  <c r="R406" i="2"/>
  <c r="S405" i="2"/>
  <c r="R405" i="2"/>
  <c r="R404" i="2"/>
  <c r="R403" i="2"/>
  <c r="R402" i="2"/>
  <c r="S401" i="2"/>
  <c r="R401" i="2"/>
  <c r="R400" i="2"/>
  <c r="R399" i="2"/>
  <c r="S398" i="2"/>
  <c r="R398" i="2"/>
  <c r="S397" i="2"/>
  <c r="R397" i="2"/>
  <c r="R396" i="2"/>
  <c r="R395" i="2"/>
  <c r="R394" i="2"/>
  <c r="S393" i="2"/>
  <c r="R393" i="2"/>
  <c r="R391" i="2"/>
  <c r="R390" i="2"/>
  <c r="S389" i="2"/>
  <c r="R389" i="2"/>
  <c r="R388" i="2"/>
  <c r="R387" i="2"/>
  <c r="R386" i="2"/>
  <c r="S385" i="2"/>
  <c r="R385" i="2"/>
  <c r="R384" i="2"/>
  <c r="S382" i="2"/>
  <c r="R382" i="2"/>
  <c r="S381" i="2"/>
  <c r="R381" i="2"/>
  <c r="R380" i="2"/>
  <c r="R379" i="2"/>
  <c r="S378" i="2"/>
  <c r="R378" i="2"/>
  <c r="S377" i="2"/>
  <c r="R377" i="2"/>
  <c r="L91" i="4"/>
  <c r="G89" i="4"/>
  <c r="D88" i="4"/>
  <c r="E88" i="4" s="1"/>
  <c r="F88" i="4" s="1"/>
  <c r="C71" i="4"/>
  <c r="C88" i="4" s="1"/>
  <c r="E71" i="4"/>
  <c r="E76" i="4" s="1"/>
  <c r="D71" i="4"/>
  <c r="J181" i="1"/>
  <c r="Q181" i="1" s="1"/>
  <c r="I4" i="1"/>
  <c r="J4" i="1"/>
  <c r="I5" i="1"/>
  <c r="J5" i="1" s="1"/>
  <c r="I14" i="1"/>
  <c r="J14" i="1" s="1"/>
  <c r="I2" i="1"/>
  <c r="J2" i="1" s="1"/>
  <c r="I3" i="1"/>
  <c r="J3" i="1"/>
  <c r="J4" i="5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/>
  <c r="J33" i="1"/>
  <c r="J35" i="1"/>
  <c r="J36" i="1"/>
  <c r="J37" i="1"/>
  <c r="Q37" i="1" s="1"/>
  <c r="J39" i="1"/>
  <c r="Q39" i="1" s="1"/>
  <c r="J46" i="1"/>
  <c r="Q46" i="1" s="1"/>
  <c r="J44" i="1"/>
  <c r="J47" i="1"/>
  <c r="Q47" i="1" s="1"/>
  <c r="J48" i="1"/>
  <c r="Q48" i="1" s="1"/>
  <c r="J50" i="1"/>
  <c r="Q50" i="1" s="1"/>
  <c r="J55" i="1"/>
  <c r="Q55" i="1" s="1"/>
  <c r="J56" i="1"/>
  <c r="Q56" i="1" s="1"/>
  <c r="J61" i="1"/>
  <c r="Q61" i="1" s="1"/>
  <c r="J64" i="1"/>
  <c r="Q64" i="1" s="1"/>
  <c r="J65" i="1"/>
  <c r="Q65" i="1" s="1"/>
  <c r="J60" i="1"/>
  <c r="Q60" i="1" s="1"/>
  <c r="J134" i="1"/>
  <c r="J135" i="1"/>
  <c r="J143" i="1"/>
  <c r="J150" i="1"/>
  <c r="J148" i="1"/>
  <c r="J153" i="1"/>
  <c r="J156" i="1"/>
  <c r="J167" i="1"/>
  <c r="J163" i="1"/>
  <c r="Q163" i="1" s="1"/>
  <c r="J164" i="1"/>
  <c r="Q164" i="1" s="1"/>
  <c r="J168" i="1"/>
  <c r="Q168" i="1" s="1"/>
  <c r="J173" i="1"/>
  <c r="J170" i="1"/>
  <c r="J177" i="1"/>
  <c r="J178" i="1"/>
  <c r="Q178" i="1" s="1"/>
  <c r="J184" i="1"/>
  <c r="J188" i="1"/>
  <c r="Q188" i="1" s="1"/>
  <c r="J194" i="1"/>
  <c r="J198" i="1"/>
  <c r="J199" i="1"/>
  <c r="J200" i="1"/>
  <c r="J201" i="1"/>
  <c r="J205" i="1"/>
  <c r="J207" i="1"/>
  <c r="J210" i="1"/>
  <c r="J211" i="1"/>
  <c r="Q211" i="1" s="1"/>
  <c r="J212" i="1"/>
  <c r="J213" i="1"/>
  <c r="J214" i="1"/>
  <c r="J217" i="1"/>
  <c r="J219" i="1"/>
  <c r="Q219" i="1" s="1"/>
  <c r="J221" i="1"/>
  <c r="J222" i="1"/>
  <c r="J223" i="1"/>
  <c r="Q223" i="1" s="1"/>
  <c r="J225" i="1"/>
  <c r="Q225" i="1" s="1"/>
  <c r="J227" i="1"/>
  <c r="J228" i="1"/>
  <c r="J229" i="1"/>
  <c r="J231" i="1"/>
  <c r="Q231" i="1" s="1"/>
  <c r="J233" i="1"/>
  <c r="J234" i="1"/>
  <c r="J235" i="1"/>
  <c r="Q235" i="1" s="1"/>
  <c r="J241" i="1"/>
  <c r="J242" i="1"/>
  <c r="J245" i="1"/>
  <c r="J246" i="1"/>
  <c r="J247" i="1"/>
  <c r="J248" i="1"/>
  <c r="J250" i="1"/>
  <c r="J254" i="1"/>
  <c r="J256" i="1"/>
  <c r="J257" i="1"/>
  <c r="Q257" i="1" s="1"/>
  <c r="J258" i="1"/>
  <c r="J259" i="1"/>
  <c r="Q259" i="1" s="1"/>
  <c r="J261" i="1"/>
  <c r="Q261" i="1" s="1"/>
  <c r="J263" i="1"/>
  <c r="J264" i="1"/>
  <c r="J267" i="1"/>
  <c r="J268" i="1"/>
  <c r="J269" i="1"/>
  <c r="Q269" i="1" s="1"/>
  <c r="J270" i="1"/>
  <c r="J272" i="1"/>
  <c r="J273" i="1"/>
  <c r="J278" i="1"/>
  <c r="J279" i="1"/>
  <c r="J280" i="1"/>
  <c r="J281" i="1"/>
  <c r="Q281" i="1" s="1"/>
  <c r="J284" i="1"/>
  <c r="J285" i="1"/>
  <c r="J287" i="1"/>
  <c r="J290" i="1"/>
  <c r="J294" i="1"/>
  <c r="J295" i="1"/>
  <c r="Q295" i="1" s="1"/>
  <c r="J298" i="1"/>
  <c r="J299" i="1"/>
  <c r="Q299" i="1" s="1"/>
  <c r="J301" i="1"/>
  <c r="J302" i="1"/>
  <c r="R376" i="2"/>
  <c r="R375" i="2"/>
  <c r="S374" i="2"/>
  <c r="R374" i="2"/>
  <c r="S373" i="2"/>
  <c r="R373" i="2"/>
  <c r="R372" i="2"/>
  <c r="R371" i="2"/>
  <c r="S370" i="2"/>
  <c r="R370" i="2"/>
  <c r="S369" i="2"/>
  <c r="R369" i="2"/>
  <c r="R368" i="2"/>
  <c r="R367" i="2"/>
  <c r="S366" i="2"/>
  <c r="R366" i="2"/>
  <c r="S365" i="2"/>
  <c r="R365" i="2"/>
  <c r="R364" i="2"/>
  <c r="R363" i="2"/>
  <c r="S362" i="2"/>
  <c r="R362" i="2"/>
  <c r="S361" i="2"/>
  <c r="R361" i="2"/>
  <c r="R360" i="2"/>
  <c r="R359" i="2"/>
  <c r="S358" i="2"/>
  <c r="R358" i="2"/>
  <c r="S357" i="2"/>
  <c r="R357" i="2"/>
  <c r="R356" i="2"/>
  <c r="R355" i="2"/>
  <c r="S354" i="2"/>
  <c r="R354" i="2"/>
  <c r="S353" i="2"/>
  <c r="R353" i="2"/>
  <c r="R352" i="2"/>
  <c r="R351" i="2"/>
  <c r="S350" i="2"/>
  <c r="R350" i="2"/>
  <c r="S349" i="2"/>
  <c r="R349" i="2"/>
  <c r="R348" i="2"/>
  <c r="R347" i="2"/>
  <c r="S346" i="2"/>
  <c r="R346" i="2"/>
  <c r="S345" i="2"/>
  <c r="R345" i="2"/>
  <c r="R344" i="2"/>
  <c r="R343" i="2"/>
  <c r="S342" i="2"/>
  <c r="R342" i="2"/>
  <c r="S341" i="2"/>
  <c r="R341" i="2"/>
  <c r="R340" i="2"/>
  <c r="R339" i="2"/>
  <c r="S338" i="2"/>
  <c r="R338" i="2"/>
  <c r="S337" i="2"/>
  <c r="R337" i="2"/>
  <c r="R336" i="2"/>
  <c r="R335" i="2"/>
  <c r="S334" i="2"/>
  <c r="R334" i="2"/>
  <c r="S333" i="2"/>
  <c r="R333" i="2"/>
  <c r="R332" i="2"/>
  <c r="R331" i="2"/>
  <c r="S330" i="2"/>
  <c r="R330" i="2"/>
  <c r="S329" i="2"/>
  <c r="R329" i="2"/>
  <c r="R328" i="2"/>
  <c r="R327" i="2"/>
  <c r="S326" i="2"/>
  <c r="R326" i="2"/>
  <c r="S325" i="2"/>
  <c r="R325" i="2"/>
  <c r="R324" i="2"/>
  <c r="R323" i="2"/>
  <c r="S322" i="2"/>
  <c r="R322" i="2"/>
  <c r="S321" i="2"/>
  <c r="R321" i="2"/>
  <c r="R320" i="2"/>
  <c r="R319" i="2"/>
  <c r="S318" i="2"/>
  <c r="R318" i="2"/>
  <c r="S317" i="2"/>
  <c r="R317" i="2"/>
  <c r="R316" i="2"/>
  <c r="R315" i="2"/>
  <c r="S314" i="2"/>
  <c r="R314" i="2"/>
  <c r="S313" i="2"/>
  <c r="R313" i="2"/>
  <c r="H37" i="10"/>
  <c r="I37" i="10"/>
  <c r="J37" i="10" s="1"/>
  <c r="K37" i="10"/>
  <c r="H36" i="10"/>
  <c r="I36" i="10" s="1"/>
  <c r="H35" i="10"/>
  <c r="I35" i="10" s="1"/>
  <c r="H33" i="10"/>
  <c r="I33" i="10"/>
  <c r="J33" i="10" s="1"/>
  <c r="H32" i="10"/>
  <c r="I32" i="10" s="1"/>
  <c r="K32" i="10" s="1"/>
  <c r="H31" i="10"/>
  <c r="I31" i="10" s="1"/>
  <c r="B44" i="10"/>
  <c r="C46" i="10" s="1"/>
  <c r="C44" i="10"/>
  <c r="D44" i="10" s="1"/>
  <c r="E44" i="10" s="1"/>
  <c r="Q173" i="1"/>
  <c r="H29" i="10"/>
  <c r="I29" i="10" s="1"/>
  <c r="J29" i="10" s="1"/>
  <c r="K29" i="10" s="1"/>
  <c r="H26" i="10"/>
  <c r="I26" i="10" s="1"/>
  <c r="J26" i="10" s="1"/>
  <c r="K26" i="10" s="1"/>
  <c r="H27" i="10"/>
  <c r="I27" i="10" s="1"/>
  <c r="J27" i="10" s="1"/>
  <c r="K27" i="10" s="1"/>
  <c r="H28" i="10"/>
  <c r="I28" i="10" s="1"/>
  <c r="J28" i="10" s="1"/>
  <c r="K28" i="10" s="1"/>
  <c r="C47" i="4"/>
  <c r="C46" i="4"/>
  <c r="C45" i="4"/>
  <c r="C40" i="4"/>
  <c r="C34" i="4"/>
  <c r="C35" i="4"/>
  <c r="C29" i="4"/>
  <c r="F68" i="4"/>
  <c r="F67" i="4"/>
  <c r="F66" i="4"/>
  <c r="F65" i="4"/>
  <c r="F64" i="4"/>
  <c r="F63" i="4"/>
  <c r="F62" i="4"/>
  <c r="F61" i="4"/>
  <c r="F60" i="4"/>
  <c r="F40" i="4"/>
  <c r="F59" i="4"/>
  <c r="F58" i="4"/>
  <c r="F57" i="4"/>
  <c r="F56" i="4"/>
  <c r="F55" i="4"/>
  <c r="F72" i="4"/>
  <c r="F54" i="4"/>
  <c r="E89" i="4"/>
  <c r="E69" i="4"/>
  <c r="E86" i="4"/>
  <c r="E68" i="4"/>
  <c r="E85" i="4"/>
  <c r="E67" i="4"/>
  <c r="E84" i="4"/>
  <c r="E66" i="4"/>
  <c r="E83" i="4"/>
  <c r="E65" i="4"/>
  <c r="E82" i="4"/>
  <c r="E64" i="4"/>
  <c r="E46" i="4"/>
  <c r="E81" i="4"/>
  <c r="E63" i="4"/>
  <c r="E80" i="4"/>
  <c r="E62" i="4"/>
  <c r="E61" i="4"/>
  <c r="E60" i="4"/>
  <c r="E40" i="4"/>
  <c r="E59" i="4"/>
  <c r="E58" i="4"/>
  <c r="E57" i="4"/>
  <c r="E74" i="4"/>
  <c r="E56" i="4"/>
  <c r="E55" i="4"/>
  <c r="E54" i="4"/>
  <c r="E29" i="4"/>
  <c r="D56" i="4"/>
  <c r="D69" i="4"/>
  <c r="D68" i="4"/>
  <c r="D67" i="4"/>
  <c r="D66" i="4"/>
  <c r="D83" i="4"/>
  <c r="D65" i="4"/>
  <c r="D64" i="4"/>
  <c r="D46" i="4"/>
  <c r="D63" i="4"/>
  <c r="D45" i="4"/>
  <c r="D62" i="4"/>
  <c r="D61" i="4"/>
  <c r="D60" i="4"/>
  <c r="D40" i="4"/>
  <c r="D59" i="4"/>
  <c r="D76" i="4"/>
  <c r="D58" i="4"/>
  <c r="D57" i="4"/>
  <c r="D55" i="4"/>
  <c r="D54" i="4"/>
  <c r="D29" i="4"/>
  <c r="C89" i="4"/>
  <c r="C69" i="4"/>
  <c r="C86" i="4"/>
  <c r="C68" i="4"/>
  <c r="C67" i="4"/>
  <c r="C84" i="4"/>
  <c r="C66" i="4"/>
  <c r="C83" i="4"/>
  <c r="C65" i="4"/>
  <c r="C82" i="4"/>
  <c r="C64" i="4"/>
  <c r="C63" i="4"/>
  <c r="C62" i="4"/>
  <c r="C79" i="4"/>
  <c r="C61" i="4"/>
  <c r="C78" i="4"/>
  <c r="C60" i="4"/>
  <c r="C59" i="4"/>
  <c r="C58" i="4"/>
  <c r="C75" i="4"/>
  <c r="C57" i="4"/>
  <c r="C74" i="4"/>
  <c r="C56" i="4"/>
  <c r="C55" i="4"/>
  <c r="C7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S310" i="2"/>
  <c r="S309" i="2"/>
  <c r="S305" i="2"/>
  <c r="S302" i="2"/>
  <c r="S301" i="2"/>
  <c r="S297" i="2"/>
  <c r="S294" i="2"/>
  <c r="S293" i="2"/>
  <c r="S289" i="2"/>
  <c r="S286" i="2"/>
  <c r="S285" i="2"/>
  <c r="S282" i="2"/>
  <c r="S281" i="2"/>
  <c r="S277" i="2"/>
  <c r="S273" i="2"/>
  <c r="S270" i="2"/>
  <c r="S269" i="2"/>
  <c r="S266" i="2"/>
  <c r="S265" i="2"/>
  <c r="S261" i="2"/>
  <c r="S257" i="2"/>
  <c r="S254" i="2"/>
  <c r="S253" i="2"/>
  <c r="S250" i="2"/>
  <c r="S249" i="2"/>
  <c r="S245" i="2"/>
  <c r="S241" i="2"/>
  <c r="S238" i="2"/>
  <c r="S237" i="2"/>
  <c r="S234" i="2"/>
  <c r="S233" i="2"/>
  <c r="S230" i="2"/>
  <c r="S229" i="2"/>
  <c r="S225" i="2"/>
  <c r="S222" i="2"/>
  <c r="S221" i="2"/>
  <c r="S218" i="2"/>
  <c r="S217" i="2"/>
  <c r="S214" i="2"/>
  <c r="S213" i="2"/>
  <c r="S209" i="2"/>
  <c r="S205" i="2"/>
  <c r="S202" i="2"/>
  <c r="S201" i="2"/>
  <c r="S198" i="2"/>
  <c r="S197" i="2"/>
  <c r="S194" i="2"/>
  <c r="S193" i="2"/>
  <c r="S189" i="2"/>
  <c r="S155" i="2"/>
  <c r="S156" i="2"/>
  <c r="Q185" i="2"/>
  <c r="R185" i="2" s="1"/>
  <c r="Q188" i="2"/>
  <c r="R188" i="2" s="1"/>
  <c r="S185" i="2"/>
  <c r="Q181" i="2"/>
  <c r="R181" i="2" s="1"/>
  <c r="Q184" i="2"/>
  <c r="R184" i="2" s="1"/>
  <c r="S181" i="2"/>
  <c r="Q177" i="2"/>
  <c r="R177" i="2" s="1"/>
  <c r="Q180" i="2"/>
  <c r="R180" i="2" s="1"/>
  <c r="S177" i="2"/>
  <c r="Q173" i="2"/>
  <c r="Q176" i="2"/>
  <c r="S174" i="2" s="1"/>
  <c r="S173" i="2"/>
  <c r="Q169" i="2"/>
  <c r="R169" i="2" s="1"/>
  <c r="Q172" i="2"/>
  <c r="R172" i="2" s="1"/>
  <c r="S169" i="2"/>
  <c r="Q165" i="2"/>
  <c r="R165" i="2" s="1"/>
  <c r="Q168" i="2"/>
  <c r="R168" i="2" s="1"/>
  <c r="S165" i="2"/>
  <c r="Q161" i="2"/>
  <c r="R161" i="2" s="1"/>
  <c r="Q164" i="2"/>
  <c r="S161" i="2"/>
  <c r="Q157" i="2"/>
  <c r="Q160" i="2"/>
  <c r="R160" i="2" s="1"/>
  <c r="S157" i="2"/>
  <c r="Q151" i="2"/>
  <c r="S152" i="2" s="1"/>
  <c r="Q154" i="2"/>
  <c r="R154" i="2" s="1"/>
  <c r="S151" i="2"/>
  <c r="Q147" i="2"/>
  <c r="Q150" i="2"/>
  <c r="R150" i="2" s="1"/>
  <c r="S148" i="2"/>
  <c r="S147" i="2"/>
  <c r="Q143" i="2"/>
  <c r="R143" i="2" s="1"/>
  <c r="Q146" i="2"/>
  <c r="R146" i="2" s="1"/>
  <c r="S143" i="2"/>
  <c r="Q139" i="2"/>
  <c r="R139" i="2" s="1"/>
  <c r="Q142" i="2"/>
  <c r="R142" i="2" s="1"/>
  <c r="S140" i="2"/>
  <c r="S139" i="2"/>
  <c r="Q135" i="2"/>
  <c r="Q138" i="2"/>
  <c r="R138" i="2" s="1"/>
  <c r="S135" i="2"/>
  <c r="Q131" i="2"/>
  <c r="Q134" i="2"/>
  <c r="R134" i="2" s="1"/>
  <c r="S132" i="2"/>
  <c r="S131" i="2"/>
  <c r="Q127" i="2"/>
  <c r="S128" i="2" s="1"/>
  <c r="Q128" i="2"/>
  <c r="R128" i="2" s="1"/>
  <c r="Q129" i="2"/>
  <c r="R129" i="2" s="1"/>
  <c r="S127" i="2"/>
  <c r="Q124" i="2"/>
  <c r="Q125" i="2"/>
  <c r="R125" i="2" s="1"/>
  <c r="Q126" i="2"/>
  <c r="R126" i="2" s="1"/>
  <c r="S124" i="2"/>
  <c r="Q121" i="2"/>
  <c r="S122" i="2" s="1"/>
  <c r="Q122" i="2"/>
  <c r="Q123" i="2"/>
  <c r="R123" i="2" s="1"/>
  <c r="S121" i="2"/>
  <c r="Q118" i="2"/>
  <c r="Q119" i="2"/>
  <c r="R119" i="2" s="1"/>
  <c r="Q120" i="2"/>
  <c r="R120" i="2" s="1"/>
  <c r="S118" i="2"/>
  <c r="Q115" i="2"/>
  <c r="S116" i="2" s="1"/>
  <c r="Q116" i="2"/>
  <c r="Q117" i="2"/>
  <c r="R117" i="2" s="1"/>
  <c r="S115" i="2"/>
  <c r="Q112" i="2"/>
  <c r="Q113" i="2"/>
  <c r="R113" i="2" s="1"/>
  <c r="Q114" i="2"/>
  <c r="S112" i="2"/>
  <c r="Q109" i="2"/>
  <c r="S110" i="2" s="1"/>
  <c r="Q110" i="2"/>
  <c r="Q111" i="2"/>
  <c r="R111" i="2" s="1"/>
  <c r="S109" i="2"/>
  <c r="Q106" i="2"/>
  <c r="R106" i="2" s="1"/>
  <c r="Q107" i="2"/>
  <c r="R107" i="2" s="1"/>
  <c r="Q108" i="2"/>
  <c r="S106" i="2"/>
  <c r="Q103" i="2"/>
  <c r="S104" i="2" s="1"/>
  <c r="Q104" i="2"/>
  <c r="Q105" i="2"/>
  <c r="R105" i="2" s="1"/>
  <c r="S103" i="2"/>
  <c r="Q100" i="2"/>
  <c r="Q101" i="2"/>
  <c r="R101" i="2" s="1"/>
  <c r="Q102" i="2"/>
  <c r="R102" i="2" s="1"/>
  <c r="S100" i="2"/>
  <c r="Q97" i="2"/>
  <c r="S98" i="2" s="1"/>
  <c r="Q98" i="2"/>
  <c r="Q99" i="2"/>
  <c r="R99" i="2" s="1"/>
  <c r="S97" i="2"/>
  <c r="Q94" i="2"/>
  <c r="Q95" i="2"/>
  <c r="R95" i="2" s="1"/>
  <c r="Q96" i="2"/>
  <c r="R96" i="2" s="1"/>
  <c r="S95" i="2"/>
  <c r="S94" i="2"/>
  <c r="Q91" i="2"/>
  <c r="Q92" i="2"/>
  <c r="R92" i="2" s="1"/>
  <c r="Q93" i="2"/>
  <c r="R93" i="2" s="1"/>
  <c r="S91" i="2"/>
  <c r="Q88" i="2"/>
  <c r="Q89" i="2"/>
  <c r="R89" i="2" s="1"/>
  <c r="Q90" i="2"/>
  <c r="R90" i="2" s="1"/>
  <c r="S88" i="2"/>
  <c r="Q85" i="2"/>
  <c r="Q86" i="2"/>
  <c r="Q87" i="2"/>
  <c r="R87" i="2" s="1"/>
  <c r="S85" i="2"/>
  <c r="Q82" i="2"/>
  <c r="Q83" i="2"/>
  <c r="R83" i="2" s="1"/>
  <c r="Q84" i="2"/>
  <c r="R84" i="2" s="1"/>
  <c r="S82" i="2"/>
  <c r="S50" i="2"/>
  <c r="R312" i="2"/>
  <c r="R311" i="2"/>
  <c r="R310" i="2"/>
  <c r="R309" i="2"/>
  <c r="R308" i="2"/>
  <c r="R307" i="2"/>
  <c r="R306" i="2"/>
  <c r="R304" i="2"/>
  <c r="R303" i="2"/>
  <c r="R302" i="2"/>
  <c r="R301" i="2"/>
  <c r="R300" i="2"/>
  <c r="R298" i="2"/>
  <c r="R297" i="2"/>
  <c r="R296" i="2"/>
  <c r="R295" i="2"/>
  <c r="R294" i="2"/>
  <c r="R293" i="2"/>
  <c r="R292" i="2"/>
  <c r="R291" i="2"/>
  <c r="R290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2" i="2"/>
  <c r="R271" i="2"/>
  <c r="R270" i="2"/>
  <c r="R269" i="2"/>
  <c r="R268" i="2"/>
  <c r="R267" i="2"/>
  <c r="R266" i="2"/>
  <c r="R264" i="2"/>
  <c r="R263" i="2"/>
  <c r="R262" i="2"/>
  <c r="R261" i="2"/>
  <c r="R260" i="2"/>
  <c r="R258" i="2"/>
  <c r="R257" i="2"/>
  <c r="R256" i="2"/>
  <c r="R255" i="2"/>
  <c r="R254" i="2"/>
  <c r="R253" i="2"/>
  <c r="R252" i="2"/>
  <c r="R251" i="2"/>
  <c r="R250" i="2"/>
  <c r="R248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6" i="2"/>
  <c r="R213" i="2"/>
  <c r="R212" i="2"/>
  <c r="R211" i="2"/>
  <c r="R210" i="2"/>
  <c r="R209" i="2"/>
  <c r="R208" i="2"/>
  <c r="R206" i="2"/>
  <c r="R205" i="2"/>
  <c r="R204" i="2"/>
  <c r="R203" i="2"/>
  <c r="R202" i="2"/>
  <c r="R201" i="2"/>
  <c r="R200" i="2"/>
  <c r="R199" i="2"/>
  <c r="R198" i="2"/>
  <c r="R196" i="2"/>
  <c r="R195" i="2"/>
  <c r="R194" i="2"/>
  <c r="R193" i="2"/>
  <c r="R192" i="2"/>
  <c r="R189" i="2"/>
  <c r="R187" i="2"/>
  <c r="R186" i="2"/>
  <c r="R183" i="2"/>
  <c r="R182" i="2"/>
  <c r="R179" i="2"/>
  <c r="R178" i="2"/>
  <c r="R176" i="2"/>
  <c r="R175" i="2"/>
  <c r="R174" i="2"/>
  <c r="R173" i="2"/>
  <c r="R171" i="2"/>
  <c r="R170" i="2"/>
  <c r="R167" i="2"/>
  <c r="R166" i="2"/>
  <c r="R164" i="2"/>
  <c r="R163" i="2"/>
  <c r="R162" i="2"/>
  <c r="R159" i="2"/>
  <c r="R158" i="2"/>
  <c r="R156" i="2"/>
  <c r="R155" i="2"/>
  <c r="R153" i="2"/>
  <c r="R152" i="2"/>
  <c r="R147" i="2"/>
  <c r="R145" i="2"/>
  <c r="R144" i="2"/>
  <c r="R141" i="2"/>
  <c r="R140" i="2"/>
  <c r="R137" i="2"/>
  <c r="R136" i="2"/>
  <c r="R135" i="2"/>
  <c r="R133" i="2"/>
  <c r="R132" i="2"/>
  <c r="R131" i="2"/>
  <c r="Q130" i="2"/>
  <c r="R130" i="2" s="1"/>
  <c r="R124" i="2"/>
  <c r="R122" i="2"/>
  <c r="R118" i="2"/>
  <c r="R116" i="2"/>
  <c r="R114" i="2"/>
  <c r="R110" i="2"/>
  <c r="R108" i="2"/>
  <c r="R104" i="2"/>
  <c r="R100" i="2"/>
  <c r="R98" i="2"/>
  <c r="R94" i="2"/>
  <c r="R88" i="2"/>
  <c r="R86" i="2"/>
  <c r="R82" i="2"/>
  <c r="Q81" i="2"/>
  <c r="R81" i="2" s="1"/>
  <c r="Q80" i="2"/>
  <c r="R80" i="2"/>
  <c r="Q79" i="2"/>
  <c r="R79" i="2"/>
  <c r="Q78" i="2"/>
  <c r="R78" i="2" s="1"/>
  <c r="Q77" i="2"/>
  <c r="R77" i="2" s="1"/>
  <c r="Q76" i="2"/>
  <c r="R76" i="2"/>
  <c r="Q75" i="2"/>
  <c r="R75" i="2"/>
  <c r="Q74" i="2"/>
  <c r="R74" i="2" s="1"/>
  <c r="Q73" i="2"/>
  <c r="R73" i="2" s="1"/>
  <c r="Q72" i="2"/>
  <c r="R72" i="2"/>
  <c r="Q71" i="2"/>
  <c r="R71" i="2"/>
  <c r="Q70" i="2"/>
  <c r="R70" i="2" s="1"/>
  <c r="Q69" i="2"/>
  <c r="R69" i="2" s="1"/>
  <c r="Q68" i="2"/>
  <c r="R68" i="2"/>
  <c r="Q67" i="2"/>
  <c r="R67" i="2"/>
  <c r="Q66" i="2"/>
  <c r="R66" i="2" s="1"/>
  <c r="Q65" i="2"/>
  <c r="R65" i="2" s="1"/>
  <c r="Q64" i="2"/>
  <c r="R64" i="2"/>
  <c r="Q63" i="2"/>
  <c r="R63" i="2"/>
  <c r="Q62" i="2"/>
  <c r="R62" i="2" s="1"/>
  <c r="Q61" i="2"/>
  <c r="R61" i="2" s="1"/>
  <c r="Q60" i="2"/>
  <c r="R60" i="2"/>
  <c r="Q59" i="2"/>
  <c r="R59" i="2"/>
  <c r="Q58" i="2"/>
  <c r="R58" i="2" s="1"/>
  <c r="Q57" i="2"/>
  <c r="R57" i="2" s="1"/>
  <c r="Q56" i="2"/>
  <c r="R56" i="2"/>
  <c r="Q55" i="2"/>
  <c r="R55" i="2"/>
  <c r="Q54" i="2"/>
  <c r="R54" i="2" s="1"/>
  <c r="Q53" i="2"/>
  <c r="R53" i="2" s="1"/>
  <c r="Q52" i="2"/>
  <c r="R52" i="2"/>
  <c r="Q51" i="2"/>
  <c r="R51" i="2"/>
  <c r="Q50" i="2"/>
  <c r="R50" i="2" s="1"/>
  <c r="Q49" i="2"/>
  <c r="R49" i="2" s="1"/>
  <c r="Q48" i="2"/>
  <c r="R48" i="2"/>
  <c r="Q47" i="2"/>
  <c r="R47" i="2"/>
  <c r="Q46" i="2"/>
  <c r="R46" i="2" s="1"/>
  <c r="Q45" i="2"/>
  <c r="R45" i="2" s="1"/>
  <c r="Q44" i="2"/>
  <c r="R44" i="2"/>
  <c r="Q43" i="2"/>
  <c r="R43" i="2"/>
  <c r="Q42" i="2"/>
  <c r="R42" i="2" s="1"/>
  <c r="Q41" i="2"/>
  <c r="R41" i="2" s="1"/>
  <c r="Q40" i="2"/>
  <c r="R40" i="2"/>
  <c r="Q39" i="2"/>
  <c r="R39" i="2"/>
  <c r="Q38" i="2"/>
  <c r="R38" i="2" s="1"/>
  <c r="Q37" i="2"/>
  <c r="R37" i="2" s="1"/>
  <c r="Q36" i="2"/>
  <c r="R36" i="2"/>
  <c r="Q35" i="2"/>
  <c r="R35" i="2"/>
  <c r="Q34" i="2"/>
  <c r="R34" i="2" s="1"/>
  <c r="M188" i="1"/>
  <c r="M187" i="1"/>
  <c r="M184" i="1"/>
  <c r="M181" i="1"/>
  <c r="M180" i="1"/>
  <c r="M179" i="1"/>
  <c r="M178" i="1"/>
  <c r="M176" i="1"/>
  <c r="M175" i="1"/>
  <c r="M174" i="1"/>
  <c r="M173" i="1"/>
  <c r="M168" i="1"/>
  <c r="M169" i="1"/>
  <c r="M166" i="1"/>
  <c r="M160" i="1"/>
  <c r="M165" i="1"/>
  <c r="M163" i="1"/>
  <c r="M167" i="1"/>
  <c r="M162" i="1"/>
  <c r="M161" i="1"/>
  <c r="M156" i="1"/>
  <c r="M154" i="1"/>
  <c r="M153" i="1"/>
  <c r="M148" i="1"/>
  <c r="M147" i="1"/>
  <c r="M149" i="1"/>
  <c r="M150" i="1"/>
  <c r="M144" i="1"/>
  <c r="M137" i="1"/>
  <c r="M140" i="1"/>
  <c r="M138" i="1"/>
  <c r="M136" i="1"/>
  <c r="M135" i="1"/>
  <c r="M134" i="1"/>
  <c r="M129" i="1"/>
  <c r="M127" i="1"/>
  <c r="M128" i="1"/>
  <c r="M130" i="1"/>
  <c r="M124" i="1"/>
  <c r="M122" i="1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M115" i="1"/>
  <c r="M113" i="1"/>
  <c r="M117" i="1"/>
  <c r="M114" i="1"/>
  <c r="M107" i="1"/>
  <c r="M110" i="1"/>
  <c r="U43" i="2"/>
  <c r="U23" i="2"/>
  <c r="D15" i="9"/>
  <c r="C18" i="9"/>
  <c r="C19" i="9" s="1"/>
  <c r="B18" i="9"/>
  <c r="B19" i="9" s="1"/>
  <c r="U33" i="2"/>
  <c r="W14" i="9" s="1"/>
  <c r="V15" i="9"/>
  <c r="V14" i="9"/>
  <c r="U32" i="2"/>
  <c r="U14" i="9" s="1"/>
  <c r="U31" i="2"/>
  <c r="T14" i="9"/>
  <c r="S15" i="9"/>
  <c r="U30" i="2"/>
  <c r="V30" i="2" s="1"/>
  <c r="S14" i="9"/>
  <c r="U29" i="2"/>
  <c r="V29" i="2" s="1"/>
  <c r="Q15" i="9"/>
  <c r="U21" i="2"/>
  <c r="V21" i="2" s="1"/>
  <c r="Q14" i="9"/>
  <c r="N15" i="9"/>
  <c r="U22" i="2"/>
  <c r="V22" i="2" s="1"/>
  <c r="N14" i="9"/>
  <c r="M15" i="9"/>
  <c r="U25" i="2"/>
  <c r="M14" i="9" s="1"/>
  <c r="U19" i="2"/>
  <c r="L14" i="9"/>
  <c r="K15" i="9"/>
  <c r="U28" i="2"/>
  <c r="K14" i="9" s="1"/>
  <c r="J15" i="9"/>
  <c r="J14" i="9"/>
  <c r="I15" i="9"/>
  <c r="U20" i="2"/>
  <c r="I14" i="9" s="1"/>
  <c r="U26" i="2"/>
  <c r="H14" i="9"/>
  <c r="U24" i="2"/>
  <c r="F14" i="9" s="1"/>
  <c r="F18" i="9" s="1"/>
  <c r="A6" i="9"/>
  <c r="A7" i="9" s="1"/>
  <c r="A22" i="9"/>
  <c r="U22" i="9" s="1"/>
  <c r="Y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I12" i="7" s="1"/>
  <c r="H11" i="7"/>
  <c r="I11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H2" i="7"/>
  <c r="I2" i="7" s="1"/>
  <c r="H10" i="7"/>
  <c r="I10" i="7" s="1"/>
  <c r="Q287" i="1"/>
  <c r="Q279" i="1"/>
  <c r="Q273" i="1"/>
  <c r="Q267" i="1"/>
  <c r="Q241" i="1"/>
  <c r="Q233" i="1"/>
  <c r="Q217" i="1"/>
  <c r="Q207" i="1"/>
  <c r="Q205" i="1"/>
  <c r="Q201" i="1"/>
  <c r="Q167" i="1"/>
  <c r="M302" i="1"/>
  <c r="M301" i="1"/>
  <c r="M300" i="1"/>
  <c r="M299" i="1"/>
  <c r="M298" i="1"/>
  <c r="M297" i="1"/>
  <c r="M294" i="1"/>
  <c r="M293" i="1"/>
  <c r="M292" i="1"/>
  <c r="M290" i="1"/>
  <c r="M287" i="1"/>
  <c r="M286" i="1"/>
  <c r="M285" i="1"/>
  <c r="M284" i="1"/>
  <c r="M282" i="1"/>
  <c r="M280" i="1"/>
  <c r="M279" i="1"/>
  <c r="M278" i="1"/>
  <c r="M277" i="1"/>
  <c r="M276" i="1"/>
  <c r="M274" i="1"/>
  <c r="M273" i="1"/>
  <c r="M272" i="1"/>
  <c r="M271" i="1"/>
  <c r="M270" i="1"/>
  <c r="M269" i="1"/>
  <c r="M268" i="1"/>
  <c r="M267" i="1"/>
  <c r="M266" i="1"/>
  <c r="M265" i="1"/>
  <c r="M264" i="1"/>
  <c r="M262" i="1"/>
  <c r="M261" i="1"/>
  <c r="M260" i="1"/>
  <c r="M259" i="1"/>
  <c r="M258" i="1"/>
  <c r="M257" i="1"/>
  <c r="M256" i="1"/>
  <c r="M254" i="1"/>
  <c r="M253" i="1"/>
  <c r="M252" i="1"/>
  <c r="M250" i="1"/>
  <c r="M249" i="1"/>
  <c r="M248" i="1"/>
  <c r="M247" i="1"/>
  <c r="M246" i="1"/>
  <c r="M245" i="1"/>
  <c r="M241" i="1"/>
  <c r="M240" i="1"/>
  <c r="M238" i="1"/>
  <c r="M237" i="1"/>
  <c r="M235" i="1"/>
  <c r="M234" i="1"/>
  <c r="M233" i="1"/>
  <c r="M232" i="1"/>
  <c r="M231" i="1"/>
  <c r="M230" i="1"/>
  <c r="M229" i="1"/>
  <c r="M228" i="1"/>
  <c r="M225" i="1"/>
  <c r="M222" i="1"/>
  <c r="M221" i="1"/>
  <c r="M220" i="1"/>
  <c r="M219" i="1"/>
  <c r="M218" i="1"/>
  <c r="M217" i="1"/>
  <c r="M214" i="1"/>
  <c r="M213" i="1"/>
  <c r="M212" i="1"/>
  <c r="M211" i="1"/>
  <c r="M210" i="1"/>
  <c r="M207" i="1"/>
  <c r="M205" i="1"/>
  <c r="M204" i="1"/>
  <c r="M202" i="1"/>
  <c r="M201" i="1"/>
  <c r="M200" i="1"/>
  <c r="M199" i="1"/>
  <c r="M198" i="1"/>
  <c r="M196" i="1"/>
  <c r="M194" i="1"/>
  <c r="M193" i="1"/>
  <c r="M121" i="1"/>
  <c r="M120" i="1"/>
  <c r="M119" i="1"/>
  <c r="M118" i="1"/>
  <c r="M111" i="1"/>
  <c r="M116" i="1"/>
  <c r="Q153" i="1"/>
  <c r="Q135" i="1"/>
  <c r="M105" i="1"/>
  <c r="M103" i="1"/>
  <c r="M104" i="1"/>
  <c r="M102" i="1"/>
  <c r="M98" i="1"/>
  <c r="M97" i="1"/>
  <c r="M86" i="1"/>
  <c r="M96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19" i="2"/>
  <c r="V31" i="2"/>
  <c r="V26" i="2"/>
  <c r="M74" i="1"/>
  <c r="M77" i="1"/>
  <c r="M78" i="1"/>
  <c r="M73" i="1"/>
  <c r="M71" i="1"/>
  <c r="M69" i="1"/>
  <c r="M72" i="1"/>
  <c r="M67" i="1"/>
  <c r="M68" i="1"/>
  <c r="M66" i="1"/>
  <c r="U18" i="2"/>
  <c r="V18" i="2"/>
  <c r="U17" i="2"/>
  <c r="V17" i="2" s="1"/>
  <c r="U16" i="2"/>
  <c r="V16" i="2" s="1"/>
  <c r="U14" i="2"/>
  <c r="V14" i="2" s="1"/>
  <c r="U13" i="2"/>
  <c r="V13" i="2"/>
  <c r="U12" i="2"/>
  <c r="V12" i="2" s="1"/>
  <c r="U11" i="2"/>
  <c r="V11" i="2" s="1"/>
  <c r="V10" i="2"/>
  <c r="V9" i="2"/>
  <c r="U8" i="2"/>
  <c r="V8" i="2" s="1"/>
  <c r="V7" i="2"/>
  <c r="V6" i="2"/>
  <c r="U5" i="2"/>
  <c r="V5" i="2" s="1"/>
  <c r="V4" i="2"/>
  <c r="V3" i="2"/>
  <c r="U2" i="2"/>
  <c r="V2" i="2" s="1"/>
  <c r="M36" i="1"/>
  <c r="AJ3" i="5" l="1"/>
  <c r="H111" i="4"/>
  <c r="C102" i="4"/>
  <c r="H112" i="4"/>
  <c r="BD4" i="5"/>
  <c r="BE4" i="5" s="1"/>
  <c r="E112" i="4"/>
  <c r="AC4" i="5"/>
  <c r="AG4" i="5"/>
  <c r="AD4" i="5"/>
  <c r="BN4" i="5"/>
  <c r="BO4" i="5" s="1"/>
  <c r="H117" i="4"/>
  <c r="J34" i="10"/>
  <c r="K34" i="10"/>
  <c r="Q247" i="1"/>
  <c r="F83" i="4"/>
  <c r="F78" i="4"/>
  <c r="O282" i="1"/>
  <c r="J282" i="1"/>
  <c r="AA905" i="2"/>
  <c r="S306" i="2"/>
  <c r="R305" i="2"/>
  <c r="AA289" i="2"/>
  <c r="S290" i="2"/>
  <c r="R289" i="2"/>
  <c r="S274" i="2"/>
  <c r="R273" i="2"/>
  <c r="S826" i="2"/>
  <c r="AA825" i="2"/>
  <c r="BG12" i="15"/>
  <c r="G44" i="4"/>
  <c r="G100" i="4" s="1"/>
  <c r="D44" i="4"/>
  <c r="S466" i="2"/>
  <c r="AA449" i="2"/>
  <c r="M295" i="1"/>
  <c r="C6" i="9"/>
  <c r="M151" i="1"/>
  <c r="R247" i="2"/>
  <c r="R299" i="2"/>
  <c r="AA913" i="2"/>
  <c r="AA557" i="2"/>
  <c r="AC557" i="2" s="1"/>
  <c r="R560" i="2"/>
  <c r="AA505" i="2"/>
  <c r="R702" i="2"/>
  <c r="AA701" i="2"/>
  <c r="R12" i="4"/>
  <c r="W12" i="4" s="1"/>
  <c r="V33" i="2"/>
  <c r="S158" i="2"/>
  <c r="J191" i="1"/>
  <c r="C20" i="4" s="1"/>
  <c r="O191" i="1"/>
  <c r="AB753" i="2" s="1"/>
  <c r="C95" i="4"/>
  <c r="F73" i="4"/>
  <c r="J289" i="1"/>
  <c r="Q289" i="1" s="1"/>
  <c r="Q229" i="1"/>
  <c r="J208" i="1"/>
  <c r="Q208" i="1" s="1"/>
  <c r="O157" i="1"/>
  <c r="M157" i="1"/>
  <c r="C44" i="4"/>
  <c r="J288" i="1"/>
  <c r="J265" i="1"/>
  <c r="Q265" i="1" s="1"/>
  <c r="J195" i="1"/>
  <c r="Q195" i="1" s="1"/>
  <c r="J171" i="1"/>
  <c r="Q171" i="1" s="1"/>
  <c r="D122" i="4" s="1"/>
  <c r="J138" i="1"/>
  <c r="Q138" i="1" s="1"/>
  <c r="S450" i="2"/>
  <c r="S506" i="2"/>
  <c r="S514" i="2"/>
  <c r="O170" i="1"/>
  <c r="M170" i="1"/>
  <c r="O166" i="1"/>
  <c r="J166" i="1"/>
  <c r="L74" i="4"/>
  <c r="BG4" i="5"/>
  <c r="R777" i="2"/>
  <c r="AA777" i="2"/>
  <c r="AB533" i="2"/>
  <c r="S478" i="2"/>
  <c r="AA681" i="2"/>
  <c r="S682" i="2"/>
  <c r="R815" i="2"/>
  <c r="AA813" i="2"/>
  <c r="S814" i="2"/>
  <c r="M195" i="1"/>
  <c r="R157" i="2"/>
  <c r="J230" i="1"/>
  <c r="J145" i="1"/>
  <c r="Q145" i="1" s="1"/>
  <c r="J59" i="1"/>
  <c r="Q59" i="1" s="1"/>
  <c r="O293" i="1"/>
  <c r="J293" i="1"/>
  <c r="O262" i="1"/>
  <c r="Q262" i="1" s="1"/>
  <c r="J262" i="1"/>
  <c r="Q213" i="1"/>
  <c r="AH4" i="5"/>
  <c r="M197" i="1"/>
  <c r="M206" i="1"/>
  <c r="M223" i="1"/>
  <c r="M242" i="1"/>
  <c r="H6" i="9"/>
  <c r="M125" i="1"/>
  <c r="M132" i="1"/>
  <c r="M142" i="1"/>
  <c r="M152" i="1"/>
  <c r="M171" i="1"/>
  <c r="R190" i="2"/>
  <c r="S182" i="2"/>
  <c r="F84" i="4"/>
  <c r="J32" i="10"/>
  <c r="V24" i="2"/>
  <c r="M216" i="1"/>
  <c r="M224" i="1"/>
  <c r="M288" i="1"/>
  <c r="O6" i="9"/>
  <c r="M123" i="1"/>
  <c r="R151" i="2"/>
  <c r="R207" i="2"/>
  <c r="S119" i="2"/>
  <c r="C76" i="4"/>
  <c r="C80" i="4"/>
  <c r="E44" i="4"/>
  <c r="F74" i="4"/>
  <c r="F44" i="4"/>
  <c r="J277" i="1"/>
  <c r="Q277" i="1" s="1"/>
  <c r="J253" i="1"/>
  <c r="Q253" i="1" s="1"/>
  <c r="J237" i="1"/>
  <c r="Q237" i="1" s="1"/>
  <c r="J216" i="1"/>
  <c r="J206" i="1"/>
  <c r="Q170" i="1"/>
  <c r="J155" i="1"/>
  <c r="Q155" i="1" s="1"/>
  <c r="S390" i="2"/>
  <c r="R468" i="2"/>
  <c r="S494" i="2"/>
  <c r="H44" i="4"/>
  <c r="J85" i="4"/>
  <c r="O240" i="1"/>
  <c r="J240" i="1"/>
  <c r="AC453" i="2"/>
  <c r="O161" i="1"/>
  <c r="Q161" i="1" s="1"/>
  <c r="Q150" i="1"/>
  <c r="S686" i="2"/>
  <c r="L54" i="10"/>
  <c r="S702" i="2"/>
  <c r="R853" i="2"/>
  <c r="AA853" i="2"/>
  <c r="AB525" i="2"/>
  <c r="Z525" i="2"/>
  <c r="M208" i="1"/>
  <c r="M289" i="1"/>
  <c r="P6" i="9"/>
  <c r="R14" i="9"/>
  <c r="M192" i="1"/>
  <c r="R259" i="2"/>
  <c r="S166" i="2"/>
  <c r="J286" i="1"/>
  <c r="J193" i="1"/>
  <c r="J157" i="1"/>
  <c r="J52" i="1"/>
  <c r="Q52" i="1" s="1"/>
  <c r="C87" i="4"/>
  <c r="C85" i="4"/>
  <c r="C81" i="4"/>
  <c r="C101" i="4" s="1"/>
  <c r="C73" i="4"/>
  <c r="S434" i="2"/>
  <c r="R551" i="2"/>
  <c r="J79" i="4"/>
  <c r="K73" i="4"/>
  <c r="K80" i="4"/>
  <c r="K85" i="4"/>
  <c r="O271" i="1"/>
  <c r="Q271" i="1" s="1"/>
  <c r="O218" i="1"/>
  <c r="J218" i="1"/>
  <c r="Q218" i="1" s="1"/>
  <c r="O197" i="1"/>
  <c r="O111" i="1"/>
  <c r="CI20" i="15" s="1"/>
  <c r="O54" i="1"/>
  <c r="J54" i="1"/>
  <c r="G73" i="4"/>
  <c r="G77" i="4"/>
  <c r="G85" i="4"/>
  <c r="G76" i="4"/>
  <c r="S694" i="2"/>
  <c r="L87" i="4"/>
  <c r="AE4" i="5"/>
  <c r="S486" i="2"/>
  <c r="O251" i="1"/>
  <c r="J251" i="1"/>
  <c r="O185" i="1"/>
  <c r="AB489" i="2" s="1"/>
  <c r="J185" i="1"/>
  <c r="M185" i="1"/>
  <c r="M99" i="1"/>
  <c r="M209" i="1"/>
  <c r="M281" i="1"/>
  <c r="U6" i="9"/>
  <c r="F75" i="4"/>
  <c r="F80" i="4"/>
  <c r="J224" i="1"/>
  <c r="Q224" i="1" s="1"/>
  <c r="J202" i="1"/>
  <c r="Q202" i="1" s="1"/>
  <c r="J192" i="1"/>
  <c r="J51" i="1"/>
  <c r="Q51" i="1" s="1"/>
  <c r="R392" i="2"/>
  <c r="J38" i="10"/>
  <c r="M38" i="10"/>
  <c r="J73" i="4"/>
  <c r="O209" i="1"/>
  <c r="Q209" i="1" s="1"/>
  <c r="O133" i="1"/>
  <c r="J133" i="1"/>
  <c r="O43" i="1"/>
  <c r="CI7" i="15" s="1"/>
  <c r="J43" i="1"/>
  <c r="Q43" i="1" s="1"/>
  <c r="J41" i="10"/>
  <c r="S666" i="2"/>
  <c r="S882" i="2"/>
  <c r="AA881" i="2"/>
  <c r="R881" i="2"/>
  <c r="S714" i="2"/>
  <c r="R716" i="2"/>
  <c r="AA205" i="2"/>
  <c r="AA277" i="2"/>
  <c r="AA265" i="2"/>
  <c r="R265" i="2"/>
  <c r="S422" i="2"/>
  <c r="R424" i="2"/>
  <c r="AA585" i="2"/>
  <c r="AC585" i="2" s="1"/>
  <c r="S586" i="2"/>
  <c r="Z517" i="2"/>
  <c r="AB517" i="2"/>
  <c r="S894" i="2"/>
  <c r="AA805" i="2"/>
  <c r="S766" i="2"/>
  <c r="S542" i="2"/>
  <c r="Z313" i="2"/>
  <c r="Z345" i="2"/>
  <c r="Z453" i="2"/>
  <c r="AA405" i="2"/>
  <c r="S770" i="2"/>
  <c r="Z917" i="2"/>
  <c r="R14" i="4"/>
  <c r="W14" i="4" s="1"/>
  <c r="S554" i="2"/>
  <c r="AA485" i="2"/>
  <c r="AA473" i="2"/>
  <c r="R473" i="2"/>
  <c r="Z521" i="2"/>
  <c r="R490" i="2"/>
  <c r="S566" i="2"/>
  <c r="R566" i="2"/>
  <c r="Z729" i="2"/>
  <c r="R671" i="2"/>
  <c r="S690" i="2"/>
  <c r="S746" i="2"/>
  <c r="S136" i="2"/>
  <c r="E102" i="4"/>
  <c r="Q199" i="1"/>
  <c r="J121" i="1"/>
  <c r="Q121" i="1" s="1"/>
  <c r="O121" i="1"/>
  <c r="AA841" i="2"/>
  <c r="S658" i="2"/>
  <c r="AA497" i="2"/>
  <c r="Z549" i="2"/>
  <c r="Z597" i="2"/>
  <c r="Z773" i="2"/>
  <c r="AB773" i="2"/>
  <c r="S550" i="2"/>
  <c r="R549" i="2"/>
  <c r="AA241" i="2"/>
  <c r="AA225" i="2"/>
  <c r="AA281" i="2"/>
  <c r="AA413" i="2"/>
  <c r="AA589" i="2"/>
  <c r="AC589" i="2" s="1"/>
  <c r="S590" i="2"/>
  <c r="AA261" i="2"/>
  <c r="Z269" i="2"/>
  <c r="AA217" i="2"/>
  <c r="Z513" i="2"/>
  <c r="Q80" i="1"/>
  <c r="Q68" i="1"/>
  <c r="Z201" i="2"/>
  <c r="Q301" i="1"/>
  <c r="AA453" i="2"/>
  <c r="S594" i="2"/>
  <c r="Z197" i="2"/>
  <c r="Z449" i="2"/>
  <c r="Z481" i="2"/>
  <c r="Z493" i="2"/>
  <c r="AC493" i="2" s="1"/>
  <c r="AA457" i="2"/>
  <c r="Z561" i="2"/>
  <c r="AA821" i="2"/>
  <c r="R7" i="4"/>
  <c r="W7" i="4" s="1"/>
  <c r="Q84" i="1"/>
  <c r="R22" i="15"/>
  <c r="CS22" i="15"/>
  <c r="J13" i="15"/>
  <c r="P15" i="15" s="1"/>
  <c r="N16" i="15" s="1"/>
  <c r="AT22" i="15"/>
  <c r="AY23" i="15" s="1"/>
  <c r="K22" i="15"/>
  <c r="P23" i="15" s="1"/>
  <c r="Q13" i="15"/>
  <c r="A24" i="15"/>
  <c r="I8" i="15"/>
  <c r="G9" i="15" s="1"/>
  <c r="J5" i="5"/>
  <c r="AA889" i="2"/>
  <c r="AA529" i="2"/>
  <c r="S490" i="2"/>
  <c r="S462" i="2"/>
  <c r="S706" i="2"/>
  <c r="AA233" i="2"/>
  <c r="Q85" i="1"/>
  <c r="Y17" i="15"/>
  <c r="V7" i="9"/>
  <c r="L7" i="9"/>
  <c r="T7" i="9"/>
  <c r="D7" i="9"/>
  <c r="S7" i="9"/>
  <c r="O7" i="9"/>
  <c r="K7" i="9"/>
  <c r="H7" i="9"/>
  <c r="G7" i="9"/>
  <c r="A8" i="9"/>
  <c r="M8" i="9" s="1"/>
  <c r="X7" i="9"/>
  <c r="C7" i="9"/>
  <c r="W7" i="9"/>
  <c r="P7" i="9"/>
  <c r="D87" i="4"/>
  <c r="D74" i="4"/>
  <c r="D84" i="4"/>
  <c r="D81" i="4"/>
  <c r="D101" i="4" s="1"/>
  <c r="D75" i="4"/>
  <c r="I22" i="9"/>
  <c r="S107" i="2"/>
  <c r="Q221" i="1"/>
  <c r="H87" i="4"/>
  <c r="H75" i="4"/>
  <c r="H83" i="4"/>
  <c r="H76" i="4"/>
  <c r="H80" i="4"/>
  <c r="H100" i="4" s="1"/>
  <c r="H77" i="4"/>
  <c r="H86" i="4"/>
  <c r="H72" i="4"/>
  <c r="H82" i="4"/>
  <c r="H73" i="4"/>
  <c r="H81" i="4"/>
  <c r="J303" i="1"/>
  <c r="M303" i="1"/>
  <c r="O296" i="1"/>
  <c r="J296" i="1"/>
  <c r="O255" i="1"/>
  <c r="M255" i="1"/>
  <c r="J215" i="1"/>
  <c r="Q215" i="1" s="1"/>
  <c r="O215" i="1"/>
  <c r="M215" i="1"/>
  <c r="O203" i="1"/>
  <c r="M203" i="1"/>
  <c r="O159" i="1"/>
  <c r="J159" i="1"/>
  <c r="M159" i="1"/>
  <c r="O158" i="1"/>
  <c r="J158" i="1"/>
  <c r="M158" i="1"/>
  <c r="J141" i="1"/>
  <c r="M141" i="1"/>
  <c r="S410" i="2"/>
  <c r="AA409" i="2"/>
  <c r="R412" i="2"/>
  <c r="K6" i="9"/>
  <c r="Y6" i="9"/>
  <c r="M22" i="9"/>
  <c r="M190" i="1"/>
  <c r="C103" i="4"/>
  <c r="D79" i="4"/>
  <c r="D82" i="4"/>
  <c r="D102" i="4" s="1"/>
  <c r="V28" i="2"/>
  <c r="M6" i="9"/>
  <c r="V23" i="2"/>
  <c r="D14" i="9"/>
  <c r="M131" i="1"/>
  <c r="M191" i="1"/>
  <c r="S101" i="2"/>
  <c r="D89" i="4"/>
  <c r="J238" i="1"/>
  <c r="I73" i="4"/>
  <c r="I77" i="4"/>
  <c r="I72" i="4"/>
  <c r="I82" i="4"/>
  <c r="I86" i="4"/>
  <c r="I74" i="4"/>
  <c r="I79" i="4"/>
  <c r="I76" i="4"/>
  <c r="I81" i="4"/>
  <c r="O283" i="1"/>
  <c r="M283" i="1"/>
  <c r="J283" i="1"/>
  <c r="O232" i="1"/>
  <c r="Q232" i="1" s="1"/>
  <c r="J232" i="1"/>
  <c r="O196" i="1"/>
  <c r="Q196" i="1" s="1"/>
  <c r="J196" i="1"/>
  <c r="O137" i="1"/>
  <c r="J137" i="1"/>
  <c r="AK3" i="5"/>
  <c r="O239" i="1"/>
  <c r="J239" i="1"/>
  <c r="M239" i="1"/>
  <c r="O226" i="1"/>
  <c r="Q226" i="1" s="1"/>
  <c r="J226" i="1"/>
  <c r="O220" i="1"/>
  <c r="J220" i="1"/>
  <c r="O172" i="1"/>
  <c r="M172" i="1"/>
  <c r="O146" i="1"/>
  <c r="AB253" i="2" s="1"/>
  <c r="M146" i="1"/>
  <c r="J101" i="1"/>
  <c r="C17" i="4" s="1"/>
  <c r="H17" i="4" s="1"/>
  <c r="O101" i="1"/>
  <c r="AZ8" i="15"/>
  <c r="O45" i="1"/>
  <c r="J45" i="1"/>
  <c r="Q45" i="1" s="1"/>
  <c r="O42" i="1"/>
  <c r="J42" i="1"/>
  <c r="O62" i="1"/>
  <c r="DD9" i="15" s="1"/>
  <c r="J62" i="1"/>
  <c r="Q62" i="1" s="1"/>
  <c r="I22" i="7"/>
  <c r="I32" i="7"/>
  <c r="I33" i="7"/>
  <c r="E100" i="4"/>
  <c r="O57" i="1"/>
  <c r="AS8" i="15" s="1"/>
  <c r="J57" i="1"/>
  <c r="O41" i="1"/>
  <c r="J41" i="1"/>
  <c r="S144" i="2"/>
  <c r="S162" i="2"/>
  <c r="S170" i="2"/>
  <c r="S178" i="2"/>
  <c r="S186" i="2"/>
  <c r="D72" i="4"/>
  <c r="J297" i="1"/>
  <c r="Q297" i="1" s="1"/>
  <c r="J58" i="1"/>
  <c r="Q58" i="1" s="1"/>
  <c r="J49" i="1"/>
  <c r="Q49" i="1" s="1"/>
  <c r="J275" i="1"/>
  <c r="M275" i="1"/>
  <c r="O275" i="1"/>
  <c r="O244" i="1"/>
  <c r="Q244" i="1" s="1"/>
  <c r="J244" i="1"/>
  <c r="J119" i="1"/>
  <c r="O119" i="1"/>
  <c r="J21" i="15" s="1"/>
  <c r="D80" i="4"/>
  <c r="O252" i="1"/>
  <c r="J252" i="1"/>
  <c r="Q238" i="1"/>
  <c r="O182" i="1"/>
  <c r="AB473" i="2" s="1"/>
  <c r="M182" i="1"/>
  <c r="J113" i="1"/>
  <c r="C2" i="4" s="1"/>
  <c r="H2" i="4" s="1"/>
  <c r="O113" i="1"/>
  <c r="R648" i="2"/>
  <c r="S646" i="2"/>
  <c r="D6" i="9"/>
  <c r="S6" i="9"/>
  <c r="E6" i="9"/>
  <c r="T6" i="9"/>
  <c r="S83" i="2"/>
  <c r="D85" i="4"/>
  <c r="Q285" i="1"/>
  <c r="J255" i="1"/>
  <c r="Q255" i="1" s="1"/>
  <c r="Q245" i="1"/>
  <c r="J179" i="1"/>
  <c r="Q179" i="1" s="1"/>
  <c r="Q166" i="1"/>
  <c r="J84" i="4"/>
  <c r="J80" i="4"/>
  <c r="J82" i="4"/>
  <c r="J78" i="4"/>
  <c r="J74" i="4"/>
  <c r="J86" i="4"/>
  <c r="J81" i="4"/>
  <c r="J72" i="4"/>
  <c r="J76" i="4"/>
  <c r="J75" i="4"/>
  <c r="J87" i="4"/>
  <c r="J77" i="4"/>
  <c r="F87" i="4"/>
  <c r="F85" i="4"/>
  <c r="F81" i="4"/>
  <c r="F89" i="4"/>
  <c r="F82" i="4"/>
  <c r="F86" i="4"/>
  <c r="F79" i="4"/>
  <c r="F76" i="4"/>
  <c r="Q286" i="1"/>
  <c r="Q280" i="1"/>
  <c r="O274" i="1"/>
  <c r="Q274" i="1" s="1"/>
  <c r="J274" i="1"/>
  <c r="O243" i="1"/>
  <c r="J243" i="1"/>
  <c r="M243" i="1"/>
  <c r="O139" i="1"/>
  <c r="J139" i="1"/>
  <c r="M139" i="1"/>
  <c r="K17" i="7"/>
  <c r="S113" i="2"/>
  <c r="R112" i="2"/>
  <c r="A23" i="9"/>
  <c r="Q22" i="9"/>
  <c r="D78" i="4"/>
  <c r="H89" i="4"/>
  <c r="J203" i="1"/>
  <c r="Q203" i="1" s="1"/>
  <c r="O303" i="1"/>
  <c r="M291" i="1"/>
  <c r="J291" i="1"/>
  <c r="Q291" i="1" s="1"/>
  <c r="J249" i="1"/>
  <c r="O249" i="1"/>
  <c r="O147" i="1"/>
  <c r="F29" i="4" s="1"/>
  <c r="J147" i="1"/>
  <c r="C3" i="4" s="1"/>
  <c r="O142" i="1"/>
  <c r="Q142" i="1" s="1"/>
  <c r="O141" i="1"/>
  <c r="AB193" i="2" s="1"/>
  <c r="O131" i="1"/>
  <c r="Q131" i="1" s="1"/>
  <c r="O123" i="1"/>
  <c r="N5" i="5"/>
  <c r="AR5" i="5" s="1"/>
  <c r="AS5" i="5" s="1"/>
  <c r="M5" i="5"/>
  <c r="L5" i="5"/>
  <c r="AN5" i="5" s="1"/>
  <c r="AO5" i="5" s="1"/>
  <c r="K5" i="5"/>
  <c r="V5" i="5"/>
  <c r="F5" i="5"/>
  <c r="C5" i="5"/>
  <c r="E5" i="5"/>
  <c r="S5" i="5"/>
  <c r="S910" i="2"/>
  <c r="R909" i="2"/>
  <c r="S858" i="2"/>
  <c r="R860" i="2"/>
  <c r="E22" i="9"/>
  <c r="V6" i="9"/>
  <c r="W6" i="9"/>
  <c r="L6" i="9"/>
  <c r="Q6" i="9"/>
  <c r="G6" i="9"/>
  <c r="I6" i="9"/>
  <c r="X6" i="9"/>
  <c r="D73" i="4"/>
  <c r="D86" i="4"/>
  <c r="J190" i="1"/>
  <c r="J146" i="1"/>
  <c r="J53" i="1"/>
  <c r="Q53" i="1" s="1"/>
  <c r="H85" i="4"/>
  <c r="Q272" i="1"/>
  <c r="O266" i="1"/>
  <c r="J266" i="1"/>
  <c r="O260" i="1"/>
  <c r="J260" i="1"/>
  <c r="O227" i="1"/>
  <c r="Q227" i="1" s="1"/>
  <c r="Q197" i="1"/>
  <c r="J186" i="1"/>
  <c r="Q186" i="1" s="1"/>
  <c r="D126" i="4" s="1"/>
  <c r="M186" i="1"/>
  <c r="O177" i="1"/>
  <c r="Q177" i="1" s="1"/>
  <c r="M177" i="1"/>
  <c r="O160" i="1"/>
  <c r="J160" i="1"/>
  <c r="Q160" i="1" s="1"/>
  <c r="O143" i="1"/>
  <c r="Q143" i="1" s="1"/>
  <c r="D128" i="4" s="1"/>
  <c r="M143" i="1"/>
  <c r="J112" i="1"/>
  <c r="M112" i="1"/>
  <c r="S125" i="2"/>
  <c r="S86" i="2"/>
  <c r="S92" i="2"/>
  <c r="E79" i="4"/>
  <c r="K86" i="4"/>
  <c r="Q298" i="1"/>
  <c r="O292" i="1"/>
  <c r="J292" i="1"/>
  <c r="Q270" i="1"/>
  <c r="Q264" i="1"/>
  <c r="Q258" i="1"/>
  <c r="Q222" i="1"/>
  <c r="O204" i="1"/>
  <c r="J204" i="1"/>
  <c r="O187" i="1"/>
  <c r="AB625" i="2" s="1"/>
  <c r="J187" i="1"/>
  <c r="J124" i="1"/>
  <c r="C23" i="4" s="1"/>
  <c r="O124" i="1"/>
  <c r="CP22" i="15" s="1"/>
  <c r="BH4" i="5"/>
  <c r="S750" i="2"/>
  <c r="S870" i="2"/>
  <c r="AA461" i="2"/>
  <c r="R464" i="2"/>
  <c r="AA609" i="2"/>
  <c r="AA597" i="2"/>
  <c r="R597" i="2"/>
  <c r="Z501" i="2"/>
  <c r="Z569" i="2"/>
  <c r="S606" i="2"/>
  <c r="R606" i="2"/>
  <c r="Z709" i="2"/>
  <c r="AC709" i="2" s="1"/>
  <c r="R643" i="2"/>
  <c r="AA641" i="2"/>
  <c r="R779" i="2"/>
  <c r="S778" i="2"/>
  <c r="Z841" i="2"/>
  <c r="AB841" i="2"/>
  <c r="Z853" i="2"/>
  <c r="AB853" i="2"/>
  <c r="AC853" i="2" s="1"/>
  <c r="AA577" i="2"/>
  <c r="AD577" i="2" s="1"/>
  <c r="O12" i="4" s="1"/>
  <c r="R578" i="2"/>
  <c r="R788" i="2"/>
  <c r="S786" i="2"/>
  <c r="S654" i="2"/>
  <c r="R656" i="2"/>
  <c r="AA517" i="2"/>
  <c r="S518" i="2"/>
  <c r="AA501" i="2"/>
  <c r="AC501" i="2" s="1"/>
  <c r="R501" i="2"/>
  <c r="AA401" i="2"/>
  <c r="AC401" i="2" s="1"/>
  <c r="AA625" i="2"/>
  <c r="R625" i="2"/>
  <c r="Z189" i="2"/>
  <c r="Z461" i="2"/>
  <c r="S438" i="2"/>
  <c r="S562" i="2"/>
  <c r="AA553" i="2"/>
  <c r="Z577" i="2"/>
  <c r="R822" i="2"/>
  <c r="AA537" i="2"/>
  <c r="AA381" i="2"/>
  <c r="Z545" i="2"/>
  <c r="R450" i="2"/>
  <c r="C51" i="4"/>
  <c r="C107" i="4" s="1"/>
  <c r="I30" i="7"/>
  <c r="K26" i="7" s="1"/>
  <c r="S89" i="2"/>
  <c r="E73" i="4"/>
  <c r="E78" i="4"/>
  <c r="C14" i="4"/>
  <c r="H14" i="4" s="1"/>
  <c r="K84" i="4"/>
  <c r="Q302" i="1"/>
  <c r="O109" i="1"/>
  <c r="AZ18" i="15" s="1"/>
  <c r="J109" i="1"/>
  <c r="M183" i="1"/>
  <c r="J183" i="1"/>
  <c r="O183" i="1"/>
  <c r="AB497" i="2" s="1"/>
  <c r="AC497" i="2" s="1"/>
  <c r="L53" i="10"/>
  <c r="AP5" i="5"/>
  <c r="AQ5" i="5" s="1"/>
  <c r="R746" i="2"/>
  <c r="R861" i="2"/>
  <c r="AA861" i="2"/>
  <c r="R649" i="2"/>
  <c r="AA649" i="2"/>
  <c r="R801" i="2"/>
  <c r="AA801" i="2"/>
  <c r="AA617" i="2"/>
  <c r="S618" i="2"/>
  <c r="K40" i="10"/>
  <c r="J40" i="10"/>
  <c r="O300" i="1"/>
  <c r="J300" i="1"/>
  <c r="Q288" i="1"/>
  <c r="Q282" i="1"/>
  <c r="Q254" i="1"/>
  <c r="Q248" i="1"/>
  <c r="Q242" i="1"/>
  <c r="O236" i="1"/>
  <c r="J236" i="1"/>
  <c r="AA857" i="2"/>
  <c r="AC477" i="2"/>
  <c r="AA441" i="2"/>
  <c r="S442" i="2"/>
  <c r="H110" i="4"/>
  <c r="K72" i="4"/>
  <c r="K75" i="4"/>
  <c r="K87" i="4"/>
  <c r="K79" i="4"/>
  <c r="K83" i="4"/>
  <c r="K74" i="4"/>
  <c r="O276" i="1"/>
  <c r="J276" i="1"/>
  <c r="Q216" i="1"/>
  <c r="Q210" i="1"/>
  <c r="J107" i="1"/>
  <c r="O107" i="1"/>
  <c r="D17" i="4"/>
  <c r="AB429" i="2"/>
  <c r="Z429" i="2"/>
  <c r="Z793" i="2"/>
  <c r="AB793" i="2"/>
  <c r="Z829" i="2"/>
  <c r="AB829" i="2"/>
  <c r="R782" i="2"/>
  <c r="S782" i="2"/>
  <c r="R855" i="2"/>
  <c r="S854" i="2"/>
  <c r="R875" i="2"/>
  <c r="S874" i="2"/>
  <c r="Z553" i="2"/>
  <c r="S458" i="2"/>
  <c r="AA593" i="2"/>
  <c r="R10" i="4"/>
  <c r="W10" i="4" s="1"/>
  <c r="AK4" i="5"/>
  <c r="AA421" i="2"/>
  <c r="AC421" i="2" s="1"/>
  <c r="AA397" i="2"/>
  <c r="AC397" i="2" s="1"/>
  <c r="AA377" i="2"/>
  <c r="Z221" i="2"/>
  <c r="Z537" i="2"/>
  <c r="Q290" i="1"/>
  <c r="Q268" i="1"/>
  <c r="Q240" i="1"/>
  <c r="Q234" i="1"/>
  <c r="Q212" i="1"/>
  <c r="Q184" i="1"/>
  <c r="D120" i="4" s="1"/>
  <c r="E120" i="4" s="1"/>
  <c r="J116" i="1"/>
  <c r="O116" i="1"/>
  <c r="Q116" i="1" s="1"/>
  <c r="G87" i="4"/>
  <c r="G79" i="4"/>
  <c r="G82" i="4"/>
  <c r="G86" i="4"/>
  <c r="S582" i="2"/>
  <c r="R722" i="2"/>
  <c r="S762" i="2"/>
  <c r="AA621" i="2"/>
  <c r="S622" i="2"/>
  <c r="AA545" i="2"/>
  <c r="AA237" i="2"/>
  <c r="AC237" i="2" s="1"/>
  <c r="AA209" i="2"/>
  <c r="AC209" i="2" s="1"/>
  <c r="AA189" i="2"/>
  <c r="AA297" i="2"/>
  <c r="AA305" i="2"/>
  <c r="Z261" i="2"/>
  <c r="Z309" i="2"/>
  <c r="Z529" i="2"/>
  <c r="AC529" i="2" s="1"/>
  <c r="Q284" i="1"/>
  <c r="Q256" i="1"/>
  <c r="Q250" i="1"/>
  <c r="Q228" i="1"/>
  <c r="Q206" i="1"/>
  <c r="Q200" i="1"/>
  <c r="R594" i="2"/>
  <c r="S662" i="2"/>
  <c r="BL4" i="5"/>
  <c r="BM4" i="5" s="1"/>
  <c r="S742" i="2"/>
  <c r="S790" i="2"/>
  <c r="AA221" i="2"/>
  <c r="AA309" i="2"/>
  <c r="AA269" i="2"/>
  <c r="H113" i="4"/>
  <c r="L52" i="10"/>
  <c r="S902" i="2"/>
  <c r="AA481" i="2"/>
  <c r="AC481" i="2" s="1"/>
  <c r="AA745" i="2"/>
  <c r="AA229" i="2"/>
  <c r="AC229" i="2" s="1"/>
  <c r="AA197" i="2"/>
  <c r="AC197" i="2" s="1"/>
  <c r="AA253" i="2"/>
  <c r="AA581" i="2"/>
  <c r="Z293" i="2"/>
  <c r="AB293" i="2"/>
  <c r="Z445" i="2"/>
  <c r="Z581" i="2"/>
  <c r="Z757" i="2"/>
  <c r="AC757" i="2" s="1"/>
  <c r="Z821" i="2"/>
  <c r="AB821" i="2"/>
  <c r="R4" i="4"/>
  <c r="W4" i="4" s="1"/>
  <c r="H116" i="4"/>
  <c r="Q294" i="1"/>
  <c r="Q278" i="1"/>
  <c r="Q246" i="1"/>
  <c r="Q230" i="1"/>
  <c r="Q214" i="1"/>
  <c r="Q198" i="1"/>
  <c r="AA901" i="2"/>
  <c r="AC901" i="2" s="1"/>
  <c r="R833" i="2"/>
  <c r="S834" i="2"/>
  <c r="S822" i="2"/>
  <c r="AA669" i="2"/>
  <c r="AA541" i="2"/>
  <c r="AC541" i="2" s="1"/>
  <c r="AA445" i="2"/>
  <c r="AC445" i="2" s="1"/>
  <c r="AA741" i="2"/>
  <c r="AA429" i="2"/>
  <c r="AA613" i="2"/>
  <c r="Z273" i="2"/>
  <c r="Z205" i="2"/>
  <c r="AC205" i="2" s="1"/>
  <c r="Z217" i="2"/>
  <c r="AC217" i="2" s="1"/>
  <c r="Z245" i="2"/>
  <c r="Z457" i="2"/>
  <c r="Z593" i="2"/>
  <c r="Z629" i="2"/>
  <c r="Z705" i="2"/>
  <c r="S734" i="2"/>
  <c r="R726" i="2"/>
  <c r="S726" i="2"/>
  <c r="AA921" i="2"/>
  <c r="AA909" i="2"/>
  <c r="AA685" i="2"/>
  <c r="AA565" i="2"/>
  <c r="AC565" i="2" s="1"/>
  <c r="AC521" i="2"/>
  <c r="AC505" i="2"/>
  <c r="S710" i="2"/>
  <c r="AA249" i="2"/>
  <c r="AA601" i="2"/>
  <c r="Z469" i="2"/>
  <c r="Z605" i="2"/>
  <c r="Z717" i="2"/>
  <c r="Z749" i="2"/>
  <c r="R691" i="2"/>
  <c r="AA769" i="2"/>
  <c r="H114" i="4"/>
  <c r="Q73" i="1"/>
  <c r="BA17" i="15"/>
  <c r="BE17" i="15" s="1"/>
  <c r="S810" i="2"/>
  <c r="S794" i="2"/>
  <c r="AA561" i="2"/>
  <c r="AA521" i="2"/>
  <c r="AA437" i="2"/>
  <c r="AA213" i="2"/>
  <c r="AA257" i="2"/>
  <c r="Z329" i="2"/>
  <c r="Z361" i="2"/>
  <c r="Z213" i="2"/>
  <c r="Z241" i="2"/>
  <c r="Z465" i="2"/>
  <c r="Z601" i="2"/>
  <c r="Z777" i="2"/>
  <c r="AC777" i="2" s="1"/>
  <c r="Z809" i="2"/>
  <c r="Z901" i="2"/>
  <c r="K17" i="15"/>
  <c r="P17" i="15" s="1"/>
  <c r="O18" i="15" s="1"/>
  <c r="AC201" i="2"/>
  <c r="AT17" i="15"/>
  <c r="R17" i="15"/>
  <c r="BH22" i="15"/>
  <c r="J126" i="1"/>
  <c r="Q126" i="1" s="1"/>
  <c r="BT12" i="15"/>
  <c r="BO22" i="15"/>
  <c r="BT22" i="15" s="1"/>
  <c r="BS23" i="15" s="1"/>
  <c r="AA781" i="2"/>
  <c r="AA533" i="2"/>
  <c r="AC533" i="2" s="1"/>
  <c r="AA513" i="2"/>
  <c r="AC513" i="2" s="1"/>
  <c r="AA245" i="2"/>
  <c r="AA273" i="2"/>
  <c r="AA425" i="2"/>
  <c r="AA393" i="2"/>
  <c r="AA605" i="2"/>
  <c r="Z225" i="2"/>
  <c r="AC225" i="2" s="1"/>
  <c r="Z441" i="2"/>
  <c r="Z473" i="2"/>
  <c r="Z573" i="2"/>
  <c r="Z609" i="2"/>
  <c r="Z641" i="2"/>
  <c r="Z673" i="2"/>
  <c r="Z721" i="2"/>
  <c r="Z753" i="2"/>
  <c r="Z877" i="2"/>
  <c r="H115" i="4"/>
  <c r="Y22" i="15"/>
  <c r="C12" i="4"/>
  <c r="O4" i="5"/>
  <c r="L40" i="4"/>
  <c r="AB377" i="2"/>
  <c r="AC377" i="2" s="1"/>
  <c r="J40" i="4"/>
  <c r="D14" i="4"/>
  <c r="H40" i="4"/>
  <c r="I14" i="4"/>
  <c r="I40" i="4"/>
  <c r="K40" i="4"/>
  <c r="G45" i="4"/>
  <c r="G101" i="4" s="1"/>
  <c r="AB361" i="2"/>
  <c r="Q156" i="1"/>
  <c r="AB257" i="2"/>
  <c r="Q148" i="1"/>
  <c r="L46" i="4"/>
  <c r="M12" i="4" s="1"/>
  <c r="AB277" i="2"/>
  <c r="D20" i="4"/>
  <c r="L12" i="4" s="1"/>
  <c r="I46" i="4"/>
  <c r="F46" i="4"/>
  <c r="F102" i="4" s="1"/>
  <c r="K46" i="4"/>
  <c r="K102" i="4" s="1"/>
  <c r="G46" i="4"/>
  <c r="J46" i="4"/>
  <c r="J102" i="4" s="1"/>
  <c r="H46" i="4"/>
  <c r="H102" i="4" s="1"/>
  <c r="I20" i="4"/>
  <c r="E47" i="4"/>
  <c r="E103" i="4" s="1"/>
  <c r="D47" i="4"/>
  <c r="D103" i="4" s="1"/>
  <c r="F47" i="4"/>
  <c r="F103" i="4" s="1"/>
  <c r="G47" i="4"/>
  <c r="G103" i="4" s="1"/>
  <c r="Q134" i="1"/>
  <c r="K35" i="10"/>
  <c r="J35" i="10"/>
  <c r="Q182" i="1"/>
  <c r="C13" i="4"/>
  <c r="H13" i="4" s="1"/>
  <c r="L39" i="10"/>
  <c r="J39" i="10"/>
  <c r="K39" i="10"/>
  <c r="K18" i="7"/>
  <c r="K31" i="10"/>
  <c r="J31" i="10"/>
  <c r="G44" i="10"/>
  <c r="F44" i="10"/>
  <c r="I13" i="7"/>
  <c r="K7" i="7" s="1"/>
  <c r="X23" i="9"/>
  <c r="T23" i="9"/>
  <c r="P23" i="9"/>
  <c r="L23" i="9"/>
  <c r="H23" i="9"/>
  <c r="D23" i="9"/>
  <c r="R23" i="9"/>
  <c r="J23" i="9"/>
  <c r="B23" i="9"/>
  <c r="A24" i="9"/>
  <c r="W23" i="9"/>
  <c r="S23" i="9"/>
  <c r="O23" i="9"/>
  <c r="K23" i="9"/>
  <c r="G23" i="9"/>
  <c r="C23" i="9"/>
  <c r="Y23" i="9"/>
  <c r="Q23" i="9"/>
  <c r="I23" i="9"/>
  <c r="V23" i="9"/>
  <c r="N23" i="9"/>
  <c r="F23" i="9"/>
  <c r="U23" i="9"/>
  <c r="M23" i="9"/>
  <c r="E23" i="9"/>
  <c r="K36" i="10"/>
  <c r="J36" i="10"/>
  <c r="E122" i="4"/>
  <c r="AV4" i="5"/>
  <c r="AW4" i="5" s="1"/>
  <c r="AV5" i="5"/>
  <c r="AW5" i="5" s="1"/>
  <c r="AB317" i="2"/>
  <c r="G43" i="4"/>
  <c r="I17" i="4"/>
  <c r="H43" i="4"/>
  <c r="Q158" i="1"/>
  <c r="I43" i="4"/>
  <c r="K16" i="7"/>
  <c r="K20" i="7"/>
  <c r="AB733" i="2"/>
  <c r="Q190" i="1"/>
  <c r="K21" i="7"/>
  <c r="K15" i="7"/>
  <c r="K19" i="7"/>
  <c r="K14" i="7"/>
  <c r="K24" i="7"/>
  <c r="AB765" i="2"/>
  <c r="Q192" i="1"/>
  <c r="K33" i="10"/>
  <c r="C25" i="4"/>
  <c r="Q44" i="1"/>
  <c r="C5" i="4"/>
  <c r="H5" i="4" s="1"/>
  <c r="E87" i="4"/>
  <c r="J43" i="4"/>
  <c r="I87" i="4"/>
  <c r="O180" i="1"/>
  <c r="AB469" i="2" s="1"/>
  <c r="O176" i="1"/>
  <c r="AB389" i="2" s="1"/>
  <c r="AC389" i="2" s="1"/>
  <c r="O174" i="1"/>
  <c r="Q174" i="1" s="1"/>
  <c r="O169" i="1"/>
  <c r="AB433" i="2" s="1"/>
  <c r="O165" i="1"/>
  <c r="Q165" i="1" s="1"/>
  <c r="O162" i="1"/>
  <c r="L29" i="4" s="1"/>
  <c r="O154" i="1"/>
  <c r="D4" i="4" s="1"/>
  <c r="O152" i="1"/>
  <c r="O149" i="1"/>
  <c r="AB261" i="2" s="1"/>
  <c r="AC261" i="2" s="1"/>
  <c r="O144" i="1"/>
  <c r="Q144" i="1" s="1"/>
  <c r="O140" i="1"/>
  <c r="AB245" i="2" s="1"/>
  <c r="AC245" i="2" s="1"/>
  <c r="O136" i="1"/>
  <c r="O132" i="1"/>
  <c r="L51" i="4" s="1"/>
  <c r="O129" i="1"/>
  <c r="Q129" i="1" s="1"/>
  <c r="O130" i="1"/>
  <c r="Q130" i="1" s="1"/>
  <c r="O122" i="1"/>
  <c r="O125" i="1"/>
  <c r="AS22" i="15" s="1"/>
  <c r="O120" i="1"/>
  <c r="C28" i="4" s="1"/>
  <c r="O118" i="1"/>
  <c r="O112" i="1"/>
  <c r="CW20" i="15" s="1"/>
  <c r="J115" i="1"/>
  <c r="O115" i="1"/>
  <c r="O114" i="1"/>
  <c r="J20" i="15" s="1"/>
  <c r="J110" i="1"/>
  <c r="O110" i="1"/>
  <c r="O104" i="1"/>
  <c r="D12" i="4" s="1"/>
  <c r="J100" i="1"/>
  <c r="O100" i="1"/>
  <c r="AL7" i="15"/>
  <c r="AE6" i="15"/>
  <c r="L36" i="4"/>
  <c r="Q5" i="15"/>
  <c r="J42" i="10"/>
  <c r="O189" i="1"/>
  <c r="AB665" i="2" s="1"/>
  <c r="K43" i="10"/>
  <c r="BB4" i="5"/>
  <c r="BC4" i="5" s="1"/>
  <c r="H8" i="9"/>
  <c r="P8" i="9"/>
  <c r="X8" i="9"/>
  <c r="F22" i="9"/>
  <c r="N22" i="9"/>
  <c r="V22" i="9"/>
  <c r="R85" i="2"/>
  <c r="R97" i="2"/>
  <c r="R109" i="2"/>
  <c r="R121" i="2"/>
  <c r="Q118" i="1"/>
  <c r="D131" i="4" s="1"/>
  <c r="C20" i="15"/>
  <c r="J106" i="1"/>
  <c r="O106" i="1"/>
  <c r="J98" i="1"/>
  <c r="O98" i="1"/>
  <c r="L33" i="4" s="1"/>
  <c r="L43" i="4"/>
  <c r="DK6" i="15"/>
  <c r="DQ8" i="15" s="1"/>
  <c r="DO9" i="15" s="1"/>
  <c r="CW5" i="15"/>
  <c r="DD7" i="15"/>
  <c r="D23" i="4"/>
  <c r="L15" i="4" s="1"/>
  <c r="AT5" i="5"/>
  <c r="AU5" i="5" s="1"/>
  <c r="AZ4" i="5"/>
  <c r="BA4" i="5" s="1"/>
  <c r="BJ4" i="5"/>
  <c r="BK4" i="5" s="1"/>
  <c r="E7" i="9"/>
  <c r="I7" i="9"/>
  <c r="M7" i="9"/>
  <c r="Q7" i="9"/>
  <c r="U7" i="9"/>
  <c r="Y7" i="9"/>
  <c r="E8" i="9"/>
  <c r="I8" i="9"/>
  <c r="Q8" i="9"/>
  <c r="C22" i="9"/>
  <c r="G22" i="9"/>
  <c r="K22" i="9"/>
  <c r="O22" i="9"/>
  <c r="S22" i="9"/>
  <c r="W22" i="9"/>
  <c r="E75" i="4"/>
  <c r="AB409" i="2"/>
  <c r="AB337" i="2"/>
  <c r="AB329" i="2"/>
  <c r="AC329" i="2" s="1"/>
  <c r="AB353" i="2"/>
  <c r="CB24" i="15"/>
  <c r="CH24" i="15" s="1"/>
  <c r="Q113" i="1"/>
  <c r="BG17" i="15"/>
  <c r="L44" i="4"/>
  <c r="M10" i="4" s="1"/>
  <c r="Q10" i="4" s="1"/>
  <c r="CP9" i="15"/>
  <c r="CV9" i="15" s="1"/>
  <c r="L49" i="4"/>
  <c r="M15" i="4" s="1"/>
  <c r="Q15" i="4" s="1"/>
  <c r="Q8" i="15"/>
  <c r="AZ7" i="15"/>
  <c r="BF7" i="15" s="1"/>
  <c r="DY7" i="15"/>
  <c r="EE7" i="15" s="1"/>
  <c r="AL6" i="15"/>
  <c r="AR6" i="15" s="1"/>
  <c r="CI6" i="15"/>
  <c r="L48" i="4"/>
  <c r="CV7" i="15"/>
  <c r="CV8" i="15"/>
  <c r="CT9" i="15" s="1"/>
  <c r="CV5" i="15"/>
  <c r="CV6" i="15"/>
  <c r="K23" i="7"/>
  <c r="L85" i="4"/>
  <c r="L81" i="4"/>
  <c r="L77" i="4"/>
  <c r="L73" i="4"/>
  <c r="AA4" i="5"/>
  <c r="AL3" i="5"/>
  <c r="AM3" i="5" s="1"/>
  <c r="AN3" i="5"/>
  <c r="AO3" i="5" s="1"/>
  <c r="AT4" i="5"/>
  <c r="AU4" i="5" s="1"/>
  <c r="BI4" i="5"/>
  <c r="V25" i="2"/>
  <c r="V20" i="2"/>
  <c r="D8" i="9"/>
  <c r="T8" i="9"/>
  <c r="B22" i="9"/>
  <c r="J22" i="9"/>
  <c r="R22" i="9"/>
  <c r="C19" i="4"/>
  <c r="V32" i="2"/>
  <c r="B6" i="9"/>
  <c r="F6" i="9"/>
  <c r="J6" i="9"/>
  <c r="N6" i="9"/>
  <c r="R6" i="9"/>
  <c r="B7" i="9"/>
  <c r="F7" i="9"/>
  <c r="J7" i="9"/>
  <c r="N7" i="9"/>
  <c r="R7" i="9"/>
  <c r="B8" i="9"/>
  <c r="R8" i="9"/>
  <c r="V8" i="9"/>
  <c r="D22" i="9"/>
  <c r="H22" i="9"/>
  <c r="L22" i="9"/>
  <c r="P22" i="9"/>
  <c r="T22" i="9"/>
  <c r="X22" i="9"/>
  <c r="R91" i="2"/>
  <c r="R103" i="2"/>
  <c r="R115" i="2"/>
  <c r="R127" i="2"/>
  <c r="E72" i="4"/>
  <c r="C43" i="4"/>
  <c r="J63" i="1"/>
  <c r="Q63" i="1" s="1"/>
  <c r="Q54" i="1"/>
  <c r="C4" i="4"/>
  <c r="D124" i="4"/>
  <c r="J40" i="1"/>
  <c r="J38" i="1"/>
  <c r="Q38" i="1" s="1"/>
  <c r="J34" i="1"/>
  <c r="G38" i="4"/>
  <c r="G30" i="4"/>
  <c r="G29" i="4"/>
  <c r="H79" i="4"/>
  <c r="H36" i="4"/>
  <c r="H74" i="4"/>
  <c r="I49" i="4"/>
  <c r="I105" i="4" s="1"/>
  <c r="I44" i="4"/>
  <c r="I100" i="4" s="1"/>
  <c r="I42" i="4"/>
  <c r="I78" i="4"/>
  <c r="I35" i="4"/>
  <c r="K43" i="4"/>
  <c r="K77" i="4"/>
  <c r="K76" i="4"/>
  <c r="K51" i="4"/>
  <c r="K107" i="4" s="1"/>
  <c r="Q128" i="1"/>
  <c r="Q124" i="1"/>
  <c r="Q123" i="1"/>
  <c r="Q119" i="1"/>
  <c r="Q111" i="1"/>
  <c r="J117" i="1"/>
  <c r="O117" i="1"/>
  <c r="O108" i="1"/>
  <c r="Q107" i="1"/>
  <c r="J103" i="1"/>
  <c r="C6" i="4" s="1"/>
  <c r="O103" i="1"/>
  <c r="Q17" i="15" s="1"/>
  <c r="W17" i="15" s="1"/>
  <c r="V18" i="15" s="1"/>
  <c r="O99" i="1"/>
  <c r="C39" i="4" s="1"/>
  <c r="Q101" i="1"/>
  <c r="M189" i="1"/>
  <c r="D21" i="4"/>
  <c r="L13" i="4" s="1"/>
  <c r="L75" i="4"/>
  <c r="L78" i="4"/>
  <c r="L83" i="4"/>
  <c r="L86" i="4"/>
  <c r="L51" i="10"/>
  <c r="AB4" i="5"/>
  <c r="AF4" i="5"/>
  <c r="AJ5" i="5"/>
  <c r="AK5" i="5" s="1"/>
  <c r="AP3" i="5"/>
  <c r="AQ3" i="5" s="1"/>
  <c r="J102" i="1"/>
  <c r="J8" i="15"/>
  <c r="P8" i="15" s="1"/>
  <c r="N9" i="15" s="1"/>
  <c r="AS7" i="15"/>
  <c r="J7" i="15"/>
  <c r="AE5" i="15"/>
  <c r="L37" i="4"/>
  <c r="P5" i="5"/>
  <c r="W5" i="5"/>
  <c r="T5" i="5"/>
  <c r="X5" i="5"/>
  <c r="G5" i="5"/>
  <c r="I5" i="5"/>
  <c r="AZ5" i="5" s="1"/>
  <c r="BA5" i="5" s="1"/>
  <c r="O5" i="5"/>
  <c r="Y5" i="5"/>
  <c r="A6" i="5"/>
  <c r="AS4" i="5"/>
  <c r="D5" i="5"/>
  <c r="B5" i="5"/>
  <c r="H5" i="5"/>
  <c r="R923" i="2"/>
  <c r="AA897" i="2"/>
  <c r="R897" i="2"/>
  <c r="S898" i="2"/>
  <c r="Z325" i="2"/>
  <c r="Z341" i="2"/>
  <c r="Z357" i="2"/>
  <c r="AB357" i="2"/>
  <c r="AA293" i="2"/>
  <c r="Z373" i="2"/>
  <c r="AB373" i="2"/>
  <c r="AA193" i="2"/>
  <c r="Z693" i="2"/>
  <c r="AA569" i="2"/>
  <c r="AC569" i="2" s="1"/>
  <c r="Z725" i="2"/>
  <c r="AA657" i="2"/>
  <c r="Z741" i="2"/>
  <c r="AC741" i="2" s="1"/>
  <c r="AA673" i="2"/>
  <c r="AC673" i="2" s="1"/>
  <c r="AA749" i="2"/>
  <c r="AC749" i="2" s="1"/>
  <c r="Z789" i="2"/>
  <c r="AB789" i="2"/>
  <c r="Z805" i="2"/>
  <c r="AB805" i="2"/>
  <c r="AB869" i="2"/>
  <c r="Z869" i="2"/>
  <c r="Z881" i="2"/>
  <c r="S862" i="2"/>
  <c r="R862" i="2"/>
  <c r="AB897" i="2"/>
  <c r="Z897" i="2"/>
  <c r="R831" i="2"/>
  <c r="S830" i="2"/>
  <c r="S906" i="2"/>
  <c r="R906" i="2"/>
  <c r="Z913" i="2"/>
  <c r="AB913" i="2"/>
  <c r="W3" i="4"/>
  <c r="S914" i="2"/>
  <c r="R913" i="2"/>
  <c r="AA893" i="2"/>
  <c r="R896" i="2"/>
  <c r="AA837" i="2"/>
  <c r="S838" i="2"/>
  <c r="AA789" i="2"/>
  <c r="R789" i="2"/>
  <c r="AA765" i="2"/>
  <c r="R765" i="2"/>
  <c r="AC437" i="2"/>
  <c r="AA721" i="2"/>
  <c r="R724" i="2"/>
  <c r="Z289" i="2"/>
  <c r="AB289" i="2"/>
  <c r="Z305" i="2"/>
  <c r="Z689" i="2"/>
  <c r="AA573" i="2"/>
  <c r="AC573" i="2" s="1"/>
  <c r="Z737" i="2"/>
  <c r="AA677" i="2"/>
  <c r="Z769" i="2"/>
  <c r="AC769" i="2" s="1"/>
  <c r="AA733" i="2"/>
  <c r="AB865" i="2"/>
  <c r="Z865" i="2"/>
  <c r="R842" i="2"/>
  <c r="Z893" i="2"/>
  <c r="S842" i="2"/>
  <c r="W9" i="4"/>
  <c r="S886" i="2"/>
  <c r="R904" i="2"/>
  <c r="AA917" i="2"/>
  <c r="AC917" i="2" s="1"/>
  <c r="S918" i="2"/>
  <c r="R918" i="2"/>
  <c r="AC889" i="2"/>
  <c r="AA849" i="2"/>
  <c r="R849" i="2"/>
  <c r="AC277" i="2"/>
  <c r="AC269" i="2"/>
  <c r="AC409" i="2"/>
  <c r="Z417" i="2"/>
  <c r="AB417" i="2"/>
  <c r="Z625" i="2"/>
  <c r="Z637" i="2"/>
  <c r="AB637" i="2"/>
  <c r="AA629" i="2"/>
  <c r="AC629" i="2" s="1"/>
  <c r="Z653" i="2"/>
  <c r="AB653" i="2"/>
  <c r="Z669" i="2"/>
  <c r="AB669" i="2"/>
  <c r="Z701" i="2"/>
  <c r="AC701" i="2" s="1"/>
  <c r="AA633" i="2"/>
  <c r="AA665" i="2"/>
  <c r="Z733" i="2"/>
  <c r="R731" i="2"/>
  <c r="Z765" i="2"/>
  <c r="AA729" i="2"/>
  <c r="AC729" i="2" s="1"/>
  <c r="S730" i="2"/>
  <c r="AB861" i="2"/>
  <c r="Z861" i="2"/>
  <c r="R866" i="2"/>
  <c r="Z873" i="2"/>
  <c r="S866" i="2"/>
  <c r="AA869" i="2"/>
  <c r="Z889" i="2"/>
  <c r="R879" i="2"/>
  <c r="S878" i="2"/>
  <c r="AA877" i="2"/>
  <c r="AA817" i="2"/>
  <c r="S818" i="2"/>
  <c r="R785" i="2"/>
  <c r="AA785" i="2"/>
  <c r="AA717" i="2"/>
  <c r="R720" i="2"/>
  <c r="AC601" i="2"/>
  <c r="AC361" i="2"/>
  <c r="Z697" i="2"/>
  <c r="AC697" i="2" s="1"/>
  <c r="AA637" i="2"/>
  <c r="Z713" i="2"/>
  <c r="AA653" i="2"/>
  <c r="AA693" i="2"/>
  <c r="AC693" i="2" s="1"/>
  <c r="Z745" i="2"/>
  <c r="AC745" i="2" s="1"/>
  <c r="R739" i="2"/>
  <c r="Z761" i="2"/>
  <c r="AA737" i="2"/>
  <c r="AC737" i="2" s="1"/>
  <c r="AB857" i="2"/>
  <c r="Z857" i="2"/>
  <c r="Z885" i="2"/>
  <c r="R846" i="2"/>
  <c r="AA845" i="2"/>
  <c r="AA885" i="2"/>
  <c r="R885" i="2"/>
  <c r="AA865" i="2"/>
  <c r="AA809" i="2"/>
  <c r="AC809" i="2" s="1"/>
  <c r="R809" i="2"/>
  <c r="AA661" i="2"/>
  <c r="AA549" i="2"/>
  <c r="AC549" i="2" s="1"/>
  <c r="AA489" i="2"/>
  <c r="AA469" i="2"/>
  <c r="AA753" i="2"/>
  <c r="R753" i="2"/>
  <c r="AA725" i="2"/>
  <c r="AA713" i="2"/>
  <c r="AC713" i="2" s="1"/>
  <c r="AB309" i="2"/>
  <c r="AA301" i="2"/>
  <c r="AB345" i="2"/>
  <c r="AC345" i="2" s="1"/>
  <c r="AB313" i="2"/>
  <c r="AC313" i="2" s="1"/>
  <c r="AA433" i="2"/>
  <c r="AB381" i="2"/>
  <c r="AC381" i="2" s="1"/>
  <c r="Z393" i="2"/>
  <c r="AC393" i="2" s="1"/>
  <c r="Z321" i="2"/>
  <c r="AC321" i="2" s="1"/>
  <c r="Z337" i="2"/>
  <c r="Z353" i="2"/>
  <c r="Z369" i="2"/>
  <c r="AC369" i="2" s="1"/>
  <c r="Z257" i="2"/>
  <c r="Z265" i="2"/>
  <c r="AB265" i="2"/>
  <c r="Z285" i="2"/>
  <c r="Z301" i="2"/>
  <c r="Z193" i="2"/>
  <c r="AB449" i="2"/>
  <c r="AB465" i="2"/>
  <c r="AC465" i="2" s="1"/>
  <c r="Z485" i="2"/>
  <c r="AC485" i="2" s="1"/>
  <c r="Z617" i="2"/>
  <c r="AC617" i="2" s="1"/>
  <c r="Z633" i="2"/>
  <c r="Z649" i="2"/>
  <c r="AC649" i="2" s="1"/>
  <c r="Z665" i="2"/>
  <c r="Z681" i="2"/>
  <c r="AB681" i="2"/>
  <c r="Z785" i="2"/>
  <c r="AB785" i="2"/>
  <c r="Z801" i="2"/>
  <c r="AC801" i="2" s="1"/>
  <c r="Z817" i="2"/>
  <c r="Z837" i="2"/>
  <c r="AB837" i="2"/>
  <c r="Z909" i="2"/>
  <c r="AC909" i="2" s="1"/>
  <c r="AA873" i="2"/>
  <c r="R874" i="2"/>
  <c r="R5" i="4"/>
  <c r="AA509" i="2"/>
  <c r="Z509" i="2"/>
  <c r="E115" i="4"/>
  <c r="AB233" i="2"/>
  <c r="AC233" i="2" s="1"/>
  <c r="S922" i="2"/>
  <c r="AA689" i="2"/>
  <c r="AA645" i="2"/>
  <c r="AA705" i="2"/>
  <c r="R705" i="2"/>
  <c r="AA285" i="2"/>
  <c r="AB425" i="2"/>
  <c r="AC425" i="2" s="1"/>
  <c r="AA417" i="2"/>
  <c r="Z413" i="2"/>
  <c r="Z317" i="2"/>
  <c r="Z333" i="2"/>
  <c r="AC333" i="2" s="1"/>
  <c r="Z349" i="2"/>
  <c r="AC349" i="2" s="1"/>
  <c r="Z365" i="2"/>
  <c r="AC365" i="2" s="1"/>
  <c r="Z253" i="2"/>
  <c r="Z281" i="2"/>
  <c r="AB281" i="2"/>
  <c r="Z297" i="2"/>
  <c r="Z613" i="2"/>
  <c r="AB613" i="2"/>
  <c r="Z621" i="2"/>
  <c r="AB621" i="2"/>
  <c r="Z645" i="2"/>
  <c r="Z661" i="2"/>
  <c r="Z677" i="2"/>
  <c r="Z685" i="2"/>
  <c r="AB685" i="2"/>
  <c r="AC685" i="2" s="1"/>
  <c r="Z781" i="2"/>
  <c r="AC781" i="2" s="1"/>
  <c r="Z797" i="2"/>
  <c r="Z813" i="2"/>
  <c r="AC813" i="2" s="1"/>
  <c r="Z833" i="2"/>
  <c r="AC833" i="2" s="1"/>
  <c r="AA793" i="2"/>
  <c r="Z849" i="2"/>
  <c r="AB849" i="2"/>
  <c r="Z905" i="2"/>
  <c r="AB905" i="2"/>
  <c r="Z921" i="2"/>
  <c r="AC921" i="2" s="1"/>
  <c r="D130" i="4"/>
  <c r="Z249" i="2"/>
  <c r="AB249" i="2"/>
  <c r="Z657" i="2"/>
  <c r="AB657" i="2"/>
  <c r="AA761" i="2"/>
  <c r="Z845" i="2"/>
  <c r="AB845" i="2"/>
  <c r="AA797" i="2"/>
  <c r="Z825" i="2"/>
  <c r="AC825" i="2" s="1"/>
  <c r="AA773" i="2"/>
  <c r="R774" i="2"/>
  <c r="AB241" i="2"/>
  <c r="AC241" i="2" s="1"/>
  <c r="Q72" i="4"/>
  <c r="R2" i="4" s="1"/>
  <c r="C54" i="4"/>
  <c r="J127" i="1"/>
  <c r="D22" i="15"/>
  <c r="H12" i="15"/>
  <c r="I15" i="15"/>
  <c r="G16" i="15" s="1"/>
  <c r="I13" i="15"/>
  <c r="H14" i="15" s="1"/>
  <c r="I12" i="15"/>
  <c r="H13" i="15" s="1"/>
  <c r="I14" i="15"/>
  <c r="H15" i="15" s="1"/>
  <c r="W14" i="15"/>
  <c r="V15" i="15" s="1"/>
  <c r="W13" i="15"/>
  <c r="V14" i="15" s="1"/>
  <c r="V12" i="15"/>
  <c r="H16" i="15"/>
  <c r="G17" i="15"/>
  <c r="I16" i="15"/>
  <c r="W22" i="15"/>
  <c r="V23" i="15" s="1"/>
  <c r="V22" i="15"/>
  <c r="W23" i="15"/>
  <c r="AD15" i="15"/>
  <c r="AB16" i="15" s="1"/>
  <c r="AD13" i="15"/>
  <c r="AC14" i="15" s="1"/>
  <c r="AC12" i="15"/>
  <c r="AD14" i="15"/>
  <c r="AC15" i="15" s="1"/>
  <c r="AB17" i="15"/>
  <c r="AD16" i="15"/>
  <c r="AC16" i="15"/>
  <c r="AC22" i="15"/>
  <c r="N17" i="15"/>
  <c r="P16" i="15"/>
  <c r="O16" i="15"/>
  <c r="O17" i="15"/>
  <c r="W16" i="15"/>
  <c r="V16" i="15"/>
  <c r="U17" i="15"/>
  <c r="AD12" i="15"/>
  <c r="AC13" i="15" s="1"/>
  <c r="AD20" i="15"/>
  <c r="AD18" i="15"/>
  <c r="AC19" i="15" s="1"/>
  <c r="AC17" i="15"/>
  <c r="AD19" i="15"/>
  <c r="AD17" i="15"/>
  <c r="AC18" i="15" s="1"/>
  <c r="AD21" i="15"/>
  <c r="AB22" i="15" s="1"/>
  <c r="O13" i="15"/>
  <c r="P13" i="15"/>
  <c r="O14" i="15" s="1"/>
  <c r="O12" i="15"/>
  <c r="P14" i="15"/>
  <c r="O15" i="15" s="1"/>
  <c r="AD7" i="15"/>
  <c r="AD6" i="15"/>
  <c r="AD8" i="15"/>
  <c r="AB9" i="15" s="1"/>
  <c r="AD5" i="15"/>
  <c r="AX22" i="15"/>
  <c r="AY22" i="15"/>
  <c r="AX23" i="15" s="1"/>
  <c r="BM15" i="15"/>
  <c r="BK16" i="15" s="1"/>
  <c r="BM13" i="15"/>
  <c r="BL14" i="15" s="1"/>
  <c r="BL12" i="15"/>
  <c r="BM14" i="15"/>
  <c r="BL15" i="15" s="1"/>
  <c r="P9" i="15"/>
  <c r="P11" i="15"/>
  <c r="N12" i="15" s="1"/>
  <c r="O9" i="15"/>
  <c r="P10" i="15"/>
  <c r="AJ15" i="15"/>
  <c r="AW17" i="15"/>
  <c r="AY16" i="15"/>
  <c r="AX16" i="15"/>
  <c r="AY19" i="15"/>
  <c r="AX20" i="15" s="1"/>
  <c r="AY17" i="15"/>
  <c r="AX18" i="15" s="1"/>
  <c r="AY18" i="15"/>
  <c r="AX19" i="15" s="1"/>
  <c r="AX17" i="15"/>
  <c r="BA22" i="15"/>
  <c r="BS13" i="15"/>
  <c r="AC21" i="15"/>
  <c r="AJ16" i="15"/>
  <c r="AI17" i="15"/>
  <c r="AK16" i="15"/>
  <c r="AP17" i="15"/>
  <c r="AR16" i="15"/>
  <c r="AQ16" i="15"/>
  <c r="AT9" i="15"/>
  <c r="AY14" i="15"/>
  <c r="AX15" i="15" s="1"/>
  <c r="AY15" i="15"/>
  <c r="AW16" i="15" s="1"/>
  <c r="AX12" i="15"/>
  <c r="AY13" i="15"/>
  <c r="AX14" i="15" s="1"/>
  <c r="BE16" i="15"/>
  <c r="BD17" i="15"/>
  <c r="BF16" i="15"/>
  <c r="BF20" i="15"/>
  <c r="BE21" i="15" s="1"/>
  <c r="BF18" i="15"/>
  <c r="BE19" i="15" s="1"/>
  <c r="BF19" i="15"/>
  <c r="BE20" i="15" s="1"/>
  <c r="BM23" i="15"/>
  <c r="BL22" i="15"/>
  <c r="BM22" i="15"/>
  <c r="BL23" i="15" s="1"/>
  <c r="CJ9" i="15"/>
  <c r="AC20" i="15"/>
  <c r="AK10" i="15"/>
  <c r="AK11" i="15"/>
  <c r="AI12" i="15" s="1"/>
  <c r="AK9" i="15"/>
  <c r="AJ9" i="15"/>
  <c r="AK14" i="15"/>
  <c r="AK13" i="15"/>
  <c r="AJ14" i="15" s="1"/>
  <c r="AK15" i="15"/>
  <c r="AI16" i="15" s="1"/>
  <c r="AJ12" i="15"/>
  <c r="AR11" i="15"/>
  <c r="AP12" i="15" s="1"/>
  <c r="AQ9" i="15"/>
  <c r="AR9" i="15"/>
  <c r="AR10" i="15"/>
  <c r="AR14" i="15"/>
  <c r="AQ15" i="15" s="1"/>
  <c r="AR13" i="15"/>
  <c r="AQ14" i="15" s="1"/>
  <c r="AR15" i="15"/>
  <c r="AP16" i="15" s="1"/>
  <c r="AQ12" i="15"/>
  <c r="AM22" i="15"/>
  <c r="BF10" i="15"/>
  <c r="BF9" i="15"/>
  <c r="BE9" i="15"/>
  <c r="BF11" i="15"/>
  <c r="BD12" i="15" s="1"/>
  <c r="BE12" i="15"/>
  <c r="BL16" i="15"/>
  <c r="BM16" i="15"/>
  <c r="BK17" i="15"/>
  <c r="BH17" i="15"/>
  <c r="BS16" i="15"/>
  <c r="BR17" i="15"/>
  <c r="BT16" i="15"/>
  <c r="CO17" i="15"/>
  <c r="CN18" i="15" s="1"/>
  <c r="CN17" i="15"/>
  <c r="CU16" i="15"/>
  <c r="CT17" i="15"/>
  <c r="CV16" i="15"/>
  <c r="DI16" i="15"/>
  <c r="DH17" i="15"/>
  <c r="DJ16" i="15"/>
  <c r="DV17" i="15"/>
  <c r="DX16" i="15"/>
  <c r="DW16" i="15"/>
  <c r="EE14" i="15"/>
  <c r="ED15" i="15" s="1"/>
  <c r="EE13" i="15"/>
  <c r="ED14" i="15" s="1"/>
  <c r="ED12" i="15"/>
  <c r="EE15" i="15"/>
  <c r="EC16" i="15" s="1"/>
  <c r="EE11" i="15"/>
  <c r="EC12" i="15" s="1"/>
  <c r="ED9" i="15"/>
  <c r="EE9" i="15"/>
  <c r="EE10" i="15"/>
  <c r="CM17" i="15"/>
  <c r="CO16" i="15"/>
  <c r="CN16" i="15"/>
  <c r="CV10" i="15"/>
  <c r="CU9" i="15"/>
  <c r="CV14" i="15"/>
  <c r="CU15" i="15" s="1"/>
  <c r="CU12" i="15"/>
  <c r="CV13" i="15"/>
  <c r="CU14" i="15" s="1"/>
  <c r="CV15" i="15"/>
  <c r="CT16" i="15" s="1"/>
  <c r="CQ22" i="15"/>
  <c r="DE9" i="15"/>
  <c r="DJ15" i="15"/>
  <c r="DH16" i="15" s="1"/>
  <c r="DJ13" i="15"/>
  <c r="DI14" i="15" s="1"/>
  <c r="DI12" i="15"/>
  <c r="DJ14" i="15"/>
  <c r="DI15" i="15" s="1"/>
  <c r="DW13" i="15"/>
  <c r="DX13" i="15"/>
  <c r="DW14" i="15" s="1"/>
  <c r="DW12" i="15"/>
  <c r="DX14" i="15"/>
  <c r="DS22" i="15"/>
  <c r="W21" i="15"/>
  <c r="U22" i="15" s="1"/>
  <c r="W19" i="15"/>
  <c r="V20" i="15" s="1"/>
  <c r="W20" i="15"/>
  <c r="V21" i="15" s="1"/>
  <c r="W18" i="15"/>
  <c r="V19" i="15" s="1"/>
  <c r="V17" i="15"/>
  <c r="AK17" i="15"/>
  <c r="AJ18" i="15" s="1"/>
  <c r="AJ17" i="15"/>
  <c r="CO14" i="15"/>
  <c r="CN15" i="15" s="1"/>
  <c r="CO15" i="15"/>
  <c r="CM16" i="15" s="1"/>
  <c r="CN12" i="15"/>
  <c r="CO13" i="15"/>
  <c r="CN14" i="15" s="1"/>
  <c r="DJ22" i="15"/>
  <c r="DI23" i="15" s="1"/>
  <c r="DI22" i="15"/>
  <c r="DJ23" i="15"/>
  <c r="DQ11" i="15"/>
  <c r="DO12" i="15" s="1"/>
  <c r="DP9" i="15"/>
  <c r="DQ10" i="15"/>
  <c r="DQ9" i="15"/>
  <c r="DP19" i="15"/>
  <c r="DA17" i="15"/>
  <c r="DB16" i="15"/>
  <c r="DC16" i="15"/>
  <c r="Z385" i="2"/>
  <c r="W12" i="15"/>
  <c r="V13" i="15" s="1"/>
  <c r="AZ13" i="15"/>
  <c r="BF13" i="15" s="1"/>
  <c r="BE14" i="15" s="1"/>
  <c r="CJ22" i="15"/>
  <c r="CV19" i="15"/>
  <c r="CU20" i="15" s="1"/>
  <c r="CU17" i="15"/>
  <c r="CV18" i="15"/>
  <c r="CU19" i="15" s="1"/>
  <c r="CV17" i="15"/>
  <c r="CU18" i="15" s="1"/>
  <c r="CV20" i="15"/>
  <c r="CU21" i="15" s="1"/>
  <c r="DJ20" i="15"/>
  <c r="DI21" i="15" s="1"/>
  <c r="DJ18" i="15"/>
  <c r="DI19" i="15" s="1"/>
  <c r="DI17" i="15"/>
  <c r="DJ21" i="15"/>
  <c r="DH22" i="15" s="1"/>
  <c r="DJ17" i="15"/>
  <c r="DI18" i="15" s="1"/>
  <c r="DJ19" i="15"/>
  <c r="DI20" i="15" s="1"/>
  <c r="DW15" i="15"/>
  <c r="EC17" i="15"/>
  <c r="EE16" i="15"/>
  <c r="ED16" i="15"/>
  <c r="DZ17" i="15"/>
  <c r="ED23" i="15"/>
  <c r="DC11" i="15"/>
  <c r="DA12" i="15" s="1"/>
  <c r="DB9" i="15"/>
  <c r="DC10" i="15"/>
  <c r="DC9" i="15"/>
  <c r="DB13" i="15"/>
  <c r="DC13" i="15"/>
  <c r="DB14" i="15" s="1"/>
  <c r="DC15" i="15"/>
  <c r="DA16" i="15" s="1"/>
  <c r="DC14" i="15"/>
  <c r="DB15" i="15" s="1"/>
  <c r="DB12" i="15"/>
  <c r="AA385" i="2"/>
  <c r="AM17" i="15"/>
  <c r="BM12" i="15"/>
  <c r="BL13" i="15" s="1"/>
  <c r="AR5" i="15"/>
  <c r="AR7" i="15"/>
  <c r="BF6" i="15"/>
  <c r="BF5" i="15"/>
  <c r="BY17" i="15"/>
  <c r="BZ16" i="15"/>
  <c r="CA16" i="15"/>
  <c r="CA23" i="15"/>
  <c r="BZ22" i="15"/>
  <c r="CA22" i="15"/>
  <c r="BZ23" i="15" s="1"/>
  <c r="CG16" i="15"/>
  <c r="CF17" i="15"/>
  <c r="CH16" i="15"/>
  <c r="CH22" i="15"/>
  <c r="CG23" i="15" s="1"/>
  <c r="CH23" i="15"/>
  <c r="CG22" i="15"/>
  <c r="DJ7" i="15"/>
  <c r="DJ6" i="15"/>
  <c r="DJ5" i="15"/>
  <c r="DJ8" i="15"/>
  <c r="DH9" i="15" s="1"/>
  <c r="DJ12" i="15"/>
  <c r="DI13" i="15" s="1"/>
  <c r="CX22" i="15"/>
  <c r="D17" i="15"/>
  <c r="CX17" i="15"/>
  <c r="AK12" i="15"/>
  <c r="AJ13" i="15" s="1"/>
  <c r="BT6" i="15"/>
  <c r="BT5" i="15"/>
  <c r="BT7" i="15"/>
  <c r="BT8" i="15"/>
  <c r="BR9" i="15" s="1"/>
  <c r="DS17" i="15"/>
  <c r="W10" i="15"/>
  <c r="W9" i="15"/>
  <c r="W11" i="15"/>
  <c r="U12" i="15" s="1"/>
  <c r="V9" i="15"/>
  <c r="P7" i="15"/>
  <c r="P6" i="15"/>
  <c r="P5" i="15"/>
  <c r="P12" i="15"/>
  <c r="AR12" i="15"/>
  <c r="AQ13" i="15" s="1"/>
  <c r="AY12" i="15"/>
  <c r="AX13" i="15" s="1"/>
  <c r="BM7" i="15"/>
  <c r="BM5" i="15"/>
  <c r="BM8" i="15"/>
  <c r="BK9" i="15" s="1"/>
  <c r="BM6" i="15"/>
  <c r="BT10" i="15"/>
  <c r="BT9" i="15"/>
  <c r="BS9" i="15"/>
  <c r="BT11" i="15"/>
  <c r="BR12" i="15" s="1"/>
  <c r="BT14" i="15"/>
  <c r="BS15" i="15" s="1"/>
  <c r="BS12" i="15"/>
  <c r="BT13" i="15"/>
  <c r="BS14" i="15" s="1"/>
  <c r="BT15" i="15"/>
  <c r="BR16" i="15" s="1"/>
  <c r="CH5" i="15"/>
  <c r="CH8" i="15"/>
  <c r="CF9" i="15" s="1"/>
  <c r="CH7" i="15"/>
  <c r="CH6" i="15"/>
  <c r="CH21" i="15"/>
  <c r="CF22" i="15" s="1"/>
  <c r="CH18" i="15"/>
  <c r="CG19" i="15" s="1"/>
  <c r="CH20" i="15"/>
  <c r="CG21" i="15" s="1"/>
  <c r="CH19" i="15"/>
  <c r="CG20" i="15" s="1"/>
  <c r="CH17" i="15"/>
  <c r="CG18" i="15" s="1"/>
  <c r="CG17" i="15"/>
  <c r="CV12" i="15"/>
  <c r="CU13" i="15" s="1"/>
  <c r="O22" i="15"/>
  <c r="P22" i="15"/>
  <c r="O23" i="15" s="1"/>
  <c r="BF12" i="15"/>
  <c r="BE13" i="15" s="1"/>
  <c r="BM10" i="15"/>
  <c r="BM9" i="15"/>
  <c r="BL9" i="15"/>
  <c r="BM11" i="15"/>
  <c r="BK12" i="15" s="1"/>
  <c r="CA11" i="15"/>
  <c r="BY12" i="15" s="1"/>
  <c r="BZ9" i="15"/>
  <c r="CA10" i="15"/>
  <c r="CA9" i="15"/>
  <c r="CA13" i="15"/>
  <c r="BZ14" i="15" s="1"/>
  <c r="CA15" i="15"/>
  <c r="BY16" i="15" s="1"/>
  <c r="BZ12" i="15"/>
  <c r="CA14" i="15"/>
  <c r="BZ15" i="15" s="1"/>
  <c r="CA12" i="15"/>
  <c r="BZ13" i="15" s="1"/>
  <c r="CO6" i="15"/>
  <c r="CO8" i="15"/>
  <c r="CM9" i="15" s="1"/>
  <c r="CO5" i="15"/>
  <c r="CO7" i="15"/>
  <c r="DX12" i="15"/>
  <c r="BT19" i="15"/>
  <c r="BS20" i="15" s="1"/>
  <c r="BS17" i="15"/>
  <c r="BT21" i="15"/>
  <c r="BR22" i="15" s="1"/>
  <c r="BT18" i="15"/>
  <c r="BS19" i="15" s="1"/>
  <c r="BT17" i="15"/>
  <c r="BS18" i="15" s="1"/>
  <c r="BT20" i="15"/>
  <c r="BS21" i="15" s="1"/>
  <c r="CH10" i="15"/>
  <c r="CG9" i="15"/>
  <c r="CH11" i="15"/>
  <c r="CF12" i="15" s="1"/>
  <c r="CH9" i="15"/>
  <c r="CH14" i="15"/>
  <c r="CG15" i="15" s="1"/>
  <c r="CG12" i="15"/>
  <c r="CH13" i="15"/>
  <c r="CG14" i="15" s="1"/>
  <c r="CH15" i="15"/>
  <c r="CF16" i="15" s="1"/>
  <c r="CH12" i="15"/>
  <c r="CG13" i="15" s="1"/>
  <c r="CO12" i="15"/>
  <c r="CN13" i="15" s="1"/>
  <c r="DQ5" i="15"/>
  <c r="DQ7" i="15"/>
  <c r="DQ21" i="15"/>
  <c r="DO22" i="15" s="1"/>
  <c r="DQ19" i="15"/>
  <c r="DP20" i="15" s="1"/>
  <c r="DQ17" i="15"/>
  <c r="DP18" i="15" s="1"/>
  <c r="DQ18" i="15"/>
  <c r="DQ20" i="15"/>
  <c r="DP21" i="15" s="1"/>
  <c r="DP17" i="15"/>
  <c r="A25" i="15"/>
  <c r="AE24" i="15"/>
  <c r="AK24" i="15" s="1"/>
  <c r="DY24" i="15"/>
  <c r="DD24" i="15"/>
  <c r="DJ24" i="15" s="1"/>
  <c r="CW24" i="15"/>
  <c r="EF24" i="15"/>
  <c r="BS22" i="15"/>
  <c r="BT23" i="15"/>
  <c r="I11" i="15"/>
  <c r="G12" i="15" s="1"/>
  <c r="DQ14" i="15"/>
  <c r="DP15" i="15" s="1"/>
  <c r="DQ15" i="15"/>
  <c r="DO16" i="15" s="1"/>
  <c r="DP12" i="15"/>
  <c r="DQ13" i="15"/>
  <c r="DP14" i="15" s="1"/>
  <c r="DQ12" i="15"/>
  <c r="DP13" i="15" s="1"/>
  <c r="DX7" i="15"/>
  <c r="DX6" i="15"/>
  <c r="DX5" i="15"/>
  <c r="DX8" i="15"/>
  <c r="DV9" i="15" s="1"/>
  <c r="ED22" i="15"/>
  <c r="EE22" i="15"/>
  <c r="EL10" i="15"/>
  <c r="EL9" i="15"/>
  <c r="EL11" i="15"/>
  <c r="EJ12" i="15" s="1"/>
  <c r="EK9" i="15"/>
  <c r="C24" i="15"/>
  <c r="CA6" i="15"/>
  <c r="CA7" i="15"/>
  <c r="CA8" i="15"/>
  <c r="BY9" i="15" s="1"/>
  <c r="CA5" i="15"/>
  <c r="CA20" i="15"/>
  <c r="BZ21" i="15" s="1"/>
  <c r="CA17" i="15"/>
  <c r="BZ18" i="15" s="1"/>
  <c r="CA19" i="15"/>
  <c r="BZ20" i="15" s="1"/>
  <c r="CA18" i="15"/>
  <c r="BZ19" i="15" s="1"/>
  <c r="CA21" i="15"/>
  <c r="BY22" i="15" s="1"/>
  <c r="BZ17" i="15"/>
  <c r="DC12" i="15"/>
  <c r="EE6" i="15"/>
  <c r="EE8" i="15"/>
  <c r="EC9" i="15" s="1"/>
  <c r="EE5" i="15"/>
  <c r="AD9" i="15"/>
  <c r="AD11" i="15"/>
  <c r="AB12" i="15" s="1"/>
  <c r="AC9" i="15"/>
  <c r="AD10" i="15"/>
  <c r="AK22" i="15"/>
  <c r="AJ23" i="15" s="1"/>
  <c r="AK23" i="15"/>
  <c r="AJ22" i="15"/>
  <c r="EL20" i="15"/>
  <c r="EK21" i="15" s="1"/>
  <c r="EL18" i="15"/>
  <c r="EK19" i="15" s="1"/>
  <c r="EK17" i="15"/>
  <c r="EL21" i="15"/>
  <c r="EJ22" i="15" s="1"/>
  <c r="EL19" i="15"/>
  <c r="EK20" i="15" s="1"/>
  <c r="EL17" i="15"/>
  <c r="EK18" i="15" s="1"/>
  <c r="C23" i="15"/>
  <c r="DO17" i="15"/>
  <c r="DQ16" i="15"/>
  <c r="DP16" i="15"/>
  <c r="DQ23" i="15"/>
  <c r="DP22" i="15"/>
  <c r="DQ22" i="15"/>
  <c r="DP23" i="15" s="1"/>
  <c r="DX9" i="15"/>
  <c r="DX11" i="15"/>
  <c r="DV12" i="15" s="1"/>
  <c r="DW9" i="15"/>
  <c r="DX10" i="15"/>
  <c r="DR23" i="15"/>
  <c r="EL15" i="15"/>
  <c r="EJ16" i="15" s="1"/>
  <c r="EL13" i="15"/>
  <c r="EK14" i="15" s="1"/>
  <c r="EK12" i="15"/>
  <c r="EL14" i="15"/>
  <c r="EK15" i="15" s="1"/>
  <c r="EL12" i="15"/>
  <c r="EK13" i="15" s="1"/>
  <c r="EF23" i="15"/>
  <c r="EL23" i="15" s="1"/>
  <c r="J78" i="1"/>
  <c r="AY6" i="15"/>
  <c r="AY8" i="15"/>
  <c r="AW9" i="15" s="1"/>
  <c r="AY5" i="15"/>
  <c r="EE12" i="15"/>
  <c r="ED13" i="15" s="1"/>
  <c r="DY23" i="15"/>
  <c r="EL7" i="15"/>
  <c r="EL6" i="15"/>
  <c r="EL8" i="15"/>
  <c r="EJ9" i="15" s="1"/>
  <c r="EL5" i="15"/>
  <c r="EK16" i="15"/>
  <c r="EJ17" i="15"/>
  <c r="EL16" i="15"/>
  <c r="EL22" i="15"/>
  <c r="EK23" i="15" s="1"/>
  <c r="EK22" i="15"/>
  <c r="F100" i="4" l="1"/>
  <c r="D100" i="4"/>
  <c r="AC753" i="2"/>
  <c r="AC429" i="2"/>
  <c r="L102" i="4"/>
  <c r="C100" i="4"/>
  <c r="AC265" i="2"/>
  <c r="AC257" i="2"/>
  <c r="AC317" i="2"/>
  <c r="AC517" i="2"/>
  <c r="AC525" i="2"/>
  <c r="AC913" i="2"/>
  <c r="I102" i="4"/>
  <c r="K12" i="4"/>
  <c r="H20" i="4"/>
  <c r="AC253" i="2"/>
  <c r="AC865" i="2"/>
  <c r="Q154" i="1"/>
  <c r="AC441" i="2"/>
  <c r="Q292" i="1"/>
  <c r="Q185" i="1"/>
  <c r="Q293" i="1"/>
  <c r="AC461" i="2"/>
  <c r="Q252" i="1"/>
  <c r="EK24" i="15"/>
  <c r="Q115" i="1"/>
  <c r="C22" i="4"/>
  <c r="AC457" i="2"/>
  <c r="Q204" i="1"/>
  <c r="Q275" i="1"/>
  <c r="Q251" i="1"/>
  <c r="BF8" i="15"/>
  <c r="BD9" i="15" s="1"/>
  <c r="AC289" i="2"/>
  <c r="AC765" i="2"/>
  <c r="AC357" i="2"/>
  <c r="D15" i="4"/>
  <c r="L8" i="4" s="1"/>
  <c r="J33" i="4"/>
  <c r="AC593" i="2"/>
  <c r="AB297" i="2"/>
  <c r="AC297" i="2" s="1"/>
  <c r="AC489" i="2"/>
  <c r="AB341" i="2"/>
  <c r="AC341" i="2" s="1"/>
  <c r="L41" i="4"/>
  <c r="J30" i="4"/>
  <c r="D24" i="4"/>
  <c r="L16" i="4" s="1"/>
  <c r="N8" i="9"/>
  <c r="DQ6" i="15"/>
  <c r="BZ24" i="15"/>
  <c r="BF21" i="15"/>
  <c r="BD22" i="15" s="1"/>
  <c r="AC413" i="2"/>
  <c r="AC449" i="2"/>
  <c r="AC353" i="2"/>
  <c r="I15" i="4"/>
  <c r="J8" i="9"/>
  <c r="L105" i="4"/>
  <c r="I51" i="4"/>
  <c r="I107" i="4" s="1"/>
  <c r="Y8" i="9"/>
  <c r="Q114" i="1"/>
  <c r="D113" i="4" s="1"/>
  <c r="I111" i="4" s="1"/>
  <c r="J111" i="4" s="1"/>
  <c r="F51" i="4"/>
  <c r="F107" i="4" s="1"/>
  <c r="AC821" i="2"/>
  <c r="AC829" i="2"/>
  <c r="CV11" i="15"/>
  <c r="CT12" i="15" s="1"/>
  <c r="BL24" i="15"/>
  <c r="AC773" i="2"/>
  <c r="AD385" i="2"/>
  <c r="O2" i="4" s="1"/>
  <c r="BF17" i="15"/>
  <c r="BE18" i="15" s="1"/>
  <c r="AC281" i="2"/>
  <c r="AC337" i="2"/>
  <c r="AC309" i="2"/>
  <c r="AF5" i="5"/>
  <c r="L30" i="4"/>
  <c r="I7" i="4"/>
  <c r="F8" i="9"/>
  <c r="L35" i="4"/>
  <c r="U8" i="9"/>
  <c r="K29" i="7"/>
  <c r="AC273" i="2"/>
  <c r="AC221" i="2"/>
  <c r="Q300" i="1"/>
  <c r="Q249" i="1"/>
  <c r="AC189" i="2"/>
  <c r="Q41" i="1"/>
  <c r="CP24" i="15"/>
  <c r="DL24" i="15"/>
  <c r="DG24" i="15"/>
  <c r="DI24" i="15" s="1"/>
  <c r="CR24" i="15"/>
  <c r="BJ24" i="15"/>
  <c r="AU24" i="15"/>
  <c r="S24" i="15"/>
  <c r="BU24" i="15"/>
  <c r="CA24" i="15" s="1"/>
  <c r="AZ24" i="15"/>
  <c r="CZ24" i="15"/>
  <c r="DM24" i="15"/>
  <c r="DE24" i="15"/>
  <c r="BX24" i="15"/>
  <c r="BH24" i="15"/>
  <c r="BC24" i="15"/>
  <c r="X24" i="15"/>
  <c r="CI24" i="15"/>
  <c r="BN24" i="15"/>
  <c r="BT24" i="15" s="1"/>
  <c r="CX24" i="15"/>
  <c r="EB24" i="15"/>
  <c r="DF24" i="15"/>
  <c r="BV24" i="15"/>
  <c r="BI24" i="15"/>
  <c r="BA24" i="15"/>
  <c r="AO24" i="15"/>
  <c r="AA24" i="15"/>
  <c r="DK24" i="15"/>
  <c r="DQ24" i="15" s="1"/>
  <c r="BG24" i="15"/>
  <c r="BM24" i="15" s="1"/>
  <c r="CY24" i="15"/>
  <c r="DZ24" i="15"/>
  <c r="CE24" i="15"/>
  <c r="CG24" i="15" s="1"/>
  <c r="BW24" i="15"/>
  <c r="BB24" i="15"/>
  <c r="AM24" i="15"/>
  <c r="AH24" i="15"/>
  <c r="AJ24" i="15" s="1"/>
  <c r="Y24" i="15"/>
  <c r="AL24" i="15"/>
  <c r="EA24" i="15"/>
  <c r="CC24" i="15"/>
  <c r="BQ24" i="15"/>
  <c r="AN24" i="15"/>
  <c r="AF24" i="15"/>
  <c r="Z24" i="15"/>
  <c r="M24" i="15"/>
  <c r="O24" i="15" s="1"/>
  <c r="F24" i="15"/>
  <c r="E24" i="15"/>
  <c r="Q24" i="15"/>
  <c r="W24" i="15" s="1"/>
  <c r="EI24" i="15"/>
  <c r="DU24" i="15"/>
  <c r="CL24" i="15"/>
  <c r="CD24" i="15"/>
  <c r="BO24" i="15"/>
  <c r="BS24" i="15" s="1"/>
  <c r="AG24" i="15"/>
  <c r="K24" i="15"/>
  <c r="D24" i="15"/>
  <c r="DR24" i="15"/>
  <c r="EG24" i="15"/>
  <c r="DS24" i="15"/>
  <c r="CS24" i="15"/>
  <c r="CJ24" i="15"/>
  <c r="BP24" i="15"/>
  <c r="AV24" i="15"/>
  <c r="AX24" i="15" s="1"/>
  <c r="T24" i="15"/>
  <c r="V24" i="15" s="1"/>
  <c r="L24" i="15"/>
  <c r="AS24" i="15"/>
  <c r="AY24" i="15" s="1"/>
  <c r="J24" i="15"/>
  <c r="P24" i="15" s="1"/>
  <c r="EH24" i="15"/>
  <c r="DT24" i="15"/>
  <c r="DN24" i="15"/>
  <c r="CQ24" i="15"/>
  <c r="CK24" i="15"/>
  <c r="AT24" i="15"/>
  <c r="R24" i="15"/>
  <c r="F30" i="4"/>
  <c r="D30" i="4"/>
  <c r="E30" i="4"/>
  <c r="C30" i="4"/>
  <c r="G102" i="4"/>
  <c r="DP24" i="15"/>
  <c r="AC721" i="2"/>
  <c r="AC881" i="2"/>
  <c r="AC373" i="2"/>
  <c r="I33" i="4"/>
  <c r="L8" i="9"/>
  <c r="Q120" i="1"/>
  <c r="H37" i="4"/>
  <c r="H96" i="4" s="1"/>
  <c r="AC561" i="2"/>
  <c r="AC641" i="2"/>
  <c r="AC597" i="2"/>
  <c r="Q133" i="1"/>
  <c r="D110" i="4" s="1"/>
  <c r="E110" i="4" s="1"/>
  <c r="Q157" i="1"/>
  <c r="AC717" i="2"/>
  <c r="AC249" i="2"/>
  <c r="AC905" i="2"/>
  <c r="AC893" i="2"/>
  <c r="AC293" i="2"/>
  <c r="L38" i="4"/>
  <c r="EL24" i="15"/>
  <c r="BF14" i="15"/>
  <c r="BE15" i="15" s="1"/>
  <c r="AC469" i="2"/>
  <c r="AC877" i="2"/>
  <c r="AC861" i="2"/>
  <c r="I45" i="4"/>
  <c r="I101" i="4" s="1"/>
  <c r="D118" i="4"/>
  <c r="E118" i="4" s="1"/>
  <c r="Q100" i="1"/>
  <c r="D114" i="4" s="1"/>
  <c r="I112" i="4" s="1"/>
  <c r="J112" i="4" s="1"/>
  <c r="K27" i="7"/>
  <c r="K42" i="4"/>
  <c r="K99" i="4" s="1"/>
  <c r="J44" i="4"/>
  <c r="J100" i="4" s="1"/>
  <c r="AC553" i="2"/>
  <c r="E42" i="4"/>
  <c r="I16" i="4"/>
  <c r="Q139" i="1"/>
  <c r="AC473" i="2"/>
  <c r="C42" i="4"/>
  <c r="C99" i="4" s="1"/>
  <c r="AB405" i="2"/>
  <c r="AC405" i="2" s="1"/>
  <c r="Q283" i="1"/>
  <c r="Q296" i="1"/>
  <c r="CI18" i="15"/>
  <c r="C48" i="4"/>
  <c r="C104" i="4" s="1"/>
  <c r="D42" i="4"/>
  <c r="Q141" i="1"/>
  <c r="I50" i="4"/>
  <c r="I106" i="4" s="1"/>
  <c r="AC761" i="2"/>
  <c r="AC669" i="2"/>
  <c r="AB305" i="2"/>
  <c r="AC305" i="2" s="1"/>
  <c r="AC789" i="2"/>
  <c r="H28" i="4"/>
  <c r="L45" i="4"/>
  <c r="M11" i="4" s="1"/>
  <c r="Q11" i="4" s="1"/>
  <c r="V11" i="4" s="1"/>
  <c r="C11" i="4"/>
  <c r="H11" i="4" s="1"/>
  <c r="I11" i="4"/>
  <c r="K25" i="7"/>
  <c r="K28" i="7"/>
  <c r="K30" i="7" s="1"/>
  <c r="M30" i="7" s="1"/>
  <c r="AC605" i="2"/>
  <c r="AC581" i="2"/>
  <c r="Q183" i="1"/>
  <c r="AC577" i="2"/>
  <c r="AC609" i="2"/>
  <c r="Q187" i="1"/>
  <c r="Q260" i="1"/>
  <c r="Q243" i="1"/>
  <c r="Q220" i="1"/>
  <c r="Q137" i="1"/>
  <c r="Q303" i="1"/>
  <c r="A10" i="9"/>
  <c r="G8" i="9"/>
  <c r="W8" i="9"/>
  <c r="S8" i="9"/>
  <c r="O8" i="9"/>
  <c r="K8" i="9"/>
  <c r="C8" i="9"/>
  <c r="K44" i="4"/>
  <c r="K100" i="4" s="1"/>
  <c r="AC545" i="2"/>
  <c r="Q57" i="1"/>
  <c r="Q42" i="1"/>
  <c r="D43" i="4"/>
  <c r="D99" i="4" s="1"/>
  <c r="E43" i="4"/>
  <c r="J17" i="9"/>
  <c r="J18" i="9" s="1"/>
  <c r="F43" i="4"/>
  <c r="F45" i="4"/>
  <c r="F101" i="4" s="1"/>
  <c r="E45" i="4"/>
  <c r="E101" i="4" s="1"/>
  <c r="AC681" i="2"/>
  <c r="AC625" i="2"/>
  <c r="AC621" i="2"/>
  <c r="AD509" i="2"/>
  <c r="O8" i="4" s="1"/>
  <c r="AC725" i="2"/>
  <c r="AC857" i="2"/>
  <c r="AC637" i="2"/>
  <c r="D125" i="4"/>
  <c r="E125" i="4" s="1"/>
  <c r="J42" i="4"/>
  <c r="D25" i="4"/>
  <c r="L17" i="4" s="1"/>
  <c r="D2" i="4"/>
  <c r="L42" i="4"/>
  <c r="M9" i="4" s="1"/>
  <c r="Q9" i="4" s="1"/>
  <c r="L28" i="4"/>
  <c r="M2" i="4" s="1"/>
  <c r="Q2" i="4" s="1"/>
  <c r="X2" i="4" s="1"/>
  <c r="I18" i="4"/>
  <c r="AC213" i="2"/>
  <c r="Q236" i="1"/>
  <c r="AC537" i="2"/>
  <c r="Q266" i="1"/>
  <c r="G42" i="4"/>
  <c r="G99" i="4" s="1"/>
  <c r="F42" i="4"/>
  <c r="C92" i="4"/>
  <c r="J45" i="4"/>
  <c r="J101" i="4" s="1"/>
  <c r="AC793" i="2"/>
  <c r="AC805" i="2"/>
  <c r="AC613" i="2"/>
  <c r="AC705" i="2"/>
  <c r="D19" i="4"/>
  <c r="L11" i="4" s="1"/>
  <c r="I99" i="4"/>
  <c r="H42" i="4"/>
  <c r="H99" i="4" s="1"/>
  <c r="Q276" i="1"/>
  <c r="AC841" i="2"/>
  <c r="C21" i="4"/>
  <c r="Q147" i="1"/>
  <c r="D111" i="4" s="1"/>
  <c r="E111" i="4" s="1"/>
  <c r="Q146" i="1"/>
  <c r="Q239" i="1"/>
  <c r="Q159" i="1"/>
  <c r="I123" i="4"/>
  <c r="J123" i="4" s="1"/>
  <c r="E131" i="4"/>
  <c r="M17" i="4"/>
  <c r="Q17" i="4" s="1"/>
  <c r="L107" i="4"/>
  <c r="DX20" i="15"/>
  <c r="DW21" i="15" s="1"/>
  <c r="DX18" i="15"/>
  <c r="DW19" i="15" s="1"/>
  <c r="DW17" i="15"/>
  <c r="DX21" i="15"/>
  <c r="DV22" i="15" s="1"/>
  <c r="DX17" i="15"/>
  <c r="DW18" i="15" s="1"/>
  <c r="DX19" i="15"/>
  <c r="DW20" i="15" s="1"/>
  <c r="CO23" i="15"/>
  <c r="CN24" i="15" s="1"/>
  <c r="CN22" i="15"/>
  <c r="CO22" i="15"/>
  <c r="CN23" i="15" s="1"/>
  <c r="CO24" i="15"/>
  <c r="CO11" i="15"/>
  <c r="CM12" i="15" s="1"/>
  <c r="CN9" i="15"/>
  <c r="CO10" i="15"/>
  <c r="CO9" i="15"/>
  <c r="AC301" i="2"/>
  <c r="AB5" i="5"/>
  <c r="AQ17" i="15"/>
  <c r="EE21" i="15"/>
  <c r="EC22" i="15" s="1"/>
  <c r="EE19" i="15"/>
  <c r="ED20" i="15" s="1"/>
  <c r="EE17" i="15"/>
  <c r="ED18" i="15" s="1"/>
  <c r="EE20" i="15"/>
  <c r="ED21" i="15" s="1"/>
  <c r="ED17" i="15"/>
  <c r="EE18" i="15"/>
  <c r="ED19" i="15" s="1"/>
  <c r="AY11" i="15"/>
  <c r="AW12" i="15" s="1"/>
  <c r="AX9" i="15"/>
  <c r="AY9" i="15"/>
  <c r="AY10" i="15"/>
  <c r="BF24" i="15"/>
  <c r="BF22" i="15"/>
  <c r="BE23" i="15" s="1"/>
  <c r="BF23" i="15"/>
  <c r="BE24" i="15" s="1"/>
  <c r="BE22" i="15"/>
  <c r="I122" i="4"/>
  <c r="J122" i="4" s="1"/>
  <c r="E130" i="4"/>
  <c r="AC417" i="2"/>
  <c r="BD5" i="5"/>
  <c r="BE5" i="5" s="1"/>
  <c r="AC5" i="5"/>
  <c r="BL5" i="5"/>
  <c r="BM5" i="5" s="1"/>
  <c r="AG5" i="5"/>
  <c r="D18" i="4"/>
  <c r="L10" i="4" s="1"/>
  <c r="C18" i="4"/>
  <c r="Q98" i="1"/>
  <c r="C7" i="4"/>
  <c r="H7" i="4" s="1"/>
  <c r="X22" i="15"/>
  <c r="L34" i="4"/>
  <c r="D8" i="4"/>
  <c r="H34" i="4"/>
  <c r="E34" i="4"/>
  <c r="D34" i="4"/>
  <c r="I34" i="4"/>
  <c r="I95" i="4" s="1"/>
  <c r="F34" i="4"/>
  <c r="K34" i="4"/>
  <c r="J34" i="4"/>
  <c r="G34" i="4"/>
  <c r="I8" i="4"/>
  <c r="E48" i="4"/>
  <c r="E104" i="4" s="1"/>
  <c r="D48" i="4"/>
  <c r="D104" i="4" s="1"/>
  <c r="I22" i="4"/>
  <c r="F48" i="4"/>
  <c r="F104" i="4" s="1"/>
  <c r="K48" i="4"/>
  <c r="K104" i="4" s="1"/>
  <c r="G48" i="4"/>
  <c r="G104" i="4" s="1"/>
  <c r="J48" i="4"/>
  <c r="J104" i="4" s="1"/>
  <c r="H48" i="4"/>
  <c r="H104" i="4" s="1"/>
  <c r="Q152" i="1"/>
  <c r="D119" i="4" s="1"/>
  <c r="K9" i="7"/>
  <c r="C25" i="15"/>
  <c r="A26" i="15"/>
  <c r="AE25" i="15"/>
  <c r="AK25" i="15" s="1"/>
  <c r="AI26" i="15" s="1"/>
  <c r="DY25" i="15"/>
  <c r="EE25" i="15" s="1"/>
  <c r="EC26" i="15" s="1"/>
  <c r="DR25" i="15"/>
  <c r="CW25" i="15"/>
  <c r="CI25" i="15"/>
  <c r="CO25" i="15" s="1"/>
  <c r="CM26" i="15" s="1"/>
  <c r="CB25" i="15"/>
  <c r="CH25" i="15" s="1"/>
  <c r="CF26" i="15" s="1"/>
  <c r="CP25" i="15"/>
  <c r="CV25" i="15" s="1"/>
  <c r="CT26" i="15" s="1"/>
  <c r="DD25" i="15"/>
  <c r="DJ25" i="15" s="1"/>
  <c r="DH26" i="15" s="1"/>
  <c r="EF25" i="15"/>
  <c r="BG25" i="15"/>
  <c r="BM25" i="15" s="1"/>
  <c r="BK26" i="15" s="1"/>
  <c r="Q25" i="15"/>
  <c r="BU25" i="15"/>
  <c r="BN25" i="15"/>
  <c r="CZ25" i="15"/>
  <c r="DK25" i="15"/>
  <c r="DQ25" i="15" s="1"/>
  <c r="DO26" i="15" s="1"/>
  <c r="AZ25" i="15"/>
  <c r="BF25" i="15" s="1"/>
  <c r="BD26" i="15" s="1"/>
  <c r="AS25" i="15"/>
  <c r="AY25" i="15" s="1"/>
  <c r="AW26" i="15" s="1"/>
  <c r="AL25" i="15"/>
  <c r="AR25" i="15" s="1"/>
  <c r="AP26" i="15" s="1"/>
  <c r="CX25" i="15"/>
  <c r="EA25" i="15"/>
  <c r="DN25" i="15"/>
  <c r="CS25" i="15"/>
  <c r="CL25" i="15"/>
  <c r="CY25" i="15"/>
  <c r="EI25" i="15"/>
  <c r="DU25" i="15"/>
  <c r="DL25" i="15"/>
  <c r="DG25" i="15"/>
  <c r="CQ25" i="15"/>
  <c r="CJ25" i="15"/>
  <c r="J25" i="15"/>
  <c r="P25" i="15" s="1"/>
  <c r="N26" i="15" s="1"/>
  <c r="EG25" i="15"/>
  <c r="EB25" i="15"/>
  <c r="DS25" i="15"/>
  <c r="DM25" i="15"/>
  <c r="DE25" i="15"/>
  <c r="CR25" i="15"/>
  <c r="CK25" i="15"/>
  <c r="EH25" i="15"/>
  <c r="DZ25" i="15"/>
  <c r="DT25" i="15"/>
  <c r="DF25" i="15"/>
  <c r="CE25" i="15"/>
  <c r="BW25" i="15"/>
  <c r="BB25" i="15"/>
  <c r="AT25" i="15"/>
  <c r="AO25" i="15"/>
  <c r="X25" i="15"/>
  <c r="Z25" i="15"/>
  <c r="CC25" i="15"/>
  <c r="BQ25" i="15"/>
  <c r="BJ25" i="15"/>
  <c r="AU25" i="15"/>
  <c r="AM25" i="15"/>
  <c r="AH25" i="15"/>
  <c r="CD25" i="15"/>
  <c r="BX25" i="15"/>
  <c r="BO25" i="15"/>
  <c r="BH25" i="15"/>
  <c r="BC25" i="15"/>
  <c r="AN25" i="15"/>
  <c r="AF25" i="15"/>
  <c r="BV25" i="15"/>
  <c r="BP25" i="15"/>
  <c r="BI25" i="15"/>
  <c r="BA25" i="15"/>
  <c r="AV25" i="15"/>
  <c r="AG25" i="15"/>
  <c r="K25" i="15"/>
  <c r="D25" i="15"/>
  <c r="T25" i="15"/>
  <c r="L25" i="15"/>
  <c r="E25" i="15"/>
  <c r="AA25" i="15"/>
  <c r="R25" i="15"/>
  <c r="Y25" i="15"/>
  <c r="S25" i="15"/>
  <c r="M25" i="15"/>
  <c r="F25" i="15"/>
  <c r="DC17" i="15"/>
  <c r="DB18" i="15" s="1"/>
  <c r="DB17" i="15"/>
  <c r="DX25" i="15"/>
  <c r="DV26" i="15" s="1"/>
  <c r="DX23" i="15"/>
  <c r="DW24" i="15" s="1"/>
  <c r="DW22" i="15"/>
  <c r="DX24" i="15"/>
  <c r="DX22" i="15"/>
  <c r="DW23" i="15" s="1"/>
  <c r="DJ10" i="15"/>
  <c r="DJ9" i="15"/>
  <c r="DJ11" i="15"/>
  <c r="DH12" i="15" s="1"/>
  <c r="DI9" i="15"/>
  <c r="BF15" i="15"/>
  <c r="BD16" i="15" s="1"/>
  <c r="Q127" i="1"/>
  <c r="C8" i="4"/>
  <c r="AC797" i="2"/>
  <c r="AC285" i="2"/>
  <c r="AC689" i="2"/>
  <c r="AC509" i="2"/>
  <c r="AC433" i="2"/>
  <c r="AC845" i="2"/>
  <c r="AC785" i="2"/>
  <c r="AC869" i="2"/>
  <c r="AC633" i="2"/>
  <c r="AC849" i="2"/>
  <c r="AC733" i="2"/>
  <c r="AB325" i="2"/>
  <c r="AC325" i="2" s="1"/>
  <c r="AD313" i="2" s="1"/>
  <c r="BF5" i="5"/>
  <c r="BG5" i="5" s="1"/>
  <c r="AL5" i="5"/>
  <c r="AM5" i="5" s="1"/>
  <c r="BH5" i="5"/>
  <c r="BI5" i="5" s="1"/>
  <c r="I37" i="4"/>
  <c r="BJ5" i="5"/>
  <c r="BK5" i="5" s="1"/>
  <c r="BB5" i="5"/>
  <c r="BC5" i="5" s="1"/>
  <c r="Q103" i="1"/>
  <c r="Q117" i="1"/>
  <c r="K32" i="4"/>
  <c r="I48" i="4"/>
  <c r="I104" i="4" s="1"/>
  <c r="G37" i="4"/>
  <c r="AE5" i="5"/>
  <c r="K37" i="4"/>
  <c r="DC6" i="15"/>
  <c r="DC7" i="15"/>
  <c r="DC8" i="15"/>
  <c r="DA9" i="15" s="1"/>
  <c r="DC5" i="15"/>
  <c r="Q106" i="1"/>
  <c r="Q125" i="1"/>
  <c r="D10" i="4"/>
  <c r="AL17" i="15"/>
  <c r="AR20" i="15" s="1"/>
  <c r="AQ21" i="15" s="1"/>
  <c r="E38" i="4"/>
  <c r="H38" i="4"/>
  <c r="J38" i="4"/>
  <c r="I38" i="4"/>
  <c r="D38" i="4"/>
  <c r="K38" i="4"/>
  <c r="C38" i="4"/>
  <c r="C97" i="4" s="1"/>
  <c r="I12" i="4"/>
  <c r="F38" i="4"/>
  <c r="AE20" i="15"/>
  <c r="C36" i="4"/>
  <c r="I10" i="4"/>
  <c r="E36" i="4"/>
  <c r="I36" i="4"/>
  <c r="J36" i="4"/>
  <c r="K36" i="4"/>
  <c r="K96" i="4" s="1"/>
  <c r="D36" i="4"/>
  <c r="G36" i="4"/>
  <c r="F36" i="4"/>
  <c r="C21" i="15"/>
  <c r="D28" i="4"/>
  <c r="D92" i="4" s="1"/>
  <c r="J28" i="4"/>
  <c r="I28" i="4"/>
  <c r="I2" i="4"/>
  <c r="E28" i="4"/>
  <c r="E92" i="4" s="1"/>
  <c r="K28" i="4"/>
  <c r="G28" i="4"/>
  <c r="G92" i="4" s="1"/>
  <c r="F28" i="4"/>
  <c r="F92" i="4" s="1"/>
  <c r="X23" i="15"/>
  <c r="F35" i="4"/>
  <c r="D35" i="4"/>
  <c r="K35" i="4"/>
  <c r="J35" i="4"/>
  <c r="G35" i="4"/>
  <c r="I9" i="4"/>
  <c r="H35" i="4"/>
  <c r="E35" i="4"/>
  <c r="I3" i="4"/>
  <c r="H29" i="4"/>
  <c r="J29" i="4"/>
  <c r="I29" i="4"/>
  <c r="K29" i="4"/>
  <c r="J99" i="4"/>
  <c r="K15" i="4"/>
  <c r="H23" i="4"/>
  <c r="Q140" i="1"/>
  <c r="K6" i="7"/>
  <c r="K3" i="7"/>
  <c r="Q169" i="1"/>
  <c r="D129" i="4" s="1"/>
  <c r="K10" i="7"/>
  <c r="I21" i="4"/>
  <c r="Q12" i="4"/>
  <c r="K45" i="4"/>
  <c r="K101" i="4" s="1"/>
  <c r="K14" i="4"/>
  <c r="H22" i="4"/>
  <c r="K4" i="7"/>
  <c r="Q40" i="1"/>
  <c r="C16" i="4"/>
  <c r="L32" i="4"/>
  <c r="V10" i="4"/>
  <c r="X10" i="4"/>
  <c r="L47" i="4"/>
  <c r="M13" i="4" s="1"/>
  <c r="Q13" i="4" s="1"/>
  <c r="D16" i="4"/>
  <c r="L9" i="4" s="1"/>
  <c r="Q15" i="15"/>
  <c r="W15" i="15" s="1"/>
  <c r="U16" i="15" s="1"/>
  <c r="D33" i="4"/>
  <c r="C33" i="4"/>
  <c r="F33" i="4"/>
  <c r="K33" i="4"/>
  <c r="E33" i="4"/>
  <c r="I17" i="9"/>
  <c r="I18" i="9" s="1"/>
  <c r="G33" i="4"/>
  <c r="H33" i="4"/>
  <c r="E113" i="4"/>
  <c r="Q112" i="1"/>
  <c r="Q122" i="1"/>
  <c r="J37" i="4"/>
  <c r="M6" i="4"/>
  <c r="Q6" i="4" s="1"/>
  <c r="L96" i="4"/>
  <c r="E32" i="4"/>
  <c r="C32" i="4"/>
  <c r="G32" i="4"/>
  <c r="I6" i="4"/>
  <c r="F32" i="4"/>
  <c r="H32" i="4"/>
  <c r="J32" i="4"/>
  <c r="I32" i="4"/>
  <c r="D32" i="4"/>
  <c r="AE18" i="15"/>
  <c r="F37" i="4"/>
  <c r="D37" i="4"/>
  <c r="C37" i="4"/>
  <c r="E37" i="4"/>
  <c r="E51" i="4"/>
  <c r="E107" i="4" s="1"/>
  <c r="D51" i="4"/>
  <c r="D107" i="4" s="1"/>
  <c r="I25" i="4"/>
  <c r="G51" i="4"/>
  <c r="G107" i="4" s="1"/>
  <c r="H51" i="4"/>
  <c r="H107" i="4" s="1"/>
  <c r="K17" i="4"/>
  <c r="H25" i="4"/>
  <c r="Q149" i="1"/>
  <c r="D121" i="4" s="1"/>
  <c r="Q180" i="1"/>
  <c r="C10" i="4"/>
  <c r="X24" i="9"/>
  <c r="T24" i="9"/>
  <c r="P24" i="9"/>
  <c r="L24" i="9"/>
  <c r="H24" i="9"/>
  <c r="D24" i="9"/>
  <c r="A26" i="9"/>
  <c r="R24" i="9"/>
  <c r="J24" i="9"/>
  <c r="B24" i="9"/>
  <c r="W24" i="9"/>
  <c r="S24" i="9"/>
  <c r="O24" i="9"/>
  <c r="K24" i="9"/>
  <c r="G24" i="9"/>
  <c r="C24" i="9"/>
  <c r="Y24" i="9"/>
  <c r="Q24" i="9"/>
  <c r="I24" i="9"/>
  <c r="V24" i="9"/>
  <c r="N24" i="9"/>
  <c r="F24" i="9"/>
  <c r="U24" i="9"/>
  <c r="M24" i="9"/>
  <c r="E24" i="9"/>
  <c r="K2" i="7"/>
  <c r="K8" i="7"/>
  <c r="D3" i="4"/>
  <c r="Q176" i="1"/>
  <c r="H47" i="4"/>
  <c r="H103" i="4" s="1"/>
  <c r="I120" i="4"/>
  <c r="J120" i="4" s="1"/>
  <c r="E128" i="4"/>
  <c r="H45" i="4"/>
  <c r="H101" i="4" s="1"/>
  <c r="I19" i="4"/>
  <c r="M8" i="4"/>
  <c r="Q8" i="4" s="1"/>
  <c r="H12" i="4"/>
  <c r="K7" i="4"/>
  <c r="K2" i="4"/>
  <c r="H3" i="4"/>
  <c r="DR15" i="15"/>
  <c r="E39" i="4"/>
  <c r="E97" i="4" s="1"/>
  <c r="J39" i="4"/>
  <c r="I39" i="4"/>
  <c r="D39" i="4"/>
  <c r="K39" i="4"/>
  <c r="I13" i="4"/>
  <c r="F39" i="4"/>
  <c r="G39" i="4"/>
  <c r="G97" i="4" s="1"/>
  <c r="J18" i="15"/>
  <c r="K31" i="4"/>
  <c r="C31" i="4"/>
  <c r="D31" i="4"/>
  <c r="I5" i="4"/>
  <c r="J31" i="4"/>
  <c r="J93" i="4" s="1"/>
  <c r="G31" i="4"/>
  <c r="G93" i="4" s="1"/>
  <c r="E31" i="4"/>
  <c r="H31" i="4"/>
  <c r="I31" i="4"/>
  <c r="F31" i="4"/>
  <c r="F93" i="4" s="1"/>
  <c r="H39" i="4"/>
  <c r="E124" i="4"/>
  <c r="H6" i="4"/>
  <c r="H19" i="4"/>
  <c r="K11" i="4"/>
  <c r="C15" i="4"/>
  <c r="H17" i="15"/>
  <c r="I20" i="15"/>
  <c r="H21" i="15" s="1"/>
  <c r="I19" i="15"/>
  <c r="H20" i="15" s="1"/>
  <c r="I18" i="15"/>
  <c r="H19" i="15" s="1"/>
  <c r="I17" i="15"/>
  <c r="H18" i="15" s="1"/>
  <c r="CV24" i="15"/>
  <c r="CV22" i="15"/>
  <c r="CU23" i="15" s="1"/>
  <c r="CU22" i="15"/>
  <c r="CV23" i="15"/>
  <c r="CU24" i="15" s="1"/>
  <c r="BM20" i="15"/>
  <c r="BL21" i="15" s="1"/>
  <c r="BM18" i="15"/>
  <c r="BL19" i="15" s="1"/>
  <c r="BL17" i="15"/>
  <c r="BM21" i="15"/>
  <c r="BK22" i="15" s="1"/>
  <c r="BM17" i="15"/>
  <c r="BL18" i="15" s="1"/>
  <c r="BM19" i="15"/>
  <c r="BL20" i="15" s="1"/>
  <c r="W5" i="4"/>
  <c r="EE23" i="15"/>
  <c r="ED24" i="15" s="1"/>
  <c r="DC25" i="15"/>
  <c r="DA26" i="15" s="1"/>
  <c r="DC23" i="15"/>
  <c r="DB24" i="15" s="1"/>
  <c r="DB22" i="15"/>
  <c r="DC22" i="15"/>
  <c r="DB23" i="15" s="1"/>
  <c r="DC24" i="15"/>
  <c r="W2" i="4"/>
  <c r="AC661" i="2"/>
  <c r="AC677" i="2"/>
  <c r="AC897" i="2"/>
  <c r="AA5" i="5"/>
  <c r="AK8" i="15"/>
  <c r="AI9" i="15" s="1"/>
  <c r="AK5" i="15"/>
  <c r="AK6" i="15"/>
  <c r="AK7" i="15"/>
  <c r="M14" i="4"/>
  <c r="Q14" i="4" s="1"/>
  <c r="L104" i="4"/>
  <c r="D13" i="4"/>
  <c r="L7" i="4" s="1"/>
  <c r="J47" i="4"/>
  <c r="J103" i="4" s="1"/>
  <c r="EL25" i="15"/>
  <c r="EJ26" i="15" s="1"/>
  <c r="AY7" i="15"/>
  <c r="Q78" i="1"/>
  <c r="D117" i="4" s="1"/>
  <c r="E117" i="4" s="1"/>
  <c r="D9" i="4"/>
  <c r="C9" i="4"/>
  <c r="H9" i="4" s="1"/>
  <c r="EE24" i="15"/>
  <c r="AR8" i="15"/>
  <c r="AP9" i="15" s="1"/>
  <c r="AC385" i="2"/>
  <c r="AR23" i="15"/>
  <c r="AQ24" i="15" s="1"/>
  <c r="AQ22" i="15"/>
  <c r="AR22" i="15"/>
  <c r="AQ23" i="15" s="1"/>
  <c r="AR24" i="15"/>
  <c r="H22" i="15"/>
  <c r="I25" i="15"/>
  <c r="G26" i="15" s="1"/>
  <c r="I24" i="15"/>
  <c r="I23" i="15"/>
  <c r="H24" i="15" s="1"/>
  <c r="I22" i="15"/>
  <c r="H23" i="15" s="1"/>
  <c r="AC645" i="2"/>
  <c r="AC873" i="2"/>
  <c r="AC885" i="2"/>
  <c r="AC653" i="2"/>
  <c r="AC817" i="2"/>
  <c r="AC665" i="2"/>
  <c r="AC837" i="2"/>
  <c r="AC657" i="2"/>
  <c r="AC193" i="2"/>
  <c r="H6" i="5"/>
  <c r="Q6" i="5"/>
  <c r="V6" i="5"/>
  <c r="D6" i="5"/>
  <c r="O6" i="5"/>
  <c r="J6" i="5"/>
  <c r="W6" i="5"/>
  <c r="T6" i="5"/>
  <c r="X6" i="5"/>
  <c r="B6" i="5"/>
  <c r="G6" i="5"/>
  <c r="I6" i="5"/>
  <c r="U6" i="5"/>
  <c r="N6" i="5"/>
  <c r="R6" i="5"/>
  <c r="E6" i="5"/>
  <c r="F6" i="5"/>
  <c r="L6" i="5"/>
  <c r="P6" i="5"/>
  <c r="M6" i="5"/>
  <c r="C6" i="5"/>
  <c r="K6" i="5"/>
  <c r="Y6" i="5"/>
  <c r="S6" i="5"/>
  <c r="A7" i="5"/>
  <c r="BN5" i="5"/>
  <c r="BO5" i="5" s="1"/>
  <c r="AH5" i="5"/>
  <c r="L31" i="4"/>
  <c r="L98" i="4"/>
  <c r="D5" i="4"/>
  <c r="L3" i="4" s="1"/>
  <c r="AS20" i="15"/>
  <c r="E41" i="4"/>
  <c r="E98" i="4" s="1"/>
  <c r="J41" i="4"/>
  <c r="J98" i="4" s="1"/>
  <c r="G41" i="4"/>
  <c r="G98" i="4" s="1"/>
  <c r="H41" i="4"/>
  <c r="H98" i="4" s="1"/>
  <c r="C41" i="4"/>
  <c r="C98" i="4" s="1"/>
  <c r="D41" i="4"/>
  <c r="D98" i="4" s="1"/>
  <c r="I41" i="4"/>
  <c r="I98" i="4" s="1"/>
  <c r="F41" i="4"/>
  <c r="F98" i="4" s="1"/>
  <c r="K41" i="4"/>
  <c r="K98" i="4" s="1"/>
  <c r="I47" i="4"/>
  <c r="I103" i="4" s="1"/>
  <c r="C24" i="4"/>
  <c r="K3" i="4"/>
  <c r="H4" i="4"/>
  <c r="C50" i="4"/>
  <c r="C106" i="4" s="1"/>
  <c r="D7" i="4"/>
  <c r="X15" i="4"/>
  <c r="V15" i="4"/>
  <c r="X11" i="4"/>
  <c r="L99" i="4"/>
  <c r="D6" i="4"/>
  <c r="L50" i="4"/>
  <c r="M16" i="4" s="1"/>
  <c r="Q16" i="4" s="1"/>
  <c r="CW18" i="15"/>
  <c r="DC20" i="15" s="1"/>
  <c r="DB21" i="15" s="1"/>
  <c r="E50" i="4"/>
  <c r="E106" i="4" s="1"/>
  <c r="D50" i="4"/>
  <c r="D106" i="4" s="1"/>
  <c r="F50" i="4"/>
  <c r="F106" i="4" s="1"/>
  <c r="K50" i="4"/>
  <c r="K106" i="4" s="1"/>
  <c r="G50" i="4"/>
  <c r="G106" i="4" s="1"/>
  <c r="H50" i="4"/>
  <c r="H106" i="4" s="1"/>
  <c r="I24" i="4"/>
  <c r="D22" i="4"/>
  <c r="L14" i="4" s="1"/>
  <c r="W8" i="15"/>
  <c r="U9" i="15" s="1"/>
  <c r="W5" i="15"/>
  <c r="W7" i="15"/>
  <c r="W6" i="15"/>
  <c r="L39" i="4"/>
  <c r="M7" i="4" s="1"/>
  <c r="Q7" i="4" s="1"/>
  <c r="Q99" i="1"/>
  <c r="CP21" i="15"/>
  <c r="I23" i="4"/>
  <c r="E49" i="4"/>
  <c r="E105" i="4" s="1"/>
  <c r="D49" i="4"/>
  <c r="D105" i="4" s="1"/>
  <c r="K49" i="4"/>
  <c r="K105" i="4" s="1"/>
  <c r="C49" i="4"/>
  <c r="C105" i="4" s="1"/>
  <c r="F49" i="4"/>
  <c r="F105" i="4" s="1"/>
  <c r="G49" i="4"/>
  <c r="G105" i="4" s="1"/>
  <c r="J49" i="4"/>
  <c r="J105" i="4" s="1"/>
  <c r="H49" i="4"/>
  <c r="H105" i="4" s="1"/>
  <c r="H30" i="4"/>
  <c r="I30" i="4"/>
  <c r="K30" i="4"/>
  <c r="I4" i="4"/>
  <c r="J51" i="4"/>
  <c r="J107" i="4" s="1"/>
  <c r="I118" i="4"/>
  <c r="J118" i="4" s="1"/>
  <c r="E126" i="4"/>
  <c r="J50" i="4"/>
  <c r="J106" i="4" s="1"/>
  <c r="K22" i="7"/>
  <c r="M22" i="7" s="1"/>
  <c r="Q132" i="1"/>
  <c r="D133" i="4" s="1"/>
  <c r="AD5" i="5"/>
  <c r="K11" i="7"/>
  <c r="D11" i="4"/>
  <c r="K12" i="7"/>
  <c r="L100" i="4"/>
  <c r="Q136" i="1"/>
  <c r="Q162" i="1"/>
  <c r="K5" i="7"/>
  <c r="K47" i="4"/>
  <c r="K103" i="4" s="1"/>
  <c r="AX5" i="5"/>
  <c r="AY5" i="5" s="1"/>
  <c r="AX4" i="5"/>
  <c r="AY4" i="5" s="1"/>
  <c r="H92" i="4" l="1"/>
  <c r="AD569" i="2"/>
  <c r="H97" i="4"/>
  <c r="C93" i="4"/>
  <c r="L93" i="4"/>
  <c r="L92" i="4"/>
  <c r="I93" i="4"/>
  <c r="E95" i="4"/>
  <c r="K93" i="4"/>
  <c r="K97" i="4"/>
  <c r="H95" i="4"/>
  <c r="M5" i="4"/>
  <c r="Q5" i="4" s="1"/>
  <c r="X5" i="4" s="1"/>
  <c r="D95" i="4"/>
  <c r="E114" i="4"/>
  <c r="F99" i="4"/>
  <c r="AD377" i="2"/>
  <c r="D93" i="4"/>
  <c r="D97" i="4"/>
  <c r="AB6" i="5"/>
  <c r="H93" i="4"/>
  <c r="L2" i="4"/>
  <c r="E93" i="4"/>
  <c r="I94" i="4"/>
  <c r="K95" i="4"/>
  <c r="F97" i="4"/>
  <c r="J94" i="4"/>
  <c r="I92" i="4"/>
  <c r="L101" i="4"/>
  <c r="L4" i="4"/>
  <c r="D94" i="4"/>
  <c r="J95" i="4"/>
  <c r="L95" i="4"/>
  <c r="M3" i="4"/>
  <c r="Q3" i="4" s="1"/>
  <c r="X3" i="4" s="1"/>
  <c r="D132" i="4"/>
  <c r="I124" i="4" s="1"/>
  <c r="J124" i="4" s="1"/>
  <c r="J96" i="4"/>
  <c r="G94" i="4"/>
  <c r="W25" i="15"/>
  <c r="U26" i="15" s="1"/>
  <c r="E94" i="4"/>
  <c r="H94" i="4"/>
  <c r="E99" i="4"/>
  <c r="AD249" i="2"/>
  <c r="BN6" i="5"/>
  <c r="BO6" i="5" s="1"/>
  <c r="I117" i="4"/>
  <c r="J117" i="4" s="1"/>
  <c r="D116" i="4"/>
  <c r="I113" i="4" s="1"/>
  <c r="J113" i="4" s="1"/>
  <c r="F95" i="4"/>
  <c r="I96" i="4"/>
  <c r="O25" i="15"/>
  <c r="CU25" i="15"/>
  <c r="DB25" i="15"/>
  <c r="J97" i="4"/>
  <c r="C94" i="4"/>
  <c r="K13" i="4"/>
  <c r="H21" i="4"/>
  <c r="C96" i="4"/>
  <c r="G96" i="4"/>
  <c r="L5" i="4"/>
  <c r="R10" i="9"/>
  <c r="A11" i="9"/>
  <c r="P10" i="9"/>
  <c r="T10" i="9"/>
  <c r="K10" i="9"/>
  <c r="N10" i="9"/>
  <c r="Y10" i="9"/>
  <c r="H10" i="9"/>
  <c r="J10" i="9"/>
  <c r="U10" i="9"/>
  <c r="W10" i="9"/>
  <c r="F10" i="9"/>
  <c r="Q10" i="9"/>
  <c r="S10" i="9"/>
  <c r="B10" i="9"/>
  <c r="M10" i="9"/>
  <c r="O10" i="9"/>
  <c r="L10" i="9"/>
  <c r="E10" i="9"/>
  <c r="G10" i="9"/>
  <c r="V10" i="9"/>
  <c r="D10" i="9"/>
  <c r="X10" i="9"/>
  <c r="C10" i="9"/>
  <c r="I10" i="9"/>
  <c r="AE6" i="5"/>
  <c r="CO21" i="15"/>
  <c r="CM22" i="15" s="1"/>
  <c r="CO19" i="15"/>
  <c r="CN20" i="15" s="1"/>
  <c r="CO18" i="15"/>
  <c r="CN19" i="15" s="1"/>
  <c r="CO20" i="15"/>
  <c r="CN21" i="15" s="1"/>
  <c r="AD6" i="5"/>
  <c r="V2" i="4"/>
  <c r="L106" i="4"/>
  <c r="I110" i="4"/>
  <c r="J110" i="4" s="1"/>
  <c r="D127" i="4"/>
  <c r="X9" i="4"/>
  <c r="V9" i="4"/>
  <c r="E119" i="4"/>
  <c r="I114" i="4"/>
  <c r="J114" i="4" s="1"/>
  <c r="X7" i="4"/>
  <c r="V7" i="4"/>
  <c r="CV21" i="15"/>
  <c r="CT22" i="15" s="1"/>
  <c r="H7" i="5"/>
  <c r="M7" i="5"/>
  <c r="F7" i="5"/>
  <c r="C7" i="5"/>
  <c r="P7" i="5"/>
  <c r="E7" i="5"/>
  <c r="K7" i="5"/>
  <c r="L7" i="5"/>
  <c r="AN7" i="5" s="1"/>
  <c r="AO7" i="5" s="1"/>
  <c r="S7" i="5"/>
  <c r="AJ7" i="5" s="1"/>
  <c r="AK7" i="5" s="1"/>
  <c r="A8" i="5"/>
  <c r="J7" i="5"/>
  <c r="AV7" i="5" s="1"/>
  <c r="AW7" i="5" s="1"/>
  <c r="U7" i="5"/>
  <c r="AT7" i="5" s="1"/>
  <c r="AU7" i="5" s="1"/>
  <c r="R7" i="5"/>
  <c r="AP7" i="5" s="1"/>
  <c r="AQ7" i="5" s="1"/>
  <c r="Y7" i="5"/>
  <c r="AL7" i="5" s="1"/>
  <c r="AM7" i="5" s="1"/>
  <c r="V7" i="5"/>
  <c r="X7" i="5"/>
  <c r="B7" i="5"/>
  <c r="D7" i="5"/>
  <c r="O7" i="5"/>
  <c r="AX7" i="5" s="1"/>
  <c r="AY7" i="5" s="1"/>
  <c r="W7" i="5"/>
  <c r="N7" i="5"/>
  <c r="AR7" i="5" s="1"/>
  <c r="AS7" i="5" s="1"/>
  <c r="Q7" i="5"/>
  <c r="AH7" i="5" s="1"/>
  <c r="T7" i="5"/>
  <c r="BJ7" i="5" s="1"/>
  <c r="BK7" i="5" s="1"/>
  <c r="G7" i="5"/>
  <c r="I7" i="5"/>
  <c r="AC6" i="5"/>
  <c r="BD6" i="5"/>
  <c r="BE6" i="5" s="1"/>
  <c r="AT6" i="5"/>
  <c r="AU6" i="5" s="1"/>
  <c r="BH6" i="5"/>
  <c r="BI6" i="5" s="1"/>
  <c r="X14" i="4"/>
  <c r="V14" i="4"/>
  <c r="I21" i="15"/>
  <c r="G22" i="15" s="1"/>
  <c r="I97" i="4"/>
  <c r="X8" i="4"/>
  <c r="V8" i="4"/>
  <c r="F94" i="4"/>
  <c r="L97" i="4"/>
  <c r="H16" i="4"/>
  <c r="K9" i="4"/>
  <c r="X12" i="4"/>
  <c r="V12" i="4"/>
  <c r="D96" i="4"/>
  <c r="E96" i="4"/>
  <c r="D123" i="4"/>
  <c r="DC18" i="15"/>
  <c r="DB19" i="15" s="1"/>
  <c r="H25" i="15"/>
  <c r="V25" i="15"/>
  <c r="AX25" i="15"/>
  <c r="AJ25" i="15"/>
  <c r="BS25" i="15"/>
  <c r="AQ25" i="15"/>
  <c r="CG25" i="15"/>
  <c r="CN25" i="15"/>
  <c r="K10" i="4"/>
  <c r="H18" i="4"/>
  <c r="BL6" i="5"/>
  <c r="BM6" i="5" s="1"/>
  <c r="AR17" i="15"/>
  <c r="AQ18" i="15" s="1"/>
  <c r="I125" i="4"/>
  <c r="J125" i="4" s="1"/>
  <c r="E133" i="4"/>
  <c r="AY21" i="15"/>
  <c r="AW22" i="15" s="1"/>
  <c r="AY20" i="15"/>
  <c r="AX21" i="15" s="1"/>
  <c r="V3" i="4"/>
  <c r="AJ6" i="5"/>
  <c r="AK6" i="5" s="1"/>
  <c r="AA6" i="5"/>
  <c r="H15" i="4"/>
  <c r="K8" i="4"/>
  <c r="K6" i="4"/>
  <c r="H10" i="4"/>
  <c r="BB6" i="5"/>
  <c r="BC6" i="5" s="1"/>
  <c r="DC19" i="15"/>
  <c r="DB20" i="15" s="1"/>
  <c r="DW25" i="15"/>
  <c r="AR18" i="15"/>
  <c r="AQ19" i="15" s="1"/>
  <c r="AR19" i="15"/>
  <c r="AQ20" i="15" s="1"/>
  <c r="X17" i="4"/>
  <c r="V17" i="4"/>
  <c r="M4" i="4"/>
  <c r="Q4" i="4" s="1"/>
  <c r="L94" i="4"/>
  <c r="F96" i="4"/>
  <c r="L6" i="4"/>
  <c r="BF6" i="5"/>
  <c r="BG6" i="5" s="1"/>
  <c r="H8" i="4"/>
  <c r="K5" i="4"/>
  <c r="BZ25" i="15"/>
  <c r="ED25" i="15"/>
  <c r="EK25" i="15"/>
  <c r="DP25" i="15"/>
  <c r="BT25" i="15"/>
  <c r="BR26" i="15" s="1"/>
  <c r="AR21" i="15"/>
  <c r="AP22" i="15" s="1"/>
  <c r="AZ6" i="5"/>
  <c r="BA6" i="5" s="1"/>
  <c r="AL6" i="5"/>
  <c r="AM6" i="5" s="1"/>
  <c r="AP6" i="5"/>
  <c r="AQ6" i="5" s="1"/>
  <c r="AG6" i="5"/>
  <c r="AF6" i="5"/>
  <c r="BJ6" i="5"/>
  <c r="BK6" i="5" s="1"/>
  <c r="AD189" i="2"/>
  <c r="AC925" i="2"/>
  <c r="P21" i="15"/>
  <c r="N22" i="15" s="1"/>
  <c r="P20" i="15"/>
  <c r="O21" i="15" s="1"/>
  <c r="P19" i="15"/>
  <c r="O20" i="15" s="1"/>
  <c r="P18" i="15"/>
  <c r="O19" i="15" s="1"/>
  <c r="X26" i="9"/>
  <c r="T26" i="9"/>
  <c r="P26" i="9"/>
  <c r="L26" i="9"/>
  <c r="H26" i="9"/>
  <c r="D26" i="9"/>
  <c r="R26" i="9"/>
  <c r="J26" i="9"/>
  <c r="B26" i="9"/>
  <c r="W26" i="9"/>
  <c r="S26" i="9"/>
  <c r="O26" i="9"/>
  <c r="K26" i="9"/>
  <c r="G26" i="9"/>
  <c r="C26" i="9"/>
  <c r="Y26" i="9"/>
  <c r="Q26" i="9"/>
  <c r="I26" i="9"/>
  <c r="V26" i="9"/>
  <c r="N26" i="9"/>
  <c r="F26" i="9"/>
  <c r="A27" i="9"/>
  <c r="U26" i="9"/>
  <c r="M26" i="9"/>
  <c r="E26" i="9"/>
  <c r="X6" i="4"/>
  <c r="V6" i="4"/>
  <c r="AX6" i="5"/>
  <c r="AY6" i="5" s="1"/>
  <c r="X16" i="4"/>
  <c r="V16" i="4"/>
  <c r="H24" i="4"/>
  <c r="K16" i="4"/>
  <c r="AN6" i="5"/>
  <c r="AO6" i="5" s="1"/>
  <c r="AR6" i="5"/>
  <c r="AS6" i="5" s="1"/>
  <c r="AV6" i="5"/>
  <c r="AW6" i="5" s="1"/>
  <c r="AH6" i="5"/>
  <c r="K4" i="4"/>
  <c r="DX15" i="15"/>
  <c r="DV16" i="15" s="1"/>
  <c r="K13" i="7"/>
  <c r="M13" i="7" s="1"/>
  <c r="E121" i="4"/>
  <c r="I115" i="4"/>
  <c r="J115" i="4" s="1"/>
  <c r="AK18" i="15"/>
  <c r="AJ19" i="15" s="1"/>
  <c r="AK21" i="15"/>
  <c r="AI22" i="15" s="1"/>
  <c r="AK20" i="15"/>
  <c r="AJ21" i="15" s="1"/>
  <c r="AK19" i="15"/>
  <c r="AJ20" i="15" s="1"/>
  <c r="X13" i="4"/>
  <c r="V13" i="4"/>
  <c r="I121" i="4"/>
  <c r="J121" i="4" s="1"/>
  <c r="E129" i="4"/>
  <c r="G95" i="4"/>
  <c r="K92" i="4"/>
  <c r="J92" i="4"/>
  <c r="K94" i="4"/>
  <c r="DC21" i="15"/>
  <c r="DA22" i="15" s="1"/>
  <c r="BE25" i="15"/>
  <c r="BL25" i="15"/>
  <c r="DI25" i="15"/>
  <c r="CA25" i="15"/>
  <c r="BY26" i="15" s="1"/>
  <c r="AS26" i="15"/>
  <c r="AF26" i="15"/>
  <c r="EF26" i="15"/>
  <c r="F26" i="15"/>
  <c r="DK26" i="15"/>
  <c r="D26" i="15"/>
  <c r="A27" i="15"/>
  <c r="AT26" i="15"/>
  <c r="AE26" i="15"/>
  <c r="CJ26" i="15"/>
  <c r="CC26" i="15"/>
  <c r="EG26" i="15"/>
  <c r="DY26" i="15"/>
  <c r="DS26" i="15"/>
  <c r="DD26" i="15"/>
  <c r="CX26" i="15"/>
  <c r="CQ26" i="15"/>
  <c r="CI26" i="15"/>
  <c r="C26" i="15"/>
  <c r="DZ26" i="15"/>
  <c r="CP26" i="15"/>
  <c r="AH26" i="15"/>
  <c r="DR26" i="15"/>
  <c r="BU26" i="15"/>
  <c r="BN26" i="15"/>
  <c r="BH26" i="15"/>
  <c r="AZ26" i="15"/>
  <c r="AM26" i="15"/>
  <c r="J26" i="15"/>
  <c r="DE26" i="15"/>
  <c r="CW26" i="15"/>
  <c r="BG26" i="15"/>
  <c r="AL26" i="15"/>
  <c r="R26" i="15"/>
  <c r="CZ26" i="15"/>
  <c r="CY26" i="15"/>
  <c r="CB26" i="15"/>
  <c r="BV26" i="15"/>
  <c r="BO26" i="15"/>
  <c r="Q26" i="15"/>
  <c r="DL26" i="15"/>
  <c r="BA26" i="15"/>
  <c r="EH26" i="15"/>
  <c r="EB26" i="15"/>
  <c r="DT26" i="15"/>
  <c r="DG26" i="15"/>
  <c r="DF26" i="15"/>
  <c r="M26" i="15"/>
  <c r="EA26" i="15"/>
  <c r="DU26" i="15"/>
  <c r="CS26" i="15"/>
  <c r="K26" i="15"/>
  <c r="DN26" i="15"/>
  <c r="EI26" i="15"/>
  <c r="DM26" i="15"/>
  <c r="CR26" i="15"/>
  <c r="CL26" i="15"/>
  <c r="CK26" i="15"/>
  <c r="BX26" i="15"/>
  <c r="BP26" i="15"/>
  <c r="BJ26" i="15"/>
  <c r="BI26" i="15"/>
  <c r="AG26" i="15"/>
  <c r="BW26" i="15"/>
  <c r="BC26" i="15"/>
  <c r="BB26" i="15"/>
  <c r="AA26" i="15"/>
  <c r="Z26" i="15"/>
  <c r="CE26" i="15"/>
  <c r="BQ26" i="15"/>
  <c r="AV26" i="15"/>
  <c r="AU26" i="15"/>
  <c r="CD26" i="15"/>
  <c r="AO26" i="15"/>
  <c r="AN26" i="15"/>
  <c r="Y26" i="15"/>
  <c r="S26" i="15"/>
  <c r="X26" i="15"/>
  <c r="T26" i="15"/>
  <c r="L26" i="15"/>
  <c r="E26" i="15"/>
  <c r="AD23" i="15"/>
  <c r="AC24" i="15" s="1"/>
  <c r="AD25" i="15"/>
  <c r="AB26" i="15" s="1"/>
  <c r="AD22" i="15"/>
  <c r="AC23" i="15" s="1"/>
  <c r="AD24" i="15"/>
  <c r="AC25" i="15" s="1"/>
  <c r="L103" i="4"/>
  <c r="BD7" i="5" l="1"/>
  <c r="BE7" i="5" s="1"/>
  <c r="BH7" i="5"/>
  <c r="BI7" i="5" s="1"/>
  <c r="V5" i="4"/>
  <c r="BL7" i="5"/>
  <c r="BM7" i="5" s="1"/>
  <c r="BF7" i="5"/>
  <c r="BG7" i="5" s="1"/>
  <c r="E116" i="4"/>
  <c r="E132" i="4"/>
  <c r="BB7" i="5"/>
  <c r="BC7" i="5" s="1"/>
  <c r="AZ7" i="5"/>
  <c r="BA7" i="5" s="1"/>
  <c r="AG7" i="5"/>
  <c r="E127" i="4"/>
  <c r="I119" i="4"/>
  <c r="J119" i="4" s="1"/>
  <c r="B11" i="9"/>
  <c r="M11" i="9"/>
  <c r="O11" i="9"/>
  <c r="X11" i="9"/>
  <c r="I11" i="9"/>
  <c r="K11" i="9"/>
  <c r="V11" i="9"/>
  <c r="H11" i="9"/>
  <c r="A12" i="9"/>
  <c r="C11" i="9"/>
  <c r="P11" i="9"/>
  <c r="E11" i="9"/>
  <c r="G11" i="9"/>
  <c r="R11" i="9"/>
  <c r="D11" i="9"/>
  <c r="T11" i="9"/>
  <c r="N11" i="9"/>
  <c r="Y11" i="9"/>
  <c r="L11" i="9"/>
  <c r="J11" i="9"/>
  <c r="U11" i="9"/>
  <c r="W11" i="9"/>
  <c r="Q11" i="9"/>
  <c r="F11" i="9"/>
  <c r="S11" i="9"/>
  <c r="DQ26" i="15"/>
  <c r="DP26" i="15"/>
  <c r="CV26" i="15"/>
  <c r="CU26" i="15"/>
  <c r="X4" i="4"/>
  <c r="V4" i="4"/>
  <c r="AA7" i="5"/>
  <c r="BN7" i="5"/>
  <c r="BO7" i="5" s="1"/>
  <c r="O26" i="15"/>
  <c r="P26" i="15"/>
  <c r="AR26" i="15"/>
  <c r="AQ26" i="15"/>
  <c r="EE26" i="15"/>
  <c r="ED26" i="15"/>
  <c r="DC26" i="15"/>
  <c r="DB26" i="15"/>
  <c r="EK26" i="15"/>
  <c r="EL26" i="15"/>
  <c r="AY26" i="15"/>
  <c r="AX26" i="15"/>
  <c r="AC7" i="5"/>
  <c r="AC26" i="15"/>
  <c r="AD26" i="15"/>
  <c r="BT26" i="15"/>
  <c r="BS26" i="15"/>
  <c r="CG26" i="15"/>
  <c r="CH26" i="15"/>
  <c r="C27" i="15"/>
  <c r="DY27" i="15"/>
  <c r="EE27" i="15" s="1"/>
  <c r="AS27" i="15"/>
  <c r="AY27" i="15" s="1"/>
  <c r="EF27" i="15"/>
  <c r="EL27" i="15" s="1"/>
  <c r="DR27" i="15"/>
  <c r="CW27" i="15"/>
  <c r="DC27" i="15" s="1"/>
  <c r="BN27" i="15"/>
  <c r="BT27" i="15" s="1"/>
  <c r="DK27" i="15"/>
  <c r="DQ27" i="15" s="1"/>
  <c r="DD27" i="15"/>
  <c r="CI27" i="15"/>
  <c r="CB27" i="15"/>
  <c r="CH27" i="15" s="1"/>
  <c r="A28" i="15"/>
  <c r="CP27" i="15"/>
  <c r="AE27" i="15"/>
  <c r="BU27" i="15"/>
  <c r="AZ27" i="15"/>
  <c r="J27" i="15"/>
  <c r="CZ27" i="15"/>
  <c r="BG27" i="15"/>
  <c r="AL27" i="15"/>
  <c r="AR27" i="15" s="1"/>
  <c r="CX27" i="15"/>
  <c r="EI27" i="15"/>
  <c r="DT27" i="15"/>
  <c r="DL27" i="15"/>
  <c r="DG27" i="15"/>
  <c r="CJ27" i="15"/>
  <c r="EG27" i="15"/>
  <c r="EB27" i="15"/>
  <c r="DM27" i="15"/>
  <c r="DE27" i="15"/>
  <c r="CS27" i="15"/>
  <c r="CK27" i="15"/>
  <c r="EH27" i="15"/>
  <c r="DZ27" i="15"/>
  <c r="DU27" i="15"/>
  <c r="DF27" i="15"/>
  <c r="CQ27" i="15"/>
  <c r="Q27" i="15"/>
  <c r="CY27" i="15"/>
  <c r="EA27" i="15"/>
  <c r="DS27" i="15"/>
  <c r="DN27" i="15"/>
  <c r="CR27" i="15"/>
  <c r="CL27" i="15"/>
  <c r="CC27" i="15"/>
  <c r="BP27" i="15"/>
  <c r="BJ27" i="15"/>
  <c r="AU27" i="15"/>
  <c r="AO27" i="15"/>
  <c r="X27" i="15"/>
  <c r="Z27" i="15"/>
  <c r="CD27" i="15"/>
  <c r="BX27" i="15"/>
  <c r="BH27" i="15"/>
  <c r="BC27" i="15"/>
  <c r="AM27" i="15"/>
  <c r="AH27" i="15"/>
  <c r="BV27" i="15"/>
  <c r="BQ27" i="15"/>
  <c r="BI27" i="15"/>
  <c r="BA27" i="15"/>
  <c r="AV27" i="15"/>
  <c r="AN27" i="15"/>
  <c r="AF27" i="15"/>
  <c r="CE27" i="15"/>
  <c r="BW27" i="15"/>
  <c r="BO27" i="15"/>
  <c r="BB27" i="15"/>
  <c r="AT27" i="15"/>
  <c r="AG27" i="15"/>
  <c r="AA27" i="15"/>
  <c r="S27" i="15"/>
  <c r="L27" i="15"/>
  <c r="D27" i="15"/>
  <c r="E27" i="15"/>
  <c r="Y27" i="15"/>
  <c r="T27" i="15"/>
  <c r="M27" i="15"/>
  <c r="R27" i="15"/>
  <c r="K27" i="15"/>
  <c r="F27" i="15"/>
  <c r="H27" i="15" s="1"/>
  <c r="AF7" i="5"/>
  <c r="AD7" i="5"/>
  <c r="BF27" i="15"/>
  <c r="BE26" i="15"/>
  <c r="BF26" i="15"/>
  <c r="CA27" i="15"/>
  <c r="CA26" i="15"/>
  <c r="BZ26" i="15"/>
  <c r="W26" i="15"/>
  <c r="W27" i="15"/>
  <c r="V26" i="15"/>
  <c r="DJ27" i="15"/>
  <c r="DI26" i="15"/>
  <c r="DJ26" i="15"/>
  <c r="BL26" i="15"/>
  <c r="BM27" i="15"/>
  <c r="BM26" i="15"/>
  <c r="DX27" i="15"/>
  <c r="DW26" i="15"/>
  <c r="DX26" i="15"/>
  <c r="CO26" i="15"/>
  <c r="CN26" i="15"/>
  <c r="CO27" i="15"/>
  <c r="H26" i="15"/>
  <c r="I26" i="15"/>
  <c r="I27" i="15"/>
  <c r="AJ26" i="15"/>
  <c r="AK27" i="15"/>
  <c r="AK26" i="15"/>
  <c r="A28" i="9"/>
  <c r="X27" i="9"/>
  <c r="T27" i="9"/>
  <c r="P27" i="9"/>
  <c r="L27" i="9"/>
  <c r="H27" i="9"/>
  <c r="D27" i="9"/>
  <c r="R27" i="9"/>
  <c r="J27" i="9"/>
  <c r="B27" i="9"/>
  <c r="W27" i="9"/>
  <c r="S27" i="9"/>
  <c r="O27" i="9"/>
  <c r="K27" i="9"/>
  <c r="G27" i="9"/>
  <c r="C27" i="9"/>
  <c r="U27" i="9"/>
  <c r="M27" i="9"/>
  <c r="I27" i="9"/>
  <c r="V27" i="9"/>
  <c r="N27" i="9"/>
  <c r="F27" i="9"/>
  <c r="Y27" i="9"/>
  <c r="Q27" i="9"/>
  <c r="E27" i="9"/>
  <c r="E123" i="4"/>
  <c r="I116" i="4"/>
  <c r="J116" i="4" s="1"/>
  <c r="AB7" i="5"/>
  <c r="C8" i="5"/>
  <c r="Q8" i="5"/>
  <c r="W8" i="5"/>
  <c r="M8" i="5"/>
  <c r="E8" i="5"/>
  <c r="B8" i="5"/>
  <c r="K8" i="5"/>
  <c r="V8" i="5"/>
  <c r="D8" i="5"/>
  <c r="J8" i="5"/>
  <c r="P8" i="5"/>
  <c r="G8" i="5"/>
  <c r="I8" i="5"/>
  <c r="O8" i="5"/>
  <c r="S8" i="5"/>
  <c r="U8" i="5"/>
  <c r="A9" i="5"/>
  <c r="X8" i="5"/>
  <c r="H8" i="5"/>
  <c r="N8" i="5"/>
  <c r="T8" i="5"/>
  <c r="F8" i="5"/>
  <c r="AD8" i="5" s="1"/>
  <c r="R8" i="5"/>
  <c r="L8" i="5"/>
  <c r="Y8" i="5"/>
  <c r="AE7" i="5"/>
  <c r="V27" i="15" l="1"/>
  <c r="AE8" i="5"/>
  <c r="N12" i="9"/>
  <c r="Q12" i="9"/>
  <c r="A14" i="9"/>
  <c r="J12" i="9"/>
  <c r="M12" i="9"/>
  <c r="W12" i="9"/>
  <c r="F12" i="9"/>
  <c r="I12" i="9"/>
  <c r="S12" i="9"/>
  <c r="P12" i="9"/>
  <c r="X12" i="9"/>
  <c r="K12" i="9"/>
  <c r="H12" i="9"/>
  <c r="T12" i="9"/>
  <c r="G12" i="9"/>
  <c r="B12" i="9"/>
  <c r="E12" i="9"/>
  <c r="O12" i="9"/>
  <c r="V12" i="9"/>
  <c r="Y12" i="9"/>
  <c r="L12" i="9"/>
  <c r="C12" i="9"/>
  <c r="R12" i="9"/>
  <c r="U12" i="9"/>
  <c r="D12" i="9"/>
  <c r="DP27" i="15"/>
  <c r="CG27" i="15"/>
  <c r="AQ27" i="15"/>
  <c r="AB8" i="5"/>
  <c r="BB8" i="5"/>
  <c r="BC8" i="5" s="1"/>
  <c r="AJ27" i="15"/>
  <c r="BZ27" i="15"/>
  <c r="DI27" i="15"/>
  <c r="AL8" i="5"/>
  <c r="AM8" i="5" s="1"/>
  <c r="AR8" i="5"/>
  <c r="AS8" i="5" s="1"/>
  <c r="AT8" i="5"/>
  <c r="AU8" i="5" s="1"/>
  <c r="AF8" i="5"/>
  <c r="BJ8" i="5"/>
  <c r="BK8" i="5" s="1"/>
  <c r="X28" i="9"/>
  <c r="T28" i="9"/>
  <c r="P28" i="9"/>
  <c r="L28" i="9"/>
  <c r="H28" i="9"/>
  <c r="D28" i="9"/>
  <c r="R28" i="9"/>
  <c r="J28" i="9"/>
  <c r="B28" i="9"/>
  <c r="A30" i="9"/>
  <c r="W28" i="9"/>
  <c r="S28" i="9"/>
  <c r="O28" i="9"/>
  <c r="K28" i="9"/>
  <c r="G28" i="9"/>
  <c r="C28" i="9"/>
  <c r="U28" i="9"/>
  <c r="M28" i="9"/>
  <c r="E28" i="9"/>
  <c r="V28" i="9"/>
  <c r="N28" i="9"/>
  <c r="F28" i="9"/>
  <c r="Y28" i="9"/>
  <c r="Q28" i="9"/>
  <c r="I28" i="9"/>
  <c r="CN27" i="15"/>
  <c r="ED27" i="15"/>
  <c r="A29" i="15"/>
  <c r="C28" i="15"/>
  <c r="I28" i="15" s="1"/>
  <c r="G29" i="15" s="1"/>
  <c r="DY28" i="15"/>
  <c r="DD28" i="15"/>
  <c r="DJ28" i="15" s="1"/>
  <c r="DH29" i="15" s="1"/>
  <c r="CW28" i="15"/>
  <c r="AS28" i="15"/>
  <c r="AY28" i="15" s="1"/>
  <c r="AW29" i="15" s="1"/>
  <c r="EF28" i="15"/>
  <c r="EL28" i="15" s="1"/>
  <c r="EJ29" i="15" s="1"/>
  <c r="DR28" i="15"/>
  <c r="DX28" i="15" s="1"/>
  <c r="DV29" i="15" s="1"/>
  <c r="CP28" i="15"/>
  <c r="CV28" i="15" s="1"/>
  <c r="CT29" i="15" s="1"/>
  <c r="BU28" i="15"/>
  <c r="CA28" i="15" s="1"/>
  <c r="BY29" i="15" s="1"/>
  <c r="DK28" i="15"/>
  <c r="DQ28" i="15" s="1"/>
  <c r="DO29" i="15" s="1"/>
  <c r="BN28" i="15"/>
  <c r="BT28" i="15" s="1"/>
  <c r="BR29" i="15" s="1"/>
  <c r="AE28" i="15"/>
  <c r="AK28" i="15" s="1"/>
  <c r="AI29" i="15" s="1"/>
  <c r="CI28" i="15"/>
  <c r="AZ28" i="15"/>
  <c r="BF28" i="15" s="1"/>
  <c r="BD29" i="15" s="1"/>
  <c r="J28" i="15"/>
  <c r="P28" i="15" s="1"/>
  <c r="N29" i="15" s="1"/>
  <c r="CZ28" i="15"/>
  <c r="CB28" i="15"/>
  <c r="CH28" i="15" s="1"/>
  <c r="CF29" i="15" s="1"/>
  <c r="BG28" i="15"/>
  <c r="BM28" i="15" s="1"/>
  <c r="BK29" i="15" s="1"/>
  <c r="AL28" i="15"/>
  <c r="AR28" i="15" s="1"/>
  <c r="AP29" i="15" s="1"/>
  <c r="Q28" i="15"/>
  <c r="W28" i="15" s="1"/>
  <c r="U29" i="15" s="1"/>
  <c r="EA28" i="15"/>
  <c r="DS28" i="15"/>
  <c r="DN28" i="15"/>
  <c r="CR28" i="15"/>
  <c r="CL28" i="15"/>
  <c r="CX28" i="15"/>
  <c r="EI28" i="15"/>
  <c r="DT28" i="15"/>
  <c r="DL28" i="15"/>
  <c r="DG28" i="15"/>
  <c r="CJ28" i="15"/>
  <c r="CY28" i="15"/>
  <c r="EG28" i="15"/>
  <c r="EB28" i="15"/>
  <c r="DM28" i="15"/>
  <c r="DE28" i="15"/>
  <c r="CS28" i="15"/>
  <c r="CK28" i="15"/>
  <c r="EH28" i="15"/>
  <c r="DZ28" i="15"/>
  <c r="DU28" i="15"/>
  <c r="DW28" i="15" s="1"/>
  <c r="DF28" i="15"/>
  <c r="CQ28" i="15"/>
  <c r="CE28" i="15"/>
  <c r="BW28" i="15"/>
  <c r="BO28" i="15"/>
  <c r="BB28" i="15"/>
  <c r="AT28" i="15"/>
  <c r="AG28" i="15"/>
  <c r="Y28" i="15"/>
  <c r="CC28" i="15"/>
  <c r="BP28" i="15"/>
  <c r="BJ28" i="15"/>
  <c r="AU28" i="15"/>
  <c r="AO28" i="15"/>
  <c r="X28" i="15"/>
  <c r="AD28" i="15" s="1"/>
  <c r="AB29" i="15" s="1"/>
  <c r="Z28" i="15"/>
  <c r="CD28" i="15"/>
  <c r="BX28" i="15"/>
  <c r="BH28" i="15"/>
  <c r="BC28" i="15"/>
  <c r="AM28" i="15"/>
  <c r="AH28" i="15"/>
  <c r="BV28" i="15"/>
  <c r="BQ28" i="15"/>
  <c r="BS28" i="15" s="1"/>
  <c r="BI28" i="15"/>
  <c r="BA28" i="15"/>
  <c r="AV28" i="15"/>
  <c r="AN28" i="15"/>
  <c r="AF28" i="15"/>
  <c r="R28" i="15"/>
  <c r="K28" i="15"/>
  <c r="S28" i="15"/>
  <c r="L28" i="15"/>
  <c r="E28" i="15"/>
  <c r="F28" i="15"/>
  <c r="AA28" i="15"/>
  <c r="T28" i="15"/>
  <c r="M28" i="15"/>
  <c r="D28" i="15"/>
  <c r="P27" i="15"/>
  <c r="CV27" i="15"/>
  <c r="AA8" i="5"/>
  <c r="AZ8" i="5"/>
  <c r="BA8" i="5" s="1"/>
  <c r="AN8" i="5"/>
  <c r="AO8" i="5" s="1"/>
  <c r="BN8" i="5"/>
  <c r="BO8" i="5" s="1"/>
  <c r="AG8" i="5"/>
  <c r="BL8" i="5"/>
  <c r="BM8" i="5" s="1"/>
  <c r="AX8" i="5"/>
  <c r="AY8" i="5" s="1"/>
  <c r="AC27" i="15"/>
  <c r="BS27" i="15"/>
  <c r="BE27" i="15"/>
  <c r="BL27" i="15"/>
  <c r="DW27" i="15"/>
  <c r="CU27" i="15"/>
  <c r="AD27" i="15"/>
  <c r="DC28" i="15"/>
  <c r="DA29" i="15" s="1"/>
  <c r="P9" i="5"/>
  <c r="C9" i="5"/>
  <c r="T9" i="5"/>
  <c r="X9" i="5"/>
  <c r="G9" i="5"/>
  <c r="I9" i="5"/>
  <c r="Q9" i="5"/>
  <c r="M9" i="5"/>
  <c r="F9" i="5"/>
  <c r="Y9" i="5"/>
  <c r="V9" i="5"/>
  <c r="N9" i="5"/>
  <c r="R9" i="5"/>
  <c r="AP9" i="5" s="1"/>
  <c r="AQ9" i="5" s="1"/>
  <c r="L9" i="5"/>
  <c r="B9" i="5"/>
  <c r="D9" i="5"/>
  <c r="O9" i="5"/>
  <c r="U9" i="5"/>
  <c r="A10" i="5"/>
  <c r="W9" i="5"/>
  <c r="J9" i="5"/>
  <c r="AV9" i="5" s="1"/>
  <c r="AW9" i="5" s="1"/>
  <c r="H9" i="5"/>
  <c r="E9" i="5"/>
  <c r="K9" i="5"/>
  <c r="S9" i="5"/>
  <c r="AJ9" i="5" s="1"/>
  <c r="AK9" i="5" s="1"/>
  <c r="AC8" i="5"/>
  <c r="BD8" i="5"/>
  <c r="BE8" i="5" s="1"/>
  <c r="AP8" i="5"/>
  <c r="AQ8" i="5" s="1"/>
  <c r="AJ8" i="5"/>
  <c r="AK8" i="5" s="1"/>
  <c r="BH8" i="5"/>
  <c r="BI8" i="5" s="1"/>
  <c r="AV8" i="5"/>
  <c r="AW8" i="5" s="1"/>
  <c r="BF8" i="5"/>
  <c r="BG8" i="5" s="1"/>
  <c r="AH8" i="5"/>
  <c r="O27" i="15"/>
  <c r="AX27" i="15"/>
  <c r="EK27" i="15"/>
  <c r="DB27" i="15"/>
  <c r="AF9" i="5" l="1"/>
  <c r="BH9" i="5"/>
  <c r="BI9" i="5" s="1"/>
  <c r="BF9" i="5"/>
  <c r="BG9" i="5" s="1"/>
  <c r="BD9" i="5"/>
  <c r="BE9" i="5" s="1"/>
  <c r="AG9" i="5"/>
  <c r="V28" i="15"/>
  <c r="Y14" i="9"/>
  <c r="A15" i="9"/>
  <c r="E14" i="9"/>
  <c r="C14" i="9"/>
  <c r="B14" i="9"/>
  <c r="O14" i="9"/>
  <c r="P14" i="9"/>
  <c r="G14" i="9"/>
  <c r="X14" i="9"/>
  <c r="AD9" i="5"/>
  <c r="AX28" i="15"/>
  <c r="CG28" i="15"/>
  <c r="AA9" i="5"/>
  <c r="AC28" i="15"/>
  <c r="BE28" i="15"/>
  <c r="BL28" i="15"/>
  <c r="CU28" i="15"/>
  <c r="CN28" i="15"/>
  <c r="CO28" i="15"/>
  <c r="CM29" i="15" s="1"/>
  <c r="AX9" i="5"/>
  <c r="AY9" i="5" s="1"/>
  <c r="AN9" i="5"/>
  <c r="AO9" i="5" s="1"/>
  <c r="AZ9" i="5"/>
  <c r="BA9" i="5" s="1"/>
  <c r="BN9" i="5"/>
  <c r="BO9" i="5" s="1"/>
  <c r="H28" i="15"/>
  <c r="DB28" i="15"/>
  <c r="D29" i="15"/>
  <c r="EF29" i="15"/>
  <c r="C29" i="15"/>
  <c r="AV29" i="15"/>
  <c r="A30" i="15"/>
  <c r="DK29" i="15"/>
  <c r="AT29" i="15"/>
  <c r="EG29" i="15"/>
  <c r="DZ29" i="15"/>
  <c r="DR29" i="15"/>
  <c r="DL29" i="15"/>
  <c r="DE29" i="15"/>
  <c r="CW29" i="15"/>
  <c r="CJ29" i="15"/>
  <c r="CC29" i="15"/>
  <c r="CQ29" i="15"/>
  <c r="CI29" i="15"/>
  <c r="DS29" i="15"/>
  <c r="DD29" i="15"/>
  <c r="CX29" i="15"/>
  <c r="CP29" i="15"/>
  <c r="F29" i="15"/>
  <c r="DY29" i="15"/>
  <c r="CB29" i="15"/>
  <c r="BH29" i="15"/>
  <c r="AZ29" i="15"/>
  <c r="AM29" i="15"/>
  <c r="AE29" i="15"/>
  <c r="J29" i="15"/>
  <c r="BU29" i="15"/>
  <c r="BN29" i="15"/>
  <c r="BG29" i="15"/>
  <c r="AS29" i="15"/>
  <c r="AL29" i="15"/>
  <c r="R29" i="15"/>
  <c r="CZ29" i="15"/>
  <c r="CY29" i="15"/>
  <c r="Q29" i="15"/>
  <c r="BV29" i="15"/>
  <c r="BO29" i="15"/>
  <c r="BA29" i="15"/>
  <c r="AF29" i="15"/>
  <c r="E29" i="15"/>
  <c r="EH29" i="15"/>
  <c r="EB29" i="15"/>
  <c r="DG29" i="15"/>
  <c r="DF29" i="15"/>
  <c r="K29" i="15"/>
  <c r="EA29" i="15"/>
  <c r="DU29" i="15"/>
  <c r="CS29" i="15"/>
  <c r="CR29" i="15"/>
  <c r="DT29" i="15"/>
  <c r="DN29" i="15"/>
  <c r="EI29" i="15"/>
  <c r="DM29" i="15"/>
  <c r="CL29" i="15"/>
  <c r="CK29" i="15"/>
  <c r="BX29" i="15"/>
  <c r="BJ29" i="15"/>
  <c r="BI29" i="15"/>
  <c r="AN29" i="15"/>
  <c r="AH29" i="15"/>
  <c r="Y29" i="15"/>
  <c r="BW29" i="15"/>
  <c r="BC29" i="15"/>
  <c r="BB29" i="15"/>
  <c r="AO29" i="15"/>
  <c r="AG29" i="15"/>
  <c r="X29" i="15"/>
  <c r="BQ29" i="15"/>
  <c r="BP29" i="15"/>
  <c r="AU29" i="15"/>
  <c r="CE29" i="15"/>
  <c r="CD29" i="15"/>
  <c r="AA29" i="15"/>
  <c r="M29" i="15"/>
  <c r="Z29" i="15"/>
  <c r="S29" i="15"/>
  <c r="L29" i="15"/>
  <c r="T29" i="15"/>
  <c r="X30" i="9"/>
  <c r="T30" i="9"/>
  <c r="P30" i="9"/>
  <c r="L30" i="9"/>
  <c r="H30" i="9"/>
  <c r="D30" i="9"/>
  <c r="R30" i="9"/>
  <c r="J30" i="9"/>
  <c r="B30" i="9"/>
  <c r="W30" i="9"/>
  <c r="S30" i="9"/>
  <c r="O30" i="9"/>
  <c r="K30" i="9"/>
  <c r="G30" i="9"/>
  <c r="C30" i="9"/>
  <c r="Y30" i="9"/>
  <c r="Q30" i="9"/>
  <c r="I30" i="9"/>
  <c r="E30" i="9"/>
  <c r="A31" i="9"/>
  <c r="V30" i="9"/>
  <c r="N30" i="9"/>
  <c r="F30" i="9"/>
  <c r="U30" i="9"/>
  <c r="M30" i="9"/>
  <c r="AR9" i="5"/>
  <c r="AS9" i="5" s="1"/>
  <c r="AL9" i="5"/>
  <c r="AM9" i="5" s="1"/>
  <c r="AB9" i="5"/>
  <c r="BB9" i="5"/>
  <c r="BC9" i="5" s="1"/>
  <c r="AE9" i="5"/>
  <c r="P10" i="5"/>
  <c r="W10" i="5"/>
  <c r="V10" i="5"/>
  <c r="D10" i="5"/>
  <c r="O10" i="5"/>
  <c r="AX10" i="5" s="1"/>
  <c r="AY10" i="5" s="1"/>
  <c r="J10" i="5"/>
  <c r="H10" i="5"/>
  <c r="U10" i="5"/>
  <c r="N10" i="5"/>
  <c r="R10" i="5"/>
  <c r="M10" i="5"/>
  <c r="K10" i="5"/>
  <c r="A11" i="5"/>
  <c r="T10" i="5"/>
  <c r="E10" i="5"/>
  <c r="F10" i="5"/>
  <c r="I10" i="5"/>
  <c r="Y10" i="5"/>
  <c r="S10" i="5"/>
  <c r="L10" i="5"/>
  <c r="X10" i="5"/>
  <c r="B10" i="5"/>
  <c r="C10" i="5"/>
  <c r="Q10" i="5"/>
  <c r="G10" i="5"/>
  <c r="AH9" i="5"/>
  <c r="O28" i="15"/>
  <c r="AJ28" i="15"/>
  <c r="BZ28" i="15"/>
  <c r="AQ28" i="15"/>
  <c r="EK28" i="15"/>
  <c r="DP28" i="15"/>
  <c r="BJ9" i="5"/>
  <c r="BK9" i="5" s="1"/>
  <c r="AC9" i="5"/>
  <c r="BL9" i="5"/>
  <c r="BM9" i="5" s="1"/>
  <c r="ED28" i="15"/>
  <c r="DI28" i="15"/>
  <c r="EE28" i="15"/>
  <c r="EC29" i="15" s="1"/>
  <c r="AT9" i="5"/>
  <c r="AU9" i="5" s="1"/>
  <c r="AE10" i="5" l="1"/>
  <c r="AD10" i="5"/>
  <c r="BL10" i="5"/>
  <c r="BM10" i="5" s="1"/>
  <c r="T15" i="9"/>
  <c r="C15" i="9"/>
  <c r="W15" i="9"/>
  <c r="P15" i="9"/>
  <c r="X15" i="9"/>
  <c r="A16" i="9"/>
  <c r="H15" i="9"/>
  <c r="L15" i="9"/>
  <c r="U15" i="9"/>
  <c r="O15" i="9"/>
  <c r="E15" i="9"/>
  <c r="R15" i="9"/>
  <c r="G15" i="9"/>
  <c r="B15" i="9"/>
  <c r="Y15" i="9"/>
  <c r="AF10" i="5"/>
  <c r="AH10" i="5"/>
  <c r="AB10" i="5"/>
  <c r="BB10" i="5"/>
  <c r="BC10" i="5" s="1"/>
  <c r="BF29" i="15"/>
  <c r="BE29" i="15"/>
  <c r="BL29" i="15"/>
  <c r="BM29" i="15"/>
  <c r="ED29" i="15"/>
  <c r="EE29" i="15"/>
  <c r="DY30" i="15"/>
  <c r="EF30" i="15"/>
  <c r="DR30" i="15"/>
  <c r="C30" i="15"/>
  <c r="I30" i="15" s="1"/>
  <c r="A31" i="15"/>
  <c r="BN30" i="15"/>
  <c r="BT30" i="15" s="1"/>
  <c r="CW30" i="15"/>
  <c r="DK30" i="15"/>
  <c r="CI30" i="15"/>
  <c r="CB30" i="15"/>
  <c r="DD30" i="15"/>
  <c r="AZ30" i="15"/>
  <c r="AE30" i="15"/>
  <c r="J30" i="15"/>
  <c r="P30" i="15" s="1"/>
  <c r="CZ30" i="15"/>
  <c r="BU30" i="15"/>
  <c r="BG30" i="15"/>
  <c r="AS30" i="15"/>
  <c r="AL30" i="15"/>
  <c r="CX30" i="15"/>
  <c r="CP30" i="15"/>
  <c r="CY30" i="15"/>
  <c r="EI30" i="15"/>
  <c r="DT30" i="15"/>
  <c r="DL30" i="15"/>
  <c r="DG30" i="15"/>
  <c r="CJ30" i="15"/>
  <c r="Q30" i="15"/>
  <c r="EG30" i="15"/>
  <c r="EB30" i="15"/>
  <c r="DM30" i="15"/>
  <c r="DE30" i="15"/>
  <c r="CS30" i="15"/>
  <c r="CK30" i="15"/>
  <c r="EH30" i="15"/>
  <c r="DZ30" i="15"/>
  <c r="DU30" i="15"/>
  <c r="DF30" i="15"/>
  <c r="CQ30" i="15"/>
  <c r="EA30" i="15"/>
  <c r="DS30" i="15"/>
  <c r="DN30" i="15"/>
  <c r="CR30" i="15"/>
  <c r="CL30" i="15"/>
  <c r="CC30" i="15"/>
  <c r="BP30" i="15"/>
  <c r="BJ30" i="15"/>
  <c r="AT30" i="15"/>
  <c r="AA30" i="15"/>
  <c r="CD30" i="15"/>
  <c r="BX30" i="15"/>
  <c r="BH30" i="15"/>
  <c r="BC30" i="15"/>
  <c r="AU30" i="15"/>
  <c r="AO30" i="15"/>
  <c r="AH30" i="15"/>
  <c r="Y30" i="15"/>
  <c r="BV30" i="15"/>
  <c r="BQ30" i="15"/>
  <c r="BI30" i="15"/>
  <c r="BA30" i="15"/>
  <c r="AM30" i="15"/>
  <c r="AF30" i="15"/>
  <c r="CE30" i="15"/>
  <c r="BW30" i="15"/>
  <c r="BO30" i="15"/>
  <c r="BB30" i="15"/>
  <c r="AV30" i="15"/>
  <c r="AN30" i="15"/>
  <c r="AG30" i="15"/>
  <c r="R30" i="15"/>
  <c r="M30" i="15"/>
  <c r="Z30" i="15"/>
  <c r="S30" i="15"/>
  <c r="K30" i="15"/>
  <c r="L30" i="15"/>
  <c r="F30" i="15"/>
  <c r="E30" i="15"/>
  <c r="X30" i="15"/>
  <c r="AD30" i="15" s="1"/>
  <c r="T30" i="15"/>
  <c r="D30" i="15"/>
  <c r="H29" i="15"/>
  <c r="I29" i="15"/>
  <c r="AR10" i="5"/>
  <c r="AS10" i="5" s="1"/>
  <c r="AC10" i="5"/>
  <c r="BD10" i="5"/>
  <c r="BE10" i="5" s="1"/>
  <c r="AC29" i="15"/>
  <c r="AD29" i="15"/>
  <c r="O29" i="15"/>
  <c r="P29" i="15"/>
  <c r="BT29" i="15"/>
  <c r="BS29" i="15"/>
  <c r="DC30" i="15"/>
  <c r="DB29" i="15"/>
  <c r="DC29" i="15"/>
  <c r="CV29" i="15"/>
  <c r="CU29" i="15"/>
  <c r="CV30" i="15"/>
  <c r="DJ29" i="15"/>
  <c r="DI29" i="15"/>
  <c r="DJ30" i="15"/>
  <c r="EL29" i="15"/>
  <c r="EL30" i="15"/>
  <c r="EK29" i="15"/>
  <c r="AN10" i="5"/>
  <c r="AO10" i="5" s="1"/>
  <c r="AP10" i="5"/>
  <c r="AQ10" i="5" s="1"/>
  <c r="AG10" i="5"/>
  <c r="X31" i="9"/>
  <c r="T31" i="9"/>
  <c r="P31" i="9"/>
  <c r="L31" i="9"/>
  <c r="H31" i="9"/>
  <c r="D31" i="9"/>
  <c r="R31" i="9"/>
  <c r="J31" i="9"/>
  <c r="B31" i="9"/>
  <c r="W31" i="9"/>
  <c r="S31" i="9"/>
  <c r="O31" i="9"/>
  <c r="K31" i="9"/>
  <c r="G31" i="9"/>
  <c r="C31" i="9"/>
  <c r="A32" i="9"/>
  <c r="Y31" i="9"/>
  <c r="Q31" i="9"/>
  <c r="I31" i="9"/>
  <c r="V31" i="9"/>
  <c r="N31" i="9"/>
  <c r="F31" i="9"/>
  <c r="U31" i="9"/>
  <c r="M31" i="9"/>
  <c r="E31" i="9"/>
  <c r="CA30" i="15"/>
  <c r="BZ29" i="15"/>
  <c r="CA29" i="15"/>
  <c r="W29" i="15"/>
  <c r="V29" i="15"/>
  <c r="W30" i="15"/>
  <c r="AR30" i="15"/>
  <c r="AQ29" i="15"/>
  <c r="AR29" i="15"/>
  <c r="CH29" i="15"/>
  <c r="CH30" i="15"/>
  <c r="CG29" i="15"/>
  <c r="DQ29" i="15"/>
  <c r="DQ30" i="15"/>
  <c r="DP29" i="15"/>
  <c r="AY30" i="15"/>
  <c r="AX29" i="15"/>
  <c r="AY29" i="15"/>
  <c r="AT10" i="5"/>
  <c r="AU10" i="5" s="1"/>
  <c r="AJ10" i="5"/>
  <c r="AK10" i="5" s="1"/>
  <c r="BJ10" i="5"/>
  <c r="BK10" i="5" s="1"/>
  <c r="BF10" i="5"/>
  <c r="BG10" i="5" s="1"/>
  <c r="AV10" i="5"/>
  <c r="AW10" i="5" s="1"/>
  <c r="BH10" i="5"/>
  <c r="BI10" i="5" s="1"/>
  <c r="AA10" i="5"/>
  <c r="AZ10" i="5"/>
  <c r="BA10" i="5" s="1"/>
  <c r="H11" i="5"/>
  <c r="M11" i="5"/>
  <c r="Q11" i="5"/>
  <c r="F11" i="5"/>
  <c r="T11" i="5"/>
  <c r="X11" i="5"/>
  <c r="B11" i="5"/>
  <c r="G11" i="5"/>
  <c r="I11" i="5"/>
  <c r="O11" i="5"/>
  <c r="AX11" i="5" s="1"/>
  <c r="AY11" i="5" s="1"/>
  <c r="L11" i="5"/>
  <c r="S11" i="5"/>
  <c r="A12" i="5"/>
  <c r="C11" i="5"/>
  <c r="AC11" i="5" s="1"/>
  <c r="K11" i="5"/>
  <c r="V11" i="5"/>
  <c r="E11" i="5"/>
  <c r="R11" i="5"/>
  <c r="Y11" i="5"/>
  <c r="P11" i="5"/>
  <c r="D11" i="5"/>
  <c r="U11" i="5"/>
  <c r="W11" i="5"/>
  <c r="J11" i="5"/>
  <c r="N11" i="5"/>
  <c r="AR11" i="5" s="1"/>
  <c r="AS11" i="5" s="1"/>
  <c r="BN10" i="5"/>
  <c r="BO10" i="5" s="1"/>
  <c r="AK29" i="15"/>
  <c r="AK30" i="15"/>
  <c r="AJ29" i="15"/>
  <c r="DX30" i="15"/>
  <c r="DW29" i="15"/>
  <c r="DX29" i="15"/>
  <c r="CO30" i="15"/>
  <c r="CN29" i="15"/>
  <c r="CO29" i="15"/>
  <c r="AL10" i="5"/>
  <c r="AM10" i="5" s="1"/>
  <c r="BH11" i="5" l="1"/>
  <c r="BI11" i="5" s="1"/>
  <c r="BL11" i="5"/>
  <c r="BM11" i="5" s="1"/>
  <c r="AD11" i="5"/>
  <c r="K16" i="9"/>
  <c r="K18" i="9" s="1"/>
  <c r="T16" i="9"/>
  <c r="T18" i="9" s="1"/>
  <c r="O16" i="9"/>
  <c r="O18" i="9" s="1"/>
  <c r="Y16" i="9"/>
  <c r="Y18" i="9" s="1"/>
  <c r="R16" i="9"/>
  <c r="R18" i="9" s="1"/>
  <c r="W16" i="9"/>
  <c r="W18" i="9" s="1"/>
  <c r="P16" i="9"/>
  <c r="P18" i="9" s="1"/>
  <c r="B16" i="9"/>
  <c r="S16" i="9"/>
  <c r="S18" i="9" s="1"/>
  <c r="U16" i="9"/>
  <c r="U18" i="9" s="1"/>
  <c r="X16" i="9"/>
  <c r="X18" i="9" s="1"/>
  <c r="C16" i="9"/>
  <c r="G16" i="9"/>
  <c r="G18" i="9" s="1"/>
  <c r="D16" i="9"/>
  <c r="D18" i="9" s="1"/>
  <c r="D19" i="9" s="1"/>
  <c r="V16" i="9"/>
  <c r="V18" i="9" s="1"/>
  <c r="E16" i="9"/>
  <c r="E18" i="9" s="1"/>
  <c r="M16" i="9"/>
  <c r="M18" i="9" s="1"/>
  <c r="L16" i="9"/>
  <c r="L18" i="9" s="1"/>
  <c r="H16" i="9"/>
  <c r="H18" i="9" s="1"/>
  <c r="Q16" i="9"/>
  <c r="Q18" i="9" s="1"/>
  <c r="N16" i="9"/>
  <c r="N18" i="9" s="1"/>
  <c r="AE11" i="5"/>
  <c r="AZ11" i="5"/>
  <c r="BA11" i="5" s="1"/>
  <c r="AF11" i="5"/>
  <c r="BJ11" i="5"/>
  <c r="BK11" i="5" s="1"/>
  <c r="AH11" i="5"/>
  <c r="BF11" i="5"/>
  <c r="BG11" i="5" s="1"/>
  <c r="AJ11" i="5"/>
  <c r="AK11" i="5" s="1"/>
  <c r="BS30" i="15"/>
  <c r="AQ30" i="15"/>
  <c r="BZ30" i="15"/>
  <c r="BL30" i="15"/>
  <c r="EK30" i="15"/>
  <c r="DB30" i="15"/>
  <c r="BF30" i="15"/>
  <c r="AL11" i="5"/>
  <c r="AM11" i="5" s="1"/>
  <c r="AT11" i="5"/>
  <c r="AU11" i="5" s="1"/>
  <c r="AN11" i="5"/>
  <c r="AO11" i="5" s="1"/>
  <c r="A34" i="9"/>
  <c r="X32" i="9"/>
  <c r="T32" i="9"/>
  <c r="P32" i="9"/>
  <c r="L32" i="9"/>
  <c r="H32" i="9"/>
  <c r="D32" i="9"/>
  <c r="R32" i="9"/>
  <c r="J32" i="9"/>
  <c r="B32" i="9"/>
  <c r="W32" i="9"/>
  <c r="S32" i="9"/>
  <c r="O32" i="9"/>
  <c r="K32" i="9"/>
  <c r="G32" i="9"/>
  <c r="C32" i="9"/>
  <c r="Y32" i="9"/>
  <c r="Q32" i="9"/>
  <c r="I32" i="9"/>
  <c r="V32" i="9"/>
  <c r="N32" i="9"/>
  <c r="F32" i="9"/>
  <c r="U32" i="9"/>
  <c r="M32" i="9"/>
  <c r="E32" i="9"/>
  <c r="DP30" i="15"/>
  <c r="ED30" i="15"/>
  <c r="DI30" i="15"/>
  <c r="BN11" i="5"/>
  <c r="BO11" i="5" s="1"/>
  <c r="AG11" i="5"/>
  <c r="AB11" i="5"/>
  <c r="BB11" i="5"/>
  <c r="BC11" i="5" s="1"/>
  <c r="C12" i="5"/>
  <c r="Q12" i="5"/>
  <c r="W12" i="5"/>
  <c r="H12" i="5"/>
  <c r="E12" i="5"/>
  <c r="B12" i="5"/>
  <c r="K12" i="5"/>
  <c r="T12" i="5"/>
  <c r="X12" i="5"/>
  <c r="D12" i="5"/>
  <c r="U12" i="5"/>
  <c r="R12" i="5"/>
  <c r="AP12" i="5" s="1"/>
  <c r="AQ12" i="5" s="1"/>
  <c r="L12" i="5"/>
  <c r="AN12" i="5" s="1"/>
  <c r="AO12" i="5" s="1"/>
  <c r="Y12" i="5"/>
  <c r="AL12" i="5" s="1"/>
  <c r="AM12" i="5" s="1"/>
  <c r="G12" i="5"/>
  <c r="J12" i="5"/>
  <c r="AV12" i="5" s="1"/>
  <c r="AW12" i="5" s="1"/>
  <c r="N12" i="5"/>
  <c r="F12" i="5"/>
  <c r="I12" i="5"/>
  <c r="S12" i="5"/>
  <c r="M12" i="5"/>
  <c r="V12" i="5"/>
  <c r="O12" i="5"/>
  <c r="A13" i="5"/>
  <c r="P12" i="5"/>
  <c r="AA11" i="5"/>
  <c r="H30" i="15"/>
  <c r="BE30" i="15"/>
  <c r="AC30" i="15"/>
  <c r="DW30" i="15"/>
  <c r="CU30" i="15"/>
  <c r="DY31" i="15"/>
  <c r="EE31" i="15" s="1"/>
  <c r="EC32" i="15" s="1"/>
  <c r="DD31" i="15"/>
  <c r="DJ31" i="15" s="1"/>
  <c r="DH32" i="15" s="1"/>
  <c r="CW31" i="15"/>
  <c r="DC31" i="15" s="1"/>
  <c r="DA32" i="15" s="1"/>
  <c r="EF31" i="15"/>
  <c r="EL31" i="15" s="1"/>
  <c r="EJ32" i="15" s="1"/>
  <c r="CP31" i="15"/>
  <c r="CV31" i="15" s="1"/>
  <c r="CT32" i="15" s="1"/>
  <c r="BU31" i="15"/>
  <c r="CA31" i="15" s="1"/>
  <c r="BY32" i="15" s="1"/>
  <c r="C31" i="15"/>
  <c r="I31" i="15" s="1"/>
  <c r="G32" i="15" s="1"/>
  <c r="A32" i="15"/>
  <c r="DR31" i="15"/>
  <c r="DX31" i="15" s="1"/>
  <c r="DV32" i="15" s="1"/>
  <c r="CI31" i="15"/>
  <c r="CO31" i="15" s="1"/>
  <c r="CM32" i="15" s="1"/>
  <c r="CB31" i="15"/>
  <c r="CH31" i="15" s="1"/>
  <c r="CF32" i="15" s="1"/>
  <c r="DK31" i="15"/>
  <c r="DQ31" i="15" s="1"/>
  <c r="DO32" i="15" s="1"/>
  <c r="BN31" i="15"/>
  <c r="BT31" i="15" s="1"/>
  <c r="BR32" i="15" s="1"/>
  <c r="AZ31" i="15"/>
  <c r="BF31" i="15" s="1"/>
  <c r="BD32" i="15" s="1"/>
  <c r="AE31" i="15"/>
  <c r="AK31" i="15" s="1"/>
  <c r="AI32" i="15" s="1"/>
  <c r="J31" i="15"/>
  <c r="P31" i="15" s="1"/>
  <c r="N32" i="15" s="1"/>
  <c r="CZ31" i="15"/>
  <c r="BG31" i="15"/>
  <c r="BM31" i="15" s="1"/>
  <c r="BK32" i="15" s="1"/>
  <c r="AS31" i="15"/>
  <c r="AY31" i="15" s="1"/>
  <c r="AW32" i="15" s="1"/>
  <c r="AL31" i="15"/>
  <c r="AR31" i="15" s="1"/>
  <c r="AP32" i="15" s="1"/>
  <c r="EA31" i="15"/>
  <c r="DS31" i="15"/>
  <c r="DN31" i="15"/>
  <c r="CR31" i="15"/>
  <c r="CL31" i="15"/>
  <c r="EI31" i="15"/>
  <c r="DT31" i="15"/>
  <c r="DL31" i="15"/>
  <c r="DG31" i="15"/>
  <c r="DI31" i="15" s="1"/>
  <c r="CJ31" i="15"/>
  <c r="Q31" i="15"/>
  <c r="W31" i="15" s="1"/>
  <c r="U32" i="15" s="1"/>
  <c r="CX31" i="15"/>
  <c r="EG31" i="15"/>
  <c r="EB31" i="15"/>
  <c r="DM31" i="15"/>
  <c r="DE31" i="15"/>
  <c r="CS31" i="15"/>
  <c r="CU31" i="15" s="1"/>
  <c r="CK31" i="15"/>
  <c r="CY31" i="15"/>
  <c r="EH31" i="15"/>
  <c r="DZ31" i="15"/>
  <c r="DU31" i="15"/>
  <c r="DF31" i="15"/>
  <c r="CQ31" i="15"/>
  <c r="CE31" i="15"/>
  <c r="CG31" i="15" s="1"/>
  <c r="BW31" i="15"/>
  <c r="BO31" i="15"/>
  <c r="BB31" i="15"/>
  <c r="AV31" i="15"/>
  <c r="AX31" i="15" s="1"/>
  <c r="AN31" i="15"/>
  <c r="AG31" i="15"/>
  <c r="CC31" i="15"/>
  <c r="BP31" i="15"/>
  <c r="BJ31" i="15"/>
  <c r="AT31" i="15"/>
  <c r="AA31" i="15"/>
  <c r="CD31" i="15"/>
  <c r="BX31" i="15"/>
  <c r="BH31" i="15"/>
  <c r="BC31" i="15"/>
  <c r="AU31" i="15"/>
  <c r="AO31" i="15"/>
  <c r="AH31" i="15"/>
  <c r="BV31" i="15"/>
  <c r="BQ31" i="15"/>
  <c r="BS31" i="15" s="1"/>
  <c r="BI31" i="15"/>
  <c r="BA31" i="15"/>
  <c r="AM31" i="15"/>
  <c r="AF31" i="15"/>
  <c r="X31" i="15"/>
  <c r="AD31" i="15" s="1"/>
  <c r="AB32" i="15" s="1"/>
  <c r="Z31" i="15"/>
  <c r="Y31" i="15"/>
  <c r="T31" i="15"/>
  <c r="V31" i="15" s="1"/>
  <c r="R31" i="15"/>
  <c r="M31" i="15"/>
  <c r="F31" i="15"/>
  <c r="S31" i="15"/>
  <c r="K31" i="15"/>
  <c r="D31" i="15"/>
  <c r="L31" i="15"/>
  <c r="E31" i="15"/>
  <c r="EE30" i="15"/>
  <c r="BM30" i="15"/>
  <c r="AV11" i="5"/>
  <c r="AW11" i="5" s="1"/>
  <c r="AP11" i="5"/>
  <c r="AQ11" i="5" s="1"/>
  <c r="V30" i="15"/>
  <c r="O30" i="15"/>
  <c r="AX30" i="15"/>
  <c r="CG30" i="15"/>
  <c r="AJ30" i="15"/>
  <c r="CN30" i="15"/>
  <c r="BD11" i="5"/>
  <c r="BE11" i="5" s="1"/>
  <c r="BD12" i="5" l="1"/>
  <c r="BE12" i="5" s="1"/>
  <c r="BN12" i="5"/>
  <c r="BO12" i="5" s="1"/>
  <c r="AC12" i="5"/>
  <c r="DW31" i="15"/>
  <c r="AD12" i="5"/>
  <c r="BZ31" i="15"/>
  <c r="AQ31" i="15"/>
  <c r="BL31" i="15"/>
  <c r="ED31" i="15"/>
  <c r="EK31" i="15"/>
  <c r="BH12" i="5"/>
  <c r="BI12" i="5" s="1"/>
  <c r="AE12" i="5"/>
  <c r="AJ12" i="5"/>
  <c r="AK12" i="5" s="1"/>
  <c r="CN31" i="15"/>
  <c r="DB31" i="15"/>
  <c r="P13" i="5"/>
  <c r="M13" i="5"/>
  <c r="T13" i="5"/>
  <c r="X13" i="5"/>
  <c r="G13" i="5"/>
  <c r="I13" i="5"/>
  <c r="W13" i="5"/>
  <c r="V13" i="5"/>
  <c r="E13" i="5"/>
  <c r="D13" i="5"/>
  <c r="K13" i="5"/>
  <c r="J13" i="5"/>
  <c r="AV13" i="5" s="1"/>
  <c r="AW13" i="5" s="1"/>
  <c r="Y13" i="5"/>
  <c r="AL13" i="5" s="1"/>
  <c r="AM13" i="5" s="1"/>
  <c r="Q13" i="5"/>
  <c r="B13" i="5"/>
  <c r="F13" i="5"/>
  <c r="S13" i="5"/>
  <c r="C13" i="5"/>
  <c r="H13" i="5"/>
  <c r="N13" i="5"/>
  <c r="AR13" i="5" s="1"/>
  <c r="AS13" i="5" s="1"/>
  <c r="R13" i="5"/>
  <c r="L13" i="5"/>
  <c r="AN13" i="5" s="1"/>
  <c r="AO13" i="5" s="1"/>
  <c r="O13" i="5"/>
  <c r="AX13" i="5" s="1"/>
  <c r="AY13" i="5" s="1"/>
  <c r="U13" i="5"/>
  <c r="AT13" i="5" s="1"/>
  <c r="AU13" i="5" s="1"/>
  <c r="A14" i="5"/>
  <c r="AT12" i="5"/>
  <c r="AU12" i="5" s="1"/>
  <c r="H31" i="15"/>
  <c r="BE31" i="15"/>
  <c r="AC31" i="15"/>
  <c r="A33" i="15"/>
  <c r="D32" i="15"/>
  <c r="F32" i="15"/>
  <c r="C32" i="15"/>
  <c r="DY32" i="15"/>
  <c r="DR32" i="15"/>
  <c r="CW32" i="15"/>
  <c r="CI32" i="15"/>
  <c r="CJ32" i="15"/>
  <c r="CB32" i="15"/>
  <c r="CC32" i="15"/>
  <c r="DL32" i="15"/>
  <c r="DE32" i="15"/>
  <c r="CP32" i="15"/>
  <c r="CQ32" i="15"/>
  <c r="EF32" i="15"/>
  <c r="DZ32" i="15"/>
  <c r="DK32" i="15"/>
  <c r="DD32" i="15"/>
  <c r="EG32" i="15"/>
  <c r="DS32" i="15"/>
  <c r="CX32" i="15"/>
  <c r="BV32" i="15"/>
  <c r="BO32" i="15"/>
  <c r="BG32" i="15"/>
  <c r="BH32" i="15"/>
  <c r="AS32" i="15"/>
  <c r="AT32" i="15"/>
  <c r="AL32" i="15"/>
  <c r="AM32" i="15"/>
  <c r="BU32" i="15"/>
  <c r="BN32" i="15"/>
  <c r="Q32" i="15"/>
  <c r="R32" i="15"/>
  <c r="CZ32" i="15"/>
  <c r="CY32" i="15"/>
  <c r="AZ32" i="15"/>
  <c r="BA32" i="15"/>
  <c r="AE32" i="15"/>
  <c r="AF32" i="15"/>
  <c r="K32" i="15"/>
  <c r="EH32" i="15"/>
  <c r="EB32" i="15"/>
  <c r="DG32" i="15"/>
  <c r="DF32" i="15"/>
  <c r="EA32" i="15"/>
  <c r="DU32" i="15"/>
  <c r="CS32" i="15"/>
  <c r="CR32" i="15"/>
  <c r="DT32" i="15"/>
  <c r="DN32" i="15"/>
  <c r="CE32" i="15"/>
  <c r="CD32" i="15"/>
  <c r="J32" i="15"/>
  <c r="EI32" i="15"/>
  <c r="DM32" i="15"/>
  <c r="CL32" i="15"/>
  <c r="CK32" i="15"/>
  <c r="BJ32" i="15"/>
  <c r="BI32" i="15"/>
  <c r="Z32" i="15"/>
  <c r="BW32" i="15"/>
  <c r="BC32" i="15"/>
  <c r="BB32" i="15"/>
  <c r="AO32" i="15"/>
  <c r="AN32" i="15"/>
  <c r="AG32" i="15"/>
  <c r="AA32" i="15"/>
  <c r="BQ32" i="15"/>
  <c r="BP32" i="15"/>
  <c r="AH32" i="15"/>
  <c r="BX32" i="15"/>
  <c r="AV32" i="15"/>
  <c r="AU32" i="15"/>
  <c r="X32" i="15"/>
  <c r="M32" i="15"/>
  <c r="L32" i="15"/>
  <c r="Y32" i="15"/>
  <c r="E32" i="15"/>
  <c r="T32" i="15"/>
  <c r="S32" i="15"/>
  <c r="AX12" i="5"/>
  <c r="AY12" i="5" s="1"/>
  <c r="AA12" i="5"/>
  <c r="AZ12" i="5"/>
  <c r="BA12" i="5" s="1"/>
  <c r="AG12" i="5"/>
  <c r="BL12" i="5"/>
  <c r="BM12" i="5" s="1"/>
  <c r="AR12" i="5"/>
  <c r="AS12" i="5" s="1"/>
  <c r="X34" i="9"/>
  <c r="T34" i="9"/>
  <c r="P34" i="9"/>
  <c r="L34" i="9"/>
  <c r="H34" i="9"/>
  <c r="D34" i="9"/>
  <c r="R34" i="9"/>
  <c r="J34" i="9"/>
  <c r="B34" i="9"/>
  <c r="A35" i="9"/>
  <c r="W34" i="9"/>
  <c r="S34" i="9"/>
  <c r="O34" i="9"/>
  <c r="K34" i="9"/>
  <c r="G34" i="9"/>
  <c r="C34" i="9"/>
  <c r="U34" i="9"/>
  <c r="M34" i="9"/>
  <c r="I34" i="9"/>
  <c r="V34" i="9"/>
  <c r="N34" i="9"/>
  <c r="F34" i="9"/>
  <c r="Y34" i="9"/>
  <c r="Q34" i="9"/>
  <c r="E34" i="9"/>
  <c r="O31" i="15"/>
  <c r="AJ31" i="15"/>
  <c r="DP31" i="15"/>
  <c r="AF12" i="5"/>
  <c r="BJ12" i="5"/>
  <c r="BK12" i="5" s="1"/>
  <c r="AB12" i="5"/>
  <c r="BB12" i="5"/>
  <c r="BC12" i="5" s="1"/>
  <c r="BF12" i="5"/>
  <c r="BG12" i="5" s="1"/>
  <c r="AH12" i="5"/>
  <c r="AE13" i="5" l="1"/>
  <c r="BF13" i="5"/>
  <c r="BG13" i="5" s="1"/>
  <c r="BN13" i="5"/>
  <c r="BO13" i="5" s="1"/>
  <c r="BZ32" i="15"/>
  <c r="CA32" i="15"/>
  <c r="CV32" i="15"/>
  <c r="CU32" i="15"/>
  <c r="CH32" i="15"/>
  <c r="CG32" i="15"/>
  <c r="C14" i="5"/>
  <c r="V14" i="5"/>
  <c r="D14" i="5"/>
  <c r="O14" i="5"/>
  <c r="AX14" i="5" s="1"/>
  <c r="AY14" i="5" s="1"/>
  <c r="J14" i="5"/>
  <c r="AV14" i="5" s="1"/>
  <c r="AW14" i="5" s="1"/>
  <c r="P14" i="5"/>
  <c r="F14" i="5"/>
  <c r="U14" i="5"/>
  <c r="AT14" i="5" s="1"/>
  <c r="AU14" i="5" s="1"/>
  <c r="N14" i="5"/>
  <c r="AR14" i="5" s="1"/>
  <c r="AS14" i="5" s="1"/>
  <c r="R14" i="5"/>
  <c r="AP14" i="5" s="1"/>
  <c r="AQ14" i="5" s="1"/>
  <c r="H14" i="5"/>
  <c r="W14" i="5"/>
  <c r="E14" i="5"/>
  <c r="Q14" i="5"/>
  <c r="A15" i="5"/>
  <c r="T14" i="5"/>
  <c r="G14" i="5"/>
  <c r="K14" i="5"/>
  <c r="I14" i="5"/>
  <c r="Y14" i="5"/>
  <c r="AL14" i="5" s="1"/>
  <c r="AM14" i="5" s="1"/>
  <c r="S14" i="5"/>
  <c r="AJ14" i="5" s="1"/>
  <c r="AK14" i="5" s="1"/>
  <c r="M14" i="5"/>
  <c r="X14" i="5"/>
  <c r="B14" i="5"/>
  <c r="L14" i="5"/>
  <c r="AN14" i="5" s="1"/>
  <c r="AO14" i="5" s="1"/>
  <c r="AP13" i="5"/>
  <c r="AQ13" i="5" s="1"/>
  <c r="AJ13" i="5"/>
  <c r="AK13" i="5" s="1"/>
  <c r="AD32" i="15"/>
  <c r="AC32" i="15"/>
  <c r="BF32" i="15"/>
  <c r="BE32" i="15"/>
  <c r="V32" i="15"/>
  <c r="W32" i="15"/>
  <c r="AQ32" i="15"/>
  <c r="AR32" i="15"/>
  <c r="BM32" i="15"/>
  <c r="BL32" i="15"/>
  <c r="DB32" i="15"/>
  <c r="DC32" i="15"/>
  <c r="H32" i="15"/>
  <c r="I32" i="15"/>
  <c r="AD13" i="5"/>
  <c r="AF13" i="5"/>
  <c r="BJ13" i="5"/>
  <c r="BK13" i="5" s="1"/>
  <c r="BH13" i="5"/>
  <c r="BI13" i="5" s="1"/>
  <c r="X35" i="9"/>
  <c r="T35" i="9"/>
  <c r="P35" i="9"/>
  <c r="L35" i="9"/>
  <c r="H35" i="9"/>
  <c r="D35" i="9"/>
  <c r="A36" i="9"/>
  <c r="R35" i="9"/>
  <c r="J35" i="9"/>
  <c r="B35" i="9"/>
  <c r="W35" i="9"/>
  <c r="S35" i="9"/>
  <c r="O35" i="9"/>
  <c r="K35" i="9"/>
  <c r="G35" i="9"/>
  <c r="C35" i="9"/>
  <c r="Y35" i="9"/>
  <c r="U35" i="9"/>
  <c r="M35" i="9"/>
  <c r="E35" i="9"/>
  <c r="V35" i="9"/>
  <c r="N35" i="9"/>
  <c r="F35" i="9"/>
  <c r="Q35" i="9"/>
  <c r="I35" i="9"/>
  <c r="P32" i="15"/>
  <c r="O32" i="15"/>
  <c r="DX32" i="15"/>
  <c r="DW32" i="15"/>
  <c r="ED32" i="15"/>
  <c r="EE32" i="15"/>
  <c r="DJ32" i="15"/>
  <c r="DI32" i="15"/>
  <c r="CN32" i="15"/>
  <c r="CO32" i="15"/>
  <c r="EF33" i="15"/>
  <c r="A34" i="15"/>
  <c r="DK33" i="15"/>
  <c r="DQ33" i="15" s="1"/>
  <c r="DY33" i="15"/>
  <c r="DR33" i="15"/>
  <c r="CW33" i="15"/>
  <c r="CI33" i="15"/>
  <c r="CO33" i="15" s="1"/>
  <c r="CP33" i="15"/>
  <c r="CV33" i="15" s="1"/>
  <c r="C33" i="15"/>
  <c r="AZ33" i="15"/>
  <c r="AE33" i="15"/>
  <c r="J33" i="15"/>
  <c r="BG33" i="15"/>
  <c r="AS33" i="15"/>
  <c r="AY33" i="15" s="1"/>
  <c r="AL33" i="15"/>
  <c r="CZ33" i="15"/>
  <c r="CB33" i="15"/>
  <c r="BU33" i="15"/>
  <c r="BN33" i="15"/>
  <c r="BT33" i="15" s="1"/>
  <c r="Q33" i="15"/>
  <c r="CX33" i="15"/>
  <c r="DD33" i="15"/>
  <c r="EI33" i="15"/>
  <c r="DT33" i="15"/>
  <c r="DL33" i="15"/>
  <c r="DG33" i="15"/>
  <c r="CJ33" i="15"/>
  <c r="CY33" i="15"/>
  <c r="EG33" i="15"/>
  <c r="EB33" i="15"/>
  <c r="DM33" i="15"/>
  <c r="DE33" i="15"/>
  <c r="CS33" i="15"/>
  <c r="CK33" i="15"/>
  <c r="EH33" i="15"/>
  <c r="DZ33" i="15"/>
  <c r="DU33" i="15"/>
  <c r="DF33" i="15"/>
  <c r="CQ33" i="15"/>
  <c r="CE33" i="15"/>
  <c r="EA33" i="15"/>
  <c r="DS33" i="15"/>
  <c r="DN33" i="15"/>
  <c r="CR33" i="15"/>
  <c r="CL33" i="15"/>
  <c r="CN33" i="15" s="1"/>
  <c r="BV33" i="15"/>
  <c r="BP33" i="15"/>
  <c r="BJ33" i="15"/>
  <c r="AT33" i="15"/>
  <c r="AF33" i="15"/>
  <c r="X33" i="15"/>
  <c r="AD33" i="15" s="1"/>
  <c r="Z33" i="15"/>
  <c r="BW33" i="15"/>
  <c r="BH33" i="15"/>
  <c r="BC33" i="15"/>
  <c r="AU33" i="15"/>
  <c r="AO33" i="15"/>
  <c r="AG33" i="15"/>
  <c r="CC33" i="15"/>
  <c r="BQ33" i="15"/>
  <c r="BI33" i="15"/>
  <c r="BA33" i="15"/>
  <c r="AM33" i="15"/>
  <c r="CD33" i="15"/>
  <c r="BX33" i="15"/>
  <c r="BO33" i="15"/>
  <c r="BB33" i="15"/>
  <c r="AV33" i="15"/>
  <c r="AN33" i="15"/>
  <c r="AH33" i="15"/>
  <c r="Y33" i="15"/>
  <c r="AA33" i="15"/>
  <c r="AC33" i="15" s="1"/>
  <c r="R33" i="15"/>
  <c r="M33" i="15"/>
  <c r="S33" i="15"/>
  <c r="K33" i="15"/>
  <c r="F33" i="15"/>
  <c r="H33" i="15" s="1"/>
  <c r="L33" i="15"/>
  <c r="D33" i="15"/>
  <c r="E33" i="15"/>
  <c r="T33" i="15"/>
  <c r="V33" i="15" s="1"/>
  <c r="AG13" i="5"/>
  <c r="BL13" i="5"/>
  <c r="BM13" i="5" s="1"/>
  <c r="AK32" i="15"/>
  <c r="AK33" i="15"/>
  <c r="AJ32" i="15"/>
  <c r="AX32" i="15"/>
  <c r="AY32" i="15"/>
  <c r="BT32" i="15"/>
  <c r="BS32" i="15"/>
  <c r="EL32" i="15"/>
  <c r="EL33" i="15"/>
  <c r="EK32" i="15"/>
  <c r="DP32" i="15"/>
  <c r="DQ32" i="15"/>
  <c r="AC13" i="5"/>
  <c r="BD13" i="5"/>
  <c r="BE13" i="5" s="1"/>
  <c r="AH13" i="5"/>
  <c r="AB13" i="5"/>
  <c r="BB13" i="5"/>
  <c r="BC13" i="5" s="1"/>
  <c r="AA13" i="5"/>
  <c r="AZ13" i="5"/>
  <c r="BA13" i="5" s="1"/>
  <c r="AH14" i="5" l="1"/>
  <c r="AE14" i="5"/>
  <c r="BF14" i="5"/>
  <c r="BG14" i="5" s="1"/>
  <c r="BZ33" i="15"/>
  <c r="AQ33" i="15"/>
  <c r="O33" i="15"/>
  <c r="DB33" i="15"/>
  <c r="AX33" i="15"/>
  <c r="BS33" i="15"/>
  <c r="BL33" i="15"/>
  <c r="CG33" i="15"/>
  <c r="BM33" i="15"/>
  <c r="AR33" i="15"/>
  <c r="AC14" i="5"/>
  <c r="BD14" i="5"/>
  <c r="BE14" i="5" s="1"/>
  <c r="BE33" i="15"/>
  <c r="DP33" i="15"/>
  <c r="EK33" i="15"/>
  <c r="DJ33" i="15"/>
  <c r="EE33" i="15"/>
  <c r="P33" i="15"/>
  <c r="DC33" i="15"/>
  <c r="W33" i="15"/>
  <c r="BF33" i="15"/>
  <c r="AG14" i="5"/>
  <c r="BL14" i="5"/>
  <c r="BM14" i="5" s="1"/>
  <c r="CA33" i="15"/>
  <c r="AJ33" i="15"/>
  <c r="ED33" i="15"/>
  <c r="DI33" i="15"/>
  <c r="C34" i="15"/>
  <c r="I34" i="15" s="1"/>
  <c r="DY34" i="15"/>
  <c r="EE34" i="15" s="1"/>
  <c r="EF34" i="15"/>
  <c r="DR34" i="15"/>
  <c r="DX34" i="15" s="1"/>
  <c r="A35" i="15"/>
  <c r="DD34" i="15"/>
  <c r="BN34" i="15"/>
  <c r="CW34" i="15"/>
  <c r="DC34" i="15" s="1"/>
  <c r="CI34" i="15"/>
  <c r="CO34" i="15" s="1"/>
  <c r="CB34" i="15"/>
  <c r="DK34" i="15"/>
  <c r="AZ34" i="15"/>
  <c r="BF34" i="15" s="1"/>
  <c r="AE34" i="15"/>
  <c r="J34" i="15"/>
  <c r="CP34" i="15"/>
  <c r="CV34" i="15" s="1"/>
  <c r="BG34" i="15"/>
  <c r="BM34" i="15" s="1"/>
  <c r="AS34" i="15"/>
  <c r="AL34" i="15"/>
  <c r="AR34" i="15" s="1"/>
  <c r="CZ34" i="15"/>
  <c r="BU34" i="15"/>
  <c r="CA34" i="15" s="1"/>
  <c r="CY34" i="15"/>
  <c r="EA34" i="15"/>
  <c r="DS34" i="15"/>
  <c r="DN34" i="15"/>
  <c r="CR34" i="15"/>
  <c r="CL34" i="15"/>
  <c r="EI34" i="15"/>
  <c r="DT34" i="15"/>
  <c r="DL34" i="15"/>
  <c r="DG34" i="15"/>
  <c r="CJ34" i="15"/>
  <c r="EG34" i="15"/>
  <c r="EB34" i="15"/>
  <c r="DM34" i="15"/>
  <c r="DE34" i="15"/>
  <c r="CS34" i="15"/>
  <c r="CK34" i="15"/>
  <c r="Q34" i="15"/>
  <c r="W34" i="15" s="1"/>
  <c r="CX34" i="15"/>
  <c r="EH34" i="15"/>
  <c r="DZ34" i="15"/>
  <c r="DU34" i="15"/>
  <c r="DF34" i="15"/>
  <c r="CQ34" i="15"/>
  <c r="CC34" i="15"/>
  <c r="BX34" i="15"/>
  <c r="BO34" i="15"/>
  <c r="BB34" i="15"/>
  <c r="AV34" i="15"/>
  <c r="AN34" i="15"/>
  <c r="AH34" i="15"/>
  <c r="Y34" i="15"/>
  <c r="CD34" i="15"/>
  <c r="BV34" i="15"/>
  <c r="BP34" i="15"/>
  <c r="BJ34" i="15"/>
  <c r="AT34" i="15"/>
  <c r="AF34" i="15"/>
  <c r="X34" i="15"/>
  <c r="Z34" i="15"/>
  <c r="BW34" i="15"/>
  <c r="BH34" i="15"/>
  <c r="BC34" i="15"/>
  <c r="AU34" i="15"/>
  <c r="AO34" i="15"/>
  <c r="AG34" i="15"/>
  <c r="CE34" i="15"/>
  <c r="BQ34" i="15"/>
  <c r="BI34" i="15"/>
  <c r="BA34" i="15"/>
  <c r="AM34" i="15"/>
  <c r="AA34" i="15"/>
  <c r="T34" i="15"/>
  <c r="F34" i="15"/>
  <c r="R34" i="15"/>
  <c r="M34" i="15"/>
  <c r="D34" i="15"/>
  <c r="S34" i="15"/>
  <c r="K34" i="15"/>
  <c r="L34" i="15"/>
  <c r="E34" i="15"/>
  <c r="I33" i="15"/>
  <c r="BH14" i="5"/>
  <c r="BI14" i="5" s="1"/>
  <c r="AA14" i="5"/>
  <c r="AZ14" i="5"/>
  <c r="BA14" i="5" s="1"/>
  <c r="H15" i="5"/>
  <c r="M15" i="5"/>
  <c r="P15" i="5"/>
  <c r="W15" i="5"/>
  <c r="F15" i="5"/>
  <c r="C15" i="5"/>
  <c r="Q15" i="5"/>
  <c r="L15" i="5"/>
  <c r="AN15" i="5" s="1"/>
  <c r="AO15" i="5" s="1"/>
  <c r="S15" i="5"/>
  <c r="AJ15" i="5" s="1"/>
  <c r="AK15" i="5" s="1"/>
  <c r="A16" i="5"/>
  <c r="G15" i="5"/>
  <c r="I15" i="5"/>
  <c r="O15" i="5"/>
  <c r="AX15" i="5" s="1"/>
  <c r="AY15" i="5" s="1"/>
  <c r="J15" i="5"/>
  <c r="AV15" i="5" s="1"/>
  <c r="AW15" i="5" s="1"/>
  <c r="N15" i="5"/>
  <c r="AR15" i="5" s="1"/>
  <c r="AS15" i="5" s="1"/>
  <c r="X15" i="5"/>
  <c r="B15" i="5"/>
  <c r="U15" i="5"/>
  <c r="AT15" i="5" s="1"/>
  <c r="AU15" i="5" s="1"/>
  <c r="T15" i="5"/>
  <c r="E15" i="5"/>
  <c r="K15" i="5"/>
  <c r="V15" i="5"/>
  <c r="D15" i="5"/>
  <c r="R15" i="5"/>
  <c r="AP15" i="5" s="1"/>
  <c r="AQ15" i="5" s="1"/>
  <c r="Y15" i="5"/>
  <c r="AL15" i="5" s="1"/>
  <c r="AM15" i="5" s="1"/>
  <c r="AD14" i="5"/>
  <c r="AB14" i="5"/>
  <c r="BB14" i="5"/>
  <c r="BC14" i="5" s="1"/>
  <c r="CH33" i="15"/>
  <c r="DW33" i="15"/>
  <c r="CU33" i="15"/>
  <c r="DX33" i="15"/>
  <c r="X36" i="9"/>
  <c r="T36" i="9"/>
  <c r="P36" i="9"/>
  <c r="L36" i="9"/>
  <c r="H36" i="9"/>
  <c r="D36" i="9"/>
  <c r="R36" i="9"/>
  <c r="J36" i="9"/>
  <c r="B36" i="9"/>
  <c r="W36" i="9"/>
  <c r="S36" i="9"/>
  <c r="O36" i="9"/>
  <c r="K36" i="9"/>
  <c r="G36" i="9"/>
  <c r="C36" i="9"/>
  <c r="U36" i="9"/>
  <c r="M36" i="9"/>
  <c r="I36" i="9"/>
  <c r="V36" i="9"/>
  <c r="N36" i="9"/>
  <c r="F36" i="9"/>
  <c r="A37" i="9"/>
  <c r="Y36" i="9"/>
  <c r="Q36" i="9"/>
  <c r="E36" i="9"/>
  <c r="BN14" i="5"/>
  <c r="BO14" i="5" s="1"/>
  <c r="AF14" i="5"/>
  <c r="BJ14" i="5"/>
  <c r="BK14" i="5" s="1"/>
  <c r="AE15" i="5" l="1"/>
  <c r="AC34" i="15"/>
  <c r="AH15" i="5"/>
  <c r="BS34" i="15"/>
  <c r="BF15" i="5"/>
  <c r="BG15" i="5" s="1"/>
  <c r="AF15" i="5"/>
  <c r="BJ15" i="5"/>
  <c r="BK15" i="5" s="1"/>
  <c r="C16" i="5"/>
  <c r="Q16" i="5"/>
  <c r="W16" i="5"/>
  <c r="E16" i="5"/>
  <c r="B16" i="5"/>
  <c r="K16" i="5"/>
  <c r="M16" i="5"/>
  <c r="T16" i="5"/>
  <c r="X16" i="5"/>
  <c r="G16" i="5"/>
  <c r="I16" i="5"/>
  <c r="O16" i="5"/>
  <c r="AX16" i="5" s="1"/>
  <c r="AY16" i="5" s="1"/>
  <c r="V16" i="5"/>
  <c r="A17" i="5"/>
  <c r="P16" i="5"/>
  <c r="D16" i="5"/>
  <c r="R16" i="5"/>
  <c r="AP16" i="5" s="1"/>
  <c r="AQ16" i="5" s="1"/>
  <c r="L16" i="5"/>
  <c r="AN16" i="5" s="1"/>
  <c r="AO16" i="5" s="1"/>
  <c r="Y16" i="5"/>
  <c r="AL16" i="5" s="1"/>
  <c r="AM16" i="5" s="1"/>
  <c r="H16" i="5"/>
  <c r="J16" i="5"/>
  <c r="AV16" i="5" s="1"/>
  <c r="AW16" i="5" s="1"/>
  <c r="U16" i="5"/>
  <c r="AT16" i="5" s="1"/>
  <c r="AU16" i="5" s="1"/>
  <c r="F16" i="5"/>
  <c r="N16" i="5"/>
  <c r="AR16" i="5" s="1"/>
  <c r="AS16" i="5" s="1"/>
  <c r="S16" i="5"/>
  <c r="AJ16" i="5" s="1"/>
  <c r="AK16" i="5" s="1"/>
  <c r="AC15" i="5"/>
  <c r="BD15" i="5"/>
  <c r="BE15" i="5" s="1"/>
  <c r="H34" i="15"/>
  <c r="BZ34" i="15"/>
  <c r="DW34" i="15"/>
  <c r="DI34" i="15"/>
  <c r="CN34" i="15"/>
  <c r="AD15" i="5"/>
  <c r="V34" i="15"/>
  <c r="AQ34" i="15"/>
  <c r="AX34" i="15"/>
  <c r="ED34" i="15"/>
  <c r="AY34" i="15"/>
  <c r="AK34" i="15"/>
  <c r="C35" i="15"/>
  <c r="I35" i="15" s="1"/>
  <c r="G36" i="15" s="1"/>
  <c r="DY35" i="15"/>
  <c r="EE35" i="15" s="1"/>
  <c r="EC36" i="15" s="1"/>
  <c r="DD35" i="15"/>
  <c r="DJ35" i="15" s="1"/>
  <c r="DH36" i="15" s="1"/>
  <c r="CW35" i="15"/>
  <c r="DC35" i="15" s="1"/>
  <c r="DA36" i="15" s="1"/>
  <c r="EF35" i="15"/>
  <c r="DK35" i="15"/>
  <c r="CP35" i="15"/>
  <c r="CV35" i="15" s="1"/>
  <c r="CT36" i="15" s="1"/>
  <c r="BU35" i="15"/>
  <c r="CA35" i="15" s="1"/>
  <c r="BY36" i="15" s="1"/>
  <c r="A36" i="15"/>
  <c r="DR35" i="15"/>
  <c r="DX35" i="15" s="1"/>
  <c r="DV36" i="15" s="1"/>
  <c r="CI35" i="15"/>
  <c r="CY35" i="15"/>
  <c r="AZ35" i="15"/>
  <c r="BF35" i="15" s="1"/>
  <c r="BD36" i="15" s="1"/>
  <c r="AE35" i="15"/>
  <c r="AK35" i="15" s="1"/>
  <c r="AI36" i="15" s="1"/>
  <c r="J35" i="15"/>
  <c r="P35" i="15" s="1"/>
  <c r="N36" i="15" s="1"/>
  <c r="CB35" i="15"/>
  <c r="CH35" i="15" s="1"/>
  <c r="CF36" i="15" s="1"/>
  <c r="BN35" i="15"/>
  <c r="BG35" i="15"/>
  <c r="AS35" i="15"/>
  <c r="AY35" i="15" s="1"/>
  <c r="AW36" i="15" s="1"/>
  <c r="AL35" i="15"/>
  <c r="AR35" i="15" s="1"/>
  <c r="AP36" i="15" s="1"/>
  <c r="Q35" i="15"/>
  <c r="W35" i="15" s="1"/>
  <c r="U36" i="15" s="1"/>
  <c r="EH35" i="15"/>
  <c r="DZ35" i="15"/>
  <c r="DU35" i="15"/>
  <c r="DF35" i="15"/>
  <c r="CQ35" i="15"/>
  <c r="CZ35" i="15"/>
  <c r="EA35" i="15"/>
  <c r="DS35" i="15"/>
  <c r="DN35" i="15"/>
  <c r="CR35" i="15"/>
  <c r="CL35" i="15"/>
  <c r="CX35" i="15"/>
  <c r="EI35" i="15"/>
  <c r="EK35" i="15" s="1"/>
  <c r="DT35" i="15"/>
  <c r="DL35" i="15"/>
  <c r="DG35" i="15"/>
  <c r="CJ35" i="15"/>
  <c r="CD35" i="15"/>
  <c r="EG35" i="15"/>
  <c r="EB35" i="15"/>
  <c r="ED35" i="15" s="1"/>
  <c r="DM35" i="15"/>
  <c r="DE35" i="15"/>
  <c r="CS35" i="15"/>
  <c r="CK35" i="15"/>
  <c r="BQ35" i="15"/>
  <c r="BI35" i="15"/>
  <c r="BA35" i="15"/>
  <c r="AM35" i="15"/>
  <c r="AA35" i="15"/>
  <c r="CE35" i="15"/>
  <c r="BX35" i="15"/>
  <c r="BO35" i="15"/>
  <c r="BB35" i="15"/>
  <c r="AV35" i="15"/>
  <c r="AN35" i="15"/>
  <c r="AH35" i="15"/>
  <c r="Y35" i="15"/>
  <c r="CC35" i="15"/>
  <c r="BV35" i="15"/>
  <c r="BP35" i="15"/>
  <c r="BJ35" i="15"/>
  <c r="AT35" i="15"/>
  <c r="AF35" i="15"/>
  <c r="BW35" i="15"/>
  <c r="BH35" i="15"/>
  <c r="BC35" i="15"/>
  <c r="AU35" i="15"/>
  <c r="AO35" i="15"/>
  <c r="AG35" i="15"/>
  <c r="L35" i="15"/>
  <c r="D35" i="15"/>
  <c r="E35" i="15"/>
  <c r="T35" i="15"/>
  <c r="V35" i="15" s="1"/>
  <c r="X35" i="15"/>
  <c r="AD35" i="15" s="1"/>
  <c r="AB36" i="15" s="1"/>
  <c r="R35" i="15"/>
  <c r="M35" i="15"/>
  <c r="Z35" i="15"/>
  <c r="S35" i="15"/>
  <c r="K35" i="15"/>
  <c r="F35" i="15"/>
  <c r="BM35" i="15"/>
  <c r="BK36" i="15" s="1"/>
  <c r="AD34" i="15"/>
  <c r="P34" i="15"/>
  <c r="BH15" i="5"/>
  <c r="BI15" i="5" s="1"/>
  <c r="AA15" i="5"/>
  <c r="AZ15" i="5"/>
  <c r="BA15" i="5" s="1"/>
  <c r="AG15" i="5"/>
  <c r="BL15" i="5"/>
  <c r="BM15" i="5" s="1"/>
  <c r="O34" i="15"/>
  <c r="BL34" i="15"/>
  <c r="CU34" i="15"/>
  <c r="DP34" i="15"/>
  <c r="DJ34" i="15"/>
  <c r="CO35" i="15"/>
  <c r="CM36" i="15" s="1"/>
  <c r="A40" i="9"/>
  <c r="X37" i="9"/>
  <c r="T37" i="9"/>
  <c r="P37" i="9"/>
  <c r="L37" i="9"/>
  <c r="H37" i="9"/>
  <c r="D37" i="9"/>
  <c r="R37" i="9"/>
  <c r="J37" i="9"/>
  <c r="B37" i="9"/>
  <c r="W37" i="9"/>
  <c r="S37" i="9"/>
  <c r="O37" i="9"/>
  <c r="K37" i="9"/>
  <c r="G37" i="9"/>
  <c r="C37" i="9"/>
  <c r="Y37" i="9"/>
  <c r="Q37" i="9"/>
  <c r="M37" i="9"/>
  <c r="E37" i="9"/>
  <c r="V37" i="9"/>
  <c r="N37" i="9"/>
  <c r="F37" i="9"/>
  <c r="U37" i="9"/>
  <c r="I37" i="9"/>
  <c r="AB15" i="5"/>
  <c r="BB15" i="5"/>
  <c r="BC15" i="5" s="1"/>
  <c r="BN15" i="5"/>
  <c r="BO15" i="5" s="1"/>
  <c r="CG34" i="15"/>
  <c r="BE34" i="15"/>
  <c r="AJ34" i="15"/>
  <c r="EK34" i="15"/>
  <c r="DB34" i="15"/>
  <c r="DQ34" i="15"/>
  <c r="DQ35" i="15"/>
  <c r="DO36" i="15" s="1"/>
  <c r="BT35" i="15"/>
  <c r="BR36" i="15" s="1"/>
  <c r="BT34" i="15"/>
  <c r="EL34" i="15"/>
  <c r="EL35" i="15"/>
  <c r="EJ36" i="15" s="1"/>
  <c r="CH34" i="15"/>
  <c r="BH16" i="5" l="1"/>
  <c r="BI16" i="5" s="1"/>
  <c r="AQ35" i="15"/>
  <c r="H35" i="15"/>
  <c r="AJ35" i="15"/>
  <c r="BN16" i="5"/>
  <c r="BO16" i="5" s="1"/>
  <c r="BS35" i="15"/>
  <c r="DP35" i="15"/>
  <c r="BF16" i="5"/>
  <c r="BG16" i="5" s="1"/>
  <c r="O35" i="15"/>
  <c r="BE35" i="15"/>
  <c r="AC35" i="15"/>
  <c r="AC16" i="5"/>
  <c r="BD16" i="5"/>
  <c r="BE16" i="5" s="1"/>
  <c r="DI35" i="15"/>
  <c r="C36" i="15"/>
  <c r="A37" i="15"/>
  <c r="DZ36" i="15"/>
  <c r="DE36" i="15"/>
  <c r="CX36" i="15"/>
  <c r="EG36" i="15"/>
  <c r="CQ36" i="15"/>
  <c r="CI36" i="15"/>
  <c r="CB36" i="15"/>
  <c r="BV36" i="15"/>
  <c r="D36" i="15"/>
  <c r="EF36" i="15"/>
  <c r="DR36" i="15"/>
  <c r="DL36" i="15"/>
  <c r="CW36" i="15"/>
  <c r="CP36" i="15"/>
  <c r="F36" i="15"/>
  <c r="DY36" i="15"/>
  <c r="DS36" i="15"/>
  <c r="DK36" i="15"/>
  <c r="BO36" i="15"/>
  <c r="BG36" i="15"/>
  <c r="AS36" i="15"/>
  <c r="AL36" i="15"/>
  <c r="CC36" i="15"/>
  <c r="Q36" i="15"/>
  <c r="DD36" i="15"/>
  <c r="BU36" i="15"/>
  <c r="BN36" i="15"/>
  <c r="BA36" i="15"/>
  <c r="AF36" i="15"/>
  <c r="K36" i="15"/>
  <c r="CZ36" i="15"/>
  <c r="CY36" i="15"/>
  <c r="CJ36" i="15"/>
  <c r="BH36" i="15"/>
  <c r="AZ36" i="15"/>
  <c r="AT36" i="15"/>
  <c r="AM36" i="15"/>
  <c r="AE36" i="15"/>
  <c r="EI36" i="15"/>
  <c r="DM36" i="15"/>
  <c r="CL36" i="15"/>
  <c r="CK36" i="15"/>
  <c r="EH36" i="15"/>
  <c r="EB36" i="15"/>
  <c r="DG36" i="15"/>
  <c r="DF36" i="15"/>
  <c r="J36" i="15"/>
  <c r="R36" i="15"/>
  <c r="EA36" i="15"/>
  <c r="DU36" i="15"/>
  <c r="CS36" i="15"/>
  <c r="CR36" i="15"/>
  <c r="DT36" i="15"/>
  <c r="DN36" i="15"/>
  <c r="CE36" i="15"/>
  <c r="CD36" i="15"/>
  <c r="BX36" i="15"/>
  <c r="BW36" i="15"/>
  <c r="AV36" i="15"/>
  <c r="AU36" i="15"/>
  <c r="AG36" i="15"/>
  <c r="Y36" i="15"/>
  <c r="BJ36" i="15"/>
  <c r="BI36" i="15"/>
  <c r="AH36" i="15"/>
  <c r="X36" i="15"/>
  <c r="BC36" i="15"/>
  <c r="BB36" i="15"/>
  <c r="AO36" i="15"/>
  <c r="AN36" i="15"/>
  <c r="BQ36" i="15"/>
  <c r="BP36" i="15"/>
  <c r="AA36" i="15"/>
  <c r="Z36" i="15"/>
  <c r="T36" i="15"/>
  <c r="S36" i="15"/>
  <c r="M36" i="15"/>
  <c r="L36" i="15"/>
  <c r="E36" i="15"/>
  <c r="AB16" i="5"/>
  <c r="BB16" i="5"/>
  <c r="BC16" i="5" s="1"/>
  <c r="AE16" i="5"/>
  <c r="BL35" i="15"/>
  <c r="AF16" i="5"/>
  <c r="BJ16" i="5"/>
  <c r="BK16" i="5" s="1"/>
  <c r="X40" i="9"/>
  <c r="T40" i="9"/>
  <c r="P40" i="9"/>
  <c r="L40" i="9"/>
  <c r="H40" i="9"/>
  <c r="D40" i="9"/>
  <c r="R40" i="9"/>
  <c r="J40" i="9"/>
  <c r="B40" i="9"/>
  <c r="A41" i="9"/>
  <c r="W40" i="9"/>
  <c r="S40" i="9"/>
  <c r="O40" i="9"/>
  <c r="K40" i="9"/>
  <c r="G40" i="9"/>
  <c r="C40" i="9"/>
  <c r="U40" i="9"/>
  <c r="M40" i="9"/>
  <c r="E40" i="9"/>
  <c r="V40" i="9"/>
  <c r="N40" i="9"/>
  <c r="F40" i="9"/>
  <c r="Y40" i="9"/>
  <c r="Q40" i="9"/>
  <c r="I40" i="9"/>
  <c r="BZ35" i="15"/>
  <c r="CU35" i="15"/>
  <c r="CN35" i="15"/>
  <c r="DW35" i="15"/>
  <c r="AD16" i="5"/>
  <c r="AA16" i="5"/>
  <c r="AZ16" i="5"/>
  <c r="BA16" i="5" s="1"/>
  <c r="AG16" i="5"/>
  <c r="BL16" i="5"/>
  <c r="BM16" i="5" s="1"/>
  <c r="AX35" i="15"/>
  <c r="CG35" i="15"/>
  <c r="DB35" i="15"/>
  <c r="P17" i="5"/>
  <c r="H17" i="5"/>
  <c r="Q17" i="5"/>
  <c r="T17" i="5"/>
  <c r="X17" i="5"/>
  <c r="G17" i="5"/>
  <c r="I17" i="5"/>
  <c r="B17" i="5"/>
  <c r="Y17" i="5"/>
  <c r="AL17" i="5" s="1"/>
  <c r="AM17" i="5" s="1"/>
  <c r="K17" i="5"/>
  <c r="U17" i="5"/>
  <c r="AT17" i="5" s="1"/>
  <c r="AU17" i="5" s="1"/>
  <c r="R17" i="5"/>
  <c r="AP17" i="5" s="1"/>
  <c r="AQ17" i="5" s="1"/>
  <c r="L17" i="5"/>
  <c r="AN17" i="5" s="1"/>
  <c r="AO17" i="5" s="1"/>
  <c r="W17" i="5"/>
  <c r="M17" i="5"/>
  <c r="V17" i="5"/>
  <c r="O17" i="5"/>
  <c r="AX17" i="5" s="1"/>
  <c r="AY17" i="5" s="1"/>
  <c r="S17" i="5"/>
  <c r="AJ17" i="5" s="1"/>
  <c r="AK17" i="5" s="1"/>
  <c r="C17" i="5"/>
  <c r="D17" i="5"/>
  <c r="A18" i="5"/>
  <c r="J17" i="5"/>
  <c r="AV17" i="5" s="1"/>
  <c r="AW17" i="5" s="1"/>
  <c r="E17" i="5"/>
  <c r="F17" i="5"/>
  <c r="AD17" i="5" s="1"/>
  <c r="N17" i="5"/>
  <c r="AR17" i="5" s="1"/>
  <c r="AS17" i="5" s="1"/>
  <c r="AH16" i="5"/>
  <c r="AE17" i="5" l="1"/>
  <c r="AH17" i="5"/>
  <c r="AC17" i="5"/>
  <c r="BD17" i="5"/>
  <c r="BE17" i="5" s="1"/>
  <c r="AA17" i="5"/>
  <c r="AZ17" i="5"/>
  <c r="BA17" i="5" s="1"/>
  <c r="AG17" i="5"/>
  <c r="BL17" i="5"/>
  <c r="BM17" i="5" s="1"/>
  <c r="AB17" i="5"/>
  <c r="BB17" i="5"/>
  <c r="BC17" i="5" s="1"/>
  <c r="AF17" i="5"/>
  <c r="BJ17" i="5"/>
  <c r="BK17" i="5" s="1"/>
  <c r="BF17" i="5"/>
  <c r="BG17" i="5" s="1"/>
  <c r="AC36" i="15"/>
  <c r="AD36" i="15"/>
  <c r="BL36" i="15"/>
  <c r="BM36" i="15"/>
  <c r="O36" i="15"/>
  <c r="P36" i="15"/>
  <c r="DJ36" i="15"/>
  <c r="DI36" i="15"/>
  <c r="AQ36" i="15"/>
  <c r="AR36" i="15"/>
  <c r="CN36" i="15"/>
  <c r="CO36" i="15"/>
  <c r="AK36" i="15"/>
  <c r="AJ36" i="15"/>
  <c r="DW36" i="15"/>
  <c r="DX36" i="15"/>
  <c r="H36" i="15"/>
  <c r="I36" i="15"/>
  <c r="CV36" i="15"/>
  <c r="CU36" i="15"/>
  <c r="ED36" i="15"/>
  <c r="EE36" i="15"/>
  <c r="W36" i="15"/>
  <c r="V36" i="15"/>
  <c r="AX36" i="15"/>
  <c r="AY36" i="15"/>
  <c r="BF36" i="15"/>
  <c r="BE36" i="15"/>
  <c r="DQ36" i="15"/>
  <c r="DP36" i="15"/>
  <c r="BZ36" i="15"/>
  <c r="CA36" i="15"/>
  <c r="EL36" i="15"/>
  <c r="EK36" i="15"/>
  <c r="EF37" i="15"/>
  <c r="C37" i="15"/>
  <c r="A38" i="15"/>
  <c r="DK37" i="15"/>
  <c r="DQ37" i="15" s="1"/>
  <c r="DD37" i="15"/>
  <c r="CI37" i="15"/>
  <c r="CO37" i="15" s="1"/>
  <c r="DR37" i="15"/>
  <c r="DX37" i="15" s="1"/>
  <c r="CW37" i="15"/>
  <c r="CP37" i="15"/>
  <c r="DY37" i="15"/>
  <c r="EE37" i="15" s="1"/>
  <c r="CB37" i="15"/>
  <c r="AZ37" i="15"/>
  <c r="BF37" i="15" s="1"/>
  <c r="AE37" i="15"/>
  <c r="J37" i="15"/>
  <c r="P37" i="15" s="1"/>
  <c r="BG37" i="15"/>
  <c r="BM37" i="15" s="1"/>
  <c r="AS37" i="15"/>
  <c r="AY37" i="15" s="1"/>
  <c r="AL37" i="15"/>
  <c r="AR37" i="15" s="1"/>
  <c r="Q37" i="15"/>
  <c r="W37" i="15" s="1"/>
  <c r="CZ37" i="15"/>
  <c r="BU37" i="15"/>
  <c r="CA37" i="15" s="1"/>
  <c r="BN37" i="15"/>
  <c r="CY37" i="15"/>
  <c r="EA37" i="15"/>
  <c r="DS37" i="15"/>
  <c r="DN37" i="15"/>
  <c r="CR37" i="15"/>
  <c r="CL37" i="15"/>
  <c r="EI37" i="15"/>
  <c r="DT37" i="15"/>
  <c r="DL37" i="15"/>
  <c r="DG37" i="15"/>
  <c r="CJ37" i="15"/>
  <c r="EG37" i="15"/>
  <c r="EB37" i="15"/>
  <c r="DM37" i="15"/>
  <c r="DE37" i="15"/>
  <c r="CS37" i="15"/>
  <c r="CK37" i="15"/>
  <c r="CX37" i="15"/>
  <c r="EH37" i="15"/>
  <c r="DZ37" i="15"/>
  <c r="DU37" i="15"/>
  <c r="DW37" i="15" s="1"/>
  <c r="DF37" i="15"/>
  <c r="CQ37" i="15"/>
  <c r="CE37" i="15"/>
  <c r="BX37" i="15"/>
  <c r="BO37" i="15"/>
  <c r="BB37" i="15"/>
  <c r="AV37" i="15"/>
  <c r="AN37" i="15"/>
  <c r="AG37" i="15"/>
  <c r="AA37" i="15"/>
  <c r="CC37" i="15"/>
  <c r="BV37" i="15"/>
  <c r="BP37" i="15"/>
  <c r="BJ37" i="15"/>
  <c r="AT37" i="15"/>
  <c r="Y37" i="15"/>
  <c r="CD37" i="15"/>
  <c r="BW37" i="15"/>
  <c r="BH37" i="15"/>
  <c r="BC37" i="15"/>
  <c r="AU37" i="15"/>
  <c r="AO37" i="15"/>
  <c r="AH37" i="15"/>
  <c r="BQ37" i="15"/>
  <c r="BI37" i="15"/>
  <c r="BA37" i="15"/>
  <c r="AM37" i="15"/>
  <c r="AF37" i="15"/>
  <c r="X37" i="15"/>
  <c r="AD37" i="15" s="1"/>
  <c r="T37" i="15"/>
  <c r="D37" i="15"/>
  <c r="R37" i="15"/>
  <c r="M37" i="15"/>
  <c r="Z37" i="15"/>
  <c r="S37" i="15"/>
  <c r="K37" i="15"/>
  <c r="L37" i="15"/>
  <c r="F37" i="15"/>
  <c r="E37" i="15"/>
  <c r="M18" i="5"/>
  <c r="V18" i="5"/>
  <c r="D18" i="5"/>
  <c r="O18" i="5"/>
  <c r="AX18" i="5" s="1"/>
  <c r="AY18" i="5" s="1"/>
  <c r="J18" i="5"/>
  <c r="AV18" i="5" s="1"/>
  <c r="AW18" i="5" s="1"/>
  <c r="H18" i="5"/>
  <c r="E18" i="5"/>
  <c r="K18" i="5"/>
  <c r="U18" i="5"/>
  <c r="AT18" i="5" s="1"/>
  <c r="AU18" i="5" s="1"/>
  <c r="N18" i="5"/>
  <c r="AR18" i="5" s="1"/>
  <c r="AS18" i="5" s="1"/>
  <c r="R18" i="5"/>
  <c r="AP18" i="5" s="1"/>
  <c r="AQ18" i="5" s="1"/>
  <c r="P18" i="5"/>
  <c r="Y18" i="5"/>
  <c r="AL18" i="5" s="1"/>
  <c r="AM18" i="5" s="1"/>
  <c r="S18" i="5"/>
  <c r="AJ18" i="5" s="1"/>
  <c r="AK18" i="5" s="1"/>
  <c r="F18" i="5"/>
  <c r="Q18" i="5"/>
  <c r="W18" i="5"/>
  <c r="X18" i="5"/>
  <c r="B18" i="5"/>
  <c r="L18" i="5"/>
  <c r="AN18" i="5" s="1"/>
  <c r="AO18" i="5" s="1"/>
  <c r="C18" i="5"/>
  <c r="G18" i="5"/>
  <c r="A19" i="5"/>
  <c r="T18" i="5"/>
  <c r="I18" i="5"/>
  <c r="BH17" i="5"/>
  <c r="BI17" i="5" s="1"/>
  <c r="BN17" i="5"/>
  <c r="BO17" i="5" s="1"/>
  <c r="X41" i="9"/>
  <c r="T41" i="9"/>
  <c r="P41" i="9"/>
  <c r="L41" i="9"/>
  <c r="H41" i="9"/>
  <c r="D41" i="9"/>
  <c r="R41" i="9"/>
  <c r="J41" i="9"/>
  <c r="B41" i="9"/>
  <c r="W41" i="9"/>
  <c r="S41" i="9"/>
  <c r="O41" i="9"/>
  <c r="K41" i="9"/>
  <c r="G41" i="9"/>
  <c r="C41" i="9"/>
  <c r="Y41" i="9"/>
  <c r="Q41" i="9"/>
  <c r="M41" i="9"/>
  <c r="E41" i="9"/>
  <c r="A42" i="9"/>
  <c r="V41" i="9"/>
  <c r="N41" i="9"/>
  <c r="F41" i="9"/>
  <c r="U41" i="9"/>
  <c r="I41" i="9"/>
  <c r="CH36" i="15"/>
  <c r="CG36" i="15"/>
  <c r="CH37" i="15"/>
  <c r="BT36" i="15"/>
  <c r="BS36" i="15"/>
  <c r="BT37" i="15"/>
  <c r="DC37" i="15"/>
  <c r="DB36" i="15"/>
  <c r="DC36" i="15"/>
  <c r="BN18" i="5" l="1"/>
  <c r="BO18" i="5" s="1"/>
  <c r="BF18" i="5"/>
  <c r="BG18" i="5" s="1"/>
  <c r="AC37" i="15"/>
  <c r="AJ37" i="15"/>
  <c r="DP37" i="15"/>
  <c r="AE18" i="5"/>
  <c r="V37" i="15"/>
  <c r="CU37" i="15"/>
  <c r="O37" i="15"/>
  <c r="CG37" i="15"/>
  <c r="H37" i="15"/>
  <c r="AQ37" i="15"/>
  <c r="BL37" i="15"/>
  <c r="EK37" i="15"/>
  <c r="CV37" i="15"/>
  <c r="DJ37" i="15"/>
  <c r="AX37" i="15"/>
  <c r="X42" i="9"/>
  <c r="T42" i="9"/>
  <c r="P42" i="9"/>
  <c r="L42" i="9"/>
  <c r="H42" i="9"/>
  <c r="D42" i="9"/>
  <c r="R42" i="9"/>
  <c r="J42" i="9"/>
  <c r="B42" i="9"/>
  <c r="W42" i="9"/>
  <c r="S42" i="9"/>
  <c r="O42" i="9"/>
  <c r="K42" i="9"/>
  <c r="G42" i="9"/>
  <c r="C42" i="9"/>
  <c r="U42" i="9"/>
  <c r="Q42" i="9"/>
  <c r="I42" i="9"/>
  <c r="V42" i="9"/>
  <c r="N42" i="9"/>
  <c r="F42" i="9"/>
  <c r="A44" i="9"/>
  <c r="Y42" i="9"/>
  <c r="M42" i="9"/>
  <c r="E42" i="9"/>
  <c r="AB18" i="5"/>
  <c r="BB18" i="5"/>
  <c r="BC18" i="5" s="1"/>
  <c r="BH18" i="5"/>
  <c r="BI18" i="5" s="1"/>
  <c r="DI37" i="15"/>
  <c r="CN37" i="15"/>
  <c r="DB37" i="15"/>
  <c r="DY38" i="15"/>
  <c r="EE38" i="15" s="1"/>
  <c r="EC39" i="15" s="1"/>
  <c r="EF38" i="15"/>
  <c r="EL38" i="15" s="1"/>
  <c r="EJ39" i="15" s="1"/>
  <c r="DR38" i="15"/>
  <c r="DX38" i="15" s="1"/>
  <c r="DV39" i="15" s="1"/>
  <c r="C38" i="15"/>
  <c r="I38" i="15" s="1"/>
  <c r="G39" i="15" s="1"/>
  <c r="A39" i="15"/>
  <c r="DK38" i="15"/>
  <c r="DQ38" i="15" s="1"/>
  <c r="DO39" i="15" s="1"/>
  <c r="BN38" i="15"/>
  <c r="BT38" i="15" s="1"/>
  <c r="BR39" i="15" s="1"/>
  <c r="DD38" i="15"/>
  <c r="DJ38" i="15" s="1"/>
  <c r="DH39" i="15" s="1"/>
  <c r="CI38" i="15"/>
  <c r="CO38" i="15" s="1"/>
  <c r="CM39" i="15" s="1"/>
  <c r="CB38" i="15"/>
  <c r="CH38" i="15" s="1"/>
  <c r="CF39" i="15" s="1"/>
  <c r="BU38" i="15"/>
  <c r="CA38" i="15" s="1"/>
  <c r="BY39" i="15" s="1"/>
  <c r="CP38" i="15"/>
  <c r="CV38" i="15" s="1"/>
  <c r="CT39" i="15" s="1"/>
  <c r="AZ38" i="15"/>
  <c r="BF38" i="15" s="1"/>
  <c r="BD39" i="15" s="1"/>
  <c r="AE38" i="15"/>
  <c r="AK38" i="15" s="1"/>
  <c r="AI39" i="15" s="1"/>
  <c r="J38" i="15"/>
  <c r="P38" i="15" s="1"/>
  <c r="N39" i="15" s="1"/>
  <c r="CY38" i="15"/>
  <c r="BG38" i="15"/>
  <c r="BM38" i="15" s="1"/>
  <c r="BK39" i="15" s="1"/>
  <c r="AS38" i="15"/>
  <c r="AY38" i="15" s="1"/>
  <c r="AW39" i="15" s="1"/>
  <c r="AL38" i="15"/>
  <c r="AR38" i="15" s="1"/>
  <c r="AP39" i="15" s="1"/>
  <c r="CW38" i="15"/>
  <c r="DC38" i="15" s="1"/>
  <c r="DA39" i="15" s="1"/>
  <c r="EH38" i="15"/>
  <c r="DZ38" i="15"/>
  <c r="DU38" i="15"/>
  <c r="DF38" i="15"/>
  <c r="CQ38" i="15"/>
  <c r="Q38" i="15"/>
  <c r="W38" i="15" s="1"/>
  <c r="U39" i="15" s="1"/>
  <c r="CZ38" i="15"/>
  <c r="EA38" i="15"/>
  <c r="DS38" i="15"/>
  <c r="DN38" i="15"/>
  <c r="CR38" i="15"/>
  <c r="CL38" i="15"/>
  <c r="CX38" i="15"/>
  <c r="EI38" i="15"/>
  <c r="DT38" i="15"/>
  <c r="DL38" i="15"/>
  <c r="DG38" i="15"/>
  <c r="CJ38" i="15"/>
  <c r="CD38" i="15"/>
  <c r="EG38" i="15"/>
  <c r="EB38" i="15"/>
  <c r="DM38" i="15"/>
  <c r="DE38" i="15"/>
  <c r="CS38" i="15"/>
  <c r="CK38" i="15"/>
  <c r="BQ38" i="15"/>
  <c r="BI38" i="15"/>
  <c r="BA38" i="15"/>
  <c r="AM38" i="15"/>
  <c r="AF38" i="15"/>
  <c r="BX38" i="15"/>
  <c r="BO38" i="15"/>
  <c r="BB38" i="15"/>
  <c r="AV38" i="15"/>
  <c r="AN38" i="15"/>
  <c r="AG38" i="15"/>
  <c r="AA38" i="15"/>
  <c r="CE38" i="15"/>
  <c r="BV38" i="15"/>
  <c r="BP38" i="15"/>
  <c r="BJ38" i="15"/>
  <c r="AT38" i="15"/>
  <c r="CC38" i="15"/>
  <c r="BW38" i="15"/>
  <c r="BH38" i="15"/>
  <c r="BC38" i="15"/>
  <c r="AU38" i="15"/>
  <c r="AO38" i="15"/>
  <c r="AQ38" i="15" s="1"/>
  <c r="AH38" i="15"/>
  <c r="X38" i="15"/>
  <c r="AD38" i="15" s="1"/>
  <c r="AB39" i="15" s="1"/>
  <c r="Z38" i="15"/>
  <c r="L38" i="15"/>
  <c r="E38" i="15"/>
  <c r="Y38" i="15"/>
  <c r="T38" i="15"/>
  <c r="R38" i="15"/>
  <c r="M38" i="15"/>
  <c r="F38" i="15"/>
  <c r="S38" i="15"/>
  <c r="K38" i="15"/>
  <c r="D38" i="15"/>
  <c r="EL37" i="15"/>
  <c r="I37" i="15"/>
  <c r="AK37" i="15"/>
  <c r="AH18" i="5"/>
  <c r="H19" i="5"/>
  <c r="M19" i="5"/>
  <c r="C19" i="5"/>
  <c r="F19" i="5"/>
  <c r="W19" i="5"/>
  <c r="V19" i="5"/>
  <c r="D19" i="5"/>
  <c r="J19" i="5"/>
  <c r="AV19" i="5" s="1"/>
  <c r="AW19" i="5" s="1"/>
  <c r="L19" i="5"/>
  <c r="AN19" i="5" s="1"/>
  <c r="AO19" i="5" s="1"/>
  <c r="S19" i="5"/>
  <c r="AJ19" i="5" s="1"/>
  <c r="AK19" i="5" s="1"/>
  <c r="A20" i="5"/>
  <c r="T19" i="5"/>
  <c r="X19" i="5"/>
  <c r="B19" i="5"/>
  <c r="E19" i="5"/>
  <c r="I19" i="5"/>
  <c r="N19" i="5"/>
  <c r="AR19" i="5" s="1"/>
  <c r="AS19" i="5" s="1"/>
  <c r="P19" i="5"/>
  <c r="O19" i="5"/>
  <c r="AX19" i="5" s="1"/>
  <c r="AY19" i="5" s="1"/>
  <c r="R19" i="5"/>
  <c r="AP19" i="5" s="1"/>
  <c r="AQ19" i="5" s="1"/>
  <c r="Y19" i="5"/>
  <c r="AL19" i="5" s="1"/>
  <c r="AM19" i="5" s="1"/>
  <c r="Q19" i="5"/>
  <c r="U19" i="5"/>
  <c r="AT19" i="5" s="1"/>
  <c r="AU19" i="5" s="1"/>
  <c r="G19" i="5"/>
  <c r="K19" i="5"/>
  <c r="AD18" i="5"/>
  <c r="AF18" i="5"/>
  <c r="BJ18" i="5"/>
  <c r="BK18" i="5" s="1"/>
  <c r="AA18" i="5"/>
  <c r="AZ18" i="5"/>
  <c r="BA18" i="5" s="1"/>
  <c r="AC18" i="5"/>
  <c r="BD18" i="5"/>
  <c r="BE18" i="5" s="1"/>
  <c r="AG18" i="5"/>
  <c r="BL18" i="5"/>
  <c r="BM18" i="5" s="1"/>
  <c r="BS37" i="15"/>
  <c r="BE37" i="15"/>
  <c r="BZ37" i="15"/>
  <c r="ED37" i="15"/>
  <c r="AH19" i="5" l="1"/>
  <c r="H38" i="15"/>
  <c r="BS38" i="15"/>
  <c r="DP38" i="15"/>
  <c r="BH19" i="5"/>
  <c r="BI19" i="5" s="1"/>
  <c r="BE38" i="15"/>
  <c r="CG38" i="15"/>
  <c r="DW38" i="15"/>
  <c r="BF19" i="5"/>
  <c r="BG19" i="5" s="1"/>
  <c r="V38" i="15"/>
  <c r="DB38" i="15"/>
  <c r="EK38" i="15"/>
  <c r="AA19" i="5"/>
  <c r="AZ19" i="5"/>
  <c r="BA19" i="5" s="1"/>
  <c r="AD19" i="5"/>
  <c r="O38" i="15"/>
  <c r="AJ38" i="15"/>
  <c r="BL38" i="15"/>
  <c r="AC38" i="15"/>
  <c r="ED38" i="15"/>
  <c r="DI38" i="15"/>
  <c r="D39" i="15"/>
  <c r="C39" i="15"/>
  <c r="F39" i="15"/>
  <c r="DY39" i="15"/>
  <c r="DZ39" i="15"/>
  <c r="DD39" i="15"/>
  <c r="DE39" i="15"/>
  <c r="CW39" i="15"/>
  <c r="CX39" i="15"/>
  <c r="EF39" i="15"/>
  <c r="EG39" i="15"/>
  <c r="DS39" i="15"/>
  <c r="CP39" i="15"/>
  <c r="CQ39" i="15"/>
  <c r="BU39" i="15"/>
  <c r="BV39" i="15"/>
  <c r="DR39" i="15"/>
  <c r="DL39" i="15"/>
  <c r="A40" i="15"/>
  <c r="CI39" i="15"/>
  <c r="CB39" i="15"/>
  <c r="BO39" i="15"/>
  <c r="CJ39" i="15"/>
  <c r="BN39" i="15"/>
  <c r="AZ39" i="15"/>
  <c r="BA39" i="15"/>
  <c r="AE39" i="15"/>
  <c r="AF39" i="15"/>
  <c r="J39" i="15"/>
  <c r="K39" i="15"/>
  <c r="CZ39" i="15"/>
  <c r="CY39" i="15"/>
  <c r="DK39" i="15"/>
  <c r="CC39" i="15"/>
  <c r="BG39" i="15"/>
  <c r="BH39" i="15"/>
  <c r="AS39" i="15"/>
  <c r="AT39" i="15"/>
  <c r="AL39" i="15"/>
  <c r="AM39" i="15"/>
  <c r="R39" i="15"/>
  <c r="EI39" i="15"/>
  <c r="DM39" i="15"/>
  <c r="CL39" i="15"/>
  <c r="CK39" i="15"/>
  <c r="EH39" i="15"/>
  <c r="EB39" i="15"/>
  <c r="DG39" i="15"/>
  <c r="DF39" i="15"/>
  <c r="Q39" i="15"/>
  <c r="EA39" i="15"/>
  <c r="DU39" i="15"/>
  <c r="CS39" i="15"/>
  <c r="CR39" i="15"/>
  <c r="DT39" i="15"/>
  <c r="DN39" i="15"/>
  <c r="BX39" i="15"/>
  <c r="BW39" i="15"/>
  <c r="AV39" i="15"/>
  <c r="AU39" i="15"/>
  <c r="Z39" i="15"/>
  <c r="CE39" i="15"/>
  <c r="CD39" i="15"/>
  <c r="BJ39" i="15"/>
  <c r="BI39" i="15"/>
  <c r="AA39" i="15"/>
  <c r="BC39" i="15"/>
  <c r="BB39" i="15"/>
  <c r="AO39" i="15"/>
  <c r="AN39" i="15"/>
  <c r="AG39" i="15"/>
  <c r="BQ39" i="15"/>
  <c r="BP39" i="15"/>
  <c r="AH39" i="15"/>
  <c r="X39" i="15"/>
  <c r="T39" i="15"/>
  <c r="S39" i="15"/>
  <c r="M39" i="15"/>
  <c r="L39" i="15"/>
  <c r="E39" i="15"/>
  <c r="Y39" i="15"/>
  <c r="AG19" i="5"/>
  <c r="BL19" i="5"/>
  <c r="BM19" i="5" s="1"/>
  <c r="AX38" i="15"/>
  <c r="AE19" i="5"/>
  <c r="C20" i="5"/>
  <c r="Q20" i="5"/>
  <c r="W20" i="5"/>
  <c r="P20" i="5"/>
  <c r="E20" i="5"/>
  <c r="B20" i="5"/>
  <c r="K20" i="5"/>
  <c r="F20" i="5"/>
  <c r="M20" i="5"/>
  <c r="D20" i="5"/>
  <c r="N20" i="5"/>
  <c r="AR20" i="5" s="1"/>
  <c r="AS20" i="5" s="1"/>
  <c r="T20" i="5"/>
  <c r="G20" i="5"/>
  <c r="V20" i="5"/>
  <c r="I20" i="5"/>
  <c r="S20" i="5"/>
  <c r="AJ20" i="5" s="1"/>
  <c r="AK20" i="5" s="1"/>
  <c r="H20" i="5"/>
  <c r="X20" i="5"/>
  <c r="O20" i="5"/>
  <c r="AX20" i="5" s="1"/>
  <c r="AY20" i="5" s="1"/>
  <c r="R20" i="5"/>
  <c r="AP20" i="5" s="1"/>
  <c r="AQ20" i="5" s="1"/>
  <c r="L20" i="5"/>
  <c r="AN20" i="5" s="1"/>
  <c r="AO20" i="5" s="1"/>
  <c r="Y20" i="5"/>
  <c r="AL20" i="5" s="1"/>
  <c r="AM20" i="5" s="1"/>
  <c r="J20" i="5"/>
  <c r="AV20" i="5" s="1"/>
  <c r="AW20" i="5" s="1"/>
  <c r="U20" i="5"/>
  <c r="AT20" i="5" s="1"/>
  <c r="AU20" i="5" s="1"/>
  <c r="A21" i="5"/>
  <c r="AB19" i="5"/>
  <c r="BB19" i="5"/>
  <c r="BC19" i="5" s="1"/>
  <c r="AC19" i="5"/>
  <c r="BD19" i="5"/>
  <c r="BE19" i="5" s="1"/>
  <c r="CU38" i="15"/>
  <c r="CN38" i="15"/>
  <c r="BN19" i="5"/>
  <c r="BO19" i="5" s="1"/>
  <c r="AF19" i="5"/>
  <c r="BJ19" i="5"/>
  <c r="BK19" i="5" s="1"/>
  <c r="BZ38" i="15"/>
  <c r="A45" i="9"/>
  <c r="X44" i="9"/>
  <c r="T44" i="9"/>
  <c r="P44" i="9"/>
  <c r="L44" i="9"/>
  <c r="H44" i="9"/>
  <c r="D44" i="9"/>
  <c r="R44" i="9"/>
  <c r="J44" i="9"/>
  <c r="B44" i="9"/>
  <c r="W44" i="9"/>
  <c r="S44" i="9"/>
  <c r="O44" i="9"/>
  <c r="K44" i="9"/>
  <c r="G44" i="9"/>
  <c r="C44" i="9"/>
  <c r="Y44" i="9"/>
  <c r="Q44" i="9"/>
  <c r="M44" i="9"/>
  <c r="E44" i="9"/>
  <c r="V44" i="9"/>
  <c r="N44" i="9"/>
  <c r="F44" i="9"/>
  <c r="U44" i="9"/>
  <c r="I44" i="9"/>
  <c r="AH20" i="5" l="1"/>
  <c r="AE20" i="5"/>
  <c r="BF20" i="5"/>
  <c r="BG20" i="5" s="1"/>
  <c r="CH39" i="15"/>
  <c r="CG39" i="15"/>
  <c r="BT39" i="15"/>
  <c r="BS39" i="15"/>
  <c r="BF39" i="15"/>
  <c r="BE39" i="15"/>
  <c r="DP39" i="15"/>
  <c r="DQ39" i="15"/>
  <c r="X45" i="9"/>
  <c r="T45" i="9"/>
  <c r="P45" i="9"/>
  <c r="L45" i="9"/>
  <c r="H45" i="9"/>
  <c r="D45" i="9"/>
  <c r="R45" i="9"/>
  <c r="J45" i="9"/>
  <c r="B45" i="9"/>
  <c r="A46" i="9"/>
  <c r="W45" i="9"/>
  <c r="S45" i="9"/>
  <c r="O45" i="9"/>
  <c r="K45" i="9"/>
  <c r="G45" i="9"/>
  <c r="C45" i="9"/>
  <c r="U45" i="9"/>
  <c r="M45" i="9"/>
  <c r="I45" i="9"/>
  <c r="V45" i="9"/>
  <c r="N45" i="9"/>
  <c r="F45" i="9"/>
  <c r="Y45" i="9"/>
  <c r="Q45" i="9"/>
  <c r="E45" i="9"/>
  <c r="AD39" i="15"/>
  <c r="AC39" i="15"/>
  <c r="V39" i="15"/>
  <c r="W39" i="15"/>
  <c r="DB39" i="15"/>
  <c r="DC39" i="15"/>
  <c r="ED39" i="15"/>
  <c r="EE39" i="15"/>
  <c r="H39" i="15"/>
  <c r="I39" i="15"/>
  <c r="AC20" i="5"/>
  <c r="BD20" i="5"/>
  <c r="BE20" i="5" s="1"/>
  <c r="P39" i="15"/>
  <c r="O39" i="15"/>
  <c r="CV39" i="15"/>
  <c r="CU39" i="15"/>
  <c r="AD20" i="5"/>
  <c r="BN20" i="5"/>
  <c r="BO20" i="5" s="1"/>
  <c r="AA20" i="5"/>
  <c r="AZ20" i="5"/>
  <c r="BA20" i="5" s="1"/>
  <c r="AG20" i="5"/>
  <c r="BL20" i="5"/>
  <c r="BM20" i="5" s="1"/>
  <c r="AQ39" i="15"/>
  <c r="AR39" i="15"/>
  <c r="BM39" i="15"/>
  <c r="BL39" i="15"/>
  <c r="AK39" i="15"/>
  <c r="AJ39" i="15"/>
  <c r="BZ39" i="15"/>
  <c r="CA39" i="15"/>
  <c r="DX39" i="15"/>
  <c r="DW39" i="15"/>
  <c r="P21" i="5"/>
  <c r="W21" i="5"/>
  <c r="T21" i="5"/>
  <c r="X21" i="5"/>
  <c r="G21" i="5"/>
  <c r="I21" i="5"/>
  <c r="O21" i="5"/>
  <c r="AX21" i="5" s="1"/>
  <c r="AY21" i="5" s="1"/>
  <c r="Y21" i="5"/>
  <c r="AL21" i="5" s="1"/>
  <c r="AM21" i="5" s="1"/>
  <c r="C21" i="5"/>
  <c r="Q21" i="5"/>
  <c r="E21" i="5"/>
  <c r="F21" i="5"/>
  <c r="J21" i="5"/>
  <c r="AV21" i="5" s="1"/>
  <c r="AW21" i="5" s="1"/>
  <c r="A22" i="5"/>
  <c r="K21" i="5"/>
  <c r="U21" i="5"/>
  <c r="AT21" i="5" s="1"/>
  <c r="AU21" i="5" s="1"/>
  <c r="M21" i="5"/>
  <c r="N21" i="5"/>
  <c r="AR21" i="5" s="1"/>
  <c r="AS21" i="5" s="1"/>
  <c r="V21" i="5"/>
  <c r="B21" i="5"/>
  <c r="D21" i="5"/>
  <c r="S21" i="5"/>
  <c r="AJ21" i="5" s="1"/>
  <c r="AK21" i="5" s="1"/>
  <c r="H21" i="5"/>
  <c r="R21" i="5"/>
  <c r="AP21" i="5" s="1"/>
  <c r="AQ21" i="5" s="1"/>
  <c r="L21" i="5"/>
  <c r="AN21" i="5" s="1"/>
  <c r="AO21" i="5" s="1"/>
  <c r="AX39" i="15"/>
  <c r="AY39" i="15"/>
  <c r="BH20" i="5"/>
  <c r="BI20" i="5" s="1"/>
  <c r="AF20" i="5"/>
  <c r="BJ20" i="5"/>
  <c r="BK20" i="5" s="1"/>
  <c r="AB20" i="5"/>
  <c r="BB20" i="5"/>
  <c r="BC20" i="5" s="1"/>
  <c r="CN39" i="15"/>
  <c r="CO39" i="15"/>
  <c r="A41" i="15"/>
  <c r="C40" i="15"/>
  <c r="I40" i="15" s="1"/>
  <c r="EF40" i="15"/>
  <c r="DY40" i="15"/>
  <c r="DK40" i="15"/>
  <c r="DQ40" i="15" s="1"/>
  <c r="DD40" i="15"/>
  <c r="CI40" i="15"/>
  <c r="CB40" i="15"/>
  <c r="CP40" i="15"/>
  <c r="DR40" i="15"/>
  <c r="CW40" i="15"/>
  <c r="DC40" i="15" s="1"/>
  <c r="BG40" i="15"/>
  <c r="AS40" i="15"/>
  <c r="AL40" i="15"/>
  <c r="Q40" i="15"/>
  <c r="CZ40" i="15"/>
  <c r="BU40" i="15"/>
  <c r="CA40" i="15" s="1"/>
  <c r="BN40" i="15"/>
  <c r="AZ40" i="15"/>
  <c r="BF40" i="15" s="1"/>
  <c r="AE40" i="15"/>
  <c r="CY40" i="15"/>
  <c r="EA40" i="15"/>
  <c r="DS40" i="15"/>
  <c r="DN40" i="15"/>
  <c r="CR40" i="15"/>
  <c r="CL40" i="15"/>
  <c r="J40" i="15"/>
  <c r="EI40" i="15"/>
  <c r="DT40" i="15"/>
  <c r="DL40" i="15"/>
  <c r="DG40" i="15"/>
  <c r="CJ40" i="15"/>
  <c r="EG40" i="15"/>
  <c r="EB40" i="15"/>
  <c r="DM40" i="15"/>
  <c r="DE40" i="15"/>
  <c r="CS40" i="15"/>
  <c r="CK40" i="15"/>
  <c r="CX40" i="15"/>
  <c r="EH40" i="15"/>
  <c r="DZ40" i="15"/>
  <c r="DU40" i="15"/>
  <c r="DF40" i="15"/>
  <c r="CQ40" i="15"/>
  <c r="BX40" i="15"/>
  <c r="BO40" i="15"/>
  <c r="BB40" i="15"/>
  <c r="AV40" i="15"/>
  <c r="AN40" i="15"/>
  <c r="AH40" i="15"/>
  <c r="X40" i="15"/>
  <c r="Z40" i="15"/>
  <c r="CE40" i="15"/>
  <c r="BV40" i="15"/>
  <c r="BP40" i="15"/>
  <c r="BJ40" i="15"/>
  <c r="AT40" i="15"/>
  <c r="AF40" i="15"/>
  <c r="CC40" i="15"/>
  <c r="BW40" i="15"/>
  <c r="BH40" i="15"/>
  <c r="BC40" i="15"/>
  <c r="AU40" i="15"/>
  <c r="AO40" i="15"/>
  <c r="AG40" i="15"/>
  <c r="CD40" i="15"/>
  <c r="BQ40" i="15"/>
  <c r="BI40" i="15"/>
  <c r="BA40" i="15"/>
  <c r="AM40" i="15"/>
  <c r="Y40" i="15"/>
  <c r="T40" i="15"/>
  <c r="AA40" i="15"/>
  <c r="R40" i="15"/>
  <c r="M40" i="15"/>
  <c r="F40" i="15"/>
  <c r="S40" i="15"/>
  <c r="K40" i="15"/>
  <c r="D40" i="15"/>
  <c r="E40" i="15"/>
  <c r="L40" i="15"/>
  <c r="EL39" i="15"/>
  <c r="EL40" i="15"/>
  <c r="EK39" i="15"/>
  <c r="DJ39" i="15"/>
  <c r="DI39" i="15"/>
  <c r="DJ40" i="15"/>
  <c r="AH21" i="5" l="1"/>
  <c r="BF21" i="5"/>
  <c r="BG21" i="5" s="1"/>
  <c r="AE21" i="5"/>
  <c r="BS40" i="15"/>
  <c r="DW40" i="15"/>
  <c r="AC40" i="15"/>
  <c r="BE40" i="15"/>
  <c r="O40" i="15"/>
  <c r="DI40" i="15"/>
  <c r="AY40" i="15"/>
  <c r="AF21" i="5"/>
  <c r="BJ21" i="5"/>
  <c r="BK21" i="5" s="1"/>
  <c r="P40" i="15"/>
  <c r="W40" i="15"/>
  <c r="AD40" i="15"/>
  <c r="AJ40" i="15"/>
  <c r="ED40" i="15"/>
  <c r="CN40" i="15"/>
  <c r="H22" i="5"/>
  <c r="Q22" i="5"/>
  <c r="V22" i="5"/>
  <c r="D22" i="5"/>
  <c r="O22" i="5"/>
  <c r="AX22" i="5" s="1"/>
  <c r="AY22" i="5" s="1"/>
  <c r="J22" i="5"/>
  <c r="AV22" i="5" s="1"/>
  <c r="AW22" i="5" s="1"/>
  <c r="C22" i="5"/>
  <c r="P22" i="5"/>
  <c r="M22" i="5"/>
  <c r="T22" i="5"/>
  <c r="X22" i="5"/>
  <c r="B22" i="5"/>
  <c r="G22" i="5"/>
  <c r="I22" i="5"/>
  <c r="U22" i="5"/>
  <c r="AT22" i="5" s="1"/>
  <c r="AU22" i="5" s="1"/>
  <c r="N22" i="5"/>
  <c r="AR22" i="5" s="1"/>
  <c r="AS22" i="5" s="1"/>
  <c r="R22" i="5"/>
  <c r="AP22" i="5" s="1"/>
  <c r="AQ22" i="5" s="1"/>
  <c r="L22" i="5"/>
  <c r="AN22" i="5" s="1"/>
  <c r="AO22" i="5" s="1"/>
  <c r="A23" i="5"/>
  <c r="E22" i="5"/>
  <c r="F22" i="5"/>
  <c r="AD22" i="5" s="1"/>
  <c r="K22" i="5"/>
  <c r="W22" i="5"/>
  <c r="Y22" i="5"/>
  <c r="AL22" i="5" s="1"/>
  <c r="AM22" i="5" s="1"/>
  <c r="S22" i="5"/>
  <c r="AJ22" i="5" s="1"/>
  <c r="AK22" i="5" s="1"/>
  <c r="AA21" i="5"/>
  <c r="AZ21" i="5"/>
  <c r="BA21" i="5" s="1"/>
  <c r="AG21" i="5"/>
  <c r="BL21" i="5"/>
  <c r="BM21" i="5" s="1"/>
  <c r="DQ41" i="15"/>
  <c r="CG40" i="15"/>
  <c r="BZ40" i="15"/>
  <c r="CU40" i="15"/>
  <c r="EF41" i="15"/>
  <c r="A42" i="15"/>
  <c r="DK41" i="15"/>
  <c r="C41" i="15"/>
  <c r="I41" i="15" s="1"/>
  <c r="DY41" i="15"/>
  <c r="DD41" i="15"/>
  <c r="CI41" i="15"/>
  <c r="CO41" i="15" s="1"/>
  <c r="CP41" i="15"/>
  <c r="DR41" i="15"/>
  <c r="DX41" i="15" s="1"/>
  <c r="BU41" i="15"/>
  <c r="BN41" i="15"/>
  <c r="BT41" i="15" s="1"/>
  <c r="AZ41" i="15"/>
  <c r="AE41" i="15"/>
  <c r="AK41" i="15" s="1"/>
  <c r="J41" i="15"/>
  <c r="BG41" i="15"/>
  <c r="AS41" i="15"/>
  <c r="AL41" i="15"/>
  <c r="AR41" i="15" s="1"/>
  <c r="CY41" i="15"/>
  <c r="CW41" i="15"/>
  <c r="DC41" i="15" s="1"/>
  <c r="CB41" i="15"/>
  <c r="CH41" i="15" s="1"/>
  <c r="Q41" i="15"/>
  <c r="W41" i="15" s="1"/>
  <c r="EH41" i="15"/>
  <c r="DZ41" i="15"/>
  <c r="DU41" i="15"/>
  <c r="DF41" i="15"/>
  <c r="CQ41" i="15"/>
  <c r="CZ41" i="15"/>
  <c r="EA41" i="15"/>
  <c r="DS41" i="15"/>
  <c r="DN41" i="15"/>
  <c r="CR41" i="15"/>
  <c r="CL41" i="15"/>
  <c r="CX41" i="15"/>
  <c r="EI41" i="15"/>
  <c r="DT41" i="15"/>
  <c r="DL41" i="15"/>
  <c r="DG41" i="15"/>
  <c r="CJ41" i="15"/>
  <c r="CD41" i="15"/>
  <c r="EG41" i="15"/>
  <c r="EB41" i="15"/>
  <c r="DM41" i="15"/>
  <c r="DE41" i="15"/>
  <c r="CS41" i="15"/>
  <c r="CK41" i="15"/>
  <c r="CC41" i="15"/>
  <c r="BQ41" i="15"/>
  <c r="BI41" i="15"/>
  <c r="BA41" i="15"/>
  <c r="AM41" i="15"/>
  <c r="Y41" i="15"/>
  <c r="BX41" i="15"/>
  <c r="BO41" i="15"/>
  <c r="BB41" i="15"/>
  <c r="AV41" i="15"/>
  <c r="AN41" i="15"/>
  <c r="AH41" i="15"/>
  <c r="X41" i="15"/>
  <c r="Z41" i="15"/>
  <c r="BV41" i="15"/>
  <c r="BP41" i="15"/>
  <c r="BJ41" i="15"/>
  <c r="AT41" i="15"/>
  <c r="AF41" i="15"/>
  <c r="CE41" i="15"/>
  <c r="BW41" i="15"/>
  <c r="BH41" i="15"/>
  <c r="BC41" i="15"/>
  <c r="AU41" i="15"/>
  <c r="AO41" i="15"/>
  <c r="AG41" i="15"/>
  <c r="AA41" i="15"/>
  <c r="L41" i="15"/>
  <c r="F41" i="15"/>
  <c r="T41" i="15"/>
  <c r="D41" i="15"/>
  <c r="R41" i="15"/>
  <c r="M41" i="15"/>
  <c r="S41" i="15"/>
  <c r="K41" i="15"/>
  <c r="E41" i="15"/>
  <c r="CO40" i="15"/>
  <c r="AB21" i="5"/>
  <c r="BB21" i="5"/>
  <c r="BC21" i="5" s="1"/>
  <c r="AC21" i="5"/>
  <c r="BD21" i="5"/>
  <c r="BE21" i="5" s="1"/>
  <c r="BN21" i="5"/>
  <c r="BO21" i="5" s="1"/>
  <c r="AK40" i="15"/>
  <c r="BM40" i="15"/>
  <c r="AR40" i="15"/>
  <c r="CV40" i="15"/>
  <c r="EE40" i="15"/>
  <c r="AD41" i="15"/>
  <c r="X46" i="9"/>
  <c r="T46" i="9"/>
  <c r="P46" i="9"/>
  <c r="L46" i="9"/>
  <c r="H46" i="9"/>
  <c r="D46" i="9"/>
  <c r="A47" i="9"/>
  <c r="R46" i="9"/>
  <c r="J46" i="9"/>
  <c r="B46" i="9"/>
  <c r="W46" i="9"/>
  <c r="S46" i="9"/>
  <c r="O46" i="9"/>
  <c r="K46" i="9"/>
  <c r="G46" i="9"/>
  <c r="C46" i="9"/>
  <c r="U46" i="9"/>
  <c r="M46" i="9"/>
  <c r="E46" i="9"/>
  <c r="V46" i="9"/>
  <c r="N46" i="9"/>
  <c r="F46" i="9"/>
  <c r="Y46" i="9"/>
  <c r="Q46" i="9"/>
  <c r="I46" i="9"/>
  <c r="BT40" i="15"/>
  <c r="H40" i="15"/>
  <c r="V40" i="15"/>
  <c r="AQ40" i="15"/>
  <c r="BL40" i="15"/>
  <c r="AX40" i="15"/>
  <c r="EK40" i="15"/>
  <c r="DP40" i="15"/>
  <c r="DB40" i="15"/>
  <c r="AD21" i="5"/>
  <c r="BH21" i="5"/>
  <c r="BI21" i="5" s="1"/>
  <c r="DX40" i="15"/>
  <c r="CH40" i="15"/>
  <c r="BN22" i="5" l="1"/>
  <c r="BO22" i="5" s="1"/>
  <c r="BE41" i="15"/>
  <c r="AC41" i="15"/>
  <c r="AE22" i="5"/>
  <c r="BZ41" i="15"/>
  <c r="CU41" i="15"/>
  <c r="CN41" i="15"/>
  <c r="DW41" i="15"/>
  <c r="BM41" i="15"/>
  <c r="BF22" i="5"/>
  <c r="BG22" i="5" s="1"/>
  <c r="AB22" i="5"/>
  <c r="BB22" i="5"/>
  <c r="BC22" i="5" s="1"/>
  <c r="AY41" i="15"/>
  <c r="EE41" i="15"/>
  <c r="CA41" i="15"/>
  <c r="P41" i="15"/>
  <c r="X47" i="9"/>
  <c r="T47" i="9"/>
  <c r="P47" i="9"/>
  <c r="L47" i="9"/>
  <c r="H47" i="9"/>
  <c r="D47" i="9"/>
  <c r="V47" i="9"/>
  <c r="N47" i="9"/>
  <c r="J47" i="9"/>
  <c r="B47" i="9"/>
  <c r="W47" i="9"/>
  <c r="S47" i="9"/>
  <c r="O47" i="9"/>
  <c r="K47" i="9"/>
  <c r="G47" i="9"/>
  <c r="C47" i="9"/>
  <c r="U47" i="9"/>
  <c r="M47" i="9"/>
  <c r="E47" i="9"/>
  <c r="R47" i="9"/>
  <c r="F47" i="9"/>
  <c r="A49" i="9"/>
  <c r="Y47" i="9"/>
  <c r="Q47" i="9"/>
  <c r="I47" i="9"/>
  <c r="V41" i="15"/>
  <c r="AX41" i="15"/>
  <c r="BS41" i="15"/>
  <c r="DB41" i="15"/>
  <c r="BF41" i="15"/>
  <c r="AG22" i="5"/>
  <c r="BL22" i="5"/>
  <c r="BM22" i="5" s="1"/>
  <c r="H23" i="5"/>
  <c r="M23" i="5"/>
  <c r="F23" i="5"/>
  <c r="Q23" i="5"/>
  <c r="E23" i="5"/>
  <c r="K23" i="5"/>
  <c r="L23" i="5"/>
  <c r="AN23" i="5" s="1"/>
  <c r="AO23" i="5" s="1"/>
  <c r="S23" i="5"/>
  <c r="AJ23" i="5" s="1"/>
  <c r="AK23" i="5" s="1"/>
  <c r="A24" i="5"/>
  <c r="W23" i="5"/>
  <c r="V23" i="5"/>
  <c r="G23" i="5"/>
  <c r="I23" i="5"/>
  <c r="O23" i="5"/>
  <c r="AX23" i="5" s="1"/>
  <c r="AY23" i="5" s="1"/>
  <c r="U23" i="5"/>
  <c r="AT23" i="5" s="1"/>
  <c r="AU23" i="5" s="1"/>
  <c r="R23" i="5"/>
  <c r="AP23" i="5" s="1"/>
  <c r="AQ23" i="5" s="1"/>
  <c r="Y23" i="5"/>
  <c r="AL23" i="5" s="1"/>
  <c r="AM23" i="5" s="1"/>
  <c r="J23" i="5"/>
  <c r="AV23" i="5" s="1"/>
  <c r="AW23" i="5" s="1"/>
  <c r="T23" i="5"/>
  <c r="P23" i="5"/>
  <c r="BN23" i="5" s="1"/>
  <c r="BO23" i="5" s="1"/>
  <c r="N23" i="5"/>
  <c r="AR23" i="5" s="1"/>
  <c r="AS23" i="5" s="1"/>
  <c r="C23" i="5"/>
  <c r="X23" i="5"/>
  <c r="B23" i="5"/>
  <c r="D23" i="5"/>
  <c r="BH22" i="5"/>
  <c r="BI22" i="5" s="1"/>
  <c r="AC22" i="5"/>
  <c r="BD22" i="5"/>
  <c r="BE22" i="5" s="1"/>
  <c r="AF22" i="5"/>
  <c r="BJ22" i="5"/>
  <c r="BK22" i="5" s="1"/>
  <c r="O41" i="15"/>
  <c r="H41" i="15"/>
  <c r="AQ41" i="15"/>
  <c r="BL41" i="15"/>
  <c r="EK41" i="15"/>
  <c r="DP41" i="15"/>
  <c r="DJ41" i="15"/>
  <c r="C42" i="15"/>
  <c r="I42" i="15" s="1"/>
  <c r="G43" i="15" s="1"/>
  <c r="DY42" i="15"/>
  <c r="EE42" i="15" s="1"/>
  <c r="EC43" i="15" s="1"/>
  <c r="EF42" i="15"/>
  <c r="EL42" i="15" s="1"/>
  <c r="EJ43" i="15" s="1"/>
  <c r="DR42" i="15"/>
  <c r="DX42" i="15" s="1"/>
  <c r="DV43" i="15" s="1"/>
  <c r="A43" i="15"/>
  <c r="CW42" i="15"/>
  <c r="DC42" i="15" s="1"/>
  <c r="DA43" i="15" s="1"/>
  <c r="BN42" i="15"/>
  <c r="BT42" i="15" s="1"/>
  <c r="BR43" i="15" s="1"/>
  <c r="DK42" i="15"/>
  <c r="DQ42" i="15" s="1"/>
  <c r="DO43" i="15" s="1"/>
  <c r="DD42" i="15"/>
  <c r="DJ42" i="15" s="1"/>
  <c r="DH43" i="15" s="1"/>
  <c r="CI42" i="15"/>
  <c r="CO42" i="15" s="1"/>
  <c r="CM43" i="15" s="1"/>
  <c r="CB42" i="15"/>
  <c r="CH42" i="15" s="1"/>
  <c r="CF43" i="15" s="1"/>
  <c r="CP42" i="15"/>
  <c r="CV42" i="15" s="1"/>
  <c r="CT43" i="15" s="1"/>
  <c r="BU42" i="15"/>
  <c r="CA42" i="15" s="1"/>
  <c r="BY43" i="15" s="1"/>
  <c r="AZ42" i="15"/>
  <c r="BF42" i="15" s="1"/>
  <c r="BD43" i="15" s="1"/>
  <c r="AE42" i="15"/>
  <c r="AK42" i="15" s="1"/>
  <c r="AI43" i="15" s="1"/>
  <c r="J42" i="15"/>
  <c r="P42" i="15" s="1"/>
  <c r="N43" i="15" s="1"/>
  <c r="CX42" i="15"/>
  <c r="BG42" i="15"/>
  <c r="BM42" i="15" s="1"/>
  <c r="BK43" i="15" s="1"/>
  <c r="AS42" i="15"/>
  <c r="AY42" i="15" s="1"/>
  <c r="AW43" i="15" s="1"/>
  <c r="AL42" i="15"/>
  <c r="AR42" i="15" s="1"/>
  <c r="AP43" i="15" s="1"/>
  <c r="CY42" i="15"/>
  <c r="CZ42" i="15"/>
  <c r="EG42" i="15"/>
  <c r="EB42" i="15"/>
  <c r="DM42" i="15"/>
  <c r="DE42" i="15"/>
  <c r="CS42" i="15"/>
  <c r="CU42" i="15" s="1"/>
  <c r="CK42" i="15"/>
  <c r="EH42" i="15"/>
  <c r="DZ42" i="15"/>
  <c r="DU42" i="15"/>
  <c r="DF42" i="15"/>
  <c r="CQ42" i="15"/>
  <c r="EA42" i="15"/>
  <c r="DS42" i="15"/>
  <c r="DN42" i="15"/>
  <c r="CR42" i="15"/>
  <c r="CL42" i="15"/>
  <c r="CC42" i="15"/>
  <c r="Q42" i="15"/>
  <c r="W42" i="15" s="1"/>
  <c r="U43" i="15" s="1"/>
  <c r="EI42" i="15"/>
  <c r="DT42" i="15"/>
  <c r="DL42" i="15"/>
  <c r="DG42" i="15"/>
  <c r="CJ42" i="15"/>
  <c r="BW42" i="15"/>
  <c r="BH42" i="15"/>
  <c r="BC42" i="15"/>
  <c r="AU42" i="15"/>
  <c r="AO42" i="15"/>
  <c r="AG42" i="15"/>
  <c r="AA42" i="15"/>
  <c r="CE42" i="15"/>
  <c r="BQ42" i="15"/>
  <c r="BI42" i="15"/>
  <c r="BA42" i="15"/>
  <c r="AM42" i="15"/>
  <c r="Y42" i="15"/>
  <c r="CD42" i="15"/>
  <c r="BX42" i="15"/>
  <c r="BO42" i="15"/>
  <c r="BB42" i="15"/>
  <c r="AV42" i="15"/>
  <c r="AN42" i="15"/>
  <c r="AH42" i="15"/>
  <c r="BV42" i="15"/>
  <c r="BP42" i="15"/>
  <c r="BJ42" i="15"/>
  <c r="AT42" i="15"/>
  <c r="AF42" i="15"/>
  <c r="Z42" i="15"/>
  <c r="S42" i="15"/>
  <c r="K42" i="15"/>
  <c r="D42" i="15"/>
  <c r="E42" i="15"/>
  <c r="L42" i="15"/>
  <c r="T42" i="15"/>
  <c r="X42" i="15"/>
  <c r="AD42" i="15" s="1"/>
  <c r="AB43" i="15" s="1"/>
  <c r="R42" i="15"/>
  <c r="M42" i="15"/>
  <c r="F42" i="15"/>
  <c r="AA22" i="5"/>
  <c r="AZ22" i="5"/>
  <c r="BA22" i="5" s="1"/>
  <c r="AH22" i="5"/>
  <c r="CV41" i="15"/>
  <c r="CG41" i="15"/>
  <c r="AJ41" i="15"/>
  <c r="ED41" i="15"/>
  <c r="DI41" i="15"/>
  <c r="EL41" i="15"/>
  <c r="AX42" i="15" l="1"/>
  <c r="DW42" i="15"/>
  <c r="AE23" i="5"/>
  <c r="DB42" i="15"/>
  <c r="BF23" i="5"/>
  <c r="BG23" i="5" s="1"/>
  <c r="AB23" i="5"/>
  <c r="BB23" i="5"/>
  <c r="BC23" i="5" s="1"/>
  <c r="AA23" i="5"/>
  <c r="AZ23" i="5"/>
  <c r="BA23" i="5" s="1"/>
  <c r="BS42" i="15"/>
  <c r="AQ42" i="15"/>
  <c r="CN42" i="15"/>
  <c r="AH23" i="5"/>
  <c r="A50" i="9"/>
  <c r="X49" i="9"/>
  <c r="T49" i="9"/>
  <c r="P49" i="9"/>
  <c r="L49" i="9"/>
  <c r="H49" i="9"/>
  <c r="D49" i="9"/>
  <c r="R49" i="9"/>
  <c r="J49" i="9"/>
  <c r="W49" i="9"/>
  <c r="S49" i="9"/>
  <c r="O49" i="9"/>
  <c r="K49" i="9"/>
  <c r="G49" i="9"/>
  <c r="C49" i="9"/>
  <c r="U49" i="9"/>
  <c r="M49" i="9"/>
  <c r="E49" i="9"/>
  <c r="V49" i="9"/>
  <c r="N49" i="9"/>
  <c r="F49" i="9"/>
  <c r="B49" i="9"/>
  <c r="Y49" i="9"/>
  <c r="Q49" i="9"/>
  <c r="I49" i="9"/>
  <c r="C24" i="5"/>
  <c r="Q24" i="5"/>
  <c r="W24" i="5"/>
  <c r="M24" i="5"/>
  <c r="E24" i="5"/>
  <c r="B24" i="5"/>
  <c r="H24" i="5"/>
  <c r="V24" i="5"/>
  <c r="D24" i="5"/>
  <c r="J24" i="5"/>
  <c r="AV24" i="5" s="1"/>
  <c r="AW24" i="5" s="1"/>
  <c r="K24" i="5"/>
  <c r="S24" i="5"/>
  <c r="AJ24" i="5" s="1"/>
  <c r="AK24" i="5" s="1"/>
  <c r="X24" i="5"/>
  <c r="BH24" i="5" s="1"/>
  <c r="BI24" i="5" s="1"/>
  <c r="L24" i="5"/>
  <c r="AN24" i="5" s="1"/>
  <c r="AO24" i="5" s="1"/>
  <c r="Y24" i="5"/>
  <c r="AL24" i="5" s="1"/>
  <c r="AM24" i="5" s="1"/>
  <c r="G24" i="5"/>
  <c r="U24" i="5"/>
  <c r="AT24" i="5" s="1"/>
  <c r="AU24" i="5" s="1"/>
  <c r="R24" i="5"/>
  <c r="AP24" i="5" s="1"/>
  <c r="AQ24" i="5" s="1"/>
  <c r="A25" i="5"/>
  <c r="T24" i="5"/>
  <c r="F24" i="5"/>
  <c r="I24" i="5"/>
  <c r="P24" i="5"/>
  <c r="O24" i="5"/>
  <c r="AX24" i="5" s="1"/>
  <c r="AY24" i="5" s="1"/>
  <c r="N24" i="5"/>
  <c r="AR24" i="5" s="1"/>
  <c r="AS24" i="5" s="1"/>
  <c r="H42" i="15"/>
  <c r="AJ42" i="15"/>
  <c r="CG42" i="15"/>
  <c r="EK42" i="15"/>
  <c r="DZ43" i="15"/>
  <c r="EG43" i="15"/>
  <c r="DY43" i="15"/>
  <c r="DS43" i="15"/>
  <c r="DD43" i="15"/>
  <c r="CW43" i="15"/>
  <c r="D43" i="15"/>
  <c r="EF43" i="15"/>
  <c r="A44" i="15"/>
  <c r="DK43" i="15"/>
  <c r="BU43" i="15"/>
  <c r="BO43" i="15"/>
  <c r="F43" i="15"/>
  <c r="CX43" i="15"/>
  <c r="CP43" i="15"/>
  <c r="C43" i="15"/>
  <c r="DR43" i="15"/>
  <c r="DL43" i="15"/>
  <c r="CJ43" i="15"/>
  <c r="CC43" i="15"/>
  <c r="CI43" i="15"/>
  <c r="DE43" i="15"/>
  <c r="BA43" i="15"/>
  <c r="AF43" i="15"/>
  <c r="K43" i="15"/>
  <c r="BV43" i="15"/>
  <c r="BH43" i="15"/>
  <c r="AZ43" i="15"/>
  <c r="AT43" i="15"/>
  <c r="AM43" i="15"/>
  <c r="AE43" i="15"/>
  <c r="J43" i="15"/>
  <c r="CQ43" i="15"/>
  <c r="CB43" i="15"/>
  <c r="BN43" i="15"/>
  <c r="BG43" i="15"/>
  <c r="AS43" i="15"/>
  <c r="AL43" i="15"/>
  <c r="Q43" i="15"/>
  <c r="DT43" i="15"/>
  <c r="DN43" i="15"/>
  <c r="R43" i="15"/>
  <c r="EI43" i="15"/>
  <c r="DM43" i="15"/>
  <c r="CL43" i="15"/>
  <c r="CK43" i="15"/>
  <c r="EH43" i="15"/>
  <c r="EB43" i="15"/>
  <c r="DG43" i="15"/>
  <c r="DF43" i="15"/>
  <c r="CZ43" i="15"/>
  <c r="CY43" i="15"/>
  <c r="EA43" i="15"/>
  <c r="DU43" i="15"/>
  <c r="CS43" i="15"/>
  <c r="CR43" i="15"/>
  <c r="CE43" i="15"/>
  <c r="CD43" i="15"/>
  <c r="BQ43" i="15"/>
  <c r="BP43" i="15"/>
  <c r="Y43" i="15"/>
  <c r="BX43" i="15"/>
  <c r="BW43" i="15"/>
  <c r="AV43" i="15"/>
  <c r="AU43" i="15"/>
  <c r="AG43" i="15"/>
  <c r="X43" i="15"/>
  <c r="BJ43" i="15"/>
  <c r="BI43" i="15"/>
  <c r="AH43" i="15"/>
  <c r="BC43" i="15"/>
  <c r="BB43" i="15"/>
  <c r="AO43" i="15"/>
  <c r="AN43" i="15"/>
  <c r="AA43" i="15"/>
  <c r="Z43" i="15"/>
  <c r="T43" i="15"/>
  <c r="S43" i="15"/>
  <c r="M43" i="15"/>
  <c r="L43" i="15"/>
  <c r="E43" i="15"/>
  <c r="BH23" i="5"/>
  <c r="BI23" i="5" s="1"/>
  <c r="AF23" i="5"/>
  <c r="BJ23" i="5"/>
  <c r="BK23" i="5" s="1"/>
  <c r="AD23" i="5"/>
  <c r="V42" i="15"/>
  <c r="O42" i="15"/>
  <c r="BL42" i="15"/>
  <c r="BZ42" i="15"/>
  <c r="AC42" i="15"/>
  <c r="BE42" i="15"/>
  <c r="DI42" i="15"/>
  <c r="DP42" i="15"/>
  <c r="ED42" i="15"/>
  <c r="AC23" i="5"/>
  <c r="BD23" i="5"/>
  <c r="BE23" i="5" s="1"/>
  <c r="AG23" i="5"/>
  <c r="BL23" i="5"/>
  <c r="BM23" i="5" s="1"/>
  <c r="AD24" i="5" l="1"/>
  <c r="BN24" i="5"/>
  <c r="BO24" i="5" s="1"/>
  <c r="W43" i="15"/>
  <c r="V43" i="15"/>
  <c r="AQ43" i="15"/>
  <c r="AR43" i="15"/>
  <c r="BZ43" i="15"/>
  <c r="CA43" i="15"/>
  <c r="DJ43" i="15"/>
  <c r="DI43" i="15"/>
  <c r="DQ43" i="15"/>
  <c r="DP43" i="15"/>
  <c r="DB43" i="15"/>
  <c r="DC43" i="15"/>
  <c r="EL43" i="15"/>
  <c r="EK43" i="15"/>
  <c r="P25" i="5"/>
  <c r="C25" i="5"/>
  <c r="T25" i="5"/>
  <c r="X25" i="5"/>
  <c r="G25" i="5"/>
  <c r="I25" i="5"/>
  <c r="R25" i="5"/>
  <c r="AP25" i="5" s="1"/>
  <c r="AQ25" i="5" s="1"/>
  <c r="Y25" i="5"/>
  <c r="AL25" i="5" s="1"/>
  <c r="AM25" i="5" s="1"/>
  <c r="N25" i="5"/>
  <c r="AR25" i="5" s="1"/>
  <c r="AS25" i="5" s="1"/>
  <c r="H25" i="5"/>
  <c r="B25" i="5"/>
  <c r="D25" i="5"/>
  <c r="O25" i="5"/>
  <c r="AX25" i="5" s="1"/>
  <c r="AY25" i="5" s="1"/>
  <c r="S25" i="5"/>
  <c r="AJ25" i="5" s="1"/>
  <c r="AK25" i="5" s="1"/>
  <c r="J25" i="5"/>
  <c r="AV25" i="5" s="1"/>
  <c r="AW25" i="5" s="1"/>
  <c r="L25" i="5"/>
  <c r="AN25" i="5" s="1"/>
  <c r="AO25" i="5" s="1"/>
  <c r="M25" i="5"/>
  <c r="E25" i="5"/>
  <c r="U25" i="5"/>
  <c r="AT25" i="5" s="1"/>
  <c r="AU25" i="5" s="1"/>
  <c r="A26" i="5"/>
  <c r="Q25" i="5"/>
  <c r="W25" i="5"/>
  <c r="V25" i="5"/>
  <c r="F25" i="5"/>
  <c r="K25" i="5"/>
  <c r="AG24" i="5"/>
  <c r="BL24" i="5"/>
  <c r="BM24" i="5" s="1"/>
  <c r="AC43" i="15"/>
  <c r="AD43" i="15"/>
  <c r="CV43" i="15"/>
  <c r="CU43" i="15"/>
  <c r="AX43" i="15"/>
  <c r="AY43" i="15"/>
  <c r="O43" i="15"/>
  <c r="P43" i="15"/>
  <c r="C44" i="15"/>
  <c r="A45" i="15"/>
  <c r="CP44" i="15"/>
  <c r="CV44" i="15" s="1"/>
  <c r="CI44" i="15"/>
  <c r="CO44" i="15" s="1"/>
  <c r="CB44" i="15"/>
  <c r="DK44" i="15"/>
  <c r="DD44" i="15"/>
  <c r="DY44" i="15"/>
  <c r="EF44" i="15"/>
  <c r="DR44" i="15"/>
  <c r="BU44" i="15"/>
  <c r="CA44" i="15" s="1"/>
  <c r="BN44" i="15"/>
  <c r="BT44" i="15" s="1"/>
  <c r="BG44" i="15"/>
  <c r="AS44" i="15"/>
  <c r="AL44" i="15"/>
  <c r="AR44" i="15" s="1"/>
  <c r="CW44" i="15"/>
  <c r="DC44" i="15" s="1"/>
  <c r="Q44" i="15"/>
  <c r="CY44" i="15"/>
  <c r="AZ44" i="15"/>
  <c r="BF44" i="15" s="1"/>
  <c r="AE44" i="15"/>
  <c r="AK44" i="15" s="1"/>
  <c r="J44" i="15"/>
  <c r="CZ44" i="15"/>
  <c r="EH44" i="15"/>
  <c r="DZ44" i="15"/>
  <c r="DU44" i="15"/>
  <c r="DF44" i="15"/>
  <c r="CQ44" i="15"/>
  <c r="CX44" i="15"/>
  <c r="EA44" i="15"/>
  <c r="DS44" i="15"/>
  <c r="DN44" i="15"/>
  <c r="CR44" i="15"/>
  <c r="CL44" i="15"/>
  <c r="EI44" i="15"/>
  <c r="DT44" i="15"/>
  <c r="DL44" i="15"/>
  <c r="DG44" i="15"/>
  <c r="CJ44" i="15"/>
  <c r="CD44" i="15"/>
  <c r="EG44" i="15"/>
  <c r="EB44" i="15"/>
  <c r="DM44" i="15"/>
  <c r="DE44" i="15"/>
  <c r="CS44" i="15"/>
  <c r="CU44" i="15" s="1"/>
  <c r="CK44" i="15"/>
  <c r="BQ44" i="15"/>
  <c r="BI44" i="15"/>
  <c r="BA44" i="15"/>
  <c r="AM44" i="15"/>
  <c r="AF44" i="15"/>
  <c r="AA44" i="15"/>
  <c r="CE44" i="15"/>
  <c r="BX44" i="15"/>
  <c r="BO44" i="15"/>
  <c r="BB44" i="15"/>
  <c r="AV44" i="15"/>
  <c r="AN44" i="15"/>
  <c r="AG44" i="15"/>
  <c r="Y44" i="15"/>
  <c r="CC44" i="15"/>
  <c r="BV44" i="15"/>
  <c r="BP44" i="15"/>
  <c r="BJ44" i="15"/>
  <c r="AT44" i="15"/>
  <c r="BW44" i="15"/>
  <c r="BH44" i="15"/>
  <c r="BC44" i="15"/>
  <c r="AU44" i="15"/>
  <c r="AO44" i="15"/>
  <c r="AH44" i="15"/>
  <c r="L44" i="15"/>
  <c r="D44" i="15"/>
  <c r="X44" i="15"/>
  <c r="T44" i="15"/>
  <c r="R44" i="15"/>
  <c r="M44" i="15"/>
  <c r="Z44" i="15"/>
  <c r="S44" i="15"/>
  <c r="K44" i="15"/>
  <c r="F44" i="15"/>
  <c r="E44" i="15"/>
  <c r="EE44" i="15"/>
  <c r="ED43" i="15"/>
  <c r="EE43" i="15"/>
  <c r="AA24" i="5"/>
  <c r="AZ24" i="5"/>
  <c r="BA24" i="5" s="1"/>
  <c r="BF24" i="5"/>
  <c r="BG24" i="5" s="1"/>
  <c r="AH24" i="5"/>
  <c r="AK43" i="15"/>
  <c r="AJ43" i="15"/>
  <c r="CH43" i="15"/>
  <c r="CG43" i="15"/>
  <c r="CH44" i="15"/>
  <c r="BT43" i="15"/>
  <c r="BS43" i="15"/>
  <c r="DX44" i="15"/>
  <c r="DW43" i="15"/>
  <c r="DX43" i="15"/>
  <c r="AB24" i="5"/>
  <c r="BB24" i="5"/>
  <c r="BC24" i="5" s="1"/>
  <c r="AE24" i="5"/>
  <c r="AC24" i="5"/>
  <c r="BD24" i="5"/>
  <c r="BE24" i="5" s="1"/>
  <c r="BM44" i="15"/>
  <c r="BL43" i="15"/>
  <c r="BM43" i="15"/>
  <c r="BF43" i="15"/>
  <c r="BE43" i="15"/>
  <c r="CN43" i="15"/>
  <c r="CO43" i="15"/>
  <c r="H43" i="15"/>
  <c r="I43" i="15"/>
  <c r="I44" i="15"/>
  <c r="AF24" i="5"/>
  <c r="BJ24" i="5"/>
  <c r="BK24" i="5" s="1"/>
  <c r="X50" i="9"/>
  <c r="T50" i="9"/>
  <c r="P50" i="9"/>
  <c r="L50" i="9"/>
  <c r="H50" i="9"/>
  <c r="D50" i="9"/>
  <c r="R50" i="9"/>
  <c r="J50" i="9"/>
  <c r="B50" i="9"/>
  <c r="A51" i="9"/>
  <c r="W50" i="9"/>
  <c r="S50" i="9"/>
  <c r="O50" i="9"/>
  <c r="K50" i="9"/>
  <c r="G50" i="9"/>
  <c r="C50" i="9"/>
  <c r="U50" i="9"/>
  <c r="M50" i="9"/>
  <c r="E50" i="9"/>
  <c r="V50" i="9"/>
  <c r="N50" i="9"/>
  <c r="F50" i="9"/>
  <c r="Y50" i="9"/>
  <c r="Q50" i="9"/>
  <c r="I50" i="9"/>
  <c r="AD25" i="5" l="1"/>
  <c r="AE25" i="5"/>
  <c r="AH25" i="5"/>
  <c r="AQ44" i="15"/>
  <c r="BZ44" i="15"/>
  <c r="ED44" i="15"/>
  <c r="DI44" i="15"/>
  <c r="CN44" i="15"/>
  <c r="DW44" i="15"/>
  <c r="P44" i="15"/>
  <c r="AY44" i="15"/>
  <c r="AD44" i="15"/>
  <c r="H26" i="5"/>
  <c r="P26" i="5"/>
  <c r="W26" i="5"/>
  <c r="V26" i="5"/>
  <c r="F26" i="5"/>
  <c r="D26" i="5"/>
  <c r="K26" i="5"/>
  <c r="O26" i="5"/>
  <c r="AX26" i="5" s="1"/>
  <c r="AY26" i="5" s="1"/>
  <c r="J26" i="5"/>
  <c r="AV26" i="5" s="1"/>
  <c r="AW26" i="5" s="1"/>
  <c r="U26" i="5"/>
  <c r="AT26" i="5" s="1"/>
  <c r="AU26" i="5" s="1"/>
  <c r="N26" i="5"/>
  <c r="AR26" i="5" s="1"/>
  <c r="AS26" i="5" s="1"/>
  <c r="T26" i="5"/>
  <c r="X26" i="5"/>
  <c r="B26" i="5"/>
  <c r="A27" i="5"/>
  <c r="C26" i="5"/>
  <c r="Q26" i="5"/>
  <c r="Y26" i="5"/>
  <c r="AL26" i="5" s="1"/>
  <c r="AM26" i="5" s="1"/>
  <c r="S26" i="5"/>
  <c r="AJ26" i="5" s="1"/>
  <c r="AK26" i="5" s="1"/>
  <c r="G26" i="5"/>
  <c r="R26" i="5"/>
  <c r="AP26" i="5" s="1"/>
  <c r="AQ26" i="5" s="1"/>
  <c r="L26" i="5"/>
  <c r="AN26" i="5" s="1"/>
  <c r="AO26" i="5" s="1"/>
  <c r="M26" i="5"/>
  <c r="E26" i="5"/>
  <c r="I26" i="5"/>
  <c r="AB25" i="5"/>
  <c r="BB25" i="5"/>
  <c r="BC25" i="5" s="1"/>
  <c r="BH25" i="5"/>
  <c r="BI25" i="5" s="1"/>
  <c r="DJ44" i="15"/>
  <c r="W44" i="15"/>
  <c r="H44" i="15"/>
  <c r="O44" i="15"/>
  <c r="AX44" i="15"/>
  <c r="CG44" i="15"/>
  <c r="AF25" i="5"/>
  <c r="BJ25" i="5"/>
  <c r="BK25" i="5" s="1"/>
  <c r="BF25" i="5"/>
  <c r="BG25" i="5" s="1"/>
  <c r="EL44" i="15"/>
  <c r="DQ44" i="15"/>
  <c r="BE44" i="15"/>
  <c r="BL44" i="15"/>
  <c r="AC44" i="15"/>
  <c r="DP44" i="15"/>
  <c r="AG25" i="5"/>
  <c r="BL25" i="5"/>
  <c r="BM25" i="5" s="1"/>
  <c r="AA25" i="5"/>
  <c r="AZ25" i="5"/>
  <c r="BA25" i="5" s="1"/>
  <c r="AC25" i="5"/>
  <c r="BD25" i="5"/>
  <c r="BE25" i="5" s="1"/>
  <c r="X51" i="9"/>
  <c r="T51" i="9"/>
  <c r="P51" i="9"/>
  <c r="L51" i="9"/>
  <c r="H51" i="9"/>
  <c r="D51" i="9"/>
  <c r="R51" i="9"/>
  <c r="J51" i="9"/>
  <c r="B51" i="9"/>
  <c r="W51" i="9"/>
  <c r="S51" i="9"/>
  <c r="O51" i="9"/>
  <c r="K51" i="9"/>
  <c r="G51" i="9"/>
  <c r="C51" i="9"/>
  <c r="Y51" i="9"/>
  <c r="U51" i="9"/>
  <c r="M51" i="9"/>
  <c r="E51" i="9"/>
  <c r="A53" i="9"/>
  <c r="V51" i="9"/>
  <c r="N51" i="9"/>
  <c r="F51" i="9"/>
  <c r="Q51" i="9"/>
  <c r="I51" i="9"/>
  <c r="V44" i="15"/>
  <c r="AJ44" i="15"/>
  <c r="BS44" i="15"/>
  <c r="EK44" i="15"/>
  <c r="DB44" i="15"/>
  <c r="EF45" i="15"/>
  <c r="EL45" i="15" s="1"/>
  <c r="EJ46" i="15" s="1"/>
  <c r="C45" i="15"/>
  <c r="I45" i="15" s="1"/>
  <c r="G46" i="15" s="1"/>
  <c r="A46" i="15"/>
  <c r="DK45" i="15"/>
  <c r="DQ45" i="15" s="1"/>
  <c r="DO46" i="15" s="1"/>
  <c r="DR45" i="15"/>
  <c r="DX45" i="15" s="1"/>
  <c r="DV46" i="15" s="1"/>
  <c r="CW45" i="15"/>
  <c r="DC45" i="15" s="1"/>
  <c r="DA46" i="15" s="1"/>
  <c r="CI45" i="15"/>
  <c r="CO45" i="15" s="1"/>
  <c r="CM46" i="15" s="1"/>
  <c r="DD45" i="15"/>
  <c r="DJ45" i="15" s="1"/>
  <c r="DH46" i="15" s="1"/>
  <c r="CP45" i="15"/>
  <c r="CV45" i="15" s="1"/>
  <c r="CT46" i="15" s="1"/>
  <c r="DY45" i="15"/>
  <c r="EE45" i="15" s="1"/>
  <c r="EC46" i="15" s="1"/>
  <c r="CB45" i="15"/>
  <c r="CH45" i="15" s="1"/>
  <c r="CF46" i="15" s="1"/>
  <c r="AZ45" i="15"/>
  <c r="BF45" i="15" s="1"/>
  <c r="BD46" i="15" s="1"/>
  <c r="AE45" i="15"/>
  <c r="AK45" i="15" s="1"/>
  <c r="AI46" i="15" s="1"/>
  <c r="J45" i="15"/>
  <c r="P45" i="15" s="1"/>
  <c r="N46" i="15" s="1"/>
  <c r="BU45" i="15"/>
  <c r="CA45" i="15" s="1"/>
  <c r="BY46" i="15" s="1"/>
  <c r="BN45" i="15"/>
  <c r="BT45" i="15" s="1"/>
  <c r="BR46" i="15" s="1"/>
  <c r="BG45" i="15"/>
  <c r="BM45" i="15" s="1"/>
  <c r="BK46" i="15" s="1"/>
  <c r="AS45" i="15"/>
  <c r="AY45" i="15" s="1"/>
  <c r="AW46" i="15" s="1"/>
  <c r="AL45" i="15"/>
  <c r="AR45" i="15" s="1"/>
  <c r="AP46" i="15" s="1"/>
  <c r="CX45" i="15"/>
  <c r="Q45" i="15"/>
  <c r="W45" i="15" s="1"/>
  <c r="U46" i="15" s="1"/>
  <c r="CY45" i="15"/>
  <c r="EG45" i="15"/>
  <c r="EB45" i="15"/>
  <c r="DM45" i="15"/>
  <c r="DE45" i="15"/>
  <c r="CS45" i="15"/>
  <c r="CK45" i="15"/>
  <c r="EH45" i="15"/>
  <c r="DZ45" i="15"/>
  <c r="DU45" i="15"/>
  <c r="DF45" i="15"/>
  <c r="CQ45" i="15"/>
  <c r="EA45" i="15"/>
  <c r="DS45" i="15"/>
  <c r="DN45" i="15"/>
  <c r="CR45" i="15"/>
  <c r="CL45" i="15"/>
  <c r="CC45" i="15"/>
  <c r="CZ45" i="15"/>
  <c r="EI45" i="15"/>
  <c r="DT45" i="15"/>
  <c r="DL45" i="15"/>
  <c r="DG45" i="15"/>
  <c r="CJ45" i="15"/>
  <c r="CD45" i="15"/>
  <c r="BW45" i="15"/>
  <c r="BH45" i="15"/>
  <c r="BC45" i="15"/>
  <c r="AU45" i="15"/>
  <c r="AO45" i="15"/>
  <c r="AH45" i="15"/>
  <c r="BQ45" i="15"/>
  <c r="BI45" i="15"/>
  <c r="BA45" i="15"/>
  <c r="AM45" i="15"/>
  <c r="AF45" i="15"/>
  <c r="AA45" i="15"/>
  <c r="BX45" i="15"/>
  <c r="BO45" i="15"/>
  <c r="BB45" i="15"/>
  <c r="AV45" i="15"/>
  <c r="AN45" i="15"/>
  <c r="AG45" i="15"/>
  <c r="CE45" i="15"/>
  <c r="BV45" i="15"/>
  <c r="BP45" i="15"/>
  <c r="BJ45" i="15"/>
  <c r="BL45" i="15" s="1"/>
  <c r="AT45" i="15"/>
  <c r="X45" i="15"/>
  <c r="AD45" i="15" s="1"/>
  <c r="AB46" i="15" s="1"/>
  <c r="Z45" i="15"/>
  <c r="S45" i="15"/>
  <c r="K45" i="15"/>
  <c r="E45" i="15"/>
  <c r="L45" i="15"/>
  <c r="Y45" i="15"/>
  <c r="T45" i="15"/>
  <c r="F45" i="15"/>
  <c r="R45" i="15"/>
  <c r="M45" i="15"/>
  <c r="D45" i="15"/>
  <c r="BN25" i="5"/>
  <c r="BO25" i="5" s="1"/>
  <c r="AH26" i="5" l="1"/>
  <c r="BF26" i="5"/>
  <c r="BG26" i="5" s="1"/>
  <c r="DI45" i="15"/>
  <c r="CG45" i="15"/>
  <c r="EK45" i="15"/>
  <c r="AE26" i="5"/>
  <c r="O45" i="15"/>
  <c r="DB45" i="15"/>
  <c r="AX45" i="15"/>
  <c r="H45" i="15"/>
  <c r="AC45" i="15"/>
  <c r="CN45" i="15"/>
  <c r="X53" i="9"/>
  <c r="T53" i="9"/>
  <c r="P53" i="9"/>
  <c r="L53" i="9"/>
  <c r="H53" i="9"/>
  <c r="D53" i="9"/>
  <c r="R53" i="9"/>
  <c r="J53" i="9"/>
  <c r="B53" i="9"/>
  <c r="W53" i="9"/>
  <c r="S53" i="9"/>
  <c r="O53" i="9"/>
  <c r="K53" i="9"/>
  <c r="G53" i="9"/>
  <c r="C53" i="9"/>
  <c r="Y53" i="9"/>
  <c r="Q53" i="9"/>
  <c r="I53" i="9"/>
  <c r="V53" i="9"/>
  <c r="N53" i="9"/>
  <c r="F53" i="9"/>
  <c r="A54" i="9"/>
  <c r="U53" i="9"/>
  <c r="M53" i="9"/>
  <c r="E53" i="9"/>
  <c r="AC26" i="5"/>
  <c r="BD26" i="5"/>
  <c r="BE26" i="5" s="1"/>
  <c r="AF26" i="5"/>
  <c r="BJ26" i="5"/>
  <c r="BK26" i="5" s="1"/>
  <c r="V45" i="15"/>
  <c r="BS45" i="15"/>
  <c r="BE45" i="15"/>
  <c r="M27" i="5"/>
  <c r="H27" i="5"/>
  <c r="Q27" i="5"/>
  <c r="W27" i="5"/>
  <c r="T27" i="5"/>
  <c r="X27" i="5"/>
  <c r="B27" i="5"/>
  <c r="G27" i="5"/>
  <c r="I27" i="5"/>
  <c r="K27" i="5"/>
  <c r="O27" i="5"/>
  <c r="AX27" i="5" s="1"/>
  <c r="AY27" i="5" s="1"/>
  <c r="L27" i="5"/>
  <c r="AN27" i="5" s="1"/>
  <c r="AO27" i="5" s="1"/>
  <c r="S27" i="5"/>
  <c r="AJ27" i="5" s="1"/>
  <c r="AK27" i="5" s="1"/>
  <c r="A28" i="5"/>
  <c r="P27" i="5"/>
  <c r="E27" i="5"/>
  <c r="F27" i="5"/>
  <c r="D27" i="5"/>
  <c r="R27" i="5"/>
  <c r="AP27" i="5" s="1"/>
  <c r="AQ27" i="5" s="1"/>
  <c r="V27" i="5"/>
  <c r="N27" i="5"/>
  <c r="AR27" i="5" s="1"/>
  <c r="AS27" i="5" s="1"/>
  <c r="C27" i="5"/>
  <c r="J27" i="5"/>
  <c r="AV27" i="5" s="1"/>
  <c r="AW27" i="5" s="1"/>
  <c r="Y27" i="5"/>
  <c r="AL27" i="5" s="1"/>
  <c r="AM27" i="5" s="1"/>
  <c r="U27" i="5"/>
  <c r="AT27" i="5" s="1"/>
  <c r="AU27" i="5" s="1"/>
  <c r="AG26" i="5"/>
  <c r="BL26" i="5"/>
  <c r="BM26" i="5" s="1"/>
  <c r="AJ45" i="15"/>
  <c r="DP45" i="15"/>
  <c r="ED45" i="15"/>
  <c r="AB26" i="5"/>
  <c r="BB26" i="5"/>
  <c r="BC26" i="5" s="1"/>
  <c r="BN26" i="5"/>
  <c r="BO26" i="5" s="1"/>
  <c r="BZ45" i="15"/>
  <c r="AQ45" i="15"/>
  <c r="DW45" i="15"/>
  <c r="CU45" i="15"/>
  <c r="C46" i="15"/>
  <c r="DY46" i="15"/>
  <c r="DZ46" i="15"/>
  <c r="F46" i="15"/>
  <c r="EF46" i="15"/>
  <c r="EG46" i="15"/>
  <c r="DR46" i="15"/>
  <c r="DS46" i="15"/>
  <c r="A47" i="15"/>
  <c r="D46" i="15"/>
  <c r="DK46" i="15"/>
  <c r="DE46" i="15"/>
  <c r="CQ46" i="15"/>
  <c r="BN46" i="15"/>
  <c r="BO46" i="15"/>
  <c r="DD46" i="15"/>
  <c r="CP46" i="15"/>
  <c r="CX46" i="15"/>
  <c r="CI46" i="15"/>
  <c r="CJ46" i="15"/>
  <c r="CB46" i="15"/>
  <c r="CC46" i="15"/>
  <c r="CW46" i="15"/>
  <c r="BU46" i="15"/>
  <c r="AZ46" i="15"/>
  <c r="BA46" i="15"/>
  <c r="AE46" i="15"/>
  <c r="AF46" i="15"/>
  <c r="J46" i="15"/>
  <c r="K46" i="15"/>
  <c r="DL46" i="15"/>
  <c r="BG46" i="15"/>
  <c r="BH46" i="15"/>
  <c r="AS46" i="15"/>
  <c r="AT46" i="15"/>
  <c r="AL46" i="15"/>
  <c r="AM46" i="15"/>
  <c r="BV46" i="15"/>
  <c r="DT46" i="15"/>
  <c r="DN46" i="15"/>
  <c r="CS46" i="15"/>
  <c r="Q46" i="15"/>
  <c r="EI46" i="15"/>
  <c r="DM46" i="15"/>
  <c r="CK46" i="15"/>
  <c r="CY46" i="15"/>
  <c r="EH46" i="15"/>
  <c r="EB46" i="15"/>
  <c r="DF46" i="15"/>
  <c r="CL46" i="15"/>
  <c r="R46" i="15"/>
  <c r="CZ46" i="15"/>
  <c r="EA46" i="15"/>
  <c r="DU46" i="15"/>
  <c r="DG46" i="15"/>
  <c r="CR46" i="15"/>
  <c r="BP46" i="15"/>
  <c r="AH46" i="15"/>
  <c r="Z46" i="15"/>
  <c r="BX46" i="15"/>
  <c r="BW46" i="15"/>
  <c r="BQ46" i="15"/>
  <c r="AU46" i="15"/>
  <c r="AA46" i="15"/>
  <c r="CE46" i="15"/>
  <c r="CD46" i="15"/>
  <c r="BI46" i="15"/>
  <c r="AV46" i="15"/>
  <c r="BJ46" i="15"/>
  <c r="BC46" i="15"/>
  <c r="BB46" i="15"/>
  <c r="AO46" i="15"/>
  <c r="AN46" i="15"/>
  <c r="AG46" i="15"/>
  <c r="X46" i="15"/>
  <c r="T46" i="15"/>
  <c r="S46" i="15"/>
  <c r="E46" i="15"/>
  <c r="M46" i="15"/>
  <c r="L46" i="15"/>
  <c r="Y46" i="15"/>
  <c r="AA26" i="5"/>
  <c r="AZ26" i="5"/>
  <c r="BA26" i="5" s="1"/>
  <c r="BH26" i="5"/>
  <c r="BI26" i="5" s="1"/>
  <c r="AD26" i="5"/>
  <c r="BN27" i="5" l="1"/>
  <c r="BO27" i="5" s="1"/>
  <c r="AD27" i="5"/>
  <c r="AE27" i="5"/>
  <c r="AK46" i="15"/>
  <c r="AJ46" i="15"/>
  <c r="CN46" i="15"/>
  <c r="CO46" i="15"/>
  <c r="DJ46" i="15"/>
  <c r="DI46" i="15"/>
  <c r="DX46" i="15"/>
  <c r="DW46" i="15"/>
  <c r="AA27" i="5"/>
  <c r="AZ27" i="5"/>
  <c r="BA27" i="5" s="1"/>
  <c r="V46" i="15"/>
  <c r="W46" i="15"/>
  <c r="AX46" i="15"/>
  <c r="AY46" i="15"/>
  <c r="DP46" i="15"/>
  <c r="DQ46" i="15"/>
  <c r="BT46" i="15"/>
  <c r="BS46" i="15"/>
  <c r="ED46" i="15"/>
  <c r="EE46" i="15"/>
  <c r="AF27" i="5"/>
  <c r="BJ27" i="5"/>
  <c r="BK27" i="5" s="1"/>
  <c r="AG27" i="5"/>
  <c r="BL27" i="5"/>
  <c r="BM27" i="5" s="1"/>
  <c r="BZ46" i="15"/>
  <c r="CA46" i="15"/>
  <c r="P46" i="15"/>
  <c r="O46" i="15"/>
  <c r="BF46" i="15"/>
  <c r="BE46" i="15"/>
  <c r="CH46" i="15"/>
  <c r="CG46" i="15"/>
  <c r="DB46" i="15"/>
  <c r="DC46" i="15"/>
  <c r="H46" i="15"/>
  <c r="I46" i="15"/>
  <c r="EL46" i="15"/>
  <c r="EK46" i="15"/>
  <c r="BF27" i="5"/>
  <c r="BG27" i="5" s="1"/>
  <c r="AH27" i="5"/>
  <c r="AD46" i="15"/>
  <c r="AC46" i="15"/>
  <c r="AQ46" i="15"/>
  <c r="AR46" i="15"/>
  <c r="BM46" i="15"/>
  <c r="BL46" i="15"/>
  <c r="CV46" i="15"/>
  <c r="CU46" i="15"/>
  <c r="C47" i="15"/>
  <c r="I47" i="15" s="1"/>
  <c r="DY47" i="15"/>
  <c r="DD47" i="15"/>
  <c r="CW47" i="15"/>
  <c r="DC47" i="15" s="1"/>
  <c r="EF47" i="15"/>
  <c r="EL47" i="15" s="1"/>
  <c r="BU47" i="15"/>
  <c r="CA47" i="15" s="1"/>
  <c r="A48" i="15"/>
  <c r="DK47" i="15"/>
  <c r="CP47" i="15"/>
  <c r="DR47" i="15"/>
  <c r="BN47" i="15"/>
  <c r="BT47" i="15" s="1"/>
  <c r="CB47" i="15"/>
  <c r="CZ47" i="15"/>
  <c r="AZ47" i="15"/>
  <c r="AE47" i="15"/>
  <c r="J47" i="15"/>
  <c r="CX47" i="15"/>
  <c r="CI47" i="15"/>
  <c r="BG47" i="15"/>
  <c r="AS47" i="15"/>
  <c r="AY47" i="15" s="1"/>
  <c r="AL47" i="15"/>
  <c r="EH47" i="15"/>
  <c r="DZ47" i="15"/>
  <c r="DU47" i="15"/>
  <c r="DG47" i="15"/>
  <c r="CJ47" i="15"/>
  <c r="EA47" i="15"/>
  <c r="DS47" i="15"/>
  <c r="DN47" i="15"/>
  <c r="DE47" i="15"/>
  <c r="CS47" i="15"/>
  <c r="CK47" i="15"/>
  <c r="Q47" i="15"/>
  <c r="CY47" i="15"/>
  <c r="EI47" i="15"/>
  <c r="DT47" i="15"/>
  <c r="DL47" i="15"/>
  <c r="DF47" i="15"/>
  <c r="CQ47" i="15"/>
  <c r="CD47" i="15"/>
  <c r="EG47" i="15"/>
  <c r="EB47" i="15"/>
  <c r="DM47" i="15"/>
  <c r="CR47" i="15"/>
  <c r="CL47" i="15"/>
  <c r="CC47" i="15"/>
  <c r="BP47" i="15"/>
  <c r="BJ47" i="15"/>
  <c r="BA47" i="15"/>
  <c r="AT47" i="15"/>
  <c r="AM47" i="15"/>
  <c r="X47" i="15"/>
  <c r="Z47" i="15"/>
  <c r="BX47" i="15"/>
  <c r="BH47" i="15"/>
  <c r="BB47" i="15"/>
  <c r="AU47" i="15"/>
  <c r="AN47" i="15"/>
  <c r="AH47" i="15"/>
  <c r="BV47" i="15"/>
  <c r="BQ47" i="15"/>
  <c r="BI47" i="15"/>
  <c r="AF47" i="15"/>
  <c r="CE47" i="15"/>
  <c r="BW47" i="15"/>
  <c r="BO47" i="15"/>
  <c r="BC47" i="15"/>
  <c r="AV47" i="15"/>
  <c r="AO47" i="15"/>
  <c r="AQ47" i="15" s="1"/>
  <c r="AG47" i="15"/>
  <c r="Y47" i="15"/>
  <c r="L47" i="15"/>
  <c r="T47" i="15"/>
  <c r="F47" i="15"/>
  <c r="AA47" i="15"/>
  <c r="R47" i="15"/>
  <c r="M47" i="15"/>
  <c r="D47" i="15"/>
  <c r="E47" i="15"/>
  <c r="S47" i="15"/>
  <c r="K47" i="15"/>
  <c r="AC27" i="5"/>
  <c r="BD27" i="5"/>
  <c r="BE27" i="5" s="1"/>
  <c r="AB27" i="5"/>
  <c r="BB27" i="5"/>
  <c r="BC27" i="5" s="1"/>
  <c r="C28" i="5"/>
  <c r="Q28" i="5"/>
  <c r="W28" i="5"/>
  <c r="E28" i="5"/>
  <c r="B28" i="5"/>
  <c r="P28" i="5"/>
  <c r="M28" i="5"/>
  <c r="J28" i="5"/>
  <c r="AV28" i="5" s="1"/>
  <c r="AW28" i="5" s="1"/>
  <c r="U28" i="5"/>
  <c r="AT28" i="5" s="1"/>
  <c r="AU28" i="5" s="1"/>
  <c r="L28" i="5"/>
  <c r="AN28" i="5" s="1"/>
  <c r="AO28" i="5" s="1"/>
  <c r="Y28" i="5"/>
  <c r="AL28" i="5" s="1"/>
  <c r="AM28" i="5" s="1"/>
  <c r="F28" i="5"/>
  <c r="I28" i="5"/>
  <c r="K28" i="5"/>
  <c r="H28" i="5"/>
  <c r="V28" i="5"/>
  <c r="X28" i="5"/>
  <c r="D28" i="5"/>
  <c r="O28" i="5"/>
  <c r="AX28" i="5" s="1"/>
  <c r="AY28" i="5" s="1"/>
  <c r="N28" i="5"/>
  <c r="AR28" i="5" s="1"/>
  <c r="AS28" i="5" s="1"/>
  <c r="S28" i="5"/>
  <c r="AJ28" i="5" s="1"/>
  <c r="AK28" i="5" s="1"/>
  <c r="T28" i="5"/>
  <c r="G28" i="5"/>
  <c r="R28" i="5"/>
  <c r="AP28" i="5" s="1"/>
  <c r="AQ28" i="5" s="1"/>
  <c r="A29" i="5"/>
  <c r="BH27" i="5"/>
  <c r="BI27" i="5" s="1"/>
  <c r="A55" i="9"/>
  <c r="X54" i="9"/>
  <c r="T54" i="9"/>
  <c r="P54" i="9"/>
  <c r="L54" i="9"/>
  <c r="H54" i="9"/>
  <c r="D54" i="9"/>
  <c r="R54" i="9"/>
  <c r="J54" i="9"/>
  <c r="B54" i="9"/>
  <c r="W54" i="9"/>
  <c r="S54" i="9"/>
  <c r="O54" i="9"/>
  <c r="K54" i="9"/>
  <c r="G54" i="9"/>
  <c r="C54" i="9"/>
  <c r="U54" i="9"/>
  <c r="Q54" i="9"/>
  <c r="I54" i="9"/>
  <c r="V54" i="9"/>
  <c r="N54" i="9"/>
  <c r="F54" i="9"/>
  <c r="Y54" i="9"/>
  <c r="M54" i="9"/>
  <c r="E54" i="9"/>
  <c r="ED47" i="15" l="1"/>
  <c r="AE28" i="5"/>
  <c r="CG47" i="15"/>
  <c r="CN47" i="15"/>
  <c r="AX47" i="15"/>
  <c r="BN28" i="5"/>
  <c r="BO28" i="5" s="1"/>
  <c r="AC47" i="15"/>
  <c r="BE47" i="15"/>
  <c r="AD28" i="5"/>
  <c r="AG28" i="5"/>
  <c r="BL28" i="5"/>
  <c r="BM28" i="5" s="1"/>
  <c r="BL47" i="15"/>
  <c r="DW47" i="15"/>
  <c r="CV47" i="15"/>
  <c r="BF47" i="15"/>
  <c r="P47" i="15"/>
  <c r="EE47" i="15"/>
  <c r="W47" i="15"/>
  <c r="DX47" i="15"/>
  <c r="AK47" i="15"/>
  <c r="X55" i="9"/>
  <c r="T55" i="9"/>
  <c r="P55" i="9"/>
  <c r="L55" i="9"/>
  <c r="H55" i="9"/>
  <c r="D55" i="9"/>
  <c r="R55" i="9"/>
  <c r="J55" i="9"/>
  <c r="B55" i="9"/>
  <c r="A56" i="9"/>
  <c r="W55" i="9"/>
  <c r="S55" i="9"/>
  <c r="O55" i="9"/>
  <c r="K55" i="9"/>
  <c r="G55" i="9"/>
  <c r="C55" i="9"/>
  <c r="U55" i="9"/>
  <c r="M55" i="9"/>
  <c r="E55" i="9"/>
  <c r="V55" i="9"/>
  <c r="N55" i="9"/>
  <c r="F55" i="9"/>
  <c r="Y55" i="9"/>
  <c r="Q55" i="9"/>
  <c r="I55" i="9"/>
  <c r="AB28" i="5"/>
  <c r="BB28" i="5"/>
  <c r="BC28" i="5" s="1"/>
  <c r="AH28" i="5"/>
  <c r="AJ47" i="15"/>
  <c r="EK47" i="15"/>
  <c r="CU47" i="15"/>
  <c r="A49" i="15"/>
  <c r="CP48" i="15"/>
  <c r="CV48" i="15" s="1"/>
  <c r="C48" i="15"/>
  <c r="I48" i="15" s="1"/>
  <c r="DY48" i="15"/>
  <c r="EE48" i="15" s="1"/>
  <c r="DR48" i="15"/>
  <c r="DX48" i="15" s="1"/>
  <c r="CW48" i="15"/>
  <c r="DC48" i="15" s="1"/>
  <c r="CI48" i="15"/>
  <c r="CO48" i="15" s="1"/>
  <c r="CB48" i="15"/>
  <c r="CH48" i="15" s="1"/>
  <c r="EF48" i="15"/>
  <c r="DK48" i="15"/>
  <c r="DD48" i="15"/>
  <c r="DJ48" i="15" s="1"/>
  <c r="BG48" i="15"/>
  <c r="AS48" i="15"/>
  <c r="AY48" i="15" s="1"/>
  <c r="AL48" i="15"/>
  <c r="AR48" i="15" s="1"/>
  <c r="BU48" i="15"/>
  <c r="CA48" i="15" s="1"/>
  <c r="BN48" i="15"/>
  <c r="BT48" i="15" s="1"/>
  <c r="Q48" i="15"/>
  <c r="W48" i="15" s="1"/>
  <c r="CZ48" i="15"/>
  <c r="AZ48" i="15"/>
  <c r="BF48" i="15" s="1"/>
  <c r="AE48" i="15"/>
  <c r="CX48" i="15"/>
  <c r="EG48" i="15"/>
  <c r="EB48" i="15"/>
  <c r="DM48" i="15"/>
  <c r="CR48" i="15"/>
  <c r="CL48" i="15"/>
  <c r="CY48" i="15"/>
  <c r="EH48" i="15"/>
  <c r="DZ48" i="15"/>
  <c r="DU48" i="15"/>
  <c r="DG48" i="15"/>
  <c r="CJ48" i="15"/>
  <c r="EA48" i="15"/>
  <c r="DS48" i="15"/>
  <c r="DN48" i="15"/>
  <c r="DE48" i="15"/>
  <c r="CS48" i="15"/>
  <c r="CK48" i="15"/>
  <c r="CC48" i="15"/>
  <c r="J48" i="15"/>
  <c r="P48" i="15" s="1"/>
  <c r="EI48" i="15"/>
  <c r="EK48" i="15" s="1"/>
  <c r="DT48" i="15"/>
  <c r="DL48" i="15"/>
  <c r="DF48" i="15"/>
  <c r="CQ48" i="15"/>
  <c r="BW48" i="15"/>
  <c r="BO48" i="15"/>
  <c r="BC48" i="15"/>
  <c r="AV48" i="15"/>
  <c r="AO48" i="15"/>
  <c r="AG48" i="15"/>
  <c r="Y48" i="15"/>
  <c r="CE48" i="15"/>
  <c r="BP48" i="15"/>
  <c r="BJ48" i="15"/>
  <c r="BA48" i="15"/>
  <c r="AT48" i="15"/>
  <c r="AM48" i="15"/>
  <c r="X48" i="15"/>
  <c r="AD48" i="15" s="1"/>
  <c r="Z48" i="15"/>
  <c r="CD48" i="15"/>
  <c r="BX48" i="15"/>
  <c r="BH48" i="15"/>
  <c r="BB48" i="15"/>
  <c r="AU48" i="15"/>
  <c r="AN48" i="15"/>
  <c r="AH48" i="15"/>
  <c r="BV48" i="15"/>
  <c r="BQ48" i="15"/>
  <c r="BI48" i="15"/>
  <c r="AF48" i="15"/>
  <c r="AA48" i="15"/>
  <c r="S48" i="15"/>
  <c r="K48" i="15"/>
  <c r="F48" i="15"/>
  <c r="L48" i="15"/>
  <c r="D48" i="15"/>
  <c r="T48" i="15"/>
  <c r="R48" i="15"/>
  <c r="M48" i="15"/>
  <c r="E48" i="15"/>
  <c r="BM47" i="15"/>
  <c r="AR47" i="15"/>
  <c r="AD47" i="15"/>
  <c r="CH47" i="15"/>
  <c r="DJ47" i="15"/>
  <c r="CO47" i="15"/>
  <c r="AK48" i="15"/>
  <c r="P29" i="5"/>
  <c r="M29" i="5"/>
  <c r="T29" i="5"/>
  <c r="X29" i="5"/>
  <c r="G29" i="5"/>
  <c r="I29" i="5"/>
  <c r="C29" i="5"/>
  <c r="V29" i="5"/>
  <c r="E29" i="5"/>
  <c r="F29" i="5"/>
  <c r="D29" i="5"/>
  <c r="J29" i="5"/>
  <c r="AV29" i="5" s="1"/>
  <c r="AW29" i="5" s="1"/>
  <c r="R29" i="5"/>
  <c r="AP29" i="5" s="1"/>
  <c r="AQ29" i="5" s="1"/>
  <c r="Y29" i="5"/>
  <c r="AL29" i="5" s="1"/>
  <c r="AM29" i="5" s="1"/>
  <c r="K29" i="5"/>
  <c r="O29" i="5"/>
  <c r="AX29" i="5" s="1"/>
  <c r="AY29" i="5" s="1"/>
  <c r="S29" i="5"/>
  <c r="AJ29" i="5" s="1"/>
  <c r="AK29" i="5" s="1"/>
  <c r="W29" i="5"/>
  <c r="U29" i="5"/>
  <c r="AT29" i="5" s="1"/>
  <c r="AU29" i="5" s="1"/>
  <c r="A30" i="5"/>
  <c r="Q29" i="5"/>
  <c r="B29" i="5"/>
  <c r="H29" i="5"/>
  <c r="N29" i="5"/>
  <c r="AR29" i="5" s="1"/>
  <c r="AS29" i="5" s="1"/>
  <c r="L29" i="5"/>
  <c r="AN29" i="5" s="1"/>
  <c r="AO29" i="5" s="1"/>
  <c r="BH28" i="5"/>
  <c r="BI28" i="5" s="1"/>
  <c r="AA28" i="5"/>
  <c r="AZ28" i="5"/>
  <c r="BA28" i="5" s="1"/>
  <c r="BF28" i="5"/>
  <c r="BG28" i="5" s="1"/>
  <c r="AC28" i="5"/>
  <c r="BD28" i="5"/>
  <c r="BE28" i="5" s="1"/>
  <c r="H47" i="15"/>
  <c r="BZ47" i="15"/>
  <c r="EL48" i="15"/>
  <c r="DQ47" i="15"/>
  <c r="AF28" i="5"/>
  <c r="BJ28" i="5"/>
  <c r="BK28" i="5" s="1"/>
  <c r="O47" i="15"/>
  <c r="V47" i="15"/>
  <c r="BS47" i="15"/>
  <c r="DP47" i="15"/>
  <c r="DI47" i="15"/>
  <c r="DB47" i="15"/>
  <c r="O48" i="15" l="1"/>
  <c r="BF29" i="5"/>
  <c r="BG29" i="5" s="1"/>
  <c r="AH29" i="5"/>
  <c r="BH29" i="5"/>
  <c r="BI29" i="5" s="1"/>
  <c r="BS48" i="15"/>
  <c r="DB48" i="15"/>
  <c r="V48" i="15"/>
  <c r="AD29" i="5"/>
  <c r="BE48" i="15"/>
  <c r="AE29" i="5"/>
  <c r="BN29" i="5"/>
  <c r="BO29" i="5" s="1"/>
  <c r="H48" i="15"/>
  <c r="AJ48" i="15"/>
  <c r="BL48" i="15"/>
  <c r="DP48" i="15"/>
  <c r="DI48" i="15"/>
  <c r="ED48" i="15"/>
  <c r="X56" i="9"/>
  <c r="T56" i="9"/>
  <c r="P56" i="9"/>
  <c r="L56" i="9"/>
  <c r="H56" i="9"/>
  <c r="D56" i="9"/>
  <c r="A58" i="9"/>
  <c r="V56" i="9"/>
  <c r="R56" i="9"/>
  <c r="J56" i="9"/>
  <c r="B56" i="9"/>
  <c r="W56" i="9"/>
  <c r="S56" i="9"/>
  <c r="O56" i="9"/>
  <c r="K56" i="9"/>
  <c r="G56" i="9"/>
  <c r="C56" i="9"/>
  <c r="U56" i="9"/>
  <c r="Q56" i="9"/>
  <c r="I56" i="9"/>
  <c r="E56" i="9"/>
  <c r="N56" i="9"/>
  <c r="F56" i="9"/>
  <c r="Y56" i="9"/>
  <c r="M56" i="9"/>
  <c r="DQ48" i="15"/>
  <c r="AF29" i="5"/>
  <c r="BJ29" i="5"/>
  <c r="BK29" i="5" s="1"/>
  <c r="BZ48" i="15"/>
  <c r="AQ48" i="15"/>
  <c r="DW48" i="15"/>
  <c r="CN48" i="15"/>
  <c r="BM48" i="15"/>
  <c r="AG29" i="5"/>
  <c r="BL29" i="5"/>
  <c r="BM29" i="5" s="1"/>
  <c r="AA29" i="5"/>
  <c r="AZ29" i="5"/>
  <c r="BA29" i="5" s="1"/>
  <c r="AC48" i="15"/>
  <c r="H30" i="5"/>
  <c r="C30" i="5"/>
  <c r="V30" i="5"/>
  <c r="F30" i="5"/>
  <c r="D30" i="5"/>
  <c r="K30" i="5"/>
  <c r="O30" i="5"/>
  <c r="AX30" i="5" s="1"/>
  <c r="AY30" i="5" s="1"/>
  <c r="J30" i="5"/>
  <c r="AV30" i="5" s="1"/>
  <c r="AW30" i="5" s="1"/>
  <c r="Q30" i="5"/>
  <c r="M30" i="5"/>
  <c r="U30" i="5"/>
  <c r="AT30" i="5" s="1"/>
  <c r="AU30" i="5" s="1"/>
  <c r="N30" i="5"/>
  <c r="AR30" i="5" s="1"/>
  <c r="AS30" i="5" s="1"/>
  <c r="G30" i="5"/>
  <c r="I30" i="5"/>
  <c r="P30" i="5"/>
  <c r="T30" i="5"/>
  <c r="E30" i="5"/>
  <c r="R30" i="5"/>
  <c r="AP30" i="5" s="1"/>
  <c r="AQ30" i="5" s="1"/>
  <c r="L30" i="5"/>
  <c r="AN30" i="5" s="1"/>
  <c r="AO30" i="5" s="1"/>
  <c r="W30" i="5"/>
  <c r="A31" i="5"/>
  <c r="X30" i="5"/>
  <c r="B30" i="5"/>
  <c r="BF30" i="5" s="1"/>
  <c r="BG30" i="5" s="1"/>
  <c r="Y30" i="5"/>
  <c r="AL30" i="5" s="1"/>
  <c r="AM30" i="5" s="1"/>
  <c r="S30" i="5"/>
  <c r="AJ30" i="5" s="1"/>
  <c r="AK30" i="5" s="1"/>
  <c r="AB29" i="5"/>
  <c r="BB29" i="5"/>
  <c r="BC29" i="5" s="1"/>
  <c r="AC29" i="5"/>
  <c r="BD29" i="5"/>
  <c r="BE29" i="5" s="1"/>
  <c r="CG48" i="15"/>
  <c r="AX48" i="15"/>
  <c r="CU48" i="15"/>
  <c r="EF49" i="15"/>
  <c r="EL49" i="15" s="1"/>
  <c r="EJ50" i="15" s="1"/>
  <c r="A50" i="15"/>
  <c r="DK49" i="15"/>
  <c r="DQ49" i="15" s="1"/>
  <c r="DO50" i="15" s="1"/>
  <c r="C49" i="15"/>
  <c r="I49" i="15" s="1"/>
  <c r="G50" i="15" s="1"/>
  <c r="DY49" i="15"/>
  <c r="EE49" i="15" s="1"/>
  <c r="EC50" i="15" s="1"/>
  <c r="DR49" i="15"/>
  <c r="DX49" i="15" s="1"/>
  <c r="DV50" i="15" s="1"/>
  <c r="CW49" i="15"/>
  <c r="DC49" i="15" s="1"/>
  <c r="DA50" i="15" s="1"/>
  <c r="CI49" i="15"/>
  <c r="CO49" i="15" s="1"/>
  <c r="CM50" i="15" s="1"/>
  <c r="DD49" i="15"/>
  <c r="DJ49" i="15" s="1"/>
  <c r="DH50" i="15" s="1"/>
  <c r="AZ49" i="15"/>
  <c r="BF49" i="15" s="1"/>
  <c r="BD50" i="15" s="1"/>
  <c r="AE49" i="15"/>
  <c r="AK49" i="15" s="1"/>
  <c r="AI50" i="15" s="1"/>
  <c r="J49" i="15"/>
  <c r="P49" i="15" s="1"/>
  <c r="N50" i="15" s="1"/>
  <c r="BG49" i="15"/>
  <c r="BM49" i="15" s="1"/>
  <c r="BK50" i="15" s="1"/>
  <c r="AS49" i="15"/>
  <c r="AY49" i="15" s="1"/>
  <c r="AW50" i="15" s="1"/>
  <c r="AL49" i="15"/>
  <c r="AR49" i="15" s="1"/>
  <c r="AP50" i="15" s="1"/>
  <c r="CY49" i="15"/>
  <c r="CP49" i="15"/>
  <c r="CV49" i="15" s="1"/>
  <c r="CT50" i="15" s="1"/>
  <c r="CB49" i="15"/>
  <c r="CH49" i="15" s="1"/>
  <c r="CF50" i="15" s="1"/>
  <c r="BU49" i="15"/>
  <c r="CA49" i="15" s="1"/>
  <c r="BY50" i="15" s="1"/>
  <c r="BN49" i="15"/>
  <c r="BT49" i="15" s="1"/>
  <c r="BR50" i="15" s="1"/>
  <c r="Q49" i="15"/>
  <c r="W49" i="15" s="1"/>
  <c r="U50" i="15" s="1"/>
  <c r="EI49" i="15"/>
  <c r="DT49" i="15"/>
  <c r="DL49" i="15"/>
  <c r="DF49" i="15"/>
  <c r="CQ49" i="15"/>
  <c r="EG49" i="15"/>
  <c r="EB49" i="15"/>
  <c r="DM49" i="15"/>
  <c r="CR49" i="15"/>
  <c r="CL49" i="15"/>
  <c r="CZ49" i="15"/>
  <c r="EH49" i="15"/>
  <c r="DZ49" i="15"/>
  <c r="DU49" i="15"/>
  <c r="DG49" i="15"/>
  <c r="CJ49" i="15"/>
  <c r="CE49" i="15"/>
  <c r="CX49" i="15"/>
  <c r="EA49" i="15"/>
  <c r="DS49" i="15"/>
  <c r="DN49" i="15"/>
  <c r="DP49" i="15" s="1"/>
  <c r="DE49" i="15"/>
  <c r="CS49" i="15"/>
  <c r="CK49" i="15"/>
  <c r="CD49" i="15"/>
  <c r="BV49" i="15"/>
  <c r="BQ49" i="15"/>
  <c r="BI49" i="15"/>
  <c r="AF49" i="15"/>
  <c r="AA49" i="15"/>
  <c r="BW49" i="15"/>
  <c r="BO49" i="15"/>
  <c r="BC49" i="15"/>
  <c r="AV49" i="15"/>
  <c r="AO49" i="15"/>
  <c r="AG49" i="15"/>
  <c r="Y49" i="15"/>
  <c r="BP49" i="15"/>
  <c r="BJ49" i="15"/>
  <c r="BA49" i="15"/>
  <c r="AT49" i="15"/>
  <c r="AM49" i="15"/>
  <c r="CC49" i="15"/>
  <c r="BX49" i="15"/>
  <c r="BZ49" i="15" s="1"/>
  <c r="BH49" i="15"/>
  <c r="BB49" i="15"/>
  <c r="AU49" i="15"/>
  <c r="AN49" i="15"/>
  <c r="AH49" i="15"/>
  <c r="X49" i="15"/>
  <c r="AD49" i="15" s="1"/>
  <c r="AB50" i="15" s="1"/>
  <c r="R49" i="15"/>
  <c r="M49" i="15"/>
  <c r="D49" i="15"/>
  <c r="E49" i="15"/>
  <c r="Z49" i="15"/>
  <c r="S49" i="15"/>
  <c r="K49" i="15"/>
  <c r="L49" i="15"/>
  <c r="T49" i="15"/>
  <c r="V49" i="15" s="1"/>
  <c r="F49" i="15"/>
  <c r="BN30" i="5" l="1"/>
  <c r="BO30" i="5" s="1"/>
  <c r="CU49" i="15"/>
  <c r="H49" i="15"/>
  <c r="AJ49" i="15"/>
  <c r="BH30" i="5"/>
  <c r="BI30" i="5" s="1"/>
  <c r="O49" i="15"/>
  <c r="M31" i="5"/>
  <c r="P31" i="5"/>
  <c r="W31" i="5"/>
  <c r="H31" i="5"/>
  <c r="L31" i="5"/>
  <c r="AN31" i="5" s="1"/>
  <c r="AO31" i="5" s="1"/>
  <c r="S31" i="5"/>
  <c r="AJ31" i="5" s="1"/>
  <c r="AK31" i="5" s="1"/>
  <c r="A32" i="5"/>
  <c r="C31" i="5"/>
  <c r="Q31" i="5"/>
  <c r="V31" i="5"/>
  <c r="N31" i="5"/>
  <c r="AR31" i="5" s="1"/>
  <c r="AS31" i="5" s="1"/>
  <c r="G31" i="5"/>
  <c r="Y31" i="5"/>
  <c r="AL31" i="5" s="1"/>
  <c r="AM31" i="5" s="1"/>
  <c r="T31" i="5"/>
  <c r="E31" i="5"/>
  <c r="F31" i="5"/>
  <c r="I31" i="5"/>
  <c r="K31" i="5"/>
  <c r="U31" i="5"/>
  <c r="AT31" i="5" s="1"/>
  <c r="AU31" i="5" s="1"/>
  <c r="R31" i="5"/>
  <c r="AP31" i="5" s="1"/>
  <c r="AQ31" i="5" s="1"/>
  <c r="D31" i="5"/>
  <c r="O31" i="5"/>
  <c r="AX31" i="5" s="1"/>
  <c r="AY31" i="5" s="1"/>
  <c r="X31" i="5"/>
  <c r="B31" i="5"/>
  <c r="J31" i="5"/>
  <c r="AV31" i="5" s="1"/>
  <c r="AW31" i="5" s="1"/>
  <c r="AE30" i="5"/>
  <c r="AH30" i="5"/>
  <c r="AB30" i="5"/>
  <c r="BB30" i="5"/>
  <c r="BC30" i="5" s="1"/>
  <c r="BL49" i="15"/>
  <c r="AQ49" i="15"/>
  <c r="BS49" i="15"/>
  <c r="DI49" i="15"/>
  <c r="DB49" i="15"/>
  <c r="ED49" i="15"/>
  <c r="AG30" i="5"/>
  <c r="BL30" i="5"/>
  <c r="BM30" i="5" s="1"/>
  <c r="AD30" i="5"/>
  <c r="X58" i="9"/>
  <c r="T58" i="9"/>
  <c r="P58" i="9"/>
  <c r="L58" i="9"/>
  <c r="H58" i="9"/>
  <c r="D58" i="9"/>
  <c r="R58" i="9"/>
  <c r="J58" i="9"/>
  <c r="F58" i="9"/>
  <c r="W58" i="9"/>
  <c r="S58" i="9"/>
  <c r="O58" i="9"/>
  <c r="K58" i="9"/>
  <c r="G58" i="9"/>
  <c r="C58" i="9"/>
  <c r="U58" i="9"/>
  <c r="M58" i="9"/>
  <c r="E58" i="9"/>
  <c r="V58" i="9"/>
  <c r="N58" i="9"/>
  <c r="B58" i="9"/>
  <c r="A59" i="9"/>
  <c r="Y58" i="9"/>
  <c r="Q58" i="9"/>
  <c r="I58" i="9"/>
  <c r="AX49" i="15"/>
  <c r="AC49" i="15"/>
  <c r="DW49" i="15"/>
  <c r="CN49" i="15"/>
  <c r="AF30" i="5"/>
  <c r="BJ30" i="5"/>
  <c r="BK30" i="5" s="1"/>
  <c r="BE49" i="15"/>
  <c r="CG49" i="15"/>
  <c r="EK49" i="15"/>
  <c r="EG50" i="15"/>
  <c r="DY50" i="15"/>
  <c r="D50" i="15"/>
  <c r="EF50" i="15"/>
  <c r="DR50" i="15"/>
  <c r="DL50" i="15"/>
  <c r="C50" i="15"/>
  <c r="A51" i="15"/>
  <c r="F50" i="15"/>
  <c r="DE50" i="15"/>
  <c r="CW50" i="15"/>
  <c r="CQ50" i="15"/>
  <c r="BN50" i="15"/>
  <c r="DK50" i="15"/>
  <c r="CJ50" i="15"/>
  <c r="DS50" i="15"/>
  <c r="DD50" i="15"/>
  <c r="CX50" i="15"/>
  <c r="CP50" i="15"/>
  <c r="CI50" i="15"/>
  <c r="CB50" i="15"/>
  <c r="DZ50" i="15"/>
  <c r="CC50" i="15"/>
  <c r="BA50" i="15"/>
  <c r="AF50" i="15"/>
  <c r="K50" i="15"/>
  <c r="BU50" i="15"/>
  <c r="BH50" i="15"/>
  <c r="AZ50" i="15"/>
  <c r="AT50" i="15"/>
  <c r="AM50" i="15"/>
  <c r="AE50" i="15"/>
  <c r="J50" i="15"/>
  <c r="BG50" i="15"/>
  <c r="AS50" i="15"/>
  <c r="AL50" i="15"/>
  <c r="R50" i="15"/>
  <c r="CY50" i="15"/>
  <c r="BV50" i="15"/>
  <c r="BO50" i="15"/>
  <c r="CZ50" i="15"/>
  <c r="EA50" i="15"/>
  <c r="DU50" i="15"/>
  <c r="CS50" i="15"/>
  <c r="CK50" i="15"/>
  <c r="DT50" i="15"/>
  <c r="DN50" i="15"/>
  <c r="DF50" i="15"/>
  <c r="EI50" i="15"/>
  <c r="DM50" i="15"/>
  <c r="CR50" i="15"/>
  <c r="CL50" i="15"/>
  <c r="CE50" i="15"/>
  <c r="Q50" i="15"/>
  <c r="EH50" i="15"/>
  <c r="EB50" i="15"/>
  <c r="DG50" i="15"/>
  <c r="BB50" i="15"/>
  <c r="AU50" i="15"/>
  <c r="AN50" i="15"/>
  <c r="Y50" i="15"/>
  <c r="BQ50" i="15"/>
  <c r="BI50" i="15"/>
  <c r="BC50" i="15"/>
  <c r="AO50" i="15"/>
  <c r="AH50" i="15"/>
  <c r="X50" i="15"/>
  <c r="CD50" i="15"/>
  <c r="BX50" i="15"/>
  <c r="BW50" i="15"/>
  <c r="AV50" i="15"/>
  <c r="AG50" i="15"/>
  <c r="BP50" i="15"/>
  <c r="BJ50" i="15"/>
  <c r="AA50" i="15"/>
  <c r="Z50" i="15"/>
  <c r="S50" i="15"/>
  <c r="E50" i="15"/>
  <c r="T50" i="15"/>
  <c r="M50" i="15"/>
  <c r="L50" i="15"/>
  <c r="AA30" i="5"/>
  <c r="AZ30" i="5"/>
  <c r="BA30" i="5" s="1"/>
  <c r="AC30" i="5"/>
  <c r="BD30" i="5"/>
  <c r="BE30" i="5" s="1"/>
  <c r="BH31" i="5" l="1"/>
  <c r="BI31" i="5" s="1"/>
  <c r="BF31" i="5"/>
  <c r="BG31" i="5" s="1"/>
  <c r="BN31" i="5"/>
  <c r="BO31" i="5" s="1"/>
  <c r="BZ50" i="15"/>
  <c r="CA50" i="15"/>
  <c r="AQ50" i="15"/>
  <c r="AR50" i="15"/>
  <c r="CH50" i="15"/>
  <c r="CG50" i="15"/>
  <c r="CN50" i="15"/>
  <c r="CO50" i="15"/>
  <c r="H50" i="15"/>
  <c r="I50" i="15"/>
  <c r="AE31" i="5"/>
  <c r="C32" i="5"/>
  <c r="Q32" i="5"/>
  <c r="W32" i="5"/>
  <c r="H32" i="5"/>
  <c r="E32" i="5"/>
  <c r="B32" i="5"/>
  <c r="T32" i="5"/>
  <c r="X32" i="5"/>
  <c r="G32" i="5"/>
  <c r="I32" i="5"/>
  <c r="K32" i="5"/>
  <c r="O32" i="5"/>
  <c r="AX32" i="5" s="1"/>
  <c r="AY32" i="5" s="1"/>
  <c r="R32" i="5"/>
  <c r="AP32" i="5" s="1"/>
  <c r="AQ32" i="5" s="1"/>
  <c r="A33" i="5"/>
  <c r="M32" i="5"/>
  <c r="J32" i="5"/>
  <c r="AV32" i="5" s="1"/>
  <c r="AW32" i="5" s="1"/>
  <c r="S32" i="5"/>
  <c r="AJ32" i="5" s="1"/>
  <c r="AK32" i="5" s="1"/>
  <c r="P32" i="5"/>
  <c r="L32" i="5"/>
  <c r="AN32" i="5" s="1"/>
  <c r="AO32" i="5" s="1"/>
  <c r="Y32" i="5"/>
  <c r="AL32" i="5" s="1"/>
  <c r="AM32" i="5" s="1"/>
  <c r="V32" i="5"/>
  <c r="F32" i="5"/>
  <c r="AD32" i="5" s="1"/>
  <c r="U32" i="5"/>
  <c r="AT32" i="5" s="1"/>
  <c r="AU32" i="5" s="1"/>
  <c r="D32" i="5"/>
  <c r="N32" i="5"/>
  <c r="AR32" i="5" s="1"/>
  <c r="AS32" i="5" s="1"/>
  <c r="AG31" i="5"/>
  <c r="BL31" i="5"/>
  <c r="BM31" i="5" s="1"/>
  <c r="AX50" i="15"/>
  <c r="AY50" i="15"/>
  <c r="O50" i="15"/>
  <c r="P50" i="15"/>
  <c r="ED50" i="15"/>
  <c r="EE50" i="15"/>
  <c r="DB50" i="15"/>
  <c r="DC50" i="15"/>
  <c r="DJ50" i="15"/>
  <c r="DI50" i="15"/>
  <c r="DQ50" i="15"/>
  <c r="DP50" i="15"/>
  <c r="AF31" i="5"/>
  <c r="BJ31" i="5"/>
  <c r="BK31" i="5" s="1"/>
  <c r="AC50" i="15"/>
  <c r="AD50" i="15"/>
  <c r="W50" i="15"/>
  <c r="V50" i="15"/>
  <c r="AK50" i="15"/>
  <c r="AJ50" i="15"/>
  <c r="EL50" i="15"/>
  <c r="EK50" i="15"/>
  <c r="AB31" i="5"/>
  <c r="BB31" i="5"/>
  <c r="BC31" i="5" s="1"/>
  <c r="AA31" i="5"/>
  <c r="AZ31" i="5"/>
  <c r="BA31" i="5" s="1"/>
  <c r="AH31" i="5"/>
  <c r="BT50" i="15"/>
  <c r="BS50" i="15"/>
  <c r="BL50" i="15"/>
  <c r="BM50" i="15"/>
  <c r="BF50" i="15"/>
  <c r="BE50" i="15"/>
  <c r="DW50" i="15"/>
  <c r="DX50" i="15"/>
  <c r="CV50" i="15"/>
  <c r="CU50" i="15"/>
  <c r="DY51" i="15"/>
  <c r="EE51" i="15" s="1"/>
  <c r="DD51" i="15"/>
  <c r="CW51" i="15"/>
  <c r="DC51" i="15" s="1"/>
  <c r="EF51" i="15"/>
  <c r="EL51" i="15" s="1"/>
  <c r="DR51" i="15"/>
  <c r="BU51" i="15"/>
  <c r="CA51" i="15" s="1"/>
  <c r="A52" i="15"/>
  <c r="DK51" i="15"/>
  <c r="C51" i="15"/>
  <c r="CP51" i="15"/>
  <c r="CV51" i="15" s="1"/>
  <c r="BN51" i="15"/>
  <c r="BT51" i="15" s="1"/>
  <c r="CX51" i="15"/>
  <c r="CI51" i="15"/>
  <c r="CO51" i="15" s="1"/>
  <c r="AZ51" i="15"/>
  <c r="BF51" i="15" s="1"/>
  <c r="AE51" i="15"/>
  <c r="AK51" i="15" s="1"/>
  <c r="J51" i="15"/>
  <c r="P51" i="15" s="1"/>
  <c r="CY51" i="15"/>
  <c r="CB51" i="15"/>
  <c r="BG51" i="15"/>
  <c r="AS51" i="15"/>
  <c r="AY51" i="15" s="1"/>
  <c r="AL51" i="15"/>
  <c r="AR51" i="15" s="1"/>
  <c r="Q51" i="15"/>
  <c r="W51" i="15" s="1"/>
  <c r="EG51" i="15"/>
  <c r="EB51" i="15"/>
  <c r="DM51" i="15"/>
  <c r="DE51" i="15"/>
  <c r="CS51" i="15"/>
  <c r="CK51" i="15"/>
  <c r="EH51" i="15"/>
  <c r="DZ51" i="15"/>
  <c r="DU51" i="15"/>
  <c r="DF51" i="15"/>
  <c r="CQ51" i="15"/>
  <c r="CZ51" i="15"/>
  <c r="EA51" i="15"/>
  <c r="DS51" i="15"/>
  <c r="DN51" i="15"/>
  <c r="CR51" i="15"/>
  <c r="CL51" i="15"/>
  <c r="CE51" i="15"/>
  <c r="EI51" i="15"/>
  <c r="EK51" i="15" s="1"/>
  <c r="DT51" i="15"/>
  <c r="DL51" i="15"/>
  <c r="DG51" i="15"/>
  <c r="DI51" i="15" s="1"/>
  <c r="CJ51" i="15"/>
  <c r="BW51" i="15"/>
  <c r="BH51" i="15"/>
  <c r="AU51" i="15"/>
  <c r="AG51" i="15"/>
  <c r="AA51" i="15"/>
  <c r="CC51" i="15"/>
  <c r="BQ51" i="15"/>
  <c r="BI51" i="15"/>
  <c r="BC51" i="15"/>
  <c r="AO51" i="15"/>
  <c r="Y51" i="15"/>
  <c r="CD51" i="15"/>
  <c r="BX51" i="15"/>
  <c r="BO51" i="15"/>
  <c r="BA51" i="15"/>
  <c r="AV51" i="15"/>
  <c r="AM51" i="15"/>
  <c r="AH51" i="15"/>
  <c r="BV51" i="15"/>
  <c r="BP51" i="15"/>
  <c r="BJ51" i="15"/>
  <c r="BL51" i="15" s="1"/>
  <c r="BB51" i="15"/>
  <c r="AT51" i="15"/>
  <c r="AN51" i="15"/>
  <c r="AF51" i="15"/>
  <c r="Z51" i="15"/>
  <c r="R51" i="15"/>
  <c r="M51" i="15"/>
  <c r="D51" i="15"/>
  <c r="S51" i="15"/>
  <c r="K51" i="15"/>
  <c r="X51" i="15"/>
  <c r="L51" i="15"/>
  <c r="T51" i="15"/>
  <c r="F51" i="15"/>
  <c r="H51" i="15" s="1"/>
  <c r="E51" i="15"/>
  <c r="A60" i="9"/>
  <c r="X59" i="9"/>
  <c r="T59" i="9"/>
  <c r="P59" i="9"/>
  <c r="L59" i="9"/>
  <c r="H59" i="9"/>
  <c r="D59" i="9"/>
  <c r="V59" i="9"/>
  <c r="N59" i="9"/>
  <c r="F59" i="9"/>
  <c r="W59" i="9"/>
  <c r="S59" i="9"/>
  <c r="O59" i="9"/>
  <c r="K59" i="9"/>
  <c r="G59" i="9"/>
  <c r="C59" i="9"/>
  <c r="Y59" i="9"/>
  <c r="Q59" i="9"/>
  <c r="I59" i="9"/>
  <c r="R59" i="9"/>
  <c r="J59" i="9"/>
  <c r="B59" i="9"/>
  <c r="U59" i="9"/>
  <c r="M59" i="9"/>
  <c r="E59" i="9"/>
  <c r="AD31" i="5"/>
  <c r="AC31" i="5"/>
  <c r="BD31" i="5"/>
  <c r="BE31" i="5" s="1"/>
  <c r="BN32" i="5" l="1"/>
  <c r="BO32" i="5" s="1"/>
  <c r="DB51" i="15"/>
  <c r="V51" i="15"/>
  <c r="AE32" i="5"/>
  <c r="O51" i="15"/>
  <c r="AX51" i="15"/>
  <c r="DP51" i="15"/>
  <c r="DX51" i="15"/>
  <c r="BM51" i="15"/>
  <c r="DJ51" i="15"/>
  <c r="AG32" i="5"/>
  <c r="BL32" i="5"/>
  <c r="BM32" i="5" s="1"/>
  <c r="CH51" i="15"/>
  <c r="BS51" i="15"/>
  <c r="CG51" i="15"/>
  <c r="ED51" i="15"/>
  <c r="AD51" i="15"/>
  <c r="DQ51" i="15"/>
  <c r="P33" i="5"/>
  <c r="Q33" i="5"/>
  <c r="T33" i="5"/>
  <c r="X33" i="5"/>
  <c r="G33" i="5"/>
  <c r="I33" i="5"/>
  <c r="B33" i="5"/>
  <c r="R33" i="5"/>
  <c r="AP33" i="5" s="1"/>
  <c r="AQ33" i="5" s="1"/>
  <c r="Y33" i="5"/>
  <c r="AL33" i="5" s="1"/>
  <c r="AM33" i="5" s="1"/>
  <c r="H33" i="5"/>
  <c r="W33" i="5"/>
  <c r="F33" i="5"/>
  <c r="D33" i="5"/>
  <c r="U33" i="5"/>
  <c r="AT33" i="5" s="1"/>
  <c r="AU33" i="5" s="1"/>
  <c r="L33" i="5"/>
  <c r="AN33" i="5" s="1"/>
  <c r="AO33" i="5" s="1"/>
  <c r="N33" i="5"/>
  <c r="AR33" i="5" s="1"/>
  <c r="AS33" i="5" s="1"/>
  <c r="M33" i="5"/>
  <c r="J33" i="5"/>
  <c r="AV33" i="5" s="1"/>
  <c r="AW33" i="5" s="1"/>
  <c r="S33" i="5"/>
  <c r="AJ33" i="5" s="1"/>
  <c r="AK33" i="5" s="1"/>
  <c r="C33" i="5"/>
  <c r="E33" i="5"/>
  <c r="AE33" i="5" s="1"/>
  <c r="K33" i="5"/>
  <c r="A34" i="5"/>
  <c r="V33" i="5"/>
  <c r="O33" i="5"/>
  <c r="AX33" i="5" s="1"/>
  <c r="AY33" i="5" s="1"/>
  <c r="AA32" i="5"/>
  <c r="AZ32" i="5"/>
  <c r="BA32" i="5" s="1"/>
  <c r="BF32" i="5"/>
  <c r="BG32" i="5" s="1"/>
  <c r="AH32" i="5"/>
  <c r="I51" i="15"/>
  <c r="AJ51" i="15"/>
  <c r="AQ51" i="15"/>
  <c r="CN51" i="15"/>
  <c r="DW51" i="15"/>
  <c r="CU51" i="15"/>
  <c r="C52" i="15"/>
  <c r="I52" i="15" s="1"/>
  <c r="G53" i="15" s="1"/>
  <c r="A53" i="15"/>
  <c r="CP52" i="15"/>
  <c r="CV52" i="15" s="1"/>
  <c r="CT53" i="15" s="1"/>
  <c r="CI52" i="15"/>
  <c r="CO52" i="15" s="1"/>
  <c r="CM53" i="15" s="1"/>
  <c r="CB52" i="15"/>
  <c r="CH52" i="15" s="1"/>
  <c r="CF53" i="15" s="1"/>
  <c r="EF52" i="15"/>
  <c r="EL52" i="15" s="1"/>
  <c r="EJ53" i="15" s="1"/>
  <c r="DR52" i="15"/>
  <c r="DX52" i="15" s="1"/>
  <c r="DV53" i="15" s="1"/>
  <c r="CW52" i="15"/>
  <c r="DC52" i="15" s="1"/>
  <c r="DA53" i="15" s="1"/>
  <c r="DY52" i="15"/>
  <c r="EE52" i="15" s="1"/>
  <c r="EC53" i="15" s="1"/>
  <c r="BG52" i="15"/>
  <c r="BM52" i="15" s="1"/>
  <c r="BK53" i="15" s="1"/>
  <c r="AS52" i="15"/>
  <c r="AY52" i="15" s="1"/>
  <c r="AW53" i="15" s="1"/>
  <c r="AL52" i="15"/>
  <c r="AR52" i="15" s="1"/>
  <c r="AP53" i="15" s="1"/>
  <c r="DK52" i="15"/>
  <c r="DQ52" i="15" s="1"/>
  <c r="DO53" i="15" s="1"/>
  <c r="Q52" i="15"/>
  <c r="W52" i="15" s="1"/>
  <c r="U53" i="15" s="1"/>
  <c r="CZ52" i="15"/>
  <c r="BU52" i="15"/>
  <c r="CA52" i="15" s="1"/>
  <c r="BY53" i="15" s="1"/>
  <c r="BN52" i="15"/>
  <c r="BT52" i="15" s="1"/>
  <c r="BR53" i="15" s="1"/>
  <c r="CX52" i="15"/>
  <c r="DD52" i="15"/>
  <c r="DJ52" i="15" s="1"/>
  <c r="DH53" i="15" s="1"/>
  <c r="AZ52" i="15"/>
  <c r="BF52" i="15" s="1"/>
  <c r="BD53" i="15" s="1"/>
  <c r="AE52" i="15"/>
  <c r="AK52" i="15" s="1"/>
  <c r="AI53" i="15" s="1"/>
  <c r="EI52" i="15"/>
  <c r="DT52" i="15"/>
  <c r="DL52" i="15"/>
  <c r="DG52" i="15"/>
  <c r="CJ52" i="15"/>
  <c r="CY52" i="15"/>
  <c r="EG52" i="15"/>
  <c r="EB52" i="15"/>
  <c r="DM52" i="15"/>
  <c r="DE52" i="15"/>
  <c r="CS52" i="15"/>
  <c r="CK52" i="15"/>
  <c r="J52" i="15"/>
  <c r="P52" i="15" s="1"/>
  <c r="N53" i="15" s="1"/>
  <c r="EH52" i="15"/>
  <c r="DZ52" i="15"/>
  <c r="DU52" i="15"/>
  <c r="DF52" i="15"/>
  <c r="CQ52" i="15"/>
  <c r="EA52" i="15"/>
  <c r="DS52" i="15"/>
  <c r="DN52" i="15"/>
  <c r="DP52" i="15" s="1"/>
  <c r="CR52" i="15"/>
  <c r="CL52" i="15"/>
  <c r="CD52" i="15"/>
  <c r="BV52" i="15"/>
  <c r="BP52" i="15"/>
  <c r="BJ52" i="15"/>
  <c r="BB52" i="15"/>
  <c r="AT52" i="15"/>
  <c r="AN52" i="15"/>
  <c r="AF52" i="15"/>
  <c r="BW52" i="15"/>
  <c r="BH52" i="15"/>
  <c r="AU52" i="15"/>
  <c r="AG52" i="15"/>
  <c r="AA52" i="15"/>
  <c r="CE52" i="15"/>
  <c r="BQ52" i="15"/>
  <c r="BI52" i="15"/>
  <c r="BC52" i="15"/>
  <c r="AO52" i="15"/>
  <c r="CC52" i="15"/>
  <c r="BX52" i="15"/>
  <c r="BZ52" i="15" s="1"/>
  <c r="BO52" i="15"/>
  <c r="BA52" i="15"/>
  <c r="AV52" i="15"/>
  <c r="AM52" i="15"/>
  <c r="AH52" i="15"/>
  <c r="X52" i="15"/>
  <c r="AD52" i="15" s="1"/>
  <c r="AB53" i="15" s="1"/>
  <c r="Z52" i="15"/>
  <c r="T52" i="15"/>
  <c r="E52" i="15"/>
  <c r="R52" i="15"/>
  <c r="M52" i="15"/>
  <c r="S52" i="15"/>
  <c r="K52" i="15"/>
  <c r="F52" i="15"/>
  <c r="Y52" i="15"/>
  <c r="L52" i="15"/>
  <c r="D52" i="15"/>
  <c r="AF32" i="5"/>
  <c r="BJ32" i="5"/>
  <c r="BK32" i="5" s="1"/>
  <c r="AC32" i="5"/>
  <c r="BD32" i="5"/>
  <c r="BE32" i="5" s="1"/>
  <c r="X60" i="9"/>
  <c r="T60" i="9"/>
  <c r="P60" i="9"/>
  <c r="L60" i="9"/>
  <c r="H60" i="9"/>
  <c r="D60" i="9"/>
  <c r="V60" i="9"/>
  <c r="N60" i="9"/>
  <c r="F60" i="9"/>
  <c r="A62" i="9"/>
  <c r="W60" i="9"/>
  <c r="S60" i="9"/>
  <c r="O60" i="9"/>
  <c r="K60" i="9"/>
  <c r="G60" i="9"/>
  <c r="C60" i="9"/>
  <c r="Y60" i="9"/>
  <c r="U60" i="9"/>
  <c r="M60" i="9"/>
  <c r="R60" i="9"/>
  <c r="J60" i="9"/>
  <c r="B60" i="9"/>
  <c r="Q60" i="9"/>
  <c r="I60" i="9"/>
  <c r="E60" i="9"/>
  <c r="BZ51" i="15"/>
  <c r="BE51" i="15"/>
  <c r="AC51" i="15"/>
  <c r="AB32" i="5"/>
  <c r="BB32" i="5"/>
  <c r="BC32" i="5" s="1"/>
  <c r="BH32" i="5"/>
  <c r="BI32" i="5" s="1"/>
  <c r="AD33" i="5" l="1"/>
  <c r="AH33" i="5"/>
  <c r="AJ52" i="15"/>
  <c r="CN52" i="15"/>
  <c r="O52" i="15"/>
  <c r="AX52" i="15"/>
  <c r="EK52" i="15"/>
  <c r="BN33" i="5"/>
  <c r="BO33" i="5" s="1"/>
  <c r="X62" i="9"/>
  <c r="T62" i="9"/>
  <c r="P62" i="9"/>
  <c r="L62" i="9"/>
  <c r="H62" i="9"/>
  <c r="D62" i="9"/>
  <c r="V62" i="9"/>
  <c r="N62" i="9"/>
  <c r="F62" i="9"/>
  <c r="W62" i="9"/>
  <c r="S62" i="9"/>
  <c r="O62" i="9"/>
  <c r="K62" i="9"/>
  <c r="G62" i="9"/>
  <c r="C62" i="9"/>
  <c r="Y62" i="9"/>
  <c r="Q62" i="9"/>
  <c r="I62" i="9"/>
  <c r="A63" i="9"/>
  <c r="R62" i="9"/>
  <c r="J62" i="9"/>
  <c r="B62" i="9"/>
  <c r="U62" i="9"/>
  <c r="M62" i="9"/>
  <c r="E62" i="9"/>
  <c r="BS52" i="15"/>
  <c r="DB52" i="15"/>
  <c r="AA33" i="5"/>
  <c r="AZ33" i="5"/>
  <c r="BA33" i="5" s="1"/>
  <c r="H52" i="15"/>
  <c r="AQ52" i="15"/>
  <c r="CG52" i="15"/>
  <c r="EF53" i="15"/>
  <c r="EG53" i="15"/>
  <c r="F53" i="15"/>
  <c r="A54" i="15"/>
  <c r="DK53" i="15"/>
  <c r="DL53" i="15"/>
  <c r="D53" i="15"/>
  <c r="DR53" i="15"/>
  <c r="CW53" i="15"/>
  <c r="C53" i="15"/>
  <c r="DZ53" i="15"/>
  <c r="DE53" i="15"/>
  <c r="CQ53" i="15"/>
  <c r="CI53" i="15"/>
  <c r="CJ53" i="15"/>
  <c r="DD53" i="15"/>
  <c r="CP53" i="15"/>
  <c r="DY53" i="15"/>
  <c r="DS53" i="15"/>
  <c r="CB53" i="15"/>
  <c r="BV53" i="15"/>
  <c r="BO53" i="15"/>
  <c r="AZ53" i="15"/>
  <c r="BA53" i="15"/>
  <c r="AE53" i="15"/>
  <c r="AF53" i="15"/>
  <c r="J53" i="15"/>
  <c r="K53" i="15"/>
  <c r="BU53" i="15"/>
  <c r="BN53" i="15"/>
  <c r="BG53" i="15"/>
  <c r="BH53" i="15"/>
  <c r="AS53" i="15"/>
  <c r="AT53" i="15"/>
  <c r="AL53" i="15"/>
  <c r="AM53" i="15"/>
  <c r="CC53" i="15"/>
  <c r="Q53" i="15"/>
  <c r="R53" i="15"/>
  <c r="CX53" i="15"/>
  <c r="CZ53" i="15"/>
  <c r="CY53" i="15"/>
  <c r="EA53" i="15"/>
  <c r="DU53" i="15"/>
  <c r="CS53" i="15"/>
  <c r="CR53" i="15"/>
  <c r="DT53" i="15"/>
  <c r="DN53" i="15"/>
  <c r="EI53" i="15"/>
  <c r="DM53" i="15"/>
  <c r="CL53" i="15"/>
  <c r="CK53" i="15"/>
  <c r="CE53" i="15"/>
  <c r="CD53" i="15"/>
  <c r="EH53" i="15"/>
  <c r="EB53" i="15"/>
  <c r="DG53" i="15"/>
  <c r="DF53" i="15"/>
  <c r="Z53" i="15"/>
  <c r="BQ53" i="15"/>
  <c r="BP53" i="15"/>
  <c r="BC53" i="15"/>
  <c r="BB53" i="15"/>
  <c r="AO53" i="15"/>
  <c r="AN53" i="15"/>
  <c r="AA53" i="15"/>
  <c r="BX53" i="15"/>
  <c r="BW53" i="15"/>
  <c r="AV53" i="15"/>
  <c r="AU53" i="15"/>
  <c r="AG53" i="15"/>
  <c r="BJ53" i="15"/>
  <c r="BI53" i="15"/>
  <c r="AH53" i="15"/>
  <c r="X53" i="15"/>
  <c r="Y53" i="15"/>
  <c r="M53" i="15"/>
  <c r="L53" i="15"/>
  <c r="E53" i="15"/>
  <c r="T53" i="15"/>
  <c r="S53" i="15"/>
  <c r="AB33" i="5"/>
  <c r="BB33" i="5"/>
  <c r="BC33" i="5" s="1"/>
  <c r="BE52" i="15"/>
  <c r="AC52" i="15"/>
  <c r="DW52" i="15"/>
  <c r="ED52" i="15"/>
  <c r="DI52" i="15"/>
  <c r="AF33" i="5"/>
  <c r="BJ33" i="5"/>
  <c r="BK33" i="5" s="1"/>
  <c r="AC33" i="5"/>
  <c r="BD33" i="5"/>
  <c r="BE33" i="5" s="1"/>
  <c r="BH33" i="5"/>
  <c r="BI33" i="5" s="1"/>
  <c r="V52" i="15"/>
  <c r="BL52" i="15"/>
  <c r="CU52" i="15"/>
  <c r="H34" i="5"/>
  <c r="M34" i="5"/>
  <c r="V34" i="5"/>
  <c r="F34" i="5"/>
  <c r="D34" i="5"/>
  <c r="K34" i="5"/>
  <c r="O34" i="5"/>
  <c r="AX34" i="5" s="1"/>
  <c r="AY34" i="5" s="1"/>
  <c r="J34" i="5"/>
  <c r="AV34" i="5" s="1"/>
  <c r="AW34" i="5" s="1"/>
  <c r="W34" i="5"/>
  <c r="E34" i="5"/>
  <c r="U34" i="5"/>
  <c r="AT34" i="5" s="1"/>
  <c r="AU34" i="5" s="1"/>
  <c r="N34" i="5"/>
  <c r="AR34" i="5" s="1"/>
  <c r="AS34" i="5" s="1"/>
  <c r="T34" i="5"/>
  <c r="X34" i="5"/>
  <c r="B34" i="5"/>
  <c r="Y34" i="5"/>
  <c r="AL34" i="5" s="1"/>
  <c r="AM34" i="5" s="1"/>
  <c r="S34" i="5"/>
  <c r="AJ34" i="5" s="1"/>
  <c r="AK34" i="5" s="1"/>
  <c r="G34" i="5"/>
  <c r="P34" i="5"/>
  <c r="Q34" i="5"/>
  <c r="I34" i="5"/>
  <c r="R34" i="5"/>
  <c r="AP34" i="5" s="1"/>
  <c r="AQ34" i="5" s="1"/>
  <c r="L34" i="5"/>
  <c r="AN34" i="5" s="1"/>
  <c r="AO34" i="5" s="1"/>
  <c r="C34" i="5"/>
  <c r="A35" i="5"/>
  <c r="AG33" i="5"/>
  <c r="BL33" i="5"/>
  <c r="BM33" i="5" s="1"/>
  <c r="BF33" i="5"/>
  <c r="BG33" i="5" s="1"/>
  <c r="AH34" i="5" l="1"/>
  <c r="BH34" i="5"/>
  <c r="BI34" i="5" s="1"/>
  <c r="AD34" i="5"/>
  <c r="AC34" i="5"/>
  <c r="BD34" i="5"/>
  <c r="BE34" i="5" s="1"/>
  <c r="AD53" i="15"/>
  <c r="AC53" i="15"/>
  <c r="AQ53" i="15"/>
  <c r="AR53" i="15"/>
  <c r="P53" i="15"/>
  <c r="O53" i="15"/>
  <c r="C54" i="15"/>
  <c r="DY54" i="15"/>
  <c r="EF54" i="15"/>
  <c r="EL54" i="15" s="1"/>
  <c r="DR54" i="15"/>
  <c r="DX54" i="15" s="1"/>
  <c r="A55" i="15"/>
  <c r="BN54" i="15"/>
  <c r="CW54" i="15"/>
  <c r="DK54" i="15"/>
  <c r="CI54" i="15"/>
  <c r="CB54" i="15"/>
  <c r="CP54" i="15"/>
  <c r="CV54" i="15" s="1"/>
  <c r="AZ54" i="15"/>
  <c r="AE54" i="15"/>
  <c r="J54" i="15"/>
  <c r="CX54" i="15"/>
  <c r="DD54" i="15"/>
  <c r="BU54" i="15"/>
  <c r="BG54" i="15"/>
  <c r="AS54" i="15"/>
  <c r="AL54" i="15"/>
  <c r="AR54" i="15" s="1"/>
  <c r="CY54" i="15"/>
  <c r="EG54" i="15"/>
  <c r="EB54" i="15"/>
  <c r="DM54" i="15"/>
  <c r="DE54" i="15"/>
  <c r="CS54" i="15"/>
  <c r="CK54" i="15"/>
  <c r="Q54" i="15"/>
  <c r="W54" i="15" s="1"/>
  <c r="EH54" i="15"/>
  <c r="DZ54" i="15"/>
  <c r="DU54" i="15"/>
  <c r="DF54" i="15"/>
  <c r="CQ54" i="15"/>
  <c r="CZ54" i="15"/>
  <c r="EA54" i="15"/>
  <c r="DS54" i="15"/>
  <c r="DN54" i="15"/>
  <c r="CR54" i="15"/>
  <c r="CL54" i="15"/>
  <c r="CE54" i="15"/>
  <c r="EI54" i="15"/>
  <c r="DT54" i="15"/>
  <c r="DL54" i="15"/>
  <c r="DG54" i="15"/>
  <c r="CJ54" i="15"/>
  <c r="CC54" i="15"/>
  <c r="BW54" i="15"/>
  <c r="BH54" i="15"/>
  <c r="BB54" i="15"/>
  <c r="AT54" i="15"/>
  <c r="AN54" i="15"/>
  <c r="AH54" i="15"/>
  <c r="X54" i="15"/>
  <c r="AD54" i="15" s="1"/>
  <c r="Z54" i="15"/>
  <c r="CD54" i="15"/>
  <c r="BQ54" i="15"/>
  <c r="BI54" i="15"/>
  <c r="AU54" i="15"/>
  <c r="AF54" i="15"/>
  <c r="BX54" i="15"/>
  <c r="BO54" i="15"/>
  <c r="BC54" i="15"/>
  <c r="AO54" i="15"/>
  <c r="AG54" i="15"/>
  <c r="BV54" i="15"/>
  <c r="BP54" i="15"/>
  <c r="BJ54" i="15"/>
  <c r="BA54" i="15"/>
  <c r="AV54" i="15"/>
  <c r="AM54" i="15"/>
  <c r="Y54" i="15"/>
  <c r="T54" i="15"/>
  <c r="R54" i="15"/>
  <c r="M54" i="15"/>
  <c r="F54" i="15"/>
  <c r="S54" i="15"/>
  <c r="K54" i="15"/>
  <c r="D54" i="15"/>
  <c r="AA54" i="15"/>
  <c r="L54" i="15"/>
  <c r="E54" i="15"/>
  <c r="BN34" i="5"/>
  <c r="BO34" i="5" s="1"/>
  <c r="AF34" i="5"/>
  <c r="BJ34" i="5"/>
  <c r="BK34" i="5" s="1"/>
  <c r="V53" i="15"/>
  <c r="W53" i="15"/>
  <c r="DX53" i="15"/>
  <c r="DW53" i="15"/>
  <c r="CO54" i="15"/>
  <c r="CN53" i="15"/>
  <c r="CO53" i="15"/>
  <c r="EE54" i="15"/>
  <c r="ED53" i="15"/>
  <c r="EE53" i="15"/>
  <c r="H53" i="15"/>
  <c r="I54" i="15"/>
  <c r="I53" i="15"/>
  <c r="X63" i="9"/>
  <c r="T63" i="9"/>
  <c r="P63" i="9"/>
  <c r="L63" i="9"/>
  <c r="H63" i="9"/>
  <c r="D63" i="9"/>
  <c r="V63" i="9"/>
  <c r="N63" i="9"/>
  <c r="F63" i="9"/>
  <c r="W63" i="9"/>
  <c r="S63" i="9"/>
  <c r="O63" i="9"/>
  <c r="K63" i="9"/>
  <c r="G63" i="9"/>
  <c r="C63" i="9"/>
  <c r="Y63" i="9"/>
  <c r="Q63" i="9"/>
  <c r="I63" i="9"/>
  <c r="R63" i="9"/>
  <c r="J63" i="9"/>
  <c r="B63" i="9"/>
  <c r="A64" i="9"/>
  <c r="U63" i="9"/>
  <c r="M63" i="9"/>
  <c r="E63" i="9"/>
  <c r="DB53" i="15"/>
  <c r="DC54" i="15"/>
  <c r="DC53" i="15"/>
  <c r="BM53" i="15"/>
  <c r="BL53" i="15"/>
  <c r="BM54" i="15"/>
  <c r="BF53" i="15"/>
  <c r="BF54" i="15"/>
  <c r="BE53" i="15"/>
  <c r="DJ53" i="15"/>
  <c r="DI53" i="15"/>
  <c r="DJ54" i="15"/>
  <c r="BF34" i="5"/>
  <c r="BG34" i="5" s="1"/>
  <c r="AE34" i="5"/>
  <c r="AY54" i="15"/>
  <c r="AX53" i="15"/>
  <c r="AY53" i="15"/>
  <c r="AK53" i="15"/>
  <c r="AK54" i="15"/>
  <c r="AJ53" i="15"/>
  <c r="BT54" i="15"/>
  <c r="BT53" i="15"/>
  <c r="BS53" i="15"/>
  <c r="DQ54" i="15"/>
  <c r="DP53" i="15"/>
  <c r="DQ53" i="15"/>
  <c r="EL53" i="15"/>
  <c r="EK53" i="15"/>
  <c r="M35" i="5"/>
  <c r="C35" i="5"/>
  <c r="P35" i="5"/>
  <c r="V35" i="5"/>
  <c r="F35" i="5"/>
  <c r="D35" i="5"/>
  <c r="J35" i="5"/>
  <c r="AV35" i="5" s="1"/>
  <c r="AW35" i="5" s="1"/>
  <c r="L35" i="5"/>
  <c r="AN35" i="5" s="1"/>
  <c r="AO35" i="5" s="1"/>
  <c r="S35" i="5"/>
  <c r="AJ35" i="5" s="1"/>
  <c r="AK35" i="5" s="1"/>
  <c r="A36" i="5"/>
  <c r="E35" i="5"/>
  <c r="X35" i="5"/>
  <c r="B35" i="5"/>
  <c r="O35" i="5"/>
  <c r="AX35" i="5" s="1"/>
  <c r="AY35" i="5" s="1"/>
  <c r="N35" i="5"/>
  <c r="AR35" i="5" s="1"/>
  <c r="AS35" i="5" s="1"/>
  <c r="W35" i="5"/>
  <c r="T35" i="5"/>
  <c r="G35" i="5"/>
  <c r="Y35" i="5"/>
  <c r="AL35" i="5" s="1"/>
  <c r="AM35" i="5" s="1"/>
  <c r="H35" i="5"/>
  <c r="Q35" i="5"/>
  <c r="I35" i="5"/>
  <c r="K35" i="5"/>
  <c r="U35" i="5"/>
  <c r="AT35" i="5" s="1"/>
  <c r="AU35" i="5" s="1"/>
  <c r="R35" i="5"/>
  <c r="AP35" i="5" s="1"/>
  <c r="AQ35" i="5" s="1"/>
  <c r="AA34" i="5"/>
  <c r="AZ34" i="5"/>
  <c r="BA34" i="5" s="1"/>
  <c r="AG34" i="5"/>
  <c r="BL34" i="5"/>
  <c r="BM34" i="5" s="1"/>
  <c r="AB34" i="5"/>
  <c r="BB34" i="5"/>
  <c r="BC34" i="5" s="1"/>
  <c r="CH53" i="15"/>
  <c r="CG53" i="15"/>
  <c r="CH54" i="15"/>
  <c r="BZ53" i="15"/>
  <c r="CA54" i="15"/>
  <c r="CA53" i="15"/>
  <c r="CV53" i="15"/>
  <c r="CU53" i="15"/>
  <c r="BF35" i="5" l="1"/>
  <c r="BG35" i="5" s="1"/>
  <c r="O54" i="15"/>
  <c r="AE35" i="5"/>
  <c r="AC54" i="15"/>
  <c r="AH35" i="5"/>
  <c r="AA35" i="5"/>
  <c r="AZ35" i="5"/>
  <c r="BA35" i="5" s="1"/>
  <c r="C36" i="5"/>
  <c r="Q36" i="5"/>
  <c r="W36" i="5"/>
  <c r="P36" i="5"/>
  <c r="E36" i="5"/>
  <c r="B36" i="5"/>
  <c r="G36" i="5"/>
  <c r="I36" i="5"/>
  <c r="K36" i="5"/>
  <c r="O36" i="5"/>
  <c r="AX36" i="5" s="1"/>
  <c r="AY36" i="5" s="1"/>
  <c r="J36" i="5"/>
  <c r="AV36" i="5" s="1"/>
  <c r="AW36" i="5" s="1"/>
  <c r="N36" i="5"/>
  <c r="AR36" i="5" s="1"/>
  <c r="AS36" i="5" s="1"/>
  <c r="H36" i="5"/>
  <c r="V36" i="5"/>
  <c r="D36" i="5"/>
  <c r="U36" i="5"/>
  <c r="AT36" i="5" s="1"/>
  <c r="AU36" i="5" s="1"/>
  <c r="R36" i="5"/>
  <c r="AP36" i="5" s="1"/>
  <c r="AQ36" i="5" s="1"/>
  <c r="A37" i="5"/>
  <c r="X36" i="5"/>
  <c r="M36" i="5"/>
  <c r="S36" i="5"/>
  <c r="AJ36" i="5" s="1"/>
  <c r="AK36" i="5" s="1"/>
  <c r="T36" i="5"/>
  <c r="F36" i="5"/>
  <c r="L36" i="5"/>
  <c r="AN36" i="5" s="1"/>
  <c r="AO36" i="5" s="1"/>
  <c r="Y36" i="5"/>
  <c r="AL36" i="5" s="1"/>
  <c r="AM36" i="5" s="1"/>
  <c r="AB35" i="5"/>
  <c r="BB35" i="5"/>
  <c r="BC35" i="5" s="1"/>
  <c r="AC35" i="5"/>
  <c r="BD35" i="5"/>
  <c r="BE35" i="5" s="1"/>
  <c r="A66" i="9"/>
  <c r="X64" i="9"/>
  <c r="T64" i="9"/>
  <c r="P64" i="9"/>
  <c r="L64" i="9"/>
  <c r="H64" i="9"/>
  <c r="D64" i="9"/>
  <c r="V64" i="9"/>
  <c r="N64" i="9"/>
  <c r="F64" i="9"/>
  <c r="W64" i="9"/>
  <c r="S64" i="9"/>
  <c r="O64" i="9"/>
  <c r="K64" i="9"/>
  <c r="G64" i="9"/>
  <c r="C64" i="9"/>
  <c r="U64" i="9"/>
  <c r="I64" i="9"/>
  <c r="R64" i="9"/>
  <c r="J64" i="9"/>
  <c r="B64" i="9"/>
  <c r="Y64" i="9"/>
  <c r="Q64" i="9"/>
  <c r="M64" i="9"/>
  <c r="E64" i="9"/>
  <c r="H54" i="15"/>
  <c r="BL54" i="15"/>
  <c r="AQ54" i="15"/>
  <c r="CN54" i="15"/>
  <c r="DW54" i="15"/>
  <c r="ED54" i="15"/>
  <c r="P54" i="15"/>
  <c r="AD35" i="5"/>
  <c r="BE54" i="15"/>
  <c r="DB54" i="15"/>
  <c r="CU54" i="15"/>
  <c r="AG35" i="5"/>
  <c r="BL35" i="5"/>
  <c r="BM35" i="5" s="1"/>
  <c r="BH35" i="5"/>
  <c r="BI35" i="5" s="1"/>
  <c r="AF35" i="5"/>
  <c r="BJ35" i="5"/>
  <c r="BK35" i="5" s="1"/>
  <c r="AX54" i="15"/>
  <c r="EK54" i="15"/>
  <c r="DP54" i="15"/>
  <c r="C55" i="15"/>
  <c r="DY55" i="15"/>
  <c r="DD55" i="15"/>
  <c r="CW55" i="15"/>
  <c r="EF55" i="15"/>
  <c r="CP55" i="15"/>
  <c r="BU55" i="15"/>
  <c r="DR55" i="15"/>
  <c r="A56" i="15"/>
  <c r="DK55" i="15"/>
  <c r="CI55" i="15"/>
  <c r="CB55" i="15"/>
  <c r="CZ55" i="15"/>
  <c r="BN55" i="15"/>
  <c r="AZ55" i="15"/>
  <c r="AE55" i="15"/>
  <c r="J55" i="15"/>
  <c r="P55" i="15" s="1"/>
  <c r="CX55" i="15"/>
  <c r="BG55" i="15"/>
  <c r="AS55" i="15"/>
  <c r="AL55" i="15"/>
  <c r="EI55" i="15"/>
  <c r="DT55" i="15"/>
  <c r="DL55" i="15"/>
  <c r="DG55" i="15"/>
  <c r="CJ55" i="15"/>
  <c r="CY55" i="15"/>
  <c r="EG55" i="15"/>
  <c r="EB55" i="15"/>
  <c r="DM55" i="15"/>
  <c r="DE55" i="15"/>
  <c r="CS55" i="15"/>
  <c r="CK55" i="15"/>
  <c r="Q55" i="15"/>
  <c r="EH55" i="15"/>
  <c r="DZ55" i="15"/>
  <c r="DU55" i="15"/>
  <c r="DF55" i="15"/>
  <c r="CQ55" i="15"/>
  <c r="EA55" i="15"/>
  <c r="DS55" i="15"/>
  <c r="DN55" i="15"/>
  <c r="CR55" i="15"/>
  <c r="CL55" i="15"/>
  <c r="CN55" i="15" s="1"/>
  <c r="BV55" i="15"/>
  <c r="BP55" i="15"/>
  <c r="BJ55" i="15"/>
  <c r="BA55" i="15"/>
  <c r="AV55" i="15"/>
  <c r="AM55" i="15"/>
  <c r="Y55" i="15"/>
  <c r="CE55" i="15"/>
  <c r="BW55" i="15"/>
  <c r="BH55" i="15"/>
  <c r="BB55" i="15"/>
  <c r="AT55" i="15"/>
  <c r="AN55" i="15"/>
  <c r="AH55" i="15"/>
  <c r="X55" i="15"/>
  <c r="AD55" i="15" s="1"/>
  <c r="Z55" i="15"/>
  <c r="CC55" i="15"/>
  <c r="BQ55" i="15"/>
  <c r="BI55" i="15"/>
  <c r="AU55" i="15"/>
  <c r="AF55" i="15"/>
  <c r="CD55" i="15"/>
  <c r="BX55" i="15"/>
  <c r="BZ55" i="15" s="1"/>
  <c r="BO55" i="15"/>
  <c r="BC55" i="15"/>
  <c r="AO55" i="15"/>
  <c r="AQ55" i="15" s="1"/>
  <c r="AG55" i="15"/>
  <c r="AA55" i="15"/>
  <c r="AC55" i="15" s="1"/>
  <c r="L55" i="15"/>
  <c r="F55" i="15"/>
  <c r="E55" i="15"/>
  <c r="T55" i="15"/>
  <c r="V55" i="15" s="1"/>
  <c r="D55" i="15"/>
  <c r="R55" i="15"/>
  <c r="M55" i="15"/>
  <c r="S55" i="15"/>
  <c r="K55" i="15"/>
  <c r="BN35" i="5"/>
  <c r="BO35" i="5" s="1"/>
  <c r="V54" i="15"/>
  <c r="BZ54" i="15"/>
  <c r="BS54" i="15"/>
  <c r="AJ54" i="15"/>
  <c r="DI54" i="15"/>
  <c r="CG54" i="15"/>
  <c r="AD36" i="5" l="1"/>
  <c r="BH36" i="5"/>
  <c r="BI36" i="5" s="1"/>
  <c r="BE55" i="15"/>
  <c r="DP55" i="15"/>
  <c r="BN36" i="5"/>
  <c r="BO36" i="5" s="1"/>
  <c r="CG55" i="15"/>
  <c r="CU55" i="15"/>
  <c r="AY55" i="15"/>
  <c r="AK55" i="15"/>
  <c r="CH55" i="15"/>
  <c r="DX55" i="15"/>
  <c r="DC55" i="15"/>
  <c r="AE36" i="5"/>
  <c r="AC36" i="5"/>
  <c r="BD36" i="5"/>
  <c r="BE36" i="5" s="1"/>
  <c r="BL55" i="15"/>
  <c r="BM55" i="15"/>
  <c r="BF55" i="15"/>
  <c r="CO55" i="15"/>
  <c r="CA55" i="15"/>
  <c r="DJ55" i="15"/>
  <c r="AR55" i="15"/>
  <c r="AA36" i="5"/>
  <c r="AZ36" i="5"/>
  <c r="BA36" i="5" s="1"/>
  <c r="O55" i="15"/>
  <c r="H55" i="15"/>
  <c r="BS55" i="15"/>
  <c r="AJ55" i="15"/>
  <c r="W55" i="15"/>
  <c r="EK55" i="15"/>
  <c r="BT55" i="15"/>
  <c r="DQ55" i="15"/>
  <c r="CV55" i="15"/>
  <c r="EE55" i="15"/>
  <c r="AB36" i="5"/>
  <c r="BB36" i="5"/>
  <c r="BC36" i="5" s="1"/>
  <c r="AG36" i="5"/>
  <c r="BL36" i="5"/>
  <c r="BM36" i="5" s="1"/>
  <c r="AX55" i="15"/>
  <c r="DW55" i="15"/>
  <c r="ED55" i="15"/>
  <c r="DI55" i="15"/>
  <c r="DB55" i="15"/>
  <c r="A57" i="15"/>
  <c r="CP56" i="15"/>
  <c r="CV56" i="15" s="1"/>
  <c r="CT57" i="15" s="1"/>
  <c r="C56" i="15"/>
  <c r="I56" i="15" s="1"/>
  <c r="G57" i="15" s="1"/>
  <c r="EF56" i="15"/>
  <c r="DY56" i="15"/>
  <c r="EE56" i="15" s="1"/>
  <c r="EC57" i="15" s="1"/>
  <c r="DK56" i="15"/>
  <c r="DQ56" i="15" s="1"/>
  <c r="DO57" i="15" s="1"/>
  <c r="DD56" i="15"/>
  <c r="DJ56" i="15" s="1"/>
  <c r="DH57" i="15" s="1"/>
  <c r="CI56" i="15"/>
  <c r="CO56" i="15" s="1"/>
  <c r="CM57" i="15" s="1"/>
  <c r="CB56" i="15"/>
  <c r="CH56" i="15" s="1"/>
  <c r="CF57" i="15" s="1"/>
  <c r="DR56" i="15"/>
  <c r="DX56" i="15" s="1"/>
  <c r="DV57" i="15" s="1"/>
  <c r="CW56" i="15"/>
  <c r="DC56" i="15" s="1"/>
  <c r="DA57" i="15" s="1"/>
  <c r="BG56" i="15"/>
  <c r="BM56" i="15" s="1"/>
  <c r="BK57" i="15" s="1"/>
  <c r="AS56" i="15"/>
  <c r="AY56" i="15" s="1"/>
  <c r="AW57" i="15" s="1"/>
  <c r="AL56" i="15"/>
  <c r="AR56" i="15" s="1"/>
  <c r="AP57" i="15" s="1"/>
  <c r="Q56" i="15"/>
  <c r="W56" i="15" s="1"/>
  <c r="U57" i="15" s="1"/>
  <c r="CZ56" i="15"/>
  <c r="BU56" i="15"/>
  <c r="CA56" i="15" s="1"/>
  <c r="BY57" i="15" s="1"/>
  <c r="BN56" i="15"/>
  <c r="BT56" i="15" s="1"/>
  <c r="BR57" i="15" s="1"/>
  <c r="AZ56" i="15"/>
  <c r="BF56" i="15" s="1"/>
  <c r="BD57" i="15" s="1"/>
  <c r="AE56" i="15"/>
  <c r="AK56" i="15" s="1"/>
  <c r="AI57" i="15" s="1"/>
  <c r="CY56" i="15"/>
  <c r="EA56" i="15"/>
  <c r="DS56" i="15"/>
  <c r="DN56" i="15"/>
  <c r="CR56" i="15"/>
  <c r="CL56" i="15"/>
  <c r="J56" i="15"/>
  <c r="P56" i="15" s="1"/>
  <c r="N57" i="15" s="1"/>
  <c r="EI56" i="15"/>
  <c r="DT56" i="15"/>
  <c r="DL56" i="15"/>
  <c r="DG56" i="15"/>
  <c r="CJ56" i="15"/>
  <c r="EG56" i="15"/>
  <c r="EB56" i="15"/>
  <c r="DM56" i="15"/>
  <c r="DE56" i="15"/>
  <c r="CS56" i="15"/>
  <c r="CK56" i="15"/>
  <c r="CD56" i="15"/>
  <c r="CX56" i="15"/>
  <c r="EH56" i="15"/>
  <c r="DZ56" i="15"/>
  <c r="DU56" i="15"/>
  <c r="DF56" i="15"/>
  <c r="CQ56" i="15"/>
  <c r="CC56" i="15"/>
  <c r="BX56" i="15"/>
  <c r="BO56" i="15"/>
  <c r="BC56" i="15"/>
  <c r="AO56" i="15"/>
  <c r="AG56" i="15"/>
  <c r="AA56" i="15"/>
  <c r="BV56" i="15"/>
  <c r="BP56" i="15"/>
  <c r="BJ56" i="15"/>
  <c r="BA56" i="15"/>
  <c r="AV56" i="15"/>
  <c r="AM56" i="15"/>
  <c r="Y56" i="15"/>
  <c r="BW56" i="15"/>
  <c r="BH56" i="15"/>
  <c r="BB56" i="15"/>
  <c r="AT56" i="15"/>
  <c r="AN56" i="15"/>
  <c r="AH56" i="15"/>
  <c r="CE56" i="15"/>
  <c r="BQ56" i="15"/>
  <c r="BS56" i="15" s="1"/>
  <c r="BI56" i="15"/>
  <c r="AU56" i="15"/>
  <c r="AF56" i="15"/>
  <c r="S56" i="15"/>
  <c r="K56" i="15"/>
  <c r="D56" i="15"/>
  <c r="X56" i="15"/>
  <c r="AD56" i="15" s="1"/>
  <c r="AB57" i="15" s="1"/>
  <c r="L56" i="15"/>
  <c r="E56" i="15"/>
  <c r="Z56" i="15"/>
  <c r="T56" i="15"/>
  <c r="R56" i="15"/>
  <c r="M56" i="15"/>
  <c r="O56" i="15" s="1"/>
  <c r="F56" i="15"/>
  <c r="H56" i="15" s="1"/>
  <c r="EL55" i="15"/>
  <c r="EL56" i="15"/>
  <c r="EJ57" i="15" s="1"/>
  <c r="I55" i="15"/>
  <c r="X66" i="9"/>
  <c r="T66" i="9"/>
  <c r="P66" i="9"/>
  <c r="L66" i="9"/>
  <c r="H66" i="9"/>
  <c r="D66" i="9"/>
  <c r="V66" i="9"/>
  <c r="N66" i="9"/>
  <c r="F66" i="9"/>
  <c r="A67" i="9"/>
  <c r="W66" i="9"/>
  <c r="S66" i="9"/>
  <c r="O66" i="9"/>
  <c r="K66" i="9"/>
  <c r="G66" i="9"/>
  <c r="C66" i="9"/>
  <c r="Y66" i="9"/>
  <c r="U66" i="9"/>
  <c r="M66" i="9"/>
  <c r="E66" i="9"/>
  <c r="R66" i="9"/>
  <c r="J66" i="9"/>
  <c r="B66" i="9"/>
  <c r="Q66" i="9"/>
  <c r="I66" i="9"/>
  <c r="P37" i="5"/>
  <c r="H37" i="5"/>
  <c r="W37" i="5"/>
  <c r="T37" i="5"/>
  <c r="X37" i="5"/>
  <c r="G37" i="5"/>
  <c r="I37" i="5"/>
  <c r="C37" i="5"/>
  <c r="Q37" i="5"/>
  <c r="M37" i="5"/>
  <c r="K37" i="5"/>
  <c r="O37" i="5"/>
  <c r="AX37" i="5" s="1"/>
  <c r="AY37" i="5" s="1"/>
  <c r="R37" i="5"/>
  <c r="AP37" i="5" s="1"/>
  <c r="AQ37" i="5" s="1"/>
  <c r="Y37" i="5"/>
  <c r="AL37" i="5" s="1"/>
  <c r="AM37" i="5" s="1"/>
  <c r="V37" i="5"/>
  <c r="A38" i="5"/>
  <c r="F37" i="5"/>
  <c r="L37" i="5"/>
  <c r="AN37" i="5" s="1"/>
  <c r="AO37" i="5" s="1"/>
  <c r="B37" i="5"/>
  <c r="D37" i="5"/>
  <c r="U37" i="5"/>
  <c r="AT37" i="5" s="1"/>
  <c r="AU37" i="5" s="1"/>
  <c r="J37" i="5"/>
  <c r="AV37" i="5" s="1"/>
  <c r="AW37" i="5" s="1"/>
  <c r="N37" i="5"/>
  <c r="AR37" i="5" s="1"/>
  <c r="AS37" i="5" s="1"/>
  <c r="E37" i="5"/>
  <c r="S37" i="5"/>
  <c r="AJ37" i="5" s="1"/>
  <c r="AK37" i="5" s="1"/>
  <c r="AF36" i="5"/>
  <c r="BJ36" i="5"/>
  <c r="BK36" i="5" s="1"/>
  <c r="BF36" i="5"/>
  <c r="BG36" i="5" s="1"/>
  <c r="AH36" i="5"/>
  <c r="AH37" i="5" l="1"/>
  <c r="DW56" i="15"/>
  <c r="CN56" i="15"/>
  <c r="AE37" i="5"/>
  <c r="BF37" i="5"/>
  <c r="BG37" i="5" s="1"/>
  <c r="AJ56" i="15"/>
  <c r="AX56" i="15"/>
  <c r="BE56" i="15"/>
  <c r="DI56" i="15"/>
  <c r="AA37" i="5"/>
  <c r="AZ37" i="5"/>
  <c r="BA37" i="5" s="1"/>
  <c r="CU56" i="15"/>
  <c r="D57" i="15"/>
  <c r="EF57" i="15"/>
  <c r="C57" i="15"/>
  <c r="A58" i="15"/>
  <c r="DK57" i="15"/>
  <c r="CQ57" i="15"/>
  <c r="CJ57" i="15"/>
  <c r="CC57" i="15"/>
  <c r="DY57" i="15"/>
  <c r="DR57" i="15"/>
  <c r="DL57" i="15"/>
  <c r="DE57" i="15"/>
  <c r="CW57" i="15"/>
  <c r="CI57" i="15"/>
  <c r="DZ57" i="15"/>
  <c r="F57" i="15"/>
  <c r="EG57" i="15"/>
  <c r="DS57" i="15"/>
  <c r="BV57" i="15"/>
  <c r="BO57" i="15"/>
  <c r="BH57" i="15"/>
  <c r="AZ57" i="15"/>
  <c r="AT57" i="15"/>
  <c r="AM57" i="15"/>
  <c r="AE57" i="15"/>
  <c r="J57" i="15"/>
  <c r="DD57" i="15"/>
  <c r="BG57" i="15"/>
  <c r="AS57" i="15"/>
  <c r="AL57" i="15"/>
  <c r="R57" i="15"/>
  <c r="CZ57" i="15"/>
  <c r="CY57" i="15"/>
  <c r="CX57" i="15"/>
  <c r="CB57" i="15"/>
  <c r="BU57" i="15"/>
  <c r="BN57" i="15"/>
  <c r="Q57" i="15"/>
  <c r="CP57" i="15"/>
  <c r="BA57" i="15"/>
  <c r="AF57" i="15"/>
  <c r="K57" i="15"/>
  <c r="EH57" i="15"/>
  <c r="EB57" i="15"/>
  <c r="DG57" i="15"/>
  <c r="DF57" i="15"/>
  <c r="EA57" i="15"/>
  <c r="DU57" i="15"/>
  <c r="CS57" i="15"/>
  <c r="CR57" i="15"/>
  <c r="DT57" i="15"/>
  <c r="DN57" i="15"/>
  <c r="EI57" i="15"/>
  <c r="DM57" i="15"/>
  <c r="CL57" i="15"/>
  <c r="CK57" i="15"/>
  <c r="BX57" i="15"/>
  <c r="BJ57" i="15"/>
  <c r="BI57" i="15"/>
  <c r="AV57" i="15"/>
  <c r="AU57" i="15"/>
  <c r="Y57" i="15"/>
  <c r="AG57" i="15"/>
  <c r="X57" i="15"/>
  <c r="CE57" i="15"/>
  <c r="CD57" i="15"/>
  <c r="BQ57" i="15"/>
  <c r="BP57" i="15"/>
  <c r="AH57" i="15"/>
  <c r="BW57" i="15"/>
  <c r="BC57" i="15"/>
  <c r="BB57" i="15"/>
  <c r="AO57" i="15"/>
  <c r="AN57" i="15"/>
  <c r="AA57" i="15"/>
  <c r="Z57" i="15"/>
  <c r="T57" i="15"/>
  <c r="S57" i="15"/>
  <c r="L57" i="15"/>
  <c r="M57" i="15"/>
  <c r="E57" i="15"/>
  <c r="AC56" i="15"/>
  <c r="EK56" i="15"/>
  <c r="DP56" i="15"/>
  <c r="DB56" i="15"/>
  <c r="AF37" i="5"/>
  <c r="BJ37" i="5"/>
  <c r="BK37" i="5" s="1"/>
  <c r="AD37" i="5"/>
  <c r="BH37" i="5"/>
  <c r="BI37" i="5" s="1"/>
  <c r="BN37" i="5"/>
  <c r="BO37" i="5" s="1"/>
  <c r="X67" i="9"/>
  <c r="T67" i="9"/>
  <c r="P67" i="9"/>
  <c r="L67" i="9"/>
  <c r="H67" i="9"/>
  <c r="D67" i="9"/>
  <c r="A68" i="9"/>
  <c r="V67" i="9"/>
  <c r="N67" i="9"/>
  <c r="F67" i="9"/>
  <c r="W67" i="9"/>
  <c r="S67" i="9"/>
  <c r="O67" i="9"/>
  <c r="K67" i="9"/>
  <c r="G67" i="9"/>
  <c r="C67" i="9"/>
  <c r="Y67" i="9"/>
  <c r="Q67" i="9"/>
  <c r="I67" i="9"/>
  <c r="R67" i="9"/>
  <c r="J67" i="9"/>
  <c r="B67" i="9"/>
  <c r="U67" i="9"/>
  <c r="M67" i="9"/>
  <c r="E67" i="9"/>
  <c r="BL56" i="15"/>
  <c r="BZ56" i="15"/>
  <c r="AG37" i="5"/>
  <c r="BL37" i="5"/>
  <c r="BM37" i="5" s="1"/>
  <c r="AB37" i="5"/>
  <c r="BB37" i="5"/>
  <c r="BC37" i="5" s="1"/>
  <c r="H38" i="5"/>
  <c r="Q38" i="5"/>
  <c r="V38" i="5"/>
  <c r="F38" i="5"/>
  <c r="D38" i="5"/>
  <c r="K38" i="5"/>
  <c r="O38" i="5"/>
  <c r="AX38" i="5" s="1"/>
  <c r="AY38" i="5" s="1"/>
  <c r="J38" i="5"/>
  <c r="AV38" i="5" s="1"/>
  <c r="AW38" i="5" s="1"/>
  <c r="T38" i="5"/>
  <c r="X38" i="5"/>
  <c r="B38" i="5"/>
  <c r="G38" i="5"/>
  <c r="I38" i="5"/>
  <c r="U38" i="5"/>
  <c r="AT38" i="5" s="1"/>
  <c r="AU38" i="5" s="1"/>
  <c r="N38" i="5"/>
  <c r="AR38" i="5" s="1"/>
  <c r="AS38" i="5" s="1"/>
  <c r="P38" i="5"/>
  <c r="M38" i="5"/>
  <c r="R38" i="5"/>
  <c r="AP38" i="5" s="1"/>
  <c r="AQ38" i="5" s="1"/>
  <c r="L38" i="5"/>
  <c r="AN38" i="5" s="1"/>
  <c r="AO38" i="5" s="1"/>
  <c r="C38" i="5"/>
  <c r="E38" i="5"/>
  <c r="Y38" i="5"/>
  <c r="AL38" i="5" s="1"/>
  <c r="AM38" i="5" s="1"/>
  <c r="S38" i="5"/>
  <c r="AJ38" i="5" s="1"/>
  <c r="AK38" i="5" s="1"/>
  <c r="A39" i="5"/>
  <c r="W38" i="5"/>
  <c r="AC37" i="5"/>
  <c r="BD37" i="5"/>
  <c r="BE37" i="5" s="1"/>
  <c r="V56" i="15"/>
  <c r="CG56" i="15"/>
  <c r="AQ56" i="15"/>
  <c r="ED56" i="15"/>
  <c r="BF38" i="5" l="1"/>
  <c r="BG38" i="5" s="1"/>
  <c r="BH38" i="5"/>
  <c r="BI38" i="5" s="1"/>
  <c r="AH38" i="5"/>
  <c r="AG38" i="5"/>
  <c r="BL38" i="5"/>
  <c r="BM38" i="5" s="1"/>
  <c r="M39" i="5"/>
  <c r="H39" i="5"/>
  <c r="E39" i="5"/>
  <c r="L39" i="5"/>
  <c r="AN39" i="5" s="1"/>
  <c r="AO39" i="5" s="1"/>
  <c r="S39" i="5"/>
  <c r="AJ39" i="5" s="1"/>
  <c r="AK39" i="5" s="1"/>
  <c r="A40" i="5"/>
  <c r="C39" i="5"/>
  <c r="U39" i="5"/>
  <c r="AT39" i="5" s="1"/>
  <c r="AU39" i="5" s="1"/>
  <c r="Y39" i="5"/>
  <c r="AL39" i="5" s="1"/>
  <c r="AM39" i="5" s="1"/>
  <c r="Q39" i="5"/>
  <c r="W39" i="5"/>
  <c r="T39" i="5"/>
  <c r="I39" i="5"/>
  <c r="K39" i="5"/>
  <c r="V39" i="5"/>
  <c r="F39" i="5"/>
  <c r="O39" i="5"/>
  <c r="AX39" i="5" s="1"/>
  <c r="AY39" i="5" s="1"/>
  <c r="R39" i="5"/>
  <c r="AP39" i="5" s="1"/>
  <c r="AQ39" i="5" s="1"/>
  <c r="X39" i="5"/>
  <c r="BH39" i="5" s="1"/>
  <c r="BI39" i="5" s="1"/>
  <c r="B39" i="5"/>
  <c r="D39" i="5"/>
  <c r="P39" i="5"/>
  <c r="G39" i="5"/>
  <c r="J39" i="5"/>
  <c r="AV39" i="5" s="1"/>
  <c r="AW39" i="5" s="1"/>
  <c r="N39" i="5"/>
  <c r="AR39" i="5" s="1"/>
  <c r="AS39" i="5" s="1"/>
  <c r="AC38" i="5"/>
  <c r="BD38" i="5"/>
  <c r="BE38" i="5" s="1"/>
  <c r="BN38" i="5"/>
  <c r="BO38" i="5" s="1"/>
  <c r="AD38" i="5"/>
  <c r="X68" i="9"/>
  <c r="T68" i="9"/>
  <c r="P68" i="9"/>
  <c r="L68" i="9"/>
  <c r="H68" i="9"/>
  <c r="D68" i="9"/>
  <c r="R68" i="9"/>
  <c r="N68" i="9"/>
  <c r="F68" i="9"/>
  <c r="W68" i="9"/>
  <c r="S68" i="9"/>
  <c r="O68" i="9"/>
  <c r="K68" i="9"/>
  <c r="G68" i="9"/>
  <c r="C68" i="9"/>
  <c r="Y68" i="9"/>
  <c r="M68" i="9"/>
  <c r="E68" i="9"/>
  <c r="V68" i="9"/>
  <c r="J68" i="9"/>
  <c r="B68" i="9"/>
  <c r="A69" i="9"/>
  <c r="U68" i="9"/>
  <c r="Q68" i="9"/>
  <c r="I68" i="9"/>
  <c r="AK57" i="15"/>
  <c r="AJ57" i="15"/>
  <c r="BL57" i="15"/>
  <c r="BM57" i="15"/>
  <c r="EL57" i="15"/>
  <c r="EK57" i="15"/>
  <c r="H57" i="15"/>
  <c r="I57" i="15"/>
  <c r="AF38" i="5"/>
  <c r="BJ38" i="5"/>
  <c r="BK38" i="5" s="1"/>
  <c r="BF57" i="15"/>
  <c r="BE57" i="15"/>
  <c r="AQ57" i="15"/>
  <c r="AR57" i="15"/>
  <c r="BT57" i="15"/>
  <c r="BS57" i="15"/>
  <c r="DJ57" i="15"/>
  <c r="DI57" i="15"/>
  <c r="CH57" i="15"/>
  <c r="CG57" i="15"/>
  <c r="DY58" i="15"/>
  <c r="EE58" i="15" s="1"/>
  <c r="EF58" i="15"/>
  <c r="DR58" i="15"/>
  <c r="C58" i="15"/>
  <c r="A59" i="15"/>
  <c r="DD58" i="15"/>
  <c r="DJ58" i="15" s="1"/>
  <c r="CP58" i="15"/>
  <c r="CV58" i="15" s="1"/>
  <c r="BN58" i="15"/>
  <c r="BT58" i="15" s="1"/>
  <c r="CW58" i="15"/>
  <c r="DC58" i="15" s="1"/>
  <c r="CI58" i="15"/>
  <c r="CB58" i="15"/>
  <c r="CH58" i="15" s="1"/>
  <c r="AZ58" i="15"/>
  <c r="BF58" i="15" s="1"/>
  <c r="AE58" i="15"/>
  <c r="J58" i="15"/>
  <c r="CZ58" i="15"/>
  <c r="BG58" i="15"/>
  <c r="BM58" i="15" s="1"/>
  <c r="AS58" i="15"/>
  <c r="AY58" i="15" s="1"/>
  <c r="AL58" i="15"/>
  <c r="CX58" i="15"/>
  <c r="DK58" i="15"/>
  <c r="BU58" i="15"/>
  <c r="EI58" i="15"/>
  <c r="DT58" i="15"/>
  <c r="DL58" i="15"/>
  <c r="DG58" i="15"/>
  <c r="CJ58" i="15"/>
  <c r="EG58" i="15"/>
  <c r="EB58" i="15"/>
  <c r="DM58" i="15"/>
  <c r="DE58" i="15"/>
  <c r="CS58" i="15"/>
  <c r="CK58" i="15"/>
  <c r="CY58" i="15"/>
  <c r="EH58" i="15"/>
  <c r="DZ58" i="15"/>
  <c r="DU58" i="15"/>
  <c r="DF58" i="15"/>
  <c r="CQ58" i="15"/>
  <c r="Q58" i="15"/>
  <c r="W58" i="15" s="1"/>
  <c r="EA58" i="15"/>
  <c r="DS58" i="15"/>
  <c r="DN58" i="15"/>
  <c r="CR58" i="15"/>
  <c r="CL58" i="15"/>
  <c r="CD58" i="15"/>
  <c r="BX58" i="15"/>
  <c r="BP58" i="15"/>
  <c r="BJ58" i="15"/>
  <c r="BC58" i="15"/>
  <c r="AO58" i="15"/>
  <c r="AF58" i="15"/>
  <c r="AA58" i="15"/>
  <c r="BV58" i="15"/>
  <c r="BH58" i="15"/>
  <c r="BA58" i="15"/>
  <c r="AV58" i="15"/>
  <c r="AM58" i="15"/>
  <c r="AG58" i="15"/>
  <c r="Y58" i="15"/>
  <c r="CE58" i="15"/>
  <c r="BW58" i="15"/>
  <c r="BQ58" i="15"/>
  <c r="BI58" i="15"/>
  <c r="BB58" i="15"/>
  <c r="AT58" i="15"/>
  <c r="AN58" i="15"/>
  <c r="CC58" i="15"/>
  <c r="BO58" i="15"/>
  <c r="AU58" i="15"/>
  <c r="AH58" i="15"/>
  <c r="AJ58" i="15" s="1"/>
  <c r="S58" i="15"/>
  <c r="M58" i="15"/>
  <c r="D58" i="15"/>
  <c r="E58" i="15"/>
  <c r="Z58" i="15"/>
  <c r="K58" i="15"/>
  <c r="T58" i="15"/>
  <c r="L58" i="15"/>
  <c r="X58" i="15"/>
  <c r="AD58" i="15" s="1"/>
  <c r="R58" i="15"/>
  <c r="F58" i="15"/>
  <c r="W57" i="15"/>
  <c r="V57" i="15"/>
  <c r="AX57" i="15"/>
  <c r="AY57" i="15"/>
  <c r="CA58" i="15"/>
  <c r="BZ57" i="15"/>
  <c r="CA57" i="15"/>
  <c r="ED57" i="15"/>
  <c r="EE57" i="15"/>
  <c r="DQ57" i="15"/>
  <c r="DQ58" i="15"/>
  <c r="DP57" i="15"/>
  <c r="CO58" i="15"/>
  <c r="CN57" i="15"/>
  <c r="CO57" i="15"/>
  <c r="AE38" i="5"/>
  <c r="AA38" i="5"/>
  <c r="AZ38" i="5"/>
  <c r="BA38" i="5" s="1"/>
  <c r="AB38" i="5"/>
  <c r="BB38" i="5"/>
  <c r="BC38" i="5" s="1"/>
  <c r="AC57" i="15"/>
  <c r="AD57" i="15"/>
  <c r="P58" i="15"/>
  <c r="O57" i="15"/>
  <c r="P57" i="15"/>
  <c r="DB57" i="15"/>
  <c r="DC57" i="15"/>
  <c r="DX58" i="15"/>
  <c r="DW57" i="15"/>
  <c r="DX57" i="15"/>
  <c r="CV57" i="15"/>
  <c r="CU57" i="15"/>
  <c r="BF39" i="5" l="1"/>
  <c r="BG39" i="5" s="1"/>
  <c r="H58" i="15"/>
  <c r="BN39" i="5"/>
  <c r="BO39" i="5" s="1"/>
  <c r="BS58" i="15"/>
  <c r="AQ58" i="15"/>
  <c r="BZ58" i="15"/>
  <c r="DP58" i="15"/>
  <c r="EK58" i="15"/>
  <c r="AH39" i="5"/>
  <c r="C40" i="5"/>
  <c r="Q40" i="5"/>
  <c r="W40" i="5"/>
  <c r="M40" i="5"/>
  <c r="E40" i="5"/>
  <c r="B40" i="5"/>
  <c r="V40" i="5"/>
  <c r="F40" i="5"/>
  <c r="D40" i="5"/>
  <c r="J40" i="5"/>
  <c r="AV40" i="5" s="1"/>
  <c r="AW40" i="5" s="1"/>
  <c r="T40" i="5"/>
  <c r="X40" i="5"/>
  <c r="S40" i="5"/>
  <c r="AJ40" i="5" s="1"/>
  <c r="AK40" i="5" s="1"/>
  <c r="P40" i="5"/>
  <c r="BN40" i="5" s="1"/>
  <c r="BO40" i="5" s="1"/>
  <c r="G40" i="5"/>
  <c r="N40" i="5"/>
  <c r="AR40" i="5" s="1"/>
  <c r="AS40" i="5" s="1"/>
  <c r="H40" i="5"/>
  <c r="I40" i="5"/>
  <c r="K40" i="5"/>
  <c r="L40" i="5"/>
  <c r="AN40" i="5" s="1"/>
  <c r="AO40" i="5" s="1"/>
  <c r="Y40" i="5"/>
  <c r="AL40" i="5" s="1"/>
  <c r="AM40" i="5" s="1"/>
  <c r="O40" i="5"/>
  <c r="AX40" i="5" s="1"/>
  <c r="AY40" i="5" s="1"/>
  <c r="U40" i="5"/>
  <c r="AT40" i="5" s="1"/>
  <c r="AU40" i="5" s="1"/>
  <c r="R40" i="5"/>
  <c r="AP40" i="5" s="1"/>
  <c r="AQ40" i="5" s="1"/>
  <c r="A41" i="5"/>
  <c r="V58" i="15"/>
  <c r="BE58" i="15"/>
  <c r="DI58" i="15"/>
  <c r="DY59" i="15"/>
  <c r="EE59" i="15" s="1"/>
  <c r="EC60" i="15" s="1"/>
  <c r="DD59" i="15"/>
  <c r="DJ59" i="15" s="1"/>
  <c r="DH60" i="15" s="1"/>
  <c r="CW59" i="15"/>
  <c r="DC59" i="15" s="1"/>
  <c r="DA60" i="15" s="1"/>
  <c r="EF59" i="15"/>
  <c r="EL59" i="15" s="1"/>
  <c r="EJ60" i="15" s="1"/>
  <c r="C59" i="15"/>
  <c r="I59" i="15" s="1"/>
  <c r="G60" i="15" s="1"/>
  <c r="A60" i="15"/>
  <c r="DK59" i="15"/>
  <c r="DQ59" i="15" s="1"/>
  <c r="DO60" i="15" s="1"/>
  <c r="BU59" i="15"/>
  <c r="CA59" i="15" s="1"/>
  <c r="BY60" i="15" s="1"/>
  <c r="CP59" i="15"/>
  <c r="CV59" i="15" s="1"/>
  <c r="CT60" i="15" s="1"/>
  <c r="DR59" i="15"/>
  <c r="DX59" i="15" s="1"/>
  <c r="DV60" i="15" s="1"/>
  <c r="CI59" i="15"/>
  <c r="CO59" i="15" s="1"/>
  <c r="CM60" i="15" s="1"/>
  <c r="AZ59" i="15"/>
  <c r="AE59" i="15"/>
  <c r="AK59" i="15" s="1"/>
  <c r="AI60" i="15" s="1"/>
  <c r="J59" i="15"/>
  <c r="P59" i="15" s="1"/>
  <c r="N60" i="15" s="1"/>
  <c r="CZ59" i="15"/>
  <c r="CB59" i="15"/>
  <c r="BN59" i="15"/>
  <c r="BT59" i="15" s="1"/>
  <c r="BR60" i="15" s="1"/>
  <c r="BG59" i="15"/>
  <c r="BM59" i="15" s="1"/>
  <c r="BK60" i="15" s="1"/>
  <c r="AS59" i="15"/>
  <c r="AY59" i="15" s="1"/>
  <c r="AW60" i="15" s="1"/>
  <c r="AL59" i="15"/>
  <c r="AR59" i="15" s="1"/>
  <c r="AP60" i="15" s="1"/>
  <c r="Q59" i="15"/>
  <c r="W59" i="15" s="1"/>
  <c r="U60" i="15" s="1"/>
  <c r="CX59" i="15"/>
  <c r="EA59" i="15"/>
  <c r="DS59" i="15"/>
  <c r="DN59" i="15"/>
  <c r="CR59" i="15"/>
  <c r="CL59" i="15"/>
  <c r="CY59" i="15"/>
  <c r="EI59" i="15"/>
  <c r="DT59" i="15"/>
  <c r="DL59" i="15"/>
  <c r="DG59" i="15"/>
  <c r="DI59" i="15" s="1"/>
  <c r="CJ59" i="15"/>
  <c r="EG59" i="15"/>
  <c r="EB59" i="15"/>
  <c r="DM59" i="15"/>
  <c r="DE59" i="15"/>
  <c r="CS59" i="15"/>
  <c r="CK59" i="15"/>
  <c r="CD59" i="15"/>
  <c r="EH59" i="15"/>
  <c r="DZ59" i="15"/>
  <c r="DU59" i="15"/>
  <c r="DF59" i="15"/>
  <c r="CQ59" i="15"/>
  <c r="CE59" i="15"/>
  <c r="BO59" i="15"/>
  <c r="AU59" i="15"/>
  <c r="AH59" i="15"/>
  <c r="CC59" i="15"/>
  <c r="BX59" i="15"/>
  <c r="BP59" i="15"/>
  <c r="BJ59" i="15"/>
  <c r="BC59" i="15"/>
  <c r="AO59" i="15"/>
  <c r="AF59" i="15"/>
  <c r="AA59" i="15"/>
  <c r="BV59" i="15"/>
  <c r="BH59" i="15"/>
  <c r="BA59" i="15"/>
  <c r="AV59" i="15"/>
  <c r="AM59" i="15"/>
  <c r="AG59" i="15"/>
  <c r="BW59" i="15"/>
  <c r="BQ59" i="15"/>
  <c r="BS59" i="15" s="1"/>
  <c r="BI59" i="15"/>
  <c r="BB59" i="15"/>
  <c r="AT59" i="15"/>
  <c r="AN59" i="15"/>
  <c r="X59" i="15"/>
  <c r="AD59" i="15" s="1"/>
  <c r="AB60" i="15" s="1"/>
  <c r="Z59" i="15"/>
  <c r="Y59" i="15"/>
  <c r="R59" i="15"/>
  <c r="S59" i="15"/>
  <c r="M59" i="15"/>
  <c r="E59" i="15"/>
  <c r="K59" i="15"/>
  <c r="F59" i="15"/>
  <c r="T59" i="15"/>
  <c r="L59" i="15"/>
  <c r="D59" i="15"/>
  <c r="CH59" i="15"/>
  <c r="CF60" i="15" s="1"/>
  <c r="AR58" i="15"/>
  <c r="BF59" i="15"/>
  <c r="BD60" i="15" s="1"/>
  <c r="I58" i="15"/>
  <c r="EL58" i="15"/>
  <c r="AK58" i="15"/>
  <c r="AB39" i="5"/>
  <c r="BB39" i="5"/>
  <c r="BC39" i="5" s="1"/>
  <c r="AA39" i="5"/>
  <c r="AZ39" i="5"/>
  <c r="BA39" i="5" s="1"/>
  <c r="O58" i="15"/>
  <c r="CG58" i="15"/>
  <c r="AX58" i="15"/>
  <c r="AC58" i="15"/>
  <c r="BL58" i="15"/>
  <c r="CN58" i="15"/>
  <c r="DW58" i="15"/>
  <c r="ED58" i="15"/>
  <c r="AD39" i="5"/>
  <c r="CU58" i="15"/>
  <c r="DB58" i="15"/>
  <c r="A71" i="9"/>
  <c r="X69" i="9"/>
  <c r="T69" i="9"/>
  <c r="P69" i="9"/>
  <c r="L69" i="9"/>
  <c r="H69" i="9"/>
  <c r="D69" i="9"/>
  <c r="V69" i="9"/>
  <c r="J69" i="9"/>
  <c r="B69" i="9"/>
  <c r="W69" i="9"/>
  <c r="S69" i="9"/>
  <c r="O69" i="9"/>
  <c r="K69" i="9"/>
  <c r="G69" i="9"/>
  <c r="C69" i="9"/>
  <c r="Y69" i="9"/>
  <c r="Q69" i="9"/>
  <c r="I69" i="9"/>
  <c r="R69" i="9"/>
  <c r="N69" i="9"/>
  <c r="F69" i="9"/>
  <c r="U69" i="9"/>
  <c r="M69" i="9"/>
  <c r="E69" i="9"/>
  <c r="AF39" i="5"/>
  <c r="BJ39" i="5"/>
  <c r="BK39" i="5" s="1"/>
  <c r="AG39" i="5"/>
  <c r="BL39" i="5"/>
  <c r="BM39" i="5" s="1"/>
  <c r="AC39" i="5"/>
  <c r="BD39" i="5"/>
  <c r="BE39" i="5" s="1"/>
  <c r="AE39" i="5"/>
  <c r="BL59" i="15" l="1"/>
  <c r="AD40" i="5"/>
  <c r="BH40" i="5"/>
  <c r="BI40" i="5" s="1"/>
  <c r="X71" i="9"/>
  <c r="T71" i="9"/>
  <c r="P71" i="9"/>
  <c r="L71" i="9"/>
  <c r="H71" i="9"/>
  <c r="D71" i="9"/>
  <c r="V71" i="9"/>
  <c r="N71" i="9"/>
  <c r="F71" i="9"/>
  <c r="A72" i="9"/>
  <c r="W71" i="9"/>
  <c r="S71" i="9"/>
  <c r="O71" i="9"/>
  <c r="K71" i="9"/>
  <c r="G71" i="9"/>
  <c r="C71" i="9"/>
  <c r="Y71" i="9"/>
  <c r="Q71" i="9"/>
  <c r="M71" i="9"/>
  <c r="E71" i="9"/>
  <c r="R71" i="9"/>
  <c r="J71" i="9"/>
  <c r="B71" i="9"/>
  <c r="U71" i="9"/>
  <c r="I71" i="9"/>
  <c r="AX59" i="15"/>
  <c r="AC59" i="15"/>
  <c r="AJ59" i="15"/>
  <c r="EK59" i="15"/>
  <c r="DP59" i="15"/>
  <c r="P41" i="5"/>
  <c r="C41" i="5"/>
  <c r="T41" i="5"/>
  <c r="X41" i="5"/>
  <c r="G41" i="5"/>
  <c r="I41" i="5"/>
  <c r="W41" i="5"/>
  <c r="R41" i="5"/>
  <c r="AP41" i="5" s="1"/>
  <c r="AQ41" i="5" s="1"/>
  <c r="Y41" i="5"/>
  <c r="AL41" i="5" s="1"/>
  <c r="AM41" i="5" s="1"/>
  <c r="H41" i="5"/>
  <c r="Q41" i="5"/>
  <c r="AH41" i="5" s="1"/>
  <c r="B41" i="5"/>
  <c r="F41" i="5"/>
  <c r="D41" i="5"/>
  <c r="N41" i="5"/>
  <c r="AR41" i="5" s="1"/>
  <c r="AS41" i="5" s="1"/>
  <c r="J41" i="5"/>
  <c r="AV41" i="5" s="1"/>
  <c r="AW41" i="5" s="1"/>
  <c r="E41" i="5"/>
  <c r="S41" i="5"/>
  <c r="AJ41" i="5" s="1"/>
  <c r="AK41" i="5" s="1"/>
  <c r="V41" i="5"/>
  <c r="K41" i="5"/>
  <c r="L41" i="5"/>
  <c r="AN41" i="5" s="1"/>
  <c r="AO41" i="5" s="1"/>
  <c r="M41" i="5"/>
  <c r="O41" i="5"/>
  <c r="AX41" i="5" s="1"/>
  <c r="AY41" i="5" s="1"/>
  <c r="U41" i="5"/>
  <c r="AT41" i="5" s="1"/>
  <c r="AU41" i="5" s="1"/>
  <c r="A42" i="5"/>
  <c r="AB40" i="5"/>
  <c r="BB40" i="5"/>
  <c r="BC40" i="5" s="1"/>
  <c r="AE40" i="5"/>
  <c r="AC40" i="5"/>
  <c r="BD40" i="5"/>
  <c r="BE40" i="5" s="1"/>
  <c r="V59" i="15"/>
  <c r="O59" i="15"/>
  <c r="AQ59" i="15"/>
  <c r="BZ59" i="15"/>
  <c r="DW59" i="15"/>
  <c r="ED59" i="15"/>
  <c r="CN59" i="15"/>
  <c r="DB59" i="15"/>
  <c r="AF40" i="5"/>
  <c r="BJ40" i="5"/>
  <c r="BK40" i="5" s="1"/>
  <c r="AG40" i="5"/>
  <c r="BL40" i="5"/>
  <c r="BM40" i="5" s="1"/>
  <c r="H59" i="15"/>
  <c r="BE59" i="15"/>
  <c r="CG59" i="15"/>
  <c r="CU59" i="15"/>
  <c r="A61" i="15"/>
  <c r="D60" i="15"/>
  <c r="F60" i="15"/>
  <c r="CP60" i="15"/>
  <c r="CQ60" i="15"/>
  <c r="C60" i="15"/>
  <c r="DZ60" i="15"/>
  <c r="DS60" i="15"/>
  <c r="CX60" i="15"/>
  <c r="CI60" i="15"/>
  <c r="CJ60" i="15"/>
  <c r="CB60" i="15"/>
  <c r="CC60" i="15"/>
  <c r="EF60" i="15"/>
  <c r="DR60" i="15"/>
  <c r="CW60" i="15"/>
  <c r="EG60" i="15"/>
  <c r="DY60" i="15"/>
  <c r="DL60" i="15"/>
  <c r="DE60" i="15"/>
  <c r="DK60" i="15"/>
  <c r="DD60" i="15"/>
  <c r="BG60" i="15"/>
  <c r="BH60" i="15"/>
  <c r="AS60" i="15"/>
  <c r="AT60" i="15"/>
  <c r="AL60" i="15"/>
  <c r="AM60" i="15"/>
  <c r="BV60" i="15"/>
  <c r="BO60" i="15"/>
  <c r="Q60" i="15"/>
  <c r="R60" i="15"/>
  <c r="CZ60" i="15"/>
  <c r="CY60" i="15"/>
  <c r="BU60" i="15"/>
  <c r="BN60" i="15"/>
  <c r="AZ60" i="15"/>
  <c r="BA60" i="15"/>
  <c r="AE60" i="15"/>
  <c r="AF60" i="15"/>
  <c r="EH60" i="15"/>
  <c r="EB60" i="15"/>
  <c r="DG60" i="15"/>
  <c r="DF60" i="15"/>
  <c r="CL60" i="15"/>
  <c r="EA60" i="15"/>
  <c r="DU60" i="15"/>
  <c r="CS60" i="15"/>
  <c r="CR60" i="15"/>
  <c r="J60" i="15"/>
  <c r="DT60" i="15"/>
  <c r="DN60" i="15"/>
  <c r="K60" i="15"/>
  <c r="EI60" i="15"/>
  <c r="DM60" i="15"/>
  <c r="CK60" i="15"/>
  <c r="BX60" i="15"/>
  <c r="BW60" i="15"/>
  <c r="BJ60" i="15"/>
  <c r="BI60" i="15"/>
  <c r="BB60" i="15"/>
  <c r="AN60" i="15"/>
  <c r="Z60" i="15"/>
  <c r="AV60" i="15"/>
  <c r="AU60" i="15"/>
  <c r="AH60" i="15"/>
  <c r="AA60" i="15"/>
  <c r="BQ60" i="15"/>
  <c r="BP60" i="15"/>
  <c r="AO60" i="15"/>
  <c r="CE60" i="15"/>
  <c r="CD60" i="15"/>
  <c r="BC60" i="15"/>
  <c r="AG60" i="15"/>
  <c r="X60" i="15"/>
  <c r="T60" i="15"/>
  <c r="M60" i="15"/>
  <c r="L60" i="15"/>
  <c r="Y60" i="15"/>
  <c r="S60" i="15"/>
  <c r="E60" i="15"/>
  <c r="AA40" i="5"/>
  <c r="AZ40" i="5"/>
  <c r="BA40" i="5" s="1"/>
  <c r="BF40" i="5"/>
  <c r="BG40" i="5" s="1"/>
  <c r="AH40" i="5"/>
  <c r="AD41" i="5" l="1"/>
  <c r="AE41" i="5"/>
  <c r="AK60" i="15"/>
  <c r="AJ60" i="15"/>
  <c r="V60" i="15"/>
  <c r="W60" i="15"/>
  <c r="AQ60" i="15"/>
  <c r="AR60" i="15"/>
  <c r="BM60" i="15"/>
  <c r="BL60" i="15"/>
  <c r="DJ60" i="15"/>
  <c r="DI60" i="15"/>
  <c r="DX60" i="15"/>
  <c r="DW60" i="15"/>
  <c r="AB41" i="5"/>
  <c r="BB41" i="5"/>
  <c r="BC41" i="5" s="1"/>
  <c r="AA41" i="5"/>
  <c r="AZ41" i="5"/>
  <c r="BA41" i="5" s="1"/>
  <c r="AC41" i="5"/>
  <c r="BD41" i="5"/>
  <c r="BE41" i="5" s="1"/>
  <c r="AD60" i="15"/>
  <c r="AC60" i="15"/>
  <c r="DP60" i="15"/>
  <c r="DQ60" i="15"/>
  <c r="CN60" i="15"/>
  <c r="CO60" i="15"/>
  <c r="ED60" i="15"/>
  <c r="EE60" i="15"/>
  <c r="H42" i="5"/>
  <c r="P42" i="5"/>
  <c r="W42" i="5"/>
  <c r="V42" i="5"/>
  <c r="F42" i="5"/>
  <c r="D42" i="5"/>
  <c r="K42" i="5"/>
  <c r="O42" i="5"/>
  <c r="AX42" i="5" s="1"/>
  <c r="AY42" i="5" s="1"/>
  <c r="J42" i="5"/>
  <c r="AV42" i="5" s="1"/>
  <c r="AW42" i="5" s="1"/>
  <c r="U42" i="5"/>
  <c r="AT42" i="5" s="1"/>
  <c r="AU42" i="5" s="1"/>
  <c r="N42" i="5"/>
  <c r="AR42" i="5" s="1"/>
  <c r="AS42" i="5" s="1"/>
  <c r="E42" i="5"/>
  <c r="A43" i="5"/>
  <c r="M42" i="5"/>
  <c r="C42" i="5"/>
  <c r="Q42" i="5"/>
  <c r="T42" i="5"/>
  <c r="G42" i="5"/>
  <c r="I42" i="5"/>
  <c r="Y42" i="5"/>
  <c r="AL42" i="5" s="1"/>
  <c r="AM42" i="5" s="1"/>
  <c r="S42" i="5"/>
  <c r="AJ42" i="5" s="1"/>
  <c r="AK42" i="5" s="1"/>
  <c r="X42" i="5"/>
  <c r="B42" i="5"/>
  <c r="R42" i="5"/>
  <c r="AP42" i="5" s="1"/>
  <c r="AQ42" i="5" s="1"/>
  <c r="L42" i="5"/>
  <c r="AN42" i="5" s="1"/>
  <c r="AO42" i="5" s="1"/>
  <c r="BN41" i="5"/>
  <c r="BO41" i="5" s="1"/>
  <c r="BF60" i="15"/>
  <c r="BE60" i="15"/>
  <c r="BT60" i="15"/>
  <c r="BS60" i="15"/>
  <c r="AX60" i="15"/>
  <c r="AY60" i="15"/>
  <c r="H60" i="15"/>
  <c r="I60" i="15"/>
  <c r="BF41" i="5"/>
  <c r="BG41" i="5" s="1"/>
  <c r="BH41" i="5"/>
  <c r="BI41" i="5" s="1"/>
  <c r="X72" i="9"/>
  <c r="T72" i="9"/>
  <c r="P72" i="9"/>
  <c r="L72" i="9"/>
  <c r="H72" i="9"/>
  <c r="D72" i="9"/>
  <c r="V72" i="9"/>
  <c r="N72" i="9"/>
  <c r="F72" i="9"/>
  <c r="W72" i="9"/>
  <c r="S72" i="9"/>
  <c r="O72" i="9"/>
  <c r="K72" i="9"/>
  <c r="G72" i="9"/>
  <c r="C72" i="9"/>
  <c r="Y72" i="9"/>
  <c r="U72" i="9"/>
  <c r="M72" i="9"/>
  <c r="I72" i="9"/>
  <c r="A73" i="9"/>
  <c r="R72" i="9"/>
  <c r="J72" i="9"/>
  <c r="B72" i="9"/>
  <c r="Q72" i="9"/>
  <c r="E72" i="9"/>
  <c r="P60" i="15"/>
  <c r="O60" i="15"/>
  <c r="BZ60" i="15"/>
  <c r="CA60" i="15"/>
  <c r="EL60" i="15"/>
  <c r="EK60" i="15"/>
  <c r="CH60" i="15"/>
  <c r="CG60" i="15"/>
  <c r="DB60" i="15"/>
  <c r="DC60" i="15"/>
  <c r="CV60" i="15"/>
  <c r="CU60" i="15"/>
  <c r="EF61" i="15"/>
  <c r="A62" i="15"/>
  <c r="DK61" i="15"/>
  <c r="DD61" i="15"/>
  <c r="CP61" i="15"/>
  <c r="CV61" i="15" s="1"/>
  <c r="CI61" i="15"/>
  <c r="CO61" i="15" s="1"/>
  <c r="C61" i="15"/>
  <c r="DR61" i="15"/>
  <c r="CW61" i="15"/>
  <c r="DY61" i="15"/>
  <c r="EE61" i="15" s="1"/>
  <c r="CB61" i="15"/>
  <c r="AZ61" i="15"/>
  <c r="BF61" i="15" s="1"/>
  <c r="AE61" i="15"/>
  <c r="J61" i="15"/>
  <c r="P61" i="15" s="1"/>
  <c r="BG61" i="15"/>
  <c r="BM61" i="15" s="1"/>
  <c r="AS61" i="15"/>
  <c r="AL61" i="15"/>
  <c r="CZ61" i="15"/>
  <c r="Q61" i="15"/>
  <c r="CX61" i="15"/>
  <c r="BU61" i="15"/>
  <c r="CA61" i="15" s="1"/>
  <c r="BN61" i="15"/>
  <c r="BT61" i="15" s="1"/>
  <c r="EI61" i="15"/>
  <c r="DT61" i="15"/>
  <c r="DL61" i="15"/>
  <c r="DG61" i="15"/>
  <c r="CR61" i="15"/>
  <c r="CL61" i="15"/>
  <c r="EG61" i="15"/>
  <c r="EB61" i="15"/>
  <c r="DM61" i="15"/>
  <c r="DE61" i="15"/>
  <c r="CJ61" i="15"/>
  <c r="EH61" i="15"/>
  <c r="DZ61" i="15"/>
  <c r="DU61" i="15"/>
  <c r="DF61" i="15"/>
  <c r="CS61" i="15"/>
  <c r="CK61" i="15"/>
  <c r="CY61" i="15"/>
  <c r="EA61" i="15"/>
  <c r="DS61" i="15"/>
  <c r="DN61" i="15"/>
  <c r="CQ61" i="15"/>
  <c r="CC61" i="15"/>
  <c r="BX61" i="15"/>
  <c r="BP61" i="15"/>
  <c r="BJ61" i="15"/>
  <c r="BC61" i="15"/>
  <c r="AM61" i="15"/>
  <c r="AG61" i="15"/>
  <c r="X61" i="15"/>
  <c r="Z61" i="15"/>
  <c r="CD61" i="15"/>
  <c r="BV61" i="15"/>
  <c r="BH61" i="15"/>
  <c r="BA61" i="15"/>
  <c r="AV61" i="15"/>
  <c r="AN61" i="15"/>
  <c r="BW61" i="15"/>
  <c r="BQ61" i="15"/>
  <c r="BI61" i="15"/>
  <c r="BB61" i="15"/>
  <c r="AT61" i="15"/>
  <c r="AH61" i="15"/>
  <c r="CE61" i="15"/>
  <c r="BO61" i="15"/>
  <c r="AU61" i="15"/>
  <c r="AO61" i="15"/>
  <c r="AF61" i="15"/>
  <c r="Y61" i="15"/>
  <c r="AA61" i="15"/>
  <c r="E61" i="15"/>
  <c r="T61" i="15"/>
  <c r="M61" i="15"/>
  <c r="F61" i="15"/>
  <c r="R61" i="15"/>
  <c r="K61" i="15"/>
  <c r="D61" i="15"/>
  <c r="S61" i="15"/>
  <c r="L61" i="15"/>
  <c r="AF41" i="5"/>
  <c r="BJ41" i="5"/>
  <c r="BK41" i="5" s="1"/>
  <c r="AG41" i="5"/>
  <c r="BL41" i="5"/>
  <c r="BM41" i="5" s="1"/>
  <c r="AH42" i="5" l="1"/>
  <c r="CU61" i="15"/>
  <c r="BF42" i="5"/>
  <c r="BG42" i="5" s="1"/>
  <c r="AQ61" i="15"/>
  <c r="BS61" i="15"/>
  <c r="AJ61" i="15"/>
  <c r="DI61" i="15"/>
  <c r="DB61" i="15"/>
  <c r="AE42" i="5"/>
  <c r="BE61" i="15"/>
  <c r="DC61" i="15"/>
  <c r="X73" i="9"/>
  <c r="T73" i="9"/>
  <c r="P73" i="9"/>
  <c r="L73" i="9"/>
  <c r="H73" i="9"/>
  <c r="D73" i="9"/>
  <c r="V73" i="9"/>
  <c r="N73" i="9"/>
  <c r="F73" i="9"/>
  <c r="W73" i="9"/>
  <c r="S73" i="9"/>
  <c r="O73" i="9"/>
  <c r="K73" i="9"/>
  <c r="G73" i="9"/>
  <c r="C73" i="9"/>
  <c r="A74" i="9"/>
  <c r="Y73" i="9"/>
  <c r="Q73" i="9"/>
  <c r="I73" i="9"/>
  <c r="R73" i="9"/>
  <c r="J73" i="9"/>
  <c r="B73" i="9"/>
  <c r="U73" i="9"/>
  <c r="M73" i="9"/>
  <c r="E73" i="9"/>
  <c r="AF42" i="5"/>
  <c r="BJ42" i="5"/>
  <c r="BK42" i="5" s="1"/>
  <c r="AR61" i="15"/>
  <c r="AK61" i="15"/>
  <c r="H61" i="15"/>
  <c r="AC61" i="15"/>
  <c r="BL61" i="15"/>
  <c r="DW61" i="15"/>
  <c r="CN61" i="15"/>
  <c r="EL61" i="15"/>
  <c r="AA42" i="5"/>
  <c r="AZ42" i="5"/>
  <c r="BA42" i="5" s="1"/>
  <c r="AC42" i="5"/>
  <c r="BD42" i="5"/>
  <c r="BE42" i="5" s="1"/>
  <c r="AG42" i="5"/>
  <c r="BL42" i="5"/>
  <c r="BM42" i="5" s="1"/>
  <c r="DQ61" i="15"/>
  <c r="AD61" i="15"/>
  <c r="W61" i="15"/>
  <c r="O61" i="15"/>
  <c r="DP61" i="15"/>
  <c r="EK61" i="15"/>
  <c r="I61" i="15"/>
  <c r="AY61" i="15"/>
  <c r="BH42" i="5"/>
  <c r="BI42" i="5" s="1"/>
  <c r="AB42" i="5"/>
  <c r="BB42" i="5"/>
  <c r="BC42" i="5" s="1"/>
  <c r="BN42" i="5"/>
  <c r="BO42" i="5" s="1"/>
  <c r="DX61" i="15"/>
  <c r="V61" i="15"/>
  <c r="CG61" i="15"/>
  <c r="AX61" i="15"/>
  <c r="BZ61" i="15"/>
  <c r="ED61" i="15"/>
  <c r="C62" i="15"/>
  <c r="I62" i="15" s="1"/>
  <c r="DY62" i="15"/>
  <c r="EE62" i="15" s="1"/>
  <c r="EF62" i="15"/>
  <c r="DR62" i="15"/>
  <c r="A63" i="15"/>
  <c r="DK62" i="15"/>
  <c r="DQ62" i="15" s="1"/>
  <c r="BN62" i="15"/>
  <c r="BT62" i="15" s="1"/>
  <c r="DD62" i="15"/>
  <c r="DJ62" i="15" s="1"/>
  <c r="CP62" i="15"/>
  <c r="CI62" i="15"/>
  <c r="CB62" i="15"/>
  <c r="CH62" i="15" s="1"/>
  <c r="BU62" i="15"/>
  <c r="CW62" i="15"/>
  <c r="DC62" i="15" s="1"/>
  <c r="AZ62" i="15"/>
  <c r="AE62" i="15"/>
  <c r="AK62" i="15" s="1"/>
  <c r="J62" i="15"/>
  <c r="P62" i="15" s="1"/>
  <c r="BG62" i="15"/>
  <c r="BM62" i="15" s="1"/>
  <c r="AS62" i="15"/>
  <c r="AL62" i="15"/>
  <c r="CZ62" i="15"/>
  <c r="EA62" i="15"/>
  <c r="DS62" i="15"/>
  <c r="DN62" i="15"/>
  <c r="CQ62" i="15"/>
  <c r="Q62" i="15"/>
  <c r="CX62" i="15"/>
  <c r="EI62" i="15"/>
  <c r="DT62" i="15"/>
  <c r="DL62" i="15"/>
  <c r="DG62" i="15"/>
  <c r="CR62" i="15"/>
  <c r="CL62" i="15"/>
  <c r="CY62" i="15"/>
  <c r="EG62" i="15"/>
  <c r="EB62" i="15"/>
  <c r="DM62" i="15"/>
  <c r="DE62" i="15"/>
  <c r="CJ62" i="15"/>
  <c r="CD62" i="15"/>
  <c r="EH62" i="15"/>
  <c r="DZ62" i="15"/>
  <c r="DU62" i="15"/>
  <c r="DF62" i="15"/>
  <c r="CS62" i="15"/>
  <c r="CU62" i="15" s="1"/>
  <c r="CK62" i="15"/>
  <c r="BO62" i="15"/>
  <c r="AU62" i="15"/>
  <c r="AO62" i="15"/>
  <c r="AF62" i="15"/>
  <c r="Y62" i="15"/>
  <c r="CE62" i="15"/>
  <c r="BX62" i="15"/>
  <c r="BP62" i="15"/>
  <c r="BJ62" i="15"/>
  <c r="BC62" i="15"/>
  <c r="AM62" i="15"/>
  <c r="AG62" i="15"/>
  <c r="X62" i="15"/>
  <c r="AD62" i="15" s="1"/>
  <c r="Z62" i="15"/>
  <c r="CC62" i="15"/>
  <c r="BV62" i="15"/>
  <c r="BH62" i="15"/>
  <c r="BA62" i="15"/>
  <c r="AV62" i="15"/>
  <c r="AN62" i="15"/>
  <c r="BW62" i="15"/>
  <c r="BQ62" i="15"/>
  <c r="BS62" i="15" s="1"/>
  <c r="BI62" i="15"/>
  <c r="BB62" i="15"/>
  <c r="AT62" i="15"/>
  <c r="AH62" i="15"/>
  <c r="AA62" i="15"/>
  <c r="S62" i="15"/>
  <c r="L62" i="15"/>
  <c r="F62" i="15"/>
  <c r="D62" i="15"/>
  <c r="E62" i="15"/>
  <c r="T62" i="15"/>
  <c r="M62" i="15"/>
  <c r="R62" i="15"/>
  <c r="K62" i="15"/>
  <c r="CH61" i="15"/>
  <c r="AY62" i="15"/>
  <c r="M43" i="5"/>
  <c r="H43" i="5"/>
  <c r="Q43" i="5"/>
  <c r="C43" i="5"/>
  <c r="P43" i="5"/>
  <c r="T43" i="5"/>
  <c r="X43" i="5"/>
  <c r="B43" i="5"/>
  <c r="G43" i="5"/>
  <c r="I43" i="5"/>
  <c r="K43" i="5"/>
  <c r="O43" i="5"/>
  <c r="AX43" i="5" s="1"/>
  <c r="AY43" i="5" s="1"/>
  <c r="L43" i="5"/>
  <c r="AN43" i="5" s="1"/>
  <c r="AO43" i="5" s="1"/>
  <c r="S43" i="5"/>
  <c r="AJ43" i="5" s="1"/>
  <c r="AK43" i="5" s="1"/>
  <c r="W43" i="5"/>
  <c r="J43" i="5"/>
  <c r="AV43" i="5" s="1"/>
  <c r="AW43" i="5" s="1"/>
  <c r="R43" i="5"/>
  <c r="AP43" i="5" s="1"/>
  <c r="AQ43" i="5" s="1"/>
  <c r="U43" i="5"/>
  <c r="AT43" i="5" s="1"/>
  <c r="AU43" i="5" s="1"/>
  <c r="A44" i="5"/>
  <c r="N43" i="5"/>
  <c r="AR43" i="5" s="1"/>
  <c r="AS43" i="5" s="1"/>
  <c r="E43" i="5"/>
  <c r="F43" i="5"/>
  <c r="V43" i="5"/>
  <c r="D43" i="5"/>
  <c r="Y43" i="5"/>
  <c r="AL43" i="5" s="1"/>
  <c r="AM43" i="5" s="1"/>
  <c r="AD42" i="5"/>
  <c r="DJ61" i="15"/>
  <c r="AE43" i="5" l="1"/>
  <c r="AC62" i="15"/>
  <c r="AD43" i="5"/>
  <c r="AJ62" i="15"/>
  <c r="DW62" i="15"/>
  <c r="AH43" i="5"/>
  <c r="V62" i="15"/>
  <c r="AA43" i="5"/>
  <c r="AZ43" i="5"/>
  <c r="BA43" i="5" s="1"/>
  <c r="C63" i="15"/>
  <c r="I63" i="15" s="1"/>
  <c r="G64" i="15" s="1"/>
  <c r="DY63" i="15"/>
  <c r="DD63" i="15"/>
  <c r="CW63" i="15"/>
  <c r="EF63" i="15"/>
  <c r="EL63" i="15" s="1"/>
  <c r="EJ64" i="15" s="1"/>
  <c r="BU63" i="15"/>
  <c r="CA63" i="15" s="1"/>
  <c r="BY64" i="15" s="1"/>
  <c r="A64" i="15"/>
  <c r="DK63" i="15"/>
  <c r="DQ63" i="15" s="1"/>
  <c r="DO64" i="15" s="1"/>
  <c r="CP63" i="15"/>
  <c r="CV63" i="15" s="1"/>
  <c r="CT64" i="15" s="1"/>
  <c r="DR63" i="15"/>
  <c r="BN63" i="15"/>
  <c r="CB63" i="15"/>
  <c r="CY63" i="15"/>
  <c r="AZ63" i="15"/>
  <c r="BF63" i="15" s="1"/>
  <c r="BD64" i="15" s="1"/>
  <c r="AE63" i="15"/>
  <c r="AK63" i="15" s="1"/>
  <c r="AI64" i="15" s="1"/>
  <c r="J63" i="15"/>
  <c r="P63" i="15" s="1"/>
  <c r="N64" i="15" s="1"/>
  <c r="CI63" i="15"/>
  <c r="CO63" i="15" s="1"/>
  <c r="CM64" i="15" s="1"/>
  <c r="BG63" i="15"/>
  <c r="AS63" i="15"/>
  <c r="AY63" i="15" s="1"/>
  <c r="AW64" i="15" s="1"/>
  <c r="AL63" i="15"/>
  <c r="AR63" i="15" s="1"/>
  <c r="AP64" i="15" s="1"/>
  <c r="CX63" i="15"/>
  <c r="EH63" i="15"/>
  <c r="DZ63" i="15"/>
  <c r="DU63" i="15"/>
  <c r="DF63" i="15"/>
  <c r="CS63" i="15"/>
  <c r="CK63" i="15"/>
  <c r="EA63" i="15"/>
  <c r="DS63" i="15"/>
  <c r="DN63" i="15"/>
  <c r="CQ63" i="15"/>
  <c r="Q63" i="15"/>
  <c r="W63" i="15" s="1"/>
  <c r="U64" i="15" s="1"/>
  <c r="EI63" i="15"/>
  <c r="DT63" i="15"/>
  <c r="DL63" i="15"/>
  <c r="DG63" i="15"/>
  <c r="CR63" i="15"/>
  <c r="CL63" i="15"/>
  <c r="CC63" i="15"/>
  <c r="CZ63" i="15"/>
  <c r="DB63" i="15" s="1"/>
  <c r="EG63" i="15"/>
  <c r="EB63" i="15"/>
  <c r="DM63" i="15"/>
  <c r="DE63" i="15"/>
  <c r="CJ63" i="15"/>
  <c r="CD63" i="15"/>
  <c r="BW63" i="15"/>
  <c r="BQ63" i="15"/>
  <c r="BI63" i="15"/>
  <c r="BB63" i="15"/>
  <c r="AT63" i="15"/>
  <c r="AH63" i="15"/>
  <c r="AA63" i="15"/>
  <c r="BO63" i="15"/>
  <c r="AU63" i="15"/>
  <c r="AO63" i="15"/>
  <c r="AF63" i="15"/>
  <c r="Y63" i="15"/>
  <c r="BX63" i="15"/>
  <c r="BP63" i="15"/>
  <c r="BJ63" i="15"/>
  <c r="BL63" i="15" s="1"/>
  <c r="BC63" i="15"/>
  <c r="AM63" i="15"/>
  <c r="AG63" i="15"/>
  <c r="CE63" i="15"/>
  <c r="BV63" i="15"/>
  <c r="BH63" i="15"/>
  <c r="BA63" i="15"/>
  <c r="AV63" i="15"/>
  <c r="AX63" i="15" s="1"/>
  <c r="AN63" i="15"/>
  <c r="R63" i="15"/>
  <c r="K63" i="15"/>
  <c r="D63" i="15"/>
  <c r="S63" i="15"/>
  <c r="L63" i="15"/>
  <c r="X63" i="15"/>
  <c r="AD63" i="15" s="1"/>
  <c r="AB64" i="15" s="1"/>
  <c r="E63" i="15"/>
  <c r="Z63" i="15"/>
  <c r="T63" i="15"/>
  <c r="M63" i="15"/>
  <c r="O63" i="15" s="1"/>
  <c r="F63" i="15"/>
  <c r="H63" i="15" s="1"/>
  <c r="BM63" i="15"/>
  <c r="BK64" i="15" s="1"/>
  <c r="CO62" i="15"/>
  <c r="BF62" i="15"/>
  <c r="BN43" i="5"/>
  <c r="BO43" i="5" s="1"/>
  <c r="AX62" i="15"/>
  <c r="BZ62" i="15"/>
  <c r="AQ62" i="15"/>
  <c r="CN62" i="15"/>
  <c r="DB62" i="15"/>
  <c r="DX63" i="15"/>
  <c r="DV64" i="15" s="1"/>
  <c r="DC63" i="15"/>
  <c r="DA64" i="15" s="1"/>
  <c r="DJ63" i="15"/>
  <c r="DH64" i="15" s="1"/>
  <c r="CH63" i="15"/>
  <c r="CF64" i="15" s="1"/>
  <c r="A76" i="9"/>
  <c r="X74" i="9"/>
  <c r="T74" i="9"/>
  <c r="P74" i="9"/>
  <c r="L74" i="9"/>
  <c r="H74" i="9"/>
  <c r="D74" i="9"/>
  <c r="V74" i="9"/>
  <c r="N74" i="9"/>
  <c r="F74" i="9"/>
  <c r="W74" i="9"/>
  <c r="S74" i="9"/>
  <c r="O74" i="9"/>
  <c r="K74" i="9"/>
  <c r="G74" i="9"/>
  <c r="C74" i="9"/>
  <c r="U74" i="9"/>
  <c r="M74" i="9"/>
  <c r="I74" i="9"/>
  <c r="R74" i="9"/>
  <c r="J74" i="9"/>
  <c r="B74" i="9"/>
  <c r="Y74" i="9"/>
  <c r="Q74" i="9"/>
  <c r="E74" i="9"/>
  <c r="EL62" i="15"/>
  <c r="W62" i="15"/>
  <c r="AR62" i="15"/>
  <c r="AB43" i="5"/>
  <c r="BB43" i="5"/>
  <c r="BC43" i="5" s="1"/>
  <c r="BF43" i="5"/>
  <c r="BG43" i="5" s="1"/>
  <c r="AC43" i="5"/>
  <c r="BD43" i="5"/>
  <c r="BE43" i="5" s="1"/>
  <c r="O62" i="15"/>
  <c r="H62" i="15"/>
  <c r="BE62" i="15"/>
  <c r="CG62" i="15"/>
  <c r="ED62" i="15"/>
  <c r="EK62" i="15"/>
  <c r="DP62" i="15"/>
  <c r="CA62" i="15"/>
  <c r="CV62" i="15"/>
  <c r="BT63" i="15"/>
  <c r="BR64" i="15" s="1"/>
  <c r="AF43" i="5"/>
  <c r="BJ43" i="5"/>
  <c r="BK43" i="5" s="1"/>
  <c r="C44" i="5"/>
  <c r="Q44" i="5"/>
  <c r="W44" i="5"/>
  <c r="E44" i="5"/>
  <c r="B44" i="5"/>
  <c r="M44" i="5"/>
  <c r="V44" i="5"/>
  <c r="G44" i="5"/>
  <c r="I44" i="5"/>
  <c r="K44" i="5"/>
  <c r="O44" i="5"/>
  <c r="AX44" i="5" s="1"/>
  <c r="AY44" i="5" s="1"/>
  <c r="U44" i="5"/>
  <c r="AT44" i="5" s="1"/>
  <c r="AU44" i="5" s="1"/>
  <c r="L44" i="5"/>
  <c r="AN44" i="5" s="1"/>
  <c r="AO44" i="5" s="1"/>
  <c r="Y44" i="5"/>
  <c r="AL44" i="5" s="1"/>
  <c r="AM44" i="5" s="1"/>
  <c r="X44" i="5"/>
  <c r="D44" i="5"/>
  <c r="R44" i="5"/>
  <c r="AP44" i="5" s="1"/>
  <c r="AQ44" i="5" s="1"/>
  <c r="P44" i="5"/>
  <c r="J44" i="5"/>
  <c r="AV44" i="5" s="1"/>
  <c r="AW44" i="5" s="1"/>
  <c r="A45" i="5"/>
  <c r="H44" i="5"/>
  <c r="T44" i="5"/>
  <c r="N44" i="5"/>
  <c r="AR44" i="5" s="1"/>
  <c r="AS44" i="5" s="1"/>
  <c r="F44" i="5"/>
  <c r="S44" i="5"/>
  <c r="AJ44" i="5" s="1"/>
  <c r="AK44" i="5" s="1"/>
  <c r="AG43" i="5"/>
  <c r="BL43" i="5"/>
  <c r="BM43" i="5" s="1"/>
  <c r="BH43" i="5"/>
  <c r="BI43" i="5" s="1"/>
  <c r="BL62" i="15"/>
  <c r="DI62" i="15"/>
  <c r="EE63" i="15"/>
  <c r="EC64" i="15" s="1"/>
  <c r="DX62" i="15"/>
  <c r="BN44" i="5" l="1"/>
  <c r="BO44" i="5" s="1"/>
  <c r="AD44" i="5"/>
  <c r="BH44" i="5"/>
  <c r="BI44" i="5" s="1"/>
  <c r="ED63" i="15"/>
  <c r="CG63" i="15"/>
  <c r="AF44" i="5"/>
  <c r="BJ44" i="5"/>
  <c r="BK44" i="5" s="1"/>
  <c r="AG44" i="5"/>
  <c r="BL44" i="5"/>
  <c r="BM44" i="5" s="1"/>
  <c r="X76" i="9"/>
  <c r="T76" i="9"/>
  <c r="P76" i="9"/>
  <c r="L76" i="9"/>
  <c r="H76" i="9"/>
  <c r="D76" i="9"/>
  <c r="V76" i="9"/>
  <c r="N76" i="9"/>
  <c r="F76" i="9"/>
  <c r="A77" i="9"/>
  <c r="W76" i="9"/>
  <c r="S76" i="9"/>
  <c r="O76" i="9"/>
  <c r="K76" i="9"/>
  <c r="G76" i="9"/>
  <c r="C76" i="9"/>
  <c r="Y76" i="9"/>
  <c r="Q76" i="9"/>
  <c r="M76" i="9"/>
  <c r="E76" i="9"/>
  <c r="R76" i="9"/>
  <c r="J76" i="9"/>
  <c r="B76" i="9"/>
  <c r="U76" i="9"/>
  <c r="I76" i="9"/>
  <c r="BE63" i="15"/>
  <c r="CN63" i="15"/>
  <c r="DP63" i="15"/>
  <c r="CU63" i="15"/>
  <c r="AH44" i="5"/>
  <c r="AC63" i="15"/>
  <c r="EK63" i="15"/>
  <c r="AA44" i="5"/>
  <c r="AZ44" i="5"/>
  <c r="BA44" i="5" s="1"/>
  <c r="BF44" i="5"/>
  <c r="BG44" i="5" s="1"/>
  <c r="AC44" i="5"/>
  <c r="BD44" i="5"/>
  <c r="BE44" i="5" s="1"/>
  <c r="AQ63" i="15"/>
  <c r="AJ63" i="15"/>
  <c r="BS63" i="15"/>
  <c r="DI63" i="15"/>
  <c r="DW63" i="15"/>
  <c r="P45" i="5"/>
  <c r="M45" i="5"/>
  <c r="T45" i="5"/>
  <c r="X45" i="5"/>
  <c r="G45" i="5"/>
  <c r="I45" i="5"/>
  <c r="H45" i="5"/>
  <c r="Q45" i="5"/>
  <c r="V45" i="5"/>
  <c r="E45" i="5"/>
  <c r="F45" i="5"/>
  <c r="D45" i="5"/>
  <c r="J45" i="5"/>
  <c r="AV45" i="5" s="1"/>
  <c r="AW45" i="5" s="1"/>
  <c r="R45" i="5"/>
  <c r="AP45" i="5" s="1"/>
  <c r="AQ45" i="5" s="1"/>
  <c r="Y45" i="5"/>
  <c r="AL45" i="5" s="1"/>
  <c r="AM45" i="5" s="1"/>
  <c r="S45" i="5"/>
  <c r="AJ45" i="5" s="1"/>
  <c r="AK45" i="5" s="1"/>
  <c r="B45" i="5"/>
  <c r="O45" i="5"/>
  <c r="AX45" i="5" s="1"/>
  <c r="AY45" i="5" s="1"/>
  <c r="L45" i="5"/>
  <c r="AN45" i="5" s="1"/>
  <c r="AO45" i="5" s="1"/>
  <c r="W45" i="5"/>
  <c r="U45" i="5"/>
  <c r="AT45" i="5" s="1"/>
  <c r="AU45" i="5" s="1"/>
  <c r="C45" i="5"/>
  <c r="A46" i="5"/>
  <c r="K45" i="5"/>
  <c r="N45" i="5"/>
  <c r="AR45" i="5" s="1"/>
  <c r="AS45" i="5" s="1"/>
  <c r="AB44" i="5"/>
  <c r="BB44" i="5"/>
  <c r="BC44" i="5" s="1"/>
  <c r="AE44" i="5"/>
  <c r="V63" i="15"/>
  <c r="BZ63" i="15"/>
  <c r="C64" i="15"/>
  <c r="A65" i="15"/>
  <c r="DZ64" i="15"/>
  <c r="DE64" i="15"/>
  <c r="CX64" i="15"/>
  <c r="CP64" i="15"/>
  <c r="EG64" i="15"/>
  <c r="D64" i="15"/>
  <c r="EF64" i="15"/>
  <c r="DY64" i="15"/>
  <c r="DS64" i="15"/>
  <c r="DK64" i="15"/>
  <c r="DD64" i="15"/>
  <c r="CI64" i="15"/>
  <c r="CB64" i="15"/>
  <c r="BV64" i="15"/>
  <c r="F64" i="15"/>
  <c r="DR64" i="15"/>
  <c r="DL64" i="15"/>
  <c r="CW64" i="15"/>
  <c r="BG64" i="15"/>
  <c r="AS64" i="15"/>
  <c r="AL64" i="15"/>
  <c r="BO64" i="15"/>
  <c r="Q64" i="15"/>
  <c r="CQ64" i="15"/>
  <c r="CJ64" i="15"/>
  <c r="BA64" i="15"/>
  <c r="AF64" i="15"/>
  <c r="K64" i="15"/>
  <c r="CZ64" i="15"/>
  <c r="CY64" i="15"/>
  <c r="CC64" i="15"/>
  <c r="BU64" i="15"/>
  <c r="BN64" i="15"/>
  <c r="BH64" i="15"/>
  <c r="AZ64" i="15"/>
  <c r="AT64" i="15"/>
  <c r="AM64" i="15"/>
  <c r="AE64" i="15"/>
  <c r="R64" i="15"/>
  <c r="EI64" i="15"/>
  <c r="DM64" i="15"/>
  <c r="J64" i="15"/>
  <c r="EH64" i="15"/>
  <c r="EB64" i="15"/>
  <c r="DG64" i="15"/>
  <c r="DF64" i="15"/>
  <c r="CL64" i="15"/>
  <c r="CK64" i="15"/>
  <c r="EA64" i="15"/>
  <c r="DU64" i="15"/>
  <c r="DT64" i="15"/>
  <c r="DN64" i="15"/>
  <c r="CS64" i="15"/>
  <c r="CR64" i="15"/>
  <c r="BC64" i="15"/>
  <c r="AO64" i="15"/>
  <c r="AN64" i="15"/>
  <c r="AH64" i="15"/>
  <c r="Y64" i="15"/>
  <c r="BX64" i="15"/>
  <c r="BW64" i="15"/>
  <c r="BJ64" i="15"/>
  <c r="BI64" i="15"/>
  <c r="BB64" i="15"/>
  <c r="X64" i="15"/>
  <c r="CE64" i="15"/>
  <c r="CD64" i="15"/>
  <c r="AV64" i="15"/>
  <c r="AU64" i="15"/>
  <c r="BQ64" i="15"/>
  <c r="BP64" i="15"/>
  <c r="AG64" i="15"/>
  <c r="AA64" i="15"/>
  <c r="Z64" i="15"/>
  <c r="E64" i="15"/>
  <c r="T64" i="15"/>
  <c r="S64" i="15"/>
  <c r="M64" i="15"/>
  <c r="L64" i="15"/>
  <c r="BF45" i="5" l="1"/>
  <c r="BG45" i="5" s="1"/>
  <c r="AH45" i="5"/>
  <c r="AE45" i="5"/>
  <c r="BL64" i="15"/>
  <c r="BM64" i="15"/>
  <c r="BF64" i="15"/>
  <c r="BE64" i="15"/>
  <c r="BT64" i="15"/>
  <c r="BS64" i="15"/>
  <c r="BZ64" i="15"/>
  <c r="CA64" i="15"/>
  <c r="H64" i="15"/>
  <c r="I64" i="15"/>
  <c r="DJ64" i="15"/>
  <c r="DI64" i="15"/>
  <c r="AC45" i="5"/>
  <c r="BD45" i="5"/>
  <c r="BE45" i="5" s="1"/>
  <c r="AA45" i="5"/>
  <c r="AZ45" i="5"/>
  <c r="BA45" i="5" s="1"/>
  <c r="AQ64" i="15"/>
  <c r="AR64" i="15"/>
  <c r="CN64" i="15"/>
  <c r="CO64" i="15"/>
  <c r="DQ64" i="15"/>
  <c r="DP64" i="15"/>
  <c r="DW64" i="15"/>
  <c r="DX64" i="15"/>
  <c r="EL64" i="15"/>
  <c r="EK64" i="15"/>
  <c r="ED64" i="15"/>
  <c r="EE64" i="15"/>
  <c r="AF45" i="5"/>
  <c r="BJ45" i="5"/>
  <c r="BK45" i="5" s="1"/>
  <c r="BN45" i="5"/>
  <c r="BO45" i="5" s="1"/>
  <c r="AX64" i="15"/>
  <c r="AY64" i="15"/>
  <c r="O64" i="15"/>
  <c r="P64" i="15"/>
  <c r="CV64" i="15"/>
  <c r="CU64" i="15"/>
  <c r="EF65" i="15"/>
  <c r="C65" i="15"/>
  <c r="A66" i="15"/>
  <c r="DK65" i="15"/>
  <c r="DY65" i="15"/>
  <c r="EE65" i="15" s="1"/>
  <c r="DD65" i="15"/>
  <c r="CP65" i="15"/>
  <c r="CV65" i="15" s="1"/>
  <c r="CI65" i="15"/>
  <c r="CO65" i="15" s="1"/>
  <c r="DR65" i="15"/>
  <c r="DX65" i="15" s="1"/>
  <c r="CW65" i="15"/>
  <c r="BU65" i="15"/>
  <c r="CA65" i="15" s="1"/>
  <c r="BN65" i="15"/>
  <c r="AZ65" i="15"/>
  <c r="AE65" i="15"/>
  <c r="AK65" i="15" s="1"/>
  <c r="J65" i="15"/>
  <c r="BG65" i="15"/>
  <c r="BM65" i="15" s="1"/>
  <c r="AS65" i="15"/>
  <c r="AL65" i="15"/>
  <c r="AR65" i="15" s="1"/>
  <c r="CB65" i="15"/>
  <c r="Q65" i="15"/>
  <c r="CZ65" i="15"/>
  <c r="EA65" i="15"/>
  <c r="DS65" i="15"/>
  <c r="DN65" i="15"/>
  <c r="DF65" i="15"/>
  <c r="CS65" i="15"/>
  <c r="CK65" i="15"/>
  <c r="CX65" i="15"/>
  <c r="EI65" i="15"/>
  <c r="DT65" i="15"/>
  <c r="DL65" i="15"/>
  <c r="CQ65" i="15"/>
  <c r="CY65" i="15"/>
  <c r="EG65" i="15"/>
  <c r="EB65" i="15"/>
  <c r="DM65" i="15"/>
  <c r="DG65" i="15"/>
  <c r="CR65" i="15"/>
  <c r="CL65" i="15"/>
  <c r="CD65" i="15"/>
  <c r="EH65" i="15"/>
  <c r="DZ65" i="15"/>
  <c r="DU65" i="15"/>
  <c r="DE65" i="15"/>
  <c r="CJ65" i="15"/>
  <c r="CC65" i="15"/>
  <c r="BO65" i="15"/>
  <c r="AU65" i="15"/>
  <c r="AA65" i="15"/>
  <c r="BX65" i="15"/>
  <c r="BP65" i="15"/>
  <c r="BJ65" i="15"/>
  <c r="BC65" i="15"/>
  <c r="AO65" i="15"/>
  <c r="AH65" i="15"/>
  <c r="Y65" i="15"/>
  <c r="BV65" i="15"/>
  <c r="BH65" i="15"/>
  <c r="BA65" i="15"/>
  <c r="AV65" i="15"/>
  <c r="AM65" i="15"/>
  <c r="AF65" i="15"/>
  <c r="CE65" i="15"/>
  <c r="BW65" i="15"/>
  <c r="BQ65" i="15"/>
  <c r="BI65" i="15"/>
  <c r="BB65" i="15"/>
  <c r="AT65" i="15"/>
  <c r="AN65" i="15"/>
  <c r="AG65" i="15"/>
  <c r="X65" i="15"/>
  <c r="AD65" i="15" s="1"/>
  <c r="S65" i="15"/>
  <c r="L65" i="15"/>
  <c r="E65" i="15"/>
  <c r="Z65" i="15"/>
  <c r="T65" i="15"/>
  <c r="M65" i="15"/>
  <c r="F65" i="15"/>
  <c r="R65" i="15"/>
  <c r="K65" i="15"/>
  <c r="D65" i="15"/>
  <c r="AG45" i="5"/>
  <c r="BL45" i="5"/>
  <c r="BM45" i="5" s="1"/>
  <c r="AB45" i="5"/>
  <c r="BB45" i="5"/>
  <c r="BC45" i="5" s="1"/>
  <c r="BH45" i="5"/>
  <c r="BI45" i="5" s="1"/>
  <c r="X77" i="9"/>
  <c r="T77" i="9"/>
  <c r="P77" i="9"/>
  <c r="L77" i="9"/>
  <c r="H77" i="9"/>
  <c r="D77" i="9"/>
  <c r="A78" i="9"/>
  <c r="R77" i="9"/>
  <c r="J77" i="9"/>
  <c r="B77" i="9"/>
  <c r="W77" i="9"/>
  <c r="S77" i="9"/>
  <c r="O77" i="9"/>
  <c r="K77" i="9"/>
  <c r="G77" i="9"/>
  <c r="C77" i="9"/>
  <c r="U77" i="9"/>
  <c r="Q77" i="9"/>
  <c r="I77" i="9"/>
  <c r="V77" i="9"/>
  <c r="N77" i="9"/>
  <c r="F77" i="9"/>
  <c r="Y77" i="9"/>
  <c r="M77" i="9"/>
  <c r="E77" i="9"/>
  <c r="AC64" i="15"/>
  <c r="AD64" i="15"/>
  <c r="W64" i="15"/>
  <c r="V64" i="15"/>
  <c r="W65" i="15"/>
  <c r="CH64" i="15"/>
  <c r="CG64" i="15"/>
  <c r="CH65" i="15"/>
  <c r="AK64" i="15"/>
  <c r="AJ64" i="15"/>
  <c r="DC65" i="15"/>
  <c r="DB64" i="15"/>
  <c r="DC64" i="15"/>
  <c r="H46" i="5"/>
  <c r="C46" i="5"/>
  <c r="V46" i="5"/>
  <c r="F46" i="5"/>
  <c r="D46" i="5"/>
  <c r="K46" i="5"/>
  <c r="O46" i="5"/>
  <c r="AX46" i="5" s="1"/>
  <c r="AY46" i="5" s="1"/>
  <c r="J46" i="5"/>
  <c r="AV46" i="5" s="1"/>
  <c r="AW46" i="5" s="1"/>
  <c r="U46" i="5"/>
  <c r="AT46" i="5" s="1"/>
  <c r="AU46" i="5" s="1"/>
  <c r="N46" i="5"/>
  <c r="AR46" i="5" s="1"/>
  <c r="AS46" i="5" s="1"/>
  <c r="P46" i="5"/>
  <c r="A47" i="5"/>
  <c r="Y46" i="5"/>
  <c r="AL46" i="5" s="1"/>
  <c r="AM46" i="5" s="1"/>
  <c r="S46" i="5"/>
  <c r="AJ46" i="5" s="1"/>
  <c r="AK46" i="5" s="1"/>
  <c r="M46" i="5"/>
  <c r="X46" i="5"/>
  <c r="B46" i="5"/>
  <c r="R46" i="5"/>
  <c r="AP46" i="5" s="1"/>
  <c r="AQ46" i="5" s="1"/>
  <c r="L46" i="5"/>
  <c r="AN46" i="5" s="1"/>
  <c r="AO46" i="5" s="1"/>
  <c r="Q46" i="5"/>
  <c r="W46" i="5"/>
  <c r="G46" i="5"/>
  <c r="T46" i="5"/>
  <c r="E46" i="5"/>
  <c r="I46" i="5"/>
  <c r="AD45" i="5"/>
  <c r="AE46" i="5" l="1"/>
  <c r="BF46" i="5"/>
  <c r="BG46" i="5" s="1"/>
  <c r="AH46" i="5"/>
  <c r="BS65" i="15"/>
  <c r="O65" i="15"/>
  <c r="DI65" i="15"/>
  <c r="DW65" i="15"/>
  <c r="AC46" i="5"/>
  <c r="BD46" i="5"/>
  <c r="BE46" i="5" s="1"/>
  <c r="X78" i="9"/>
  <c r="T78" i="9"/>
  <c r="P78" i="9"/>
  <c r="L78" i="9"/>
  <c r="H78" i="9"/>
  <c r="D78" i="9"/>
  <c r="R78" i="9"/>
  <c r="J78" i="9"/>
  <c r="F78" i="9"/>
  <c r="W78" i="9"/>
  <c r="S78" i="9"/>
  <c r="O78" i="9"/>
  <c r="K78" i="9"/>
  <c r="G78" i="9"/>
  <c r="C78" i="9"/>
  <c r="U78" i="9"/>
  <c r="M78" i="9"/>
  <c r="E78" i="9"/>
  <c r="V78" i="9"/>
  <c r="N78" i="9"/>
  <c r="B78" i="9"/>
  <c r="A80" i="9"/>
  <c r="Y78" i="9"/>
  <c r="Q78" i="9"/>
  <c r="I78" i="9"/>
  <c r="BE65" i="15"/>
  <c r="AC65" i="15"/>
  <c r="EK65" i="15"/>
  <c r="DB65" i="15"/>
  <c r="P65" i="15"/>
  <c r="AY65" i="15"/>
  <c r="DJ65" i="15"/>
  <c r="BT65" i="15"/>
  <c r="BF65" i="15"/>
  <c r="AB46" i="5"/>
  <c r="BB46" i="5"/>
  <c r="BC46" i="5" s="1"/>
  <c r="V65" i="15"/>
  <c r="AX65" i="15"/>
  <c r="BL65" i="15"/>
  <c r="DP65" i="15"/>
  <c r="EL65" i="15"/>
  <c r="DQ65" i="15"/>
  <c r="I65" i="15"/>
  <c r="AG46" i="5"/>
  <c r="BL46" i="5"/>
  <c r="BM46" i="5" s="1"/>
  <c r="AD46" i="5"/>
  <c r="CG65" i="15"/>
  <c r="AJ65" i="15"/>
  <c r="CN65" i="15"/>
  <c r="ED65" i="15"/>
  <c r="DY66" i="15"/>
  <c r="EE66" i="15" s="1"/>
  <c r="EC67" i="15" s="1"/>
  <c r="EF66" i="15"/>
  <c r="EL66" i="15" s="1"/>
  <c r="EJ67" i="15" s="1"/>
  <c r="DR66" i="15"/>
  <c r="DX66" i="15" s="1"/>
  <c r="DV67" i="15" s="1"/>
  <c r="C66" i="15"/>
  <c r="I66" i="15" s="1"/>
  <c r="G67" i="15" s="1"/>
  <c r="A67" i="15"/>
  <c r="CW66" i="15"/>
  <c r="DC66" i="15" s="1"/>
  <c r="DA67" i="15" s="1"/>
  <c r="BN66" i="15"/>
  <c r="BT66" i="15" s="1"/>
  <c r="BR67" i="15" s="1"/>
  <c r="DK66" i="15"/>
  <c r="DQ66" i="15" s="1"/>
  <c r="DO67" i="15" s="1"/>
  <c r="DD66" i="15"/>
  <c r="DJ66" i="15" s="1"/>
  <c r="DH67" i="15" s="1"/>
  <c r="CP66" i="15"/>
  <c r="CV66" i="15" s="1"/>
  <c r="CT67" i="15" s="1"/>
  <c r="CI66" i="15"/>
  <c r="CO66" i="15" s="1"/>
  <c r="CM67" i="15" s="1"/>
  <c r="CB66" i="15"/>
  <c r="CH66" i="15" s="1"/>
  <c r="CF67" i="15" s="1"/>
  <c r="BU66" i="15"/>
  <c r="CA66" i="15" s="1"/>
  <c r="BY67" i="15" s="1"/>
  <c r="AZ66" i="15"/>
  <c r="BF66" i="15" s="1"/>
  <c r="BD67" i="15" s="1"/>
  <c r="AE66" i="15"/>
  <c r="AK66" i="15" s="1"/>
  <c r="AI67" i="15" s="1"/>
  <c r="J66" i="15"/>
  <c r="P66" i="15" s="1"/>
  <c r="N67" i="15" s="1"/>
  <c r="CY66" i="15"/>
  <c r="BG66" i="15"/>
  <c r="BM66" i="15" s="1"/>
  <c r="BK67" i="15" s="1"/>
  <c r="AS66" i="15"/>
  <c r="AY66" i="15" s="1"/>
  <c r="AW67" i="15" s="1"/>
  <c r="AL66" i="15"/>
  <c r="AR66" i="15" s="1"/>
  <c r="AP67" i="15" s="1"/>
  <c r="CX66" i="15"/>
  <c r="EH66" i="15"/>
  <c r="DZ66" i="15"/>
  <c r="DU66" i="15"/>
  <c r="DE66" i="15"/>
  <c r="CJ66" i="15"/>
  <c r="EA66" i="15"/>
  <c r="DS66" i="15"/>
  <c r="DN66" i="15"/>
  <c r="DF66" i="15"/>
  <c r="CS66" i="15"/>
  <c r="CK66" i="15"/>
  <c r="EI66" i="15"/>
  <c r="DT66" i="15"/>
  <c r="DL66" i="15"/>
  <c r="CQ66" i="15"/>
  <c r="CC66" i="15"/>
  <c r="Q66" i="15"/>
  <c r="W66" i="15" s="1"/>
  <c r="U67" i="15" s="1"/>
  <c r="CZ66" i="15"/>
  <c r="EG66" i="15"/>
  <c r="EB66" i="15"/>
  <c r="ED66" i="15" s="1"/>
  <c r="DM66" i="15"/>
  <c r="DG66" i="15"/>
  <c r="CR66" i="15"/>
  <c r="CL66" i="15"/>
  <c r="CN66" i="15" s="1"/>
  <c r="BW66" i="15"/>
  <c r="BQ66" i="15"/>
  <c r="BI66" i="15"/>
  <c r="BB66" i="15"/>
  <c r="AT66" i="15"/>
  <c r="AN66" i="15"/>
  <c r="AG66" i="15"/>
  <c r="CE66" i="15"/>
  <c r="BO66" i="15"/>
  <c r="AU66" i="15"/>
  <c r="AA66" i="15"/>
  <c r="CD66" i="15"/>
  <c r="BX66" i="15"/>
  <c r="BP66" i="15"/>
  <c r="BJ66" i="15"/>
  <c r="BC66" i="15"/>
  <c r="AO66" i="15"/>
  <c r="AH66" i="15"/>
  <c r="BV66" i="15"/>
  <c r="BH66" i="15"/>
  <c r="BA66" i="15"/>
  <c r="AV66" i="15"/>
  <c r="AM66" i="15"/>
  <c r="AF66" i="15"/>
  <c r="X66" i="15"/>
  <c r="AD66" i="15" s="1"/>
  <c r="AB67" i="15" s="1"/>
  <c r="Z66" i="15"/>
  <c r="R66" i="15"/>
  <c r="K66" i="15"/>
  <c r="Y66" i="15"/>
  <c r="S66" i="15"/>
  <c r="L66" i="15"/>
  <c r="F66" i="15"/>
  <c r="D66" i="15"/>
  <c r="E66" i="15"/>
  <c r="T66" i="15"/>
  <c r="V66" i="15" s="1"/>
  <c r="M66" i="15"/>
  <c r="AA46" i="5"/>
  <c r="AZ46" i="5"/>
  <c r="BA46" i="5" s="1"/>
  <c r="BH46" i="5"/>
  <c r="BI46" i="5" s="1"/>
  <c r="M47" i="5"/>
  <c r="P47" i="5"/>
  <c r="W47" i="5"/>
  <c r="L47" i="5"/>
  <c r="AN47" i="5" s="1"/>
  <c r="AO47" i="5" s="1"/>
  <c r="S47" i="5"/>
  <c r="AJ47" i="5" s="1"/>
  <c r="AK47" i="5" s="1"/>
  <c r="T47" i="5"/>
  <c r="X47" i="5"/>
  <c r="B47" i="5"/>
  <c r="N47" i="5"/>
  <c r="AR47" i="5" s="1"/>
  <c r="AS47" i="5" s="1"/>
  <c r="V47" i="5"/>
  <c r="E47" i="5"/>
  <c r="F47" i="5"/>
  <c r="I47" i="5"/>
  <c r="K47" i="5"/>
  <c r="D47" i="5"/>
  <c r="O47" i="5"/>
  <c r="AX47" i="5" s="1"/>
  <c r="AY47" i="5" s="1"/>
  <c r="Y47" i="5"/>
  <c r="AL47" i="5" s="1"/>
  <c r="AM47" i="5" s="1"/>
  <c r="J47" i="5"/>
  <c r="AV47" i="5" s="1"/>
  <c r="AW47" i="5" s="1"/>
  <c r="U47" i="5"/>
  <c r="AT47" i="5" s="1"/>
  <c r="AU47" i="5" s="1"/>
  <c r="R47" i="5"/>
  <c r="AP47" i="5" s="1"/>
  <c r="AQ47" i="5" s="1"/>
  <c r="C47" i="5"/>
  <c r="H47" i="5"/>
  <c r="Q47" i="5"/>
  <c r="G47" i="5"/>
  <c r="A48" i="5"/>
  <c r="BN46" i="5"/>
  <c r="BO46" i="5" s="1"/>
  <c r="AF46" i="5"/>
  <c r="BJ46" i="5"/>
  <c r="BK46" i="5" s="1"/>
  <c r="H65" i="15"/>
  <c r="AQ65" i="15"/>
  <c r="BZ65" i="15"/>
  <c r="CU65" i="15"/>
  <c r="AH47" i="5" l="1"/>
  <c r="AX66" i="15"/>
  <c r="DI66" i="15"/>
  <c r="CG66" i="15"/>
  <c r="DB66" i="15"/>
  <c r="O66" i="15"/>
  <c r="AD47" i="5"/>
  <c r="AE47" i="5"/>
  <c r="H66" i="15"/>
  <c r="BE66" i="15"/>
  <c r="AC47" i="5"/>
  <c r="BD47" i="5"/>
  <c r="BE47" i="5" s="1"/>
  <c r="EK66" i="15"/>
  <c r="DP66" i="15"/>
  <c r="D67" i="15"/>
  <c r="DY67" i="15"/>
  <c r="F67" i="15"/>
  <c r="EF67" i="15"/>
  <c r="DZ67" i="15"/>
  <c r="DR67" i="15"/>
  <c r="DE67" i="15"/>
  <c r="CX67" i="15"/>
  <c r="EG67" i="15"/>
  <c r="DD67" i="15"/>
  <c r="CP67" i="15"/>
  <c r="CQ67" i="15"/>
  <c r="BV67" i="15"/>
  <c r="BN67" i="15"/>
  <c r="DS67" i="15"/>
  <c r="A68" i="15"/>
  <c r="CW67" i="15"/>
  <c r="CI67" i="15"/>
  <c r="CB67" i="15"/>
  <c r="DK67" i="15"/>
  <c r="DL67" i="15"/>
  <c r="CJ67" i="15"/>
  <c r="CC67" i="15"/>
  <c r="AZ67" i="15"/>
  <c r="AE67" i="15"/>
  <c r="J67" i="15"/>
  <c r="BO67" i="15"/>
  <c r="BG67" i="15"/>
  <c r="BA67" i="15"/>
  <c r="AS67" i="15"/>
  <c r="AL67" i="15"/>
  <c r="AF67" i="15"/>
  <c r="C67" i="15"/>
  <c r="K67" i="15"/>
  <c r="CY67" i="15"/>
  <c r="BU67" i="15"/>
  <c r="BH67" i="15"/>
  <c r="AT67" i="15"/>
  <c r="AM67" i="15"/>
  <c r="CZ67" i="15"/>
  <c r="EI67" i="15"/>
  <c r="DM67" i="15"/>
  <c r="CS67" i="15"/>
  <c r="CR67" i="15"/>
  <c r="CL67" i="15"/>
  <c r="EH67" i="15"/>
  <c r="EB67" i="15"/>
  <c r="R67" i="15"/>
  <c r="EA67" i="15"/>
  <c r="DU67" i="15"/>
  <c r="DG67" i="15"/>
  <c r="DF67" i="15"/>
  <c r="CK67" i="15"/>
  <c r="Q67" i="15"/>
  <c r="DT67" i="15"/>
  <c r="DN67" i="15"/>
  <c r="CE67" i="15"/>
  <c r="CD67" i="15"/>
  <c r="BC67" i="15"/>
  <c r="AV67" i="15"/>
  <c r="Z67" i="15"/>
  <c r="BW67" i="15"/>
  <c r="BJ67" i="15"/>
  <c r="BI67" i="15"/>
  <c r="BB67" i="15"/>
  <c r="AN67" i="15"/>
  <c r="AG67" i="15"/>
  <c r="AA67" i="15"/>
  <c r="BX67" i="15"/>
  <c r="AU67" i="15"/>
  <c r="AO67" i="15"/>
  <c r="AH67" i="15"/>
  <c r="BQ67" i="15"/>
  <c r="BP67" i="15"/>
  <c r="X67" i="15"/>
  <c r="Y67" i="15"/>
  <c r="E67" i="15"/>
  <c r="T67" i="15"/>
  <c r="S67" i="15"/>
  <c r="M67" i="15"/>
  <c r="L67" i="15"/>
  <c r="A81" i="9"/>
  <c r="X80" i="9"/>
  <c r="T80" i="9"/>
  <c r="P80" i="9"/>
  <c r="L80" i="9"/>
  <c r="H80" i="9"/>
  <c r="D80" i="9"/>
  <c r="V80" i="9"/>
  <c r="N80" i="9"/>
  <c r="F80" i="9"/>
  <c r="W80" i="9"/>
  <c r="S80" i="9"/>
  <c r="O80" i="9"/>
  <c r="K80" i="9"/>
  <c r="G80" i="9"/>
  <c r="C80" i="9"/>
  <c r="U80" i="9"/>
  <c r="M80" i="9"/>
  <c r="E80" i="9"/>
  <c r="R80" i="9"/>
  <c r="J80" i="9"/>
  <c r="B80" i="9"/>
  <c r="Y80" i="9"/>
  <c r="Q80" i="9"/>
  <c r="I80" i="9"/>
  <c r="BL66" i="15"/>
  <c r="AC66" i="15"/>
  <c r="DW66" i="15"/>
  <c r="C48" i="5"/>
  <c r="Q48" i="5"/>
  <c r="W48" i="5"/>
  <c r="H48" i="5"/>
  <c r="E48" i="5"/>
  <c r="B48" i="5"/>
  <c r="T48" i="5"/>
  <c r="X48" i="5"/>
  <c r="G48" i="5"/>
  <c r="I48" i="5"/>
  <c r="K48" i="5"/>
  <c r="O48" i="5"/>
  <c r="AX48" i="5" s="1"/>
  <c r="AY48" i="5" s="1"/>
  <c r="M48" i="5"/>
  <c r="F48" i="5"/>
  <c r="AD48" i="5" s="1"/>
  <c r="D48" i="5"/>
  <c r="R48" i="5"/>
  <c r="AP48" i="5" s="1"/>
  <c r="AQ48" i="5" s="1"/>
  <c r="N48" i="5"/>
  <c r="AR48" i="5" s="1"/>
  <c r="AS48" i="5" s="1"/>
  <c r="A49" i="5"/>
  <c r="V48" i="5"/>
  <c r="S48" i="5"/>
  <c r="AJ48" i="5" s="1"/>
  <c r="AK48" i="5" s="1"/>
  <c r="P48" i="5"/>
  <c r="L48" i="5"/>
  <c r="AN48" i="5" s="1"/>
  <c r="AO48" i="5" s="1"/>
  <c r="Y48" i="5"/>
  <c r="AL48" i="5" s="1"/>
  <c r="AM48" i="5" s="1"/>
  <c r="J48" i="5"/>
  <c r="AV48" i="5" s="1"/>
  <c r="AW48" i="5" s="1"/>
  <c r="U48" i="5"/>
  <c r="AT48" i="5" s="1"/>
  <c r="AU48" i="5" s="1"/>
  <c r="AA47" i="5"/>
  <c r="AZ47" i="5"/>
  <c r="BA47" i="5" s="1"/>
  <c r="BF47" i="5"/>
  <c r="BG47" i="5" s="1"/>
  <c r="AB47" i="5"/>
  <c r="BB47" i="5"/>
  <c r="BC47" i="5" s="1"/>
  <c r="BH47" i="5"/>
  <c r="BI47" i="5" s="1"/>
  <c r="AG47" i="5"/>
  <c r="BL47" i="5"/>
  <c r="BM47" i="5" s="1"/>
  <c r="AJ66" i="15"/>
  <c r="BS66" i="15"/>
  <c r="CU66" i="15"/>
  <c r="AF47" i="5"/>
  <c r="BJ47" i="5"/>
  <c r="BK47" i="5" s="1"/>
  <c r="BN47" i="5"/>
  <c r="BO47" i="5" s="1"/>
  <c r="AQ66" i="15"/>
  <c r="BZ66" i="15"/>
  <c r="AH48" i="5" l="1"/>
  <c r="BH48" i="5"/>
  <c r="BI48" i="5" s="1"/>
  <c r="AF48" i="5"/>
  <c r="BJ48" i="5"/>
  <c r="BK48" i="5" s="1"/>
  <c r="AB48" i="5"/>
  <c r="BB48" i="5"/>
  <c r="BC48" i="5" s="1"/>
  <c r="AG48" i="5"/>
  <c r="BL48" i="5"/>
  <c r="BM48" i="5" s="1"/>
  <c r="AD67" i="15"/>
  <c r="AC67" i="15"/>
  <c r="V67" i="15"/>
  <c r="W67" i="15"/>
  <c r="AK67" i="15"/>
  <c r="AJ67" i="15"/>
  <c r="A69" i="15"/>
  <c r="DY68" i="15"/>
  <c r="EE68" i="15" s="1"/>
  <c r="DD68" i="15"/>
  <c r="CW68" i="15"/>
  <c r="EF68" i="15"/>
  <c r="DK68" i="15"/>
  <c r="BU68" i="15"/>
  <c r="CA68" i="15" s="1"/>
  <c r="CP68" i="15"/>
  <c r="DR68" i="15"/>
  <c r="CI68" i="15"/>
  <c r="CO68" i="15" s="1"/>
  <c r="CY68" i="15"/>
  <c r="AZ68" i="15"/>
  <c r="AE68" i="15"/>
  <c r="J68" i="15"/>
  <c r="P68" i="15" s="1"/>
  <c r="CB68" i="15"/>
  <c r="CH68" i="15" s="1"/>
  <c r="BN68" i="15"/>
  <c r="BT68" i="15" s="1"/>
  <c r="BG68" i="15"/>
  <c r="AS68" i="15"/>
  <c r="AY68" i="15" s="1"/>
  <c r="AL68" i="15"/>
  <c r="C68" i="15"/>
  <c r="Q68" i="15"/>
  <c r="EA68" i="15"/>
  <c r="DS68" i="15"/>
  <c r="DN68" i="15"/>
  <c r="DF68" i="15"/>
  <c r="CS68" i="15"/>
  <c r="CZ68" i="15"/>
  <c r="EI68" i="15"/>
  <c r="DT68" i="15"/>
  <c r="DL68" i="15"/>
  <c r="CQ68" i="15"/>
  <c r="CL68" i="15"/>
  <c r="CX68" i="15"/>
  <c r="EG68" i="15"/>
  <c r="EB68" i="15"/>
  <c r="DM68" i="15"/>
  <c r="DG68" i="15"/>
  <c r="CR68" i="15"/>
  <c r="CJ68" i="15"/>
  <c r="CD68" i="15"/>
  <c r="EH68" i="15"/>
  <c r="DZ68" i="15"/>
  <c r="DU68" i="15"/>
  <c r="DE68" i="15"/>
  <c r="CK68" i="15"/>
  <c r="BV68" i="15"/>
  <c r="BO68" i="15"/>
  <c r="BI68" i="15"/>
  <c r="AM68" i="15"/>
  <c r="AF68" i="15"/>
  <c r="X68" i="15"/>
  <c r="Z68" i="15"/>
  <c r="CE68" i="15"/>
  <c r="BW68" i="15"/>
  <c r="BP68" i="15"/>
  <c r="BC68" i="15"/>
  <c r="AV68" i="15"/>
  <c r="AN68" i="15"/>
  <c r="AG68" i="15"/>
  <c r="CC68" i="15"/>
  <c r="BJ68" i="15"/>
  <c r="BA68" i="15"/>
  <c r="AT68" i="15"/>
  <c r="BX68" i="15"/>
  <c r="BQ68" i="15"/>
  <c r="BH68" i="15"/>
  <c r="BB68" i="15"/>
  <c r="AU68" i="15"/>
  <c r="AO68" i="15"/>
  <c r="AH68" i="15"/>
  <c r="Y68" i="15"/>
  <c r="S68" i="15"/>
  <c r="L68" i="15"/>
  <c r="F68" i="15"/>
  <c r="AA68" i="15"/>
  <c r="D68" i="15"/>
  <c r="E68" i="15"/>
  <c r="T68" i="15"/>
  <c r="M68" i="15"/>
  <c r="R68" i="15"/>
  <c r="K68" i="15"/>
  <c r="CV68" i="15"/>
  <c r="CV67" i="15"/>
  <c r="CU67" i="15"/>
  <c r="DB67" i="15"/>
  <c r="DC68" i="15"/>
  <c r="DC67" i="15"/>
  <c r="BF48" i="5"/>
  <c r="BG48" i="5" s="1"/>
  <c r="AR68" i="15"/>
  <c r="AQ67" i="15"/>
  <c r="AR67" i="15"/>
  <c r="BT67" i="15"/>
  <c r="BS67" i="15"/>
  <c r="CH67" i="15"/>
  <c r="CG67" i="15"/>
  <c r="DX67" i="15"/>
  <c r="DX68" i="15"/>
  <c r="DW67" i="15"/>
  <c r="DJ67" i="15"/>
  <c r="DI67" i="15"/>
  <c r="DJ68" i="15"/>
  <c r="P49" i="5"/>
  <c r="Q49" i="5"/>
  <c r="T49" i="5"/>
  <c r="X49" i="5"/>
  <c r="G49" i="5"/>
  <c r="I49" i="5"/>
  <c r="W49" i="5"/>
  <c r="B49" i="5"/>
  <c r="R49" i="5"/>
  <c r="AP49" i="5" s="1"/>
  <c r="AQ49" i="5" s="1"/>
  <c r="Y49" i="5"/>
  <c r="AL49" i="5" s="1"/>
  <c r="AM49" i="5" s="1"/>
  <c r="C49" i="5"/>
  <c r="E49" i="5"/>
  <c r="L49" i="5"/>
  <c r="AN49" i="5" s="1"/>
  <c r="AO49" i="5" s="1"/>
  <c r="O49" i="5"/>
  <c r="H49" i="5"/>
  <c r="U49" i="5"/>
  <c r="F49" i="5"/>
  <c r="K49" i="5"/>
  <c r="A50" i="5"/>
  <c r="J49" i="5"/>
  <c r="M49" i="5"/>
  <c r="V49" i="5"/>
  <c r="D49" i="5"/>
  <c r="S49" i="5"/>
  <c r="AJ49" i="5" s="1"/>
  <c r="AK49" i="5" s="1"/>
  <c r="N49" i="5"/>
  <c r="AA48" i="5"/>
  <c r="AZ48" i="5"/>
  <c r="BA48" i="5" s="1"/>
  <c r="BN48" i="5"/>
  <c r="BO48" i="5" s="1"/>
  <c r="AE48" i="5"/>
  <c r="AC48" i="5"/>
  <c r="BD48" i="5"/>
  <c r="BE48" i="5" s="1"/>
  <c r="X81" i="9"/>
  <c r="T81" i="9"/>
  <c r="P81" i="9"/>
  <c r="L81" i="9"/>
  <c r="H81" i="9"/>
  <c r="D81" i="9"/>
  <c r="V81" i="9"/>
  <c r="N81" i="9"/>
  <c r="F81" i="9"/>
  <c r="A82" i="9"/>
  <c r="W81" i="9"/>
  <c r="S81" i="9"/>
  <c r="O81" i="9"/>
  <c r="K81" i="9"/>
  <c r="G81" i="9"/>
  <c r="C81" i="9"/>
  <c r="U81" i="9"/>
  <c r="M81" i="9"/>
  <c r="E81" i="9"/>
  <c r="R81" i="9"/>
  <c r="J81" i="9"/>
  <c r="B81" i="9"/>
  <c r="Y81" i="9"/>
  <c r="Q81" i="9"/>
  <c r="I81" i="9"/>
  <c r="AX67" i="15"/>
  <c r="AY67" i="15"/>
  <c r="P67" i="15"/>
  <c r="O67" i="15"/>
  <c r="CN67" i="15"/>
  <c r="CO67" i="15"/>
  <c r="BM67" i="15"/>
  <c r="BL67" i="15"/>
  <c r="BM68" i="15"/>
  <c r="BF67" i="15"/>
  <c r="BF68" i="15"/>
  <c r="BE67" i="15"/>
  <c r="DQ68" i="15"/>
  <c r="DP67" i="15"/>
  <c r="DQ67" i="15"/>
  <c r="BZ67" i="15"/>
  <c r="CA67" i="15"/>
  <c r="EL67" i="15"/>
  <c r="EL68" i="15"/>
  <c r="EK67" i="15"/>
  <c r="ED67" i="15"/>
  <c r="EE67" i="15"/>
  <c r="H67" i="15"/>
  <c r="I68" i="15"/>
  <c r="I67" i="15"/>
  <c r="BN49" i="5" l="1"/>
  <c r="BO49" i="5" s="1"/>
  <c r="AJ68" i="15"/>
  <c r="AE49" i="5"/>
  <c r="AC68" i="15"/>
  <c r="AD49" i="5"/>
  <c r="BF49" i="5"/>
  <c r="BG49" i="5" s="1"/>
  <c r="BH49" i="5"/>
  <c r="BI49" i="5" s="1"/>
  <c r="BZ68" i="15"/>
  <c r="BE68" i="15"/>
  <c r="CN68" i="15"/>
  <c r="EK68" i="15"/>
  <c r="DP68" i="15"/>
  <c r="AB49" i="5"/>
  <c r="BB49" i="5"/>
  <c r="BC49" i="5" s="1"/>
  <c r="H50" i="5"/>
  <c r="M50" i="5"/>
  <c r="V50" i="5"/>
  <c r="F50" i="5"/>
  <c r="D50" i="5"/>
  <c r="K50" i="5"/>
  <c r="C50" i="5"/>
  <c r="P50" i="5"/>
  <c r="E50" i="5"/>
  <c r="Q50" i="5"/>
  <c r="Y50" i="5"/>
  <c r="AL50" i="5" s="1"/>
  <c r="AM50" i="5" s="1"/>
  <c r="S50" i="5"/>
  <c r="AJ50" i="5" s="1"/>
  <c r="AK50" i="5" s="1"/>
  <c r="A51" i="5"/>
  <c r="O50" i="5"/>
  <c r="T50" i="5"/>
  <c r="G50" i="5"/>
  <c r="J50" i="5"/>
  <c r="I50" i="5"/>
  <c r="X50" i="5"/>
  <c r="B50" i="5"/>
  <c r="BF50" i="5" s="1"/>
  <c r="BG50" i="5" s="1"/>
  <c r="N50" i="5"/>
  <c r="W50" i="5"/>
  <c r="R50" i="5"/>
  <c r="AP50" i="5" s="1"/>
  <c r="AQ50" i="5" s="1"/>
  <c r="L50" i="5"/>
  <c r="AN50" i="5" s="1"/>
  <c r="AO50" i="5" s="1"/>
  <c r="U50" i="5"/>
  <c r="AC49" i="5"/>
  <c r="BD49" i="5"/>
  <c r="BE49" i="5" s="1"/>
  <c r="AG49" i="5"/>
  <c r="BL49" i="5"/>
  <c r="BM49" i="5" s="1"/>
  <c r="O68" i="15"/>
  <c r="DW68" i="15"/>
  <c r="ED68" i="15"/>
  <c r="DB68" i="15"/>
  <c r="AK68" i="15"/>
  <c r="AF49" i="5"/>
  <c r="BJ49" i="5"/>
  <c r="BK49" i="5" s="1"/>
  <c r="AA49" i="5"/>
  <c r="AZ49" i="5"/>
  <c r="BA49" i="5" s="1"/>
  <c r="AH49" i="5"/>
  <c r="V68" i="15"/>
  <c r="H68" i="15"/>
  <c r="CU68" i="15"/>
  <c r="W68" i="15"/>
  <c r="AD68" i="15"/>
  <c r="X82" i="9"/>
  <c r="T82" i="9"/>
  <c r="P82" i="9"/>
  <c r="L82" i="9"/>
  <c r="H82" i="9"/>
  <c r="D82" i="9"/>
  <c r="V82" i="9"/>
  <c r="N82" i="9"/>
  <c r="F82" i="9"/>
  <c r="W82" i="9"/>
  <c r="S82" i="9"/>
  <c r="O82" i="9"/>
  <c r="K82" i="9"/>
  <c r="G82" i="9"/>
  <c r="C82" i="9"/>
  <c r="U82" i="9"/>
  <c r="M82" i="9"/>
  <c r="E82" i="9"/>
  <c r="A83" i="9"/>
  <c r="R82" i="9"/>
  <c r="J82" i="9"/>
  <c r="B82" i="9"/>
  <c r="Y82" i="9"/>
  <c r="Q82" i="9"/>
  <c r="I82" i="9"/>
  <c r="AQ68" i="15"/>
  <c r="BS68" i="15"/>
  <c r="BL68" i="15"/>
  <c r="AX68" i="15"/>
  <c r="CG68" i="15"/>
  <c r="DI68" i="15"/>
  <c r="A70" i="15"/>
  <c r="CP69" i="15"/>
  <c r="CI69" i="15"/>
  <c r="CB69" i="15"/>
  <c r="DK69" i="15"/>
  <c r="DD69" i="15"/>
  <c r="DY69" i="15"/>
  <c r="EF69" i="15"/>
  <c r="DR69" i="15"/>
  <c r="BU69" i="15"/>
  <c r="BN69" i="15"/>
  <c r="BG69" i="15"/>
  <c r="AS69" i="15"/>
  <c r="AL69" i="15"/>
  <c r="C69" i="15"/>
  <c r="Q69" i="15"/>
  <c r="CX69" i="15"/>
  <c r="CY69" i="15"/>
  <c r="CW69" i="15"/>
  <c r="AZ69" i="15"/>
  <c r="AE69" i="15"/>
  <c r="AK69" i="15" s="1"/>
  <c r="J69" i="15"/>
  <c r="CZ69" i="15"/>
  <c r="DB69" i="15" s="1"/>
  <c r="EH69" i="15"/>
  <c r="DZ69" i="15"/>
  <c r="DU69" i="15"/>
  <c r="DE69" i="15"/>
  <c r="CK69" i="15"/>
  <c r="EA69" i="15"/>
  <c r="DS69" i="15"/>
  <c r="DN69" i="15"/>
  <c r="DF69" i="15"/>
  <c r="CS69" i="15"/>
  <c r="EI69" i="15"/>
  <c r="DT69" i="15"/>
  <c r="DL69" i="15"/>
  <c r="CQ69" i="15"/>
  <c r="CL69" i="15"/>
  <c r="CC69" i="15"/>
  <c r="EG69" i="15"/>
  <c r="EB69" i="15"/>
  <c r="ED69" i="15" s="1"/>
  <c r="DM69" i="15"/>
  <c r="DG69" i="15"/>
  <c r="DI69" i="15" s="1"/>
  <c r="CR69" i="15"/>
  <c r="CJ69" i="15"/>
  <c r="CD69" i="15"/>
  <c r="BX69" i="15"/>
  <c r="BQ69" i="15"/>
  <c r="BH69" i="15"/>
  <c r="BB69" i="15"/>
  <c r="AU69" i="15"/>
  <c r="AO69" i="15"/>
  <c r="AH69" i="15"/>
  <c r="Y69" i="15"/>
  <c r="BV69" i="15"/>
  <c r="BO69" i="15"/>
  <c r="BI69" i="15"/>
  <c r="AM69" i="15"/>
  <c r="AF69" i="15"/>
  <c r="X69" i="15"/>
  <c r="Z69" i="15"/>
  <c r="BW69" i="15"/>
  <c r="BP69" i="15"/>
  <c r="BC69" i="15"/>
  <c r="AV69" i="15"/>
  <c r="AN69" i="15"/>
  <c r="AG69" i="15"/>
  <c r="CE69" i="15"/>
  <c r="BJ69" i="15"/>
  <c r="BL69" i="15" s="1"/>
  <c r="BA69" i="15"/>
  <c r="AT69" i="15"/>
  <c r="AA69" i="15"/>
  <c r="R69" i="15"/>
  <c r="K69" i="15"/>
  <c r="D69" i="15"/>
  <c r="S69" i="15"/>
  <c r="L69" i="15"/>
  <c r="E69" i="15"/>
  <c r="T69" i="15"/>
  <c r="V69" i="15" s="1"/>
  <c r="M69" i="15"/>
  <c r="F69" i="15"/>
  <c r="H69" i="15" s="1"/>
  <c r="AH50" i="5" l="1"/>
  <c r="EK69" i="15"/>
  <c r="AC69" i="15"/>
  <c r="BH50" i="5"/>
  <c r="BI50" i="5" s="1"/>
  <c r="CG69" i="15"/>
  <c r="BZ69" i="15"/>
  <c r="DP69" i="15"/>
  <c r="DC69" i="15"/>
  <c r="I69" i="15"/>
  <c r="BT69" i="15"/>
  <c r="EE69" i="15"/>
  <c r="CO69" i="15"/>
  <c r="W69" i="15"/>
  <c r="AG50" i="5"/>
  <c r="BL50" i="5"/>
  <c r="BM50" i="5" s="1"/>
  <c r="AA50" i="5"/>
  <c r="AZ50" i="5"/>
  <c r="BA50" i="5" s="1"/>
  <c r="CN69" i="15"/>
  <c r="DW69" i="15"/>
  <c r="P69" i="15"/>
  <c r="AR69" i="15"/>
  <c r="CA69" i="15"/>
  <c r="DJ69" i="15"/>
  <c r="CV69" i="15"/>
  <c r="AD69" i="15"/>
  <c r="M51" i="5"/>
  <c r="C51" i="5"/>
  <c r="Q51" i="5"/>
  <c r="V51" i="5"/>
  <c r="F51" i="5"/>
  <c r="D51" i="5"/>
  <c r="L51" i="5"/>
  <c r="AN51" i="5" s="1"/>
  <c r="AO51" i="5" s="1"/>
  <c r="S51" i="5"/>
  <c r="AJ51" i="5" s="1"/>
  <c r="AK51" i="5" s="1"/>
  <c r="H51" i="5"/>
  <c r="W51" i="5"/>
  <c r="G51" i="5"/>
  <c r="I51" i="5"/>
  <c r="K51" i="5"/>
  <c r="O51" i="5"/>
  <c r="R51" i="5"/>
  <c r="AP51" i="5" s="1"/>
  <c r="AQ51" i="5" s="1"/>
  <c r="T51" i="5"/>
  <c r="E51" i="5"/>
  <c r="N51" i="5"/>
  <c r="A52" i="5"/>
  <c r="U51" i="5"/>
  <c r="P51" i="5"/>
  <c r="BN51" i="5" s="1"/>
  <c r="BO51" i="5" s="1"/>
  <c r="X51" i="5"/>
  <c r="B51" i="5"/>
  <c r="Y51" i="5"/>
  <c r="AL51" i="5" s="1"/>
  <c r="AM51" i="5" s="1"/>
  <c r="J51" i="5"/>
  <c r="AE50" i="5"/>
  <c r="AB50" i="5"/>
  <c r="BB50" i="5"/>
  <c r="BC50" i="5" s="1"/>
  <c r="AX69" i="15"/>
  <c r="AJ69" i="15"/>
  <c r="CU69" i="15"/>
  <c r="AY69" i="15"/>
  <c r="DX69" i="15"/>
  <c r="DQ69" i="15"/>
  <c r="EF70" i="15"/>
  <c r="EL70" i="15" s="1"/>
  <c r="DK70" i="15"/>
  <c r="A71" i="15"/>
  <c r="DR70" i="15"/>
  <c r="DX70" i="15" s="1"/>
  <c r="CW70" i="15"/>
  <c r="CI70" i="15"/>
  <c r="DD70" i="15"/>
  <c r="CP70" i="15"/>
  <c r="CV70" i="15" s="1"/>
  <c r="DY70" i="15"/>
  <c r="CB70" i="15"/>
  <c r="AZ70" i="15"/>
  <c r="BF70" i="15" s="1"/>
  <c r="AE70" i="15"/>
  <c r="AK70" i="15" s="1"/>
  <c r="J70" i="15"/>
  <c r="P70" i="15" s="1"/>
  <c r="BU70" i="15"/>
  <c r="BN70" i="15"/>
  <c r="BT70" i="15" s="1"/>
  <c r="BG70" i="15"/>
  <c r="AS70" i="15"/>
  <c r="AL70" i="15"/>
  <c r="AR70" i="15" s="1"/>
  <c r="C70" i="15"/>
  <c r="CZ70" i="15"/>
  <c r="Q70" i="15"/>
  <c r="W70" i="15" s="1"/>
  <c r="CX70" i="15"/>
  <c r="EG70" i="15"/>
  <c r="EB70" i="15"/>
  <c r="DM70" i="15"/>
  <c r="DG70" i="15"/>
  <c r="CR70" i="15"/>
  <c r="CJ70" i="15"/>
  <c r="EH70" i="15"/>
  <c r="DZ70" i="15"/>
  <c r="DU70" i="15"/>
  <c r="DE70" i="15"/>
  <c r="CK70" i="15"/>
  <c r="EA70" i="15"/>
  <c r="DS70" i="15"/>
  <c r="DN70" i="15"/>
  <c r="DF70" i="15"/>
  <c r="CS70" i="15"/>
  <c r="CE70" i="15"/>
  <c r="CY70" i="15"/>
  <c r="EI70" i="15"/>
  <c r="DT70" i="15"/>
  <c r="DL70" i="15"/>
  <c r="CQ70" i="15"/>
  <c r="CL70" i="15"/>
  <c r="BJ70" i="15"/>
  <c r="BA70" i="15"/>
  <c r="AT70" i="15"/>
  <c r="AA70" i="15"/>
  <c r="CC70" i="15"/>
  <c r="BX70" i="15"/>
  <c r="BQ70" i="15"/>
  <c r="BH70" i="15"/>
  <c r="BB70" i="15"/>
  <c r="AU70" i="15"/>
  <c r="AO70" i="15"/>
  <c r="AH70" i="15"/>
  <c r="Y70" i="15"/>
  <c r="CD70" i="15"/>
  <c r="BV70" i="15"/>
  <c r="BO70" i="15"/>
  <c r="BI70" i="15"/>
  <c r="AM70" i="15"/>
  <c r="AF70" i="15"/>
  <c r="BW70" i="15"/>
  <c r="BP70" i="15"/>
  <c r="BC70" i="15"/>
  <c r="AV70" i="15"/>
  <c r="AN70" i="15"/>
  <c r="AG70" i="15"/>
  <c r="Z70" i="15"/>
  <c r="T70" i="15"/>
  <c r="M70" i="15"/>
  <c r="X70" i="15"/>
  <c r="AD70" i="15" s="1"/>
  <c r="R70" i="15"/>
  <c r="K70" i="15"/>
  <c r="S70" i="15"/>
  <c r="L70" i="15"/>
  <c r="F70" i="15"/>
  <c r="D70" i="15"/>
  <c r="E70" i="15"/>
  <c r="BN50" i="5"/>
  <c r="BO50" i="5" s="1"/>
  <c r="AD50" i="5"/>
  <c r="O69" i="15"/>
  <c r="BE69" i="15"/>
  <c r="AQ69" i="15"/>
  <c r="BS69" i="15"/>
  <c r="BF69" i="15"/>
  <c r="BM69" i="15"/>
  <c r="BM70" i="15"/>
  <c r="EL69" i="15"/>
  <c r="CH70" i="15"/>
  <c r="CH69" i="15"/>
  <c r="X83" i="9"/>
  <c r="T83" i="9"/>
  <c r="P83" i="9"/>
  <c r="L83" i="9"/>
  <c r="H83" i="9"/>
  <c r="D83" i="9"/>
  <c r="V83" i="9"/>
  <c r="N83" i="9"/>
  <c r="F83" i="9"/>
  <c r="W83" i="9"/>
  <c r="S83" i="9"/>
  <c r="O83" i="9"/>
  <c r="K83" i="9"/>
  <c r="G83" i="9"/>
  <c r="C83" i="9"/>
  <c r="U83" i="9"/>
  <c r="E83" i="9"/>
  <c r="R83" i="9"/>
  <c r="J83" i="9"/>
  <c r="B83" i="9"/>
  <c r="Y83" i="9"/>
  <c r="Q83" i="9"/>
  <c r="M83" i="9"/>
  <c r="I83" i="9"/>
  <c r="AC50" i="5"/>
  <c r="BD50" i="5"/>
  <c r="BE50" i="5" s="1"/>
  <c r="AF50" i="5"/>
  <c r="BJ50" i="5"/>
  <c r="BK50" i="5" s="1"/>
  <c r="AX70" i="15" l="1"/>
  <c r="H70" i="15"/>
  <c r="AE51" i="5"/>
  <c r="CN70" i="15"/>
  <c r="BF51" i="5"/>
  <c r="BG51" i="5" s="1"/>
  <c r="BE70" i="15"/>
  <c r="BZ70" i="15"/>
  <c r="CG70" i="15"/>
  <c r="DW70" i="15"/>
  <c r="DY71" i="15"/>
  <c r="EE71" i="15" s="1"/>
  <c r="EF71" i="15"/>
  <c r="EL71" i="15" s="1"/>
  <c r="DR71" i="15"/>
  <c r="BN71" i="15"/>
  <c r="BT71" i="15" s="1"/>
  <c r="CW71" i="15"/>
  <c r="DC71" i="15" s="1"/>
  <c r="DK71" i="15"/>
  <c r="DQ71" i="15" s="1"/>
  <c r="CI71" i="15"/>
  <c r="CO71" i="15" s="1"/>
  <c r="CB71" i="15"/>
  <c r="CH71" i="15" s="1"/>
  <c r="A72" i="15"/>
  <c r="CP71" i="15"/>
  <c r="AZ71" i="15"/>
  <c r="BF71" i="15" s="1"/>
  <c r="AE71" i="15"/>
  <c r="AK71" i="15" s="1"/>
  <c r="J71" i="15"/>
  <c r="P71" i="15" s="1"/>
  <c r="BU71" i="15"/>
  <c r="CA71" i="15" s="1"/>
  <c r="BG71" i="15"/>
  <c r="BM71" i="15" s="1"/>
  <c r="AS71" i="15"/>
  <c r="AY71" i="15" s="1"/>
  <c r="AL71" i="15"/>
  <c r="C71" i="15"/>
  <c r="I71" i="15" s="1"/>
  <c r="CZ71" i="15"/>
  <c r="DD71" i="15"/>
  <c r="DJ71" i="15" s="1"/>
  <c r="EI71" i="15"/>
  <c r="DT71" i="15"/>
  <c r="DL71" i="15"/>
  <c r="CQ71" i="15"/>
  <c r="CL71" i="15"/>
  <c r="Q71" i="15"/>
  <c r="CX71" i="15"/>
  <c r="EG71" i="15"/>
  <c r="EB71" i="15"/>
  <c r="DM71" i="15"/>
  <c r="DG71" i="15"/>
  <c r="CR71" i="15"/>
  <c r="CJ71" i="15"/>
  <c r="CY71" i="15"/>
  <c r="EH71" i="15"/>
  <c r="DZ71" i="15"/>
  <c r="DU71" i="15"/>
  <c r="DE71" i="15"/>
  <c r="CK71" i="15"/>
  <c r="EA71" i="15"/>
  <c r="DS71" i="15"/>
  <c r="DN71" i="15"/>
  <c r="DF71" i="15"/>
  <c r="CS71" i="15"/>
  <c r="CU71" i="15" s="1"/>
  <c r="CD71" i="15"/>
  <c r="BW71" i="15"/>
  <c r="BP71" i="15"/>
  <c r="BC71" i="15"/>
  <c r="AV71" i="15"/>
  <c r="AN71" i="15"/>
  <c r="AG71" i="15"/>
  <c r="BJ71" i="15"/>
  <c r="BA71" i="15"/>
  <c r="AT71" i="15"/>
  <c r="AA71" i="15"/>
  <c r="CE71" i="15"/>
  <c r="BX71" i="15"/>
  <c r="BQ71" i="15"/>
  <c r="BH71" i="15"/>
  <c r="BB71" i="15"/>
  <c r="AU71" i="15"/>
  <c r="AO71" i="15"/>
  <c r="AH71" i="15"/>
  <c r="CC71" i="15"/>
  <c r="BV71" i="15"/>
  <c r="BO71" i="15"/>
  <c r="BI71" i="15"/>
  <c r="AM71" i="15"/>
  <c r="AF71" i="15"/>
  <c r="X71" i="15"/>
  <c r="AD71" i="15" s="1"/>
  <c r="Z71" i="15"/>
  <c r="E71" i="15"/>
  <c r="T71" i="15"/>
  <c r="M71" i="15"/>
  <c r="F71" i="15"/>
  <c r="R71" i="15"/>
  <c r="K71" i="15"/>
  <c r="D71" i="15"/>
  <c r="Y71" i="15"/>
  <c r="S71" i="15"/>
  <c r="L71" i="15"/>
  <c r="DQ70" i="15"/>
  <c r="AD51" i="5"/>
  <c r="CV71" i="15"/>
  <c r="CA70" i="15"/>
  <c r="EE70" i="15"/>
  <c r="BL70" i="15"/>
  <c r="CU70" i="15"/>
  <c r="DI70" i="15"/>
  <c r="AA51" i="5"/>
  <c r="AZ51" i="5"/>
  <c r="BA51" i="5" s="1"/>
  <c r="AF51" i="5"/>
  <c r="BJ51" i="5"/>
  <c r="BK51" i="5" s="1"/>
  <c r="AR71" i="15"/>
  <c r="DC70" i="15"/>
  <c r="O70" i="15"/>
  <c r="AJ70" i="15"/>
  <c r="AC70" i="15"/>
  <c r="EK70" i="15"/>
  <c r="DX71" i="15"/>
  <c r="AY70" i="15"/>
  <c r="C52" i="5"/>
  <c r="Q52" i="5"/>
  <c r="W52" i="5"/>
  <c r="P52" i="5"/>
  <c r="E52" i="5"/>
  <c r="B52" i="5"/>
  <c r="H52" i="5"/>
  <c r="M52" i="5"/>
  <c r="V52" i="5"/>
  <c r="O52" i="5"/>
  <c r="X52" i="5"/>
  <c r="L52" i="5"/>
  <c r="AN52" i="5" s="1"/>
  <c r="AO52" i="5" s="1"/>
  <c r="Y52" i="5"/>
  <c r="AL52" i="5" s="1"/>
  <c r="AM52" i="5" s="1"/>
  <c r="N52" i="5"/>
  <c r="G52" i="5"/>
  <c r="R52" i="5"/>
  <c r="AP52" i="5" s="1"/>
  <c r="AQ52" i="5" s="1"/>
  <c r="U52" i="5"/>
  <c r="T52" i="5"/>
  <c r="F52" i="5"/>
  <c r="I52" i="5"/>
  <c r="K52" i="5"/>
  <c r="J52" i="5"/>
  <c r="D52" i="5"/>
  <c r="S52" i="5"/>
  <c r="AJ52" i="5" s="1"/>
  <c r="AK52" i="5" s="1"/>
  <c r="A53" i="5"/>
  <c r="AH51" i="5"/>
  <c r="DJ70" i="15"/>
  <c r="CO70" i="15"/>
  <c r="I70" i="15"/>
  <c r="V70" i="15"/>
  <c r="AQ70" i="15"/>
  <c r="BS70" i="15"/>
  <c r="DP70" i="15"/>
  <c r="ED70" i="15"/>
  <c r="DB70" i="15"/>
  <c r="BH51" i="5"/>
  <c r="BI51" i="5" s="1"/>
  <c r="AG51" i="5"/>
  <c r="BL51" i="5"/>
  <c r="BM51" i="5" s="1"/>
  <c r="AB51" i="5"/>
  <c r="BB51" i="5"/>
  <c r="BC51" i="5" s="1"/>
  <c r="AC51" i="5"/>
  <c r="BD51" i="5"/>
  <c r="BE51" i="5" s="1"/>
  <c r="W71" i="15"/>
  <c r="AD52" i="5" l="1"/>
  <c r="BN52" i="5"/>
  <c r="BO52" i="5" s="1"/>
  <c r="AE52" i="5"/>
  <c r="AC52" i="5"/>
  <c r="BD52" i="5"/>
  <c r="BE52" i="5" s="1"/>
  <c r="CG71" i="15"/>
  <c r="BL71" i="15"/>
  <c r="BE71" i="15"/>
  <c r="P53" i="5"/>
  <c r="H53" i="5"/>
  <c r="W53" i="5"/>
  <c r="T53" i="5"/>
  <c r="X53" i="5"/>
  <c r="G53" i="5"/>
  <c r="I53" i="5"/>
  <c r="K53" i="5"/>
  <c r="R53" i="5"/>
  <c r="AP53" i="5" s="1"/>
  <c r="AQ53" i="5" s="1"/>
  <c r="Y53" i="5"/>
  <c r="AL53" i="5" s="1"/>
  <c r="AM53" i="5" s="1"/>
  <c r="O53" i="5"/>
  <c r="C53" i="5"/>
  <c r="Q53" i="5"/>
  <c r="B53" i="5"/>
  <c r="D53" i="5"/>
  <c r="S53" i="5"/>
  <c r="AJ53" i="5" s="1"/>
  <c r="AK53" i="5" s="1"/>
  <c r="A54" i="5"/>
  <c r="U53" i="5"/>
  <c r="L53" i="5"/>
  <c r="AN53" i="5" s="1"/>
  <c r="AO53" i="5" s="1"/>
  <c r="J53" i="5"/>
  <c r="E53" i="5"/>
  <c r="AE53" i="5" s="1"/>
  <c r="M53" i="5"/>
  <c r="V53" i="5"/>
  <c r="F53" i="5"/>
  <c r="N53" i="5"/>
  <c r="AF52" i="5"/>
  <c r="BJ52" i="5"/>
  <c r="BK52" i="5" s="1"/>
  <c r="AB52" i="5"/>
  <c r="BB52" i="5"/>
  <c r="BC52" i="5" s="1"/>
  <c r="BH52" i="5"/>
  <c r="BI52" i="5" s="1"/>
  <c r="H71" i="15"/>
  <c r="AJ71" i="15"/>
  <c r="AC71" i="15"/>
  <c r="DI71" i="15"/>
  <c r="DB71" i="15"/>
  <c r="AA52" i="5"/>
  <c r="AZ52" i="5"/>
  <c r="BA52" i="5" s="1"/>
  <c r="AG52" i="5"/>
  <c r="BL52" i="5"/>
  <c r="BM52" i="5" s="1"/>
  <c r="BF52" i="5"/>
  <c r="BG52" i="5" s="1"/>
  <c r="AH52" i="5"/>
  <c r="O71" i="15"/>
  <c r="AQ71" i="15"/>
  <c r="BS71" i="15"/>
  <c r="DP71" i="15"/>
  <c r="V71" i="15"/>
  <c r="BZ71" i="15"/>
  <c r="AX71" i="15"/>
  <c r="DW71" i="15"/>
  <c r="ED71" i="15"/>
  <c r="CN71" i="15"/>
  <c r="EK71" i="15"/>
  <c r="EF72" i="15"/>
  <c r="DY72" i="15"/>
  <c r="D72" i="15"/>
  <c r="A73" i="15"/>
  <c r="DR72" i="15"/>
  <c r="CQ72" i="15"/>
  <c r="F72" i="15"/>
  <c r="DZ72" i="15"/>
  <c r="DS72" i="15"/>
  <c r="CW72" i="15"/>
  <c r="CX72" i="15"/>
  <c r="CJ72" i="15"/>
  <c r="CC72" i="15"/>
  <c r="BN72" i="15"/>
  <c r="DK72" i="15"/>
  <c r="EG72" i="15"/>
  <c r="DL72" i="15"/>
  <c r="DD72" i="15"/>
  <c r="DE72" i="15"/>
  <c r="CP72" i="15"/>
  <c r="CI72" i="15"/>
  <c r="CB72" i="15"/>
  <c r="BH72" i="15"/>
  <c r="AT72" i="15"/>
  <c r="AM72" i="15"/>
  <c r="BU72" i="15"/>
  <c r="BV72" i="15"/>
  <c r="BO72" i="15"/>
  <c r="AZ72" i="15"/>
  <c r="AE72" i="15"/>
  <c r="C72" i="15"/>
  <c r="J72" i="15"/>
  <c r="R72" i="15"/>
  <c r="CY72" i="15"/>
  <c r="BG72" i="15"/>
  <c r="AS72" i="15"/>
  <c r="AL72" i="15"/>
  <c r="BA72" i="15"/>
  <c r="AF72" i="15"/>
  <c r="K72" i="15"/>
  <c r="CZ72" i="15"/>
  <c r="EA72" i="15"/>
  <c r="DU72" i="15"/>
  <c r="DF72" i="15"/>
  <c r="DT72" i="15"/>
  <c r="DN72" i="15"/>
  <c r="CS72" i="15"/>
  <c r="EI72" i="15"/>
  <c r="DM72" i="15"/>
  <c r="CR72" i="15"/>
  <c r="CL72" i="15"/>
  <c r="CD72" i="15"/>
  <c r="Q72" i="15"/>
  <c r="EH72" i="15"/>
  <c r="EB72" i="15"/>
  <c r="DG72" i="15"/>
  <c r="CK72" i="15"/>
  <c r="BX72" i="15"/>
  <c r="BJ72" i="15"/>
  <c r="BI72" i="15"/>
  <c r="AO72" i="15"/>
  <c r="X72" i="15"/>
  <c r="Z72" i="15"/>
  <c r="CE72" i="15"/>
  <c r="BW72" i="15"/>
  <c r="BQ72" i="15"/>
  <c r="BP72" i="15"/>
  <c r="AN72" i="15"/>
  <c r="AG72" i="15"/>
  <c r="BC72" i="15"/>
  <c r="AV72" i="15"/>
  <c r="AH72" i="15"/>
  <c r="BB72" i="15"/>
  <c r="AU72" i="15"/>
  <c r="Y72" i="15"/>
  <c r="S72" i="15"/>
  <c r="M72" i="15"/>
  <c r="L72" i="15"/>
  <c r="E72" i="15"/>
  <c r="AA72" i="15"/>
  <c r="T72" i="15"/>
  <c r="AD53" i="5" l="1"/>
  <c r="AH53" i="5"/>
  <c r="AJ72" i="15"/>
  <c r="AK72" i="15"/>
  <c r="BZ72" i="15"/>
  <c r="CA72" i="15"/>
  <c r="BM72" i="15"/>
  <c r="BL72" i="15"/>
  <c r="DI72" i="15"/>
  <c r="DJ72" i="15"/>
  <c r="DB72" i="15"/>
  <c r="DC72" i="15"/>
  <c r="H72" i="15"/>
  <c r="I72" i="15"/>
  <c r="AF53" i="5"/>
  <c r="BJ53" i="5"/>
  <c r="BK53" i="5" s="1"/>
  <c r="AB53" i="5"/>
  <c r="BB53" i="5"/>
  <c r="BC53" i="5" s="1"/>
  <c r="AA53" i="5"/>
  <c r="AZ53" i="5"/>
  <c r="BA53" i="5" s="1"/>
  <c r="AG53" i="5"/>
  <c r="BL53" i="5"/>
  <c r="BM53" i="5" s="1"/>
  <c r="AC72" i="15"/>
  <c r="AD72" i="15"/>
  <c r="BE72" i="15"/>
  <c r="BF72" i="15"/>
  <c r="CU72" i="15"/>
  <c r="CV72" i="15"/>
  <c r="BF53" i="5"/>
  <c r="BG53" i="5" s="1"/>
  <c r="W72" i="15"/>
  <c r="V72" i="15"/>
  <c r="AR72" i="15"/>
  <c r="AQ72" i="15"/>
  <c r="DQ72" i="15"/>
  <c r="DP72" i="15"/>
  <c r="CG72" i="15"/>
  <c r="CH72" i="15"/>
  <c r="DW72" i="15"/>
  <c r="DX72" i="15"/>
  <c r="H54" i="5"/>
  <c r="Q54" i="5"/>
  <c r="V54" i="5"/>
  <c r="F54" i="5"/>
  <c r="D54" i="5"/>
  <c r="K54" i="5"/>
  <c r="T54" i="5"/>
  <c r="X54" i="5"/>
  <c r="B54" i="5"/>
  <c r="G54" i="5"/>
  <c r="I54" i="5"/>
  <c r="R54" i="5"/>
  <c r="AP54" i="5" s="1"/>
  <c r="AQ54" i="5" s="1"/>
  <c r="L54" i="5"/>
  <c r="AN54" i="5" s="1"/>
  <c r="AO54" i="5" s="1"/>
  <c r="A55" i="5"/>
  <c r="O54" i="5"/>
  <c r="P54" i="5"/>
  <c r="W54" i="5"/>
  <c r="M54" i="5"/>
  <c r="J54" i="5"/>
  <c r="C54" i="5"/>
  <c r="Y54" i="5"/>
  <c r="AL54" i="5" s="1"/>
  <c r="AM54" i="5" s="1"/>
  <c r="S54" i="5"/>
  <c r="AJ54" i="5" s="1"/>
  <c r="AK54" i="5" s="1"/>
  <c r="N54" i="5"/>
  <c r="E54" i="5"/>
  <c r="U54" i="5"/>
  <c r="BH53" i="5"/>
  <c r="BI53" i="5" s="1"/>
  <c r="BN53" i="5"/>
  <c r="BO53" i="5" s="1"/>
  <c r="O72" i="15"/>
  <c r="P72" i="15"/>
  <c r="BT72" i="15"/>
  <c r="BS72" i="15"/>
  <c r="AY72" i="15"/>
  <c r="AX72" i="15"/>
  <c r="EK72" i="15"/>
  <c r="EL72" i="15"/>
  <c r="CO72" i="15"/>
  <c r="CN72" i="15"/>
  <c r="EE72" i="15"/>
  <c r="ED72" i="15"/>
  <c r="EG73" i="15"/>
  <c r="DY73" i="15"/>
  <c r="DL73" i="15"/>
  <c r="DD73" i="15"/>
  <c r="CW73" i="15"/>
  <c r="EF73" i="15"/>
  <c r="A74" i="15"/>
  <c r="DR73" i="15"/>
  <c r="BU73" i="15"/>
  <c r="DZ73" i="15"/>
  <c r="EE73" i="15" s="1"/>
  <c r="DS73" i="15"/>
  <c r="CX73" i="15"/>
  <c r="DC73" i="15" s="1"/>
  <c r="CJ73" i="15"/>
  <c r="DK73" i="15"/>
  <c r="CQ73" i="15"/>
  <c r="BA73" i="15"/>
  <c r="AF73" i="15"/>
  <c r="K73" i="15"/>
  <c r="BN73" i="15"/>
  <c r="BH73" i="15"/>
  <c r="AT73" i="15"/>
  <c r="AM73" i="15"/>
  <c r="DE73" i="15"/>
  <c r="DJ73" i="15" s="1"/>
  <c r="CI73" i="15"/>
  <c r="CC73" i="15"/>
  <c r="BV73" i="15"/>
  <c r="BO73" i="15"/>
  <c r="BT73" i="15" s="1"/>
  <c r="AZ73" i="15"/>
  <c r="AE73" i="15"/>
  <c r="C73" i="15"/>
  <c r="J73" i="15"/>
  <c r="R73" i="15"/>
  <c r="CZ73" i="15"/>
  <c r="DB73" i="15" s="1"/>
  <c r="CP73" i="15"/>
  <c r="CB73" i="15"/>
  <c r="BG73" i="15"/>
  <c r="AS73" i="15"/>
  <c r="AL73" i="15"/>
  <c r="D73" i="15"/>
  <c r="Q73" i="15"/>
  <c r="EI73" i="15"/>
  <c r="EK73" i="15" s="1"/>
  <c r="DM73" i="15"/>
  <c r="CR73" i="15"/>
  <c r="CL73" i="15"/>
  <c r="CN73" i="15" s="1"/>
  <c r="EH73" i="15"/>
  <c r="EB73" i="15"/>
  <c r="DG73" i="15"/>
  <c r="DI73" i="15" s="1"/>
  <c r="CK73" i="15"/>
  <c r="EA73" i="15"/>
  <c r="DU73" i="15"/>
  <c r="DF73" i="15"/>
  <c r="CY73" i="15"/>
  <c r="DT73" i="15"/>
  <c r="DN73" i="15"/>
  <c r="CS73" i="15"/>
  <c r="CD73" i="15"/>
  <c r="BC73" i="15"/>
  <c r="BE73" i="15" s="1"/>
  <c r="AV73" i="15"/>
  <c r="AH73" i="15"/>
  <c r="Y73" i="15"/>
  <c r="BJ73" i="15"/>
  <c r="BB73" i="15"/>
  <c r="AU73" i="15"/>
  <c r="AG73" i="15"/>
  <c r="X73" i="15"/>
  <c r="Z73" i="15"/>
  <c r="BX73" i="15"/>
  <c r="BQ73" i="15"/>
  <c r="BI73" i="15"/>
  <c r="AO73" i="15"/>
  <c r="CE73" i="15"/>
  <c r="BW73" i="15"/>
  <c r="BP73" i="15"/>
  <c r="AN73" i="15"/>
  <c r="AA73" i="15"/>
  <c r="AC73" i="15" s="1"/>
  <c r="F73" i="15"/>
  <c r="T73" i="15"/>
  <c r="M73" i="15"/>
  <c r="S73" i="15"/>
  <c r="L73" i="15"/>
  <c r="E73" i="15"/>
  <c r="AC53" i="5"/>
  <c r="BD53" i="5"/>
  <c r="BE53" i="5" s="1"/>
  <c r="AE54" i="5" l="1"/>
  <c r="BF54" i="5"/>
  <c r="BG54" i="5" s="1"/>
  <c r="BN54" i="5"/>
  <c r="BO54" i="5" s="1"/>
  <c r="O73" i="15"/>
  <c r="AQ73" i="15"/>
  <c r="DP73" i="15"/>
  <c r="ED73" i="15"/>
  <c r="BS73" i="15"/>
  <c r="H73" i="15"/>
  <c r="BZ73" i="15"/>
  <c r="AJ73" i="15"/>
  <c r="DX73" i="15"/>
  <c r="AX73" i="15"/>
  <c r="DW73" i="15"/>
  <c r="CA73" i="15"/>
  <c r="CG73" i="15"/>
  <c r="CU73" i="15"/>
  <c r="I73" i="15"/>
  <c r="V73" i="15"/>
  <c r="BL73" i="15"/>
  <c r="AD73" i="15"/>
  <c r="W73" i="15"/>
  <c r="BM73" i="15"/>
  <c r="BF73" i="15"/>
  <c r="AA54" i="5"/>
  <c r="AZ54" i="5"/>
  <c r="BA54" i="5" s="1"/>
  <c r="AF54" i="5"/>
  <c r="BJ54" i="5"/>
  <c r="BK54" i="5" s="1"/>
  <c r="CV73" i="15"/>
  <c r="EF74" i="15"/>
  <c r="A75" i="15"/>
  <c r="CP74" i="15"/>
  <c r="CI74" i="15"/>
  <c r="CO74" i="15" s="1"/>
  <c r="CB74" i="15"/>
  <c r="DR74" i="15"/>
  <c r="DX74" i="15" s="1"/>
  <c r="CW74" i="15"/>
  <c r="DC74" i="15" s="1"/>
  <c r="DY74" i="15"/>
  <c r="DK74" i="15"/>
  <c r="BG74" i="15"/>
  <c r="AS74" i="15"/>
  <c r="AL74" i="15"/>
  <c r="AR74" i="15" s="1"/>
  <c r="DD74" i="15"/>
  <c r="DJ74" i="15" s="1"/>
  <c r="Q74" i="15"/>
  <c r="W74" i="15" s="1"/>
  <c r="CY74" i="15"/>
  <c r="BU74" i="15"/>
  <c r="CA74" i="15" s="1"/>
  <c r="BN74" i="15"/>
  <c r="AZ74" i="15"/>
  <c r="AE74" i="15"/>
  <c r="C74" i="15"/>
  <c r="I74" i="15" s="1"/>
  <c r="J74" i="15"/>
  <c r="P74" i="15" s="1"/>
  <c r="EA74" i="15"/>
  <c r="DS74" i="15"/>
  <c r="DN74" i="15"/>
  <c r="DF74" i="15"/>
  <c r="CS74" i="15"/>
  <c r="CZ74" i="15"/>
  <c r="EI74" i="15"/>
  <c r="DT74" i="15"/>
  <c r="DL74" i="15"/>
  <c r="CQ74" i="15"/>
  <c r="CL74" i="15"/>
  <c r="CX74" i="15"/>
  <c r="EG74" i="15"/>
  <c r="EB74" i="15"/>
  <c r="DM74" i="15"/>
  <c r="DG74" i="15"/>
  <c r="DI74" i="15" s="1"/>
  <c r="CR74" i="15"/>
  <c r="CJ74" i="15"/>
  <c r="CD74" i="15"/>
  <c r="EH74" i="15"/>
  <c r="DZ74" i="15"/>
  <c r="DU74" i="15"/>
  <c r="DE74" i="15"/>
  <c r="CK74" i="15"/>
  <c r="BV74" i="15"/>
  <c r="BO74" i="15"/>
  <c r="BI74" i="15"/>
  <c r="AM74" i="15"/>
  <c r="AA74" i="15"/>
  <c r="CE74" i="15"/>
  <c r="BW74" i="15"/>
  <c r="BP74" i="15"/>
  <c r="BC74" i="15"/>
  <c r="AV74" i="15"/>
  <c r="AN74" i="15"/>
  <c r="AH74" i="15"/>
  <c r="Y74" i="15"/>
  <c r="CC74" i="15"/>
  <c r="BJ74" i="15"/>
  <c r="BA74" i="15"/>
  <c r="AT74" i="15"/>
  <c r="AF74" i="15"/>
  <c r="BX74" i="15"/>
  <c r="BZ74" i="15" s="1"/>
  <c r="BQ74" i="15"/>
  <c r="BH74" i="15"/>
  <c r="BB74" i="15"/>
  <c r="AU74" i="15"/>
  <c r="AO74" i="15"/>
  <c r="AG74" i="15"/>
  <c r="S74" i="15"/>
  <c r="L74" i="15"/>
  <c r="Z74" i="15"/>
  <c r="X74" i="15"/>
  <c r="T74" i="15"/>
  <c r="M74" i="15"/>
  <c r="F74" i="15"/>
  <c r="R74" i="15"/>
  <c r="K74" i="15"/>
  <c r="D74" i="15"/>
  <c r="E74" i="15"/>
  <c r="DQ73" i="15"/>
  <c r="EL74" i="15"/>
  <c r="AY74" i="15"/>
  <c r="M55" i="5"/>
  <c r="W55" i="5"/>
  <c r="E55" i="5"/>
  <c r="L55" i="5"/>
  <c r="AN55" i="5" s="1"/>
  <c r="AO55" i="5" s="1"/>
  <c r="S55" i="5"/>
  <c r="AJ55" i="5" s="1"/>
  <c r="AK55" i="5" s="1"/>
  <c r="P55" i="5"/>
  <c r="T55" i="5"/>
  <c r="X55" i="5"/>
  <c r="B55" i="5"/>
  <c r="F55" i="5"/>
  <c r="D55" i="5"/>
  <c r="Y55" i="5"/>
  <c r="AL55" i="5" s="1"/>
  <c r="AM55" i="5" s="1"/>
  <c r="O55" i="5"/>
  <c r="V55" i="5"/>
  <c r="H55" i="5"/>
  <c r="Q55" i="5"/>
  <c r="A56" i="5"/>
  <c r="N55" i="5"/>
  <c r="C55" i="5"/>
  <c r="G55" i="5"/>
  <c r="R55" i="5"/>
  <c r="AP55" i="5" s="1"/>
  <c r="AQ55" i="5" s="1"/>
  <c r="U55" i="5"/>
  <c r="I55" i="5"/>
  <c r="K55" i="5"/>
  <c r="J55" i="5"/>
  <c r="AH54" i="5"/>
  <c r="CV74" i="15"/>
  <c r="BF74" i="15"/>
  <c r="AK74" i="15"/>
  <c r="AR73" i="15"/>
  <c r="P73" i="15"/>
  <c r="AG54" i="5"/>
  <c r="BL54" i="5"/>
  <c r="BM54" i="5" s="1"/>
  <c r="AB54" i="5"/>
  <c r="BB54" i="5"/>
  <c r="BC54" i="5" s="1"/>
  <c r="AD74" i="15"/>
  <c r="CH73" i="15"/>
  <c r="AY73" i="15"/>
  <c r="AK73" i="15"/>
  <c r="CO73" i="15"/>
  <c r="EL73" i="15"/>
  <c r="AC54" i="5"/>
  <c r="BD54" i="5"/>
  <c r="BE54" i="5" s="1"/>
  <c r="BH54" i="5"/>
  <c r="BI54" i="5" s="1"/>
  <c r="AD54" i="5"/>
  <c r="AH55" i="5" l="1"/>
  <c r="AE55" i="5"/>
  <c r="V74" i="15"/>
  <c r="DW74" i="15"/>
  <c r="BS74" i="15"/>
  <c r="BF55" i="5"/>
  <c r="BG55" i="5" s="1"/>
  <c r="H74" i="15"/>
  <c r="AC55" i="5"/>
  <c r="BD55" i="5"/>
  <c r="BE55" i="5" s="1"/>
  <c r="AB55" i="5"/>
  <c r="BB55" i="5"/>
  <c r="BC55" i="5" s="1"/>
  <c r="AQ74" i="15"/>
  <c r="AJ74" i="15"/>
  <c r="EE74" i="15"/>
  <c r="AA55" i="5"/>
  <c r="AZ55" i="5"/>
  <c r="BA55" i="5" s="1"/>
  <c r="AF55" i="5"/>
  <c r="BJ55" i="5"/>
  <c r="BK55" i="5" s="1"/>
  <c r="AD55" i="5"/>
  <c r="BN55" i="5"/>
  <c r="BO55" i="5" s="1"/>
  <c r="AG55" i="5"/>
  <c r="BL55" i="5"/>
  <c r="BM55" i="5" s="1"/>
  <c r="O74" i="15"/>
  <c r="BL74" i="15"/>
  <c r="CN74" i="15"/>
  <c r="EK74" i="15"/>
  <c r="DP74" i="15"/>
  <c r="CH74" i="15"/>
  <c r="BT74" i="15"/>
  <c r="AX74" i="15"/>
  <c r="CG74" i="15"/>
  <c r="ED74" i="15"/>
  <c r="DB74" i="15"/>
  <c r="DQ74" i="15"/>
  <c r="C56" i="5"/>
  <c r="Q56" i="5"/>
  <c r="W56" i="5"/>
  <c r="M56" i="5"/>
  <c r="E56" i="5"/>
  <c r="B56" i="5"/>
  <c r="P56" i="5"/>
  <c r="V56" i="5"/>
  <c r="F56" i="5"/>
  <c r="D56" i="5"/>
  <c r="S56" i="5"/>
  <c r="AJ56" i="5" s="1"/>
  <c r="AK56" i="5" s="1"/>
  <c r="O56" i="5"/>
  <c r="I56" i="5"/>
  <c r="K56" i="5"/>
  <c r="N56" i="5"/>
  <c r="X56" i="5"/>
  <c r="U56" i="5"/>
  <c r="H56" i="5"/>
  <c r="L56" i="5"/>
  <c r="AN56" i="5" s="1"/>
  <c r="AO56" i="5" s="1"/>
  <c r="Y56" i="5"/>
  <c r="AL56" i="5" s="1"/>
  <c r="AM56" i="5" s="1"/>
  <c r="A57" i="5"/>
  <c r="J56" i="5"/>
  <c r="T56" i="5"/>
  <c r="G56" i="5"/>
  <c r="R56" i="5"/>
  <c r="AP56" i="5" s="1"/>
  <c r="AQ56" i="5" s="1"/>
  <c r="BH55" i="5"/>
  <c r="BI55" i="5" s="1"/>
  <c r="BE74" i="15"/>
  <c r="AC74" i="15"/>
  <c r="CU74" i="15"/>
  <c r="DK75" i="15"/>
  <c r="EF75" i="15"/>
  <c r="DD75" i="15"/>
  <c r="CP75" i="15"/>
  <c r="A76" i="15"/>
  <c r="CI75" i="15"/>
  <c r="DR75" i="15"/>
  <c r="CW75" i="15"/>
  <c r="DY75" i="15"/>
  <c r="CB75" i="15"/>
  <c r="AZ75" i="15"/>
  <c r="BF75" i="15" s="1"/>
  <c r="AE75" i="15"/>
  <c r="C75" i="15"/>
  <c r="I75" i="15" s="1"/>
  <c r="J75" i="15"/>
  <c r="P75" i="15" s="1"/>
  <c r="BG75" i="15"/>
  <c r="AS75" i="15"/>
  <c r="AL75" i="15"/>
  <c r="CX75" i="15"/>
  <c r="Q75" i="15"/>
  <c r="CY75" i="15"/>
  <c r="BU75" i="15"/>
  <c r="BN75" i="15"/>
  <c r="CZ75" i="15"/>
  <c r="EH75" i="15"/>
  <c r="DZ75" i="15"/>
  <c r="DU75" i="15"/>
  <c r="DE75" i="15"/>
  <c r="CK75" i="15"/>
  <c r="EA75" i="15"/>
  <c r="DS75" i="15"/>
  <c r="DN75" i="15"/>
  <c r="DF75" i="15"/>
  <c r="CS75" i="15"/>
  <c r="EI75" i="15"/>
  <c r="DT75" i="15"/>
  <c r="DL75" i="15"/>
  <c r="CQ75" i="15"/>
  <c r="CL75" i="15"/>
  <c r="CC75" i="15"/>
  <c r="EG75" i="15"/>
  <c r="EB75" i="15"/>
  <c r="ED75" i="15" s="1"/>
  <c r="DM75" i="15"/>
  <c r="DG75" i="15"/>
  <c r="DI75" i="15" s="1"/>
  <c r="CR75" i="15"/>
  <c r="CJ75" i="15"/>
  <c r="CD75" i="15"/>
  <c r="BX75" i="15"/>
  <c r="BQ75" i="15"/>
  <c r="BH75" i="15"/>
  <c r="BB75" i="15"/>
  <c r="AU75" i="15"/>
  <c r="AO75" i="15"/>
  <c r="AG75" i="15"/>
  <c r="BV75" i="15"/>
  <c r="BO75" i="15"/>
  <c r="BI75" i="15"/>
  <c r="AM75" i="15"/>
  <c r="AA75" i="15"/>
  <c r="BW75" i="15"/>
  <c r="BP75" i="15"/>
  <c r="BC75" i="15"/>
  <c r="AV75" i="15"/>
  <c r="AN75" i="15"/>
  <c r="AH75" i="15"/>
  <c r="CE75" i="15"/>
  <c r="CG75" i="15" s="1"/>
  <c r="BJ75" i="15"/>
  <c r="BA75" i="15"/>
  <c r="AT75" i="15"/>
  <c r="AF75" i="15"/>
  <c r="X75" i="15"/>
  <c r="Z75" i="15"/>
  <c r="Y75" i="15"/>
  <c r="R75" i="15"/>
  <c r="K75" i="15"/>
  <c r="E75" i="15"/>
  <c r="S75" i="15"/>
  <c r="L75" i="15"/>
  <c r="F75" i="15"/>
  <c r="D75" i="15"/>
  <c r="T75" i="15"/>
  <c r="M75" i="15"/>
  <c r="O75" i="15" s="1"/>
  <c r="BM74" i="15"/>
  <c r="DB75" i="15" l="1"/>
  <c r="BH56" i="5"/>
  <c r="BI56" i="5" s="1"/>
  <c r="BN56" i="5"/>
  <c r="BO56" i="5" s="1"/>
  <c r="V75" i="15"/>
  <c r="H75" i="15"/>
  <c r="AD56" i="5"/>
  <c r="AJ75" i="15"/>
  <c r="AQ75" i="15"/>
  <c r="BS75" i="15"/>
  <c r="AY75" i="15"/>
  <c r="DC75" i="15"/>
  <c r="CV75" i="15"/>
  <c r="P57" i="5"/>
  <c r="C57" i="5"/>
  <c r="T57" i="5"/>
  <c r="X57" i="5"/>
  <c r="G57" i="5"/>
  <c r="I57" i="5"/>
  <c r="R57" i="5"/>
  <c r="AP57" i="5" s="1"/>
  <c r="AQ57" i="5" s="1"/>
  <c r="Y57" i="5"/>
  <c r="AL57" i="5" s="1"/>
  <c r="AM57" i="5" s="1"/>
  <c r="M57" i="5"/>
  <c r="E57" i="5"/>
  <c r="K57" i="5"/>
  <c r="O57" i="5"/>
  <c r="F57" i="5"/>
  <c r="U57" i="5"/>
  <c r="W57" i="5"/>
  <c r="V57" i="5"/>
  <c r="B57" i="5"/>
  <c r="BF57" i="5" s="1"/>
  <c r="BG57" i="5" s="1"/>
  <c r="D57" i="5"/>
  <c r="J57" i="5"/>
  <c r="Q57" i="5"/>
  <c r="S57" i="5"/>
  <c r="AJ57" i="5" s="1"/>
  <c r="AK57" i="5" s="1"/>
  <c r="H57" i="5"/>
  <c r="L57" i="5"/>
  <c r="AN57" i="5" s="1"/>
  <c r="AO57" i="5" s="1"/>
  <c r="A58" i="5"/>
  <c r="N57" i="5"/>
  <c r="AA56" i="5"/>
  <c r="AZ56" i="5"/>
  <c r="BA56" i="5" s="1"/>
  <c r="AE56" i="5"/>
  <c r="AC56" i="5"/>
  <c r="BD56" i="5"/>
  <c r="BE56" i="5" s="1"/>
  <c r="DQ75" i="15"/>
  <c r="BZ75" i="15"/>
  <c r="DP75" i="15"/>
  <c r="BM75" i="15"/>
  <c r="DJ75" i="15"/>
  <c r="AF56" i="5"/>
  <c r="BJ56" i="5"/>
  <c r="BK56" i="5" s="1"/>
  <c r="W75" i="15"/>
  <c r="BL75" i="15"/>
  <c r="AX75" i="15"/>
  <c r="AC75" i="15"/>
  <c r="CN75" i="15"/>
  <c r="EK75" i="15"/>
  <c r="DW75" i="15"/>
  <c r="CH75" i="15"/>
  <c r="CO75" i="15"/>
  <c r="EL75" i="15"/>
  <c r="AG56" i="5"/>
  <c r="BL56" i="5"/>
  <c r="BM56" i="5" s="1"/>
  <c r="AD75" i="15"/>
  <c r="BE75" i="15"/>
  <c r="CU75" i="15"/>
  <c r="CA75" i="15"/>
  <c r="AR75" i="15"/>
  <c r="EE75" i="15"/>
  <c r="EF76" i="15"/>
  <c r="EL76" i="15" s="1"/>
  <c r="DY76" i="15"/>
  <c r="A77" i="15"/>
  <c r="DR76" i="15"/>
  <c r="DX76" i="15" s="1"/>
  <c r="DK76" i="15"/>
  <c r="DQ76" i="15" s="1"/>
  <c r="BN76" i="15"/>
  <c r="BT76" i="15" s="1"/>
  <c r="DD76" i="15"/>
  <c r="DJ76" i="15" s="1"/>
  <c r="CP76" i="15"/>
  <c r="CV76" i="15" s="1"/>
  <c r="CI76" i="15"/>
  <c r="CO76" i="15" s="1"/>
  <c r="CB76" i="15"/>
  <c r="CH76" i="15" s="1"/>
  <c r="BU76" i="15"/>
  <c r="CA76" i="15" s="1"/>
  <c r="AZ76" i="15"/>
  <c r="BF76" i="15" s="1"/>
  <c r="AE76" i="15"/>
  <c r="AK76" i="15" s="1"/>
  <c r="C76" i="15"/>
  <c r="I76" i="15" s="1"/>
  <c r="J76" i="15"/>
  <c r="CZ76" i="15"/>
  <c r="CW76" i="15"/>
  <c r="DC76" i="15" s="1"/>
  <c r="BG76" i="15"/>
  <c r="BM76" i="15" s="1"/>
  <c r="AS76" i="15"/>
  <c r="AY76" i="15" s="1"/>
  <c r="AL76" i="15"/>
  <c r="AR76" i="15" s="1"/>
  <c r="CX76" i="15"/>
  <c r="EG76" i="15"/>
  <c r="EB76" i="15"/>
  <c r="DM76" i="15"/>
  <c r="DG76" i="15"/>
  <c r="CR76" i="15"/>
  <c r="CJ76" i="15"/>
  <c r="Q76" i="15"/>
  <c r="EH76" i="15"/>
  <c r="DZ76" i="15"/>
  <c r="DU76" i="15"/>
  <c r="DE76" i="15"/>
  <c r="CK76" i="15"/>
  <c r="EA76" i="15"/>
  <c r="DS76" i="15"/>
  <c r="DN76" i="15"/>
  <c r="DF76" i="15"/>
  <c r="CS76" i="15"/>
  <c r="CE76" i="15"/>
  <c r="CY76" i="15"/>
  <c r="EI76" i="15"/>
  <c r="DT76" i="15"/>
  <c r="DL76" i="15"/>
  <c r="CQ76" i="15"/>
  <c r="CL76" i="15"/>
  <c r="BJ76" i="15"/>
  <c r="BA76" i="15"/>
  <c r="AT76" i="15"/>
  <c r="AF76" i="15"/>
  <c r="X76" i="15"/>
  <c r="AD76" i="15" s="1"/>
  <c r="Z76" i="15"/>
  <c r="CC76" i="15"/>
  <c r="BX76" i="15"/>
  <c r="BQ76" i="15"/>
  <c r="BH76" i="15"/>
  <c r="BB76" i="15"/>
  <c r="AU76" i="15"/>
  <c r="AO76" i="15"/>
  <c r="AG76" i="15"/>
  <c r="CD76" i="15"/>
  <c r="BV76" i="15"/>
  <c r="BO76" i="15"/>
  <c r="BI76" i="15"/>
  <c r="AM76" i="15"/>
  <c r="BW76" i="15"/>
  <c r="BP76" i="15"/>
  <c r="BC76" i="15"/>
  <c r="BE76" i="15" s="1"/>
  <c r="AV76" i="15"/>
  <c r="AN76" i="15"/>
  <c r="AH76" i="15"/>
  <c r="Y76" i="15"/>
  <c r="T76" i="15"/>
  <c r="M76" i="15"/>
  <c r="F76" i="15"/>
  <c r="R76" i="15"/>
  <c r="K76" i="15"/>
  <c r="D76" i="15"/>
  <c r="E76" i="15"/>
  <c r="S76" i="15"/>
  <c r="L76" i="15"/>
  <c r="AA76" i="15"/>
  <c r="AB56" i="5"/>
  <c r="BB56" i="5"/>
  <c r="BC56" i="5" s="1"/>
  <c r="BF56" i="5"/>
  <c r="BG56" i="5" s="1"/>
  <c r="AH56" i="5"/>
  <c r="DX75" i="15"/>
  <c r="BT75" i="15"/>
  <c r="P76" i="15"/>
  <c r="AK75" i="15"/>
  <c r="AH57" i="5" l="1"/>
  <c r="AE57" i="5"/>
  <c r="AC76" i="15"/>
  <c r="CU76" i="15"/>
  <c r="CN76" i="15"/>
  <c r="AX76" i="15"/>
  <c r="EK76" i="15"/>
  <c r="H76" i="15"/>
  <c r="AJ76" i="15"/>
  <c r="AQ76" i="15"/>
  <c r="BS76" i="15"/>
  <c r="BL76" i="15"/>
  <c r="AD57" i="5"/>
  <c r="BN57" i="5"/>
  <c r="BO57" i="5" s="1"/>
  <c r="O76" i="15"/>
  <c r="BZ76" i="15"/>
  <c r="DI76" i="15"/>
  <c r="H58" i="5"/>
  <c r="P58" i="5"/>
  <c r="W58" i="5"/>
  <c r="V58" i="5"/>
  <c r="F58" i="5"/>
  <c r="D58" i="5"/>
  <c r="K58" i="5"/>
  <c r="C58" i="5"/>
  <c r="Q58" i="5"/>
  <c r="AH58" i="5" s="1"/>
  <c r="M58" i="5"/>
  <c r="G58" i="5"/>
  <c r="I58" i="5"/>
  <c r="A59" i="5"/>
  <c r="O58" i="5"/>
  <c r="T58" i="5"/>
  <c r="E58" i="5"/>
  <c r="R58" i="5"/>
  <c r="AP58" i="5" s="1"/>
  <c r="AQ58" i="5" s="1"/>
  <c r="L58" i="5"/>
  <c r="AN58" i="5" s="1"/>
  <c r="AO58" i="5" s="1"/>
  <c r="J58" i="5"/>
  <c r="X58" i="5"/>
  <c r="B58" i="5"/>
  <c r="BF58" i="5" s="1"/>
  <c r="BG58" i="5" s="1"/>
  <c r="N58" i="5"/>
  <c r="Y58" i="5"/>
  <c r="AL58" i="5" s="1"/>
  <c r="AM58" i="5" s="1"/>
  <c r="S58" i="5"/>
  <c r="AJ58" i="5" s="1"/>
  <c r="AK58" i="5" s="1"/>
  <c r="U58" i="5"/>
  <c r="AF57" i="5"/>
  <c r="BJ57" i="5"/>
  <c r="BK57" i="5" s="1"/>
  <c r="BH57" i="5"/>
  <c r="BI57" i="5" s="1"/>
  <c r="EE76" i="15"/>
  <c r="V76" i="15"/>
  <c r="DP76" i="15"/>
  <c r="DB76" i="15"/>
  <c r="AG57" i="5"/>
  <c r="BL57" i="5"/>
  <c r="BM57" i="5" s="1"/>
  <c r="CG76" i="15"/>
  <c r="DW76" i="15"/>
  <c r="ED76" i="15"/>
  <c r="DY77" i="15"/>
  <c r="DY79" i="15" s="1"/>
  <c r="DD77" i="15"/>
  <c r="DD79" i="15" s="1"/>
  <c r="CW77" i="15"/>
  <c r="EF77" i="15"/>
  <c r="BU77" i="15"/>
  <c r="BU79" i="15" s="1"/>
  <c r="DK77" i="15"/>
  <c r="CP77" i="15"/>
  <c r="CP79" i="15" s="1"/>
  <c r="DR77" i="15"/>
  <c r="BN77" i="15"/>
  <c r="CB77" i="15"/>
  <c r="CB79" i="15" s="1"/>
  <c r="CX77" i="15"/>
  <c r="AZ77" i="15"/>
  <c r="AE77" i="15"/>
  <c r="AE79" i="15" s="1"/>
  <c r="C77" i="15"/>
  <c r="C79" i="15" s="1"/>
  <c r="J77" i="15"/>
  <c r="J79" i="15" s="1"/>
  <c r="CI77" i="15"/>
  <c r="BG77" i="15"/>
  <c r="AS77" i="15"/>
  <c r="AL77" i="15"/>
  <c r="EI77" i="15"/>
  <c r="DT77" i="15"/>
  <c r="DL77" i="15"/>
  <c r="DE77" i="15"/>
  <c r="CL77" i="15"/>
  <c r="EG77" i="15"/>
  <c r="EB77" i="15"/>
  <c r="DM77" i="15"/>
  <c r="CR77" i="15"/>
  <c r="CJ77" i="15"/>
  <c r="Q77" i="15"/>
  <c r="Q79" i="15" s="1"/>
  <c r="CY77" i="15"/>
  <c r="EH77" i="15"/>
  <c r="DZ77" i="15"/>
  <c r="DU77" i="15"/>
  <c r="CS77" i="15"/>
  <c r="CK77" i="15"/>
  <c r="CC77" i="15"/>
  <c r="CZ77" i="15"/>
  <c r="EA77" i="15"/>
  <c r="DS77" i="15"/>
  <c r="DN77" i="15"/>
  <c r="DP77" i="15" s="1"/>
  <c r="DG77" i="15"/>
  <c r="DF77" i="15"/>
  <c r="CQ77" i="15"/>
  <c r="CD77" i="15"/>
  <c r="BW77" i="15"/>
  <c r="BQ77" i="15"/>
  <c r="BP77" i="15"/>
  <c r="BH77" i="15"/>
  <c r="BC77" i="15"/>
  <c r="AV77" i="15"/>
  <c r="AN77" i="15"/>
  <c r="AA77" i="15"/>
  <c r="CE77" i="15"/>
  <c r="CG77" i="15" s="1"/>
  <c r="BO77" i="15"/>
  <c r="BA77" i="15"/>
  <c r="AT77" i="15"/>
  <c r="Y77" i="15"/>
  <c r="Z77" i="15"/>
  <c r="BX77" i="15"/>
  <c r="BB77" i="15"/>
  <c r="AU77" i="15"/>
  <c r="AO77" i="15"/>
  <c r="AH77" i="15"/>
  <c r="AG77" i="15"/>
  <c r="BV77" i="15"/>
  <c r="BJ77" i="15"/>
  <c r="BI77" i="15"/>
  <c r="AM77" i="15"/>
  <c r="AF77" i="15"/>
  <c r="K77" i="15"/>
  <c r="D77" i="15"/>
  <c r="T77" i="15"/>
  <c r="R77" i="15"/>
  <c r="X77" i="15"/>
  <c r="X79" i="15" s="1"/>
  <c r="E77" i="15"/>
  <c r="S77" i="15"/>
  <c r="M77" i="15"/>
  <c r="L77" i="15"/>
  <c r="F77" i="15"/>
  <c r="H77" i="15" s="1"/>
  <c r="W76" i="15"/>
  <c r="AB57" i="5"/>
  <c r="BB57" i="5"/>
  <c r="BC57" i="5" s="1"/>
  <c r="AA57" i="5"/>
  <c r="AZ57" i="5"/>
  <c r="BA57" i="5" s="1"/>
  <c r="AC57" i="5"/>
  <c r="BD57" i="5"/>
  <c r="BE57" i="5" s="1"/>
  <c r="BH58" i="5" l="1"/>
  <c r="BI58" i="5" s="1"/>
  <c r="AC77" i="15"/>
  <c r="BZ77" i="15"/>
  <c r="AX77" i="15"/>
  <c r="CU77" i="15"/>
  <c r="I77" i="15"/>
  <c r="BL77" i="15"/>
  <c r="AJ77" i="15"/>
  <c r="AQ77" i="15"/>
  <c r="AL79" i="15"/>
  <c r="AR77" i="15"/>
  <c r="CW79" i="15"/>
  <c r="DC77" i="15"/>
  <c r="AE58" i="5"/>
  <c r="AA58" i="5"/>
  <c r="AZ58" i="5"/>
  <c r="BA58" i="5" s="1"/>
  <c r="AC58" i="5"/>
  <c r="BD58" i="5"/>
  <c r="BE58" i="5" s="1"/>
  <c r="AF58" i="5"/>
  <c r="BJ58" i="5"/>
  <c r="BK58" i="5" s="1"/>
  <c r="P77" i="15"/>
  <c r="O77" i="15"/>
  <c r="BE77" i="15"/>
  <c r="DI77" i="15"/>
  <c r="DB77" i="15"/>
  <c r="DW77" i="15"/>
  <c r="ED77" i="15"/>
  <c r="AS79" i="15"/>
  <c r="AY77" i="15"/>
  <c r="DK79" i="15"/>
  <c r="DQ77" i="15"/>
  <c r="DJ77" i="15"/>
  <c r="AG58" i="5"/>
  <c r="BL58" i="5"/>
  <c r="BM58" i="5" s="1"/>
  <c r="W77" i="15"/>
  <c r="V77" i="15"/>
  <c r="BG79" i="15"/>
  <c r="BM77" i="15"/>
  <c r="BN79" i="15"/>
  <c r="BT77" i="15"/>
  <c r="CV77" i="15"/>
  <c r="CA77" i="15"/>
  <c r="AB58" i="5"/>
  <c r="BB58" i="5"/>
  <c r="BC58" i="5" s="1"/>
  <c r="BN58" i="5"/>
  <c r="BO58" i="5" s="1"/>
  <c r="CH77" i="15"/>
  <c r="EE77" i="15"/>
  <c r="BS77" i="15"/>
  <c r="CN77" i="15"/>
  <c r="EK77" i="15"/>
  <c r="CI79" i="15"/>
  <c r="CO77" i="15"/>
  <c r="AZ79" i="15"/>
  <c r="BF77" i="15"/>
  <c r="DR79" i="15"/>
  <c r="DX77" i="15"/>
  <c r="EF79" i="15"/>
  <c r="EL77" i="15"/>
  <c r="AK77" i="15"/>
  <c r="M59" i="5"/>
  <c r="H59" i="5"/>
  <c r="Q59" i="5"/>
  <c r="T59" i="5"/>
  <c r="X59" i="5"/>
  <c r="B59" i="5"/>
  <c r="G59" i="5"/>
  <c r="I59" i="5"/>
  <c r="K59" i="5"/>
  <c r="L59" i="5"/>
  <c r="AN59" i="5" s="1"/>
  <c r="AO59" i="5" s="1"/>
  <c r="S59" i="5"/>
  <c r="AJ59" i="5" s="1"/>
  <c r="AK59" i="5" s="1"/>
  <c r="C59" i="5"/>
  <c r="V59" i="5"/>
  <c r="R59" i="5"/>
  <c r="AP59" i="5" s="1"/>
  <c r="AQ59" i="5" s="1"/>
  <c r="O59" i="5"/>
  <c r="Y59" i="5"/>
  <c r="AL59" i="5" s="1"/>
  <c r="AM59" i="5" s="1"/>
  <c r="A60" i="5"/>
  <c r="P59" i="5"/>
  <c r="E59" i="5"/>
  <c r="F59" i="5"/>
  <c r="AD59" i="5" s="1"/>
  <c r="N59" i="5"/>
  <c r="W59" i="5"/>
  <c r="D59" i="5"/>
  <c r="U59" i="5"/>
  <c r="J59" i="5"/>
  <c r="AD58" i="5"/>
  <c r="AD77" i="15"/>
  <c r="BN59" i="5" l="1"/>
  <c r="BO59" i="5" s="1"/>
  <c r="AE59" i="5"/>
  <c r="BF59" i="5"/>
  <c r="BG59" i="5" s="1"/>
  <c r="C60" i="5"/>
  <c r="Q60" i="5"/>
  <c r="W60" i="5"/>
  <c r="E60" i="5"/>
  <c r="B60" i="5"/>
  <c r="H60" i="5"/>
  <c r="O60" i="5"/>
  <c r="S60" i="5"/>
  <c r="G60" i="5"/>
  <c r="N60" i="5"/>
  <c r="M60" i="5"/>
  <c r="T60" i="5"/>
  <c r="I60" i="5"/>
  <c r="K60" i="5"/>
  <c r="A61" i="5"/>
  <c r="U60" i="5"/>
  <c r="P60" i="5"/>
  <c r="V60" i="5"/>
  <c r="F60" i="5"/>
  <c r="J60" i="5"/>
  <c r="X60" i="5"/>
  <c r="D60" i="5"/>
  <c r="L60" i="5"/>
  <c r="R60" i="5"/>
  <c r="Y60" i="5"/>
  <c r="AF59" i="5"/>
  <c r="BJ59" i="5"/>
  <c r="BK59" i="5" s="1"/>
  <c r="BH59" i="5"/>
  <c r="BI59" i="5" s="1"/>
  <c r="AC59" i="5"/>
  <c r="BD59" i="5"/>
  <c r="BE59" i="5" s="1"/>
  <c r="AA59" i="5"/>
  <c r="AZ59" i="5"/>
  <c r="BA59" i="5" s="1"/>
  <c r="AG59" i="5"/>
  <c r="BL59" i="5"/>
  <c r="BM59" i="5" s="1"/>
  <c r="AB59" i="5"/>
  <c r="BB59" i="5"/>
  <c r="BC59" i="5" s="1"/>
  <c r="AH59" i="5"/>
  <c r="AD60" i="5" l="1"/>
  <c r="BH60" i="5"/>
  <c r="BI60" i="5" s="1"/>
  <c r="BN60" i="5"/>
  <c r="BO60" i="5" s="1"/>
  <c r="P61" i="5"/>
  <c r="M61" i="5"/>
  <c r="T61" i="5"/>
  <c r="X61" i="5"/>
  <c r="G61" i="5"/>
  <c r="I61" i="5"/>
  <c r="V61" i="5"/>
  <c r="E61" i="5"/>
  <c r="F61" i="5"/>
  <c r="D61" i="5"/>
  <c r="H61" i="5"/>
  <c r="Q61" i="5"/>
  <c r="W61" i="5"/>
  <c r="O61" i="5"/>
  <c r="Y61" i="5"/>
  <c r="U61" i="5"/>
  <c r="L61" i="5"/>
  <c r="R61" i="5"/>
  <c r="J61" i="5"/>
  <c r="K61" i="5"/>
  <c r="A62" i="5"/>
  <c r="C61" i="5"/>
  <c r="B61" i="5"/>
  <c r="N61" i="5"/>
  <c r="S61" i="5"/>
  <c r="AG60" i="5"/>
  <c r="BL60" i="5"/>
  <c r="BM60" i="5" s="1"/>
  <c r="AB60" i="5"/>
  <c r="BB60" i="5"/>
  <c r="BC60" i="5" s="1"/>
  <c r="AF60" i="5"/>
  <c r="BJ60" i="5"/>
  <c r="BK60" i="5" s="1"/>
  <c r="AH60" i="5"/>
  <c r="AA60" i="5"/>
  <c r="AZ60" i="5"/>
  <c r="BA60" i="5" s="1"/>
  <c r="BF60" i="5"/>
  <c r="BG60" i="5" s="1"/>
  <c r="AC60" i="5"/>
  <c r="BD60" i="5"/>
  <c r="BE60" i="5" s="1"/>
  <c r="AE60" i="5"/>
  <c r="AH61" i="5" l="1"/>
  <c r="BF61" i="5"/>
  <c r="BG61" i="5" s="1"/>
  <c r="AE61" i="5"/>
  <c r="BH61" i="5"/>
  <c r="BI61" i="5" s="1"/>
  <c r="AF61" i="5"/>
  <c r="BJ61" i="5"/>
  <c r="BK61" i="5" s="1"/>
  <c r="AC61" i="5"/>
  <c r="BD61" i="5"/>
  <c r="BE61" i="5" s="1"/>
  <c r="AB61" i="5"/>
  <c r="BB61" i="5"/>
  <c r="BC61" i="5" s="1"/>
  <c r="AA61" i="5"/>
  <c r="AZ61" i="5"/>
  <c r="BA61" i="5" s="1"/>
  <c r="H62" i="5"/>
  <c r="C62" i="5"/>
  <c r="V62" i="5"/>
  <c r="F62" i="5"/>
  <c r="D62" i="5"/>
  <c r="K62" i="5"/>
  <c r="W62" i="5"/>
  <c r="T62" i="5"/>
  <c r="X62" i="5"/>
  <c r="B62" i="5"/>
  <c r="A63" i="5"/>
  <c r="O62" i="5"/>
  <c r="R62" i="5"/>
  <c r="J62" i="5"/>
  <c r="Y62" i="5"/>
  <c r="S62" i="5"/>
  <c r="G62" i="5"/>
  <c r="L62" i="5"/>
  <c r="M62" i="5"/>
  <c r="E62" i="5"/>
  <c r="I62" i="5"/>
  <c r="N62" i="5"/>
  <c r="P62" i="5"/>
  <c r="Q62" i="5"/>
  <c r="U62" i="5"/>
  <c r="AG61" i="5"/>
  <c r="BL61" i="5"/>
  <c r="BM61" i="5" s="1"/>
  <c r="AD61" i="5"/>
  <c r="BN61" i="5"/>
  <c r="BO61" i="5" s="1"/>
  <c r="AE62" i="5" l="1"/>
  <c r="BF62" i="5"/>
  <c r="BG62" i="5" s="1"/>
  <c r="BN62" i="5"/>
  <c r="BO62" i="5" s="1"/>
  <c r="M63" i="5"/>
  <c r="P63" i="5"/>
  <c r="W63" i="5"/>
  <c r="E63" i="5"/>
  <c r="F63" i="5"/>
  <c r="D63" i="5"/>
  <c r="O63" i="5"/>
  <c r="L63" i="5"/>
  <c r="C63" i="5"/>
  <c r="H63" i="5"/>
  <c r="Q63" i="5"/>
  <c r="X63" i="5"/>
  <c r="B63" i="5"/>
  <c r="N63" i="5"/>
  <c r="R63" i="5"/>
  <c r="Y63" i="5"/>
  <c r="S63" i="5"/>
  <c r="T63" i="5"/>
  <c r="G63" i="5"/>
  <c r="U63" i="5"/>
  <c r="V63" i="5"/>
  <c r="I63" i="5"/>
  <c r="K63" i="5"/>
  <c r="A64" i="5"/>
  <c r="J63" i="5"/>
  <c r="AG62" i="5"/>
  <c r="BL62" i="5"/>
  <c r="BM62" i="5" s="1"/>
  <c r="AF62" i="5"/>
  <c r="BJ62" i="5"/>
  <c r="BK62" i="5" s="1"/>
  <c r="AC62" i="5"/>
  <c r="BD62" i="5"/>
  <c r="BE62" i="5" s="1"/>
  <c r="AA62" i="5"/>
  <c r="AZ62" i="5"/>
  <c r="BA62" i="5" s="1"/>
  <c r="BH62" i="5"/>
  <c r="BI62" i="5" s="1"/>
  <c r="AB62" i="5"/>
  <c r="BB62" i="5"/>
  <c r="BC62" i="5" s="1"/>
  <c r="AH62" i="5"/>
  <c r="AD62" i="5"/>
  <c r="BF63" i="5" l="1"/>
  <c r="BG63" i="5" s="1"/>
  <c r="AH63" i="5"/>
  <c r="BH63" i="5"/>
  <c r="BI63" i="5" s="1"/>
  <c r="AE63" i="5"/>
  <c r="C64" i="5"/>
  <c r="Q64" i="5"/>
  <c r="W64" i="5"/>
  <c r="H64" i="5"/>
  <c r="E64" i="5"/>
  <c r="B64" i="5"/>
  <c r="P64" i="5"/>
  <c r="T64" i="5"/>
  <c r="X64" i="5"/>
  <c r="G64" i="5"/>
  <c r="I64" i="5"/>
  <c r="K64" i="5"/>
  <c r="O64" i="5"/>
  <c r="S64" i="5"/>
  <c r="V64" i="5"/>
  <c r="D64" i="5"/>
  <c r="A65" i="5"/>
  <c r="A66" i="5" s="1"/>
  <c r="N64" i="5"/>
  <c r="U64" i="5"/>
  <c r="J64" i="5"/>
  <c r="L64" i="5"/>
  <c r="R64" i="5"/>
  <c r="Y64" i="5"/>
  <c r="M64" i="5"/>
  <c r="F64" i="5"/>
  <c r="AG63" i="5"/>
  <c r="BL63" i="5"/>
  <c r="BM63" i="5" s="1"/>
  <c r="AA63" i="5"/>
  <c r="AZ63" i="5"/>
  <c r="BA63" i="5" s="1"/>
  <c r="AB63" i="5"/>
  <c r="BB63" i="5"/>
  <c r="BC63" i="5" s="1"/>
  <c r="BN63" i="5"/>
  <c r="BO63" i="5" s="1"/>
  <c r="AF63" i="5"/>
  <c r="BJ63" i="5"/>
  <c r="BK63" i="5" s="1"/>
  <c r="AC63" i="5"/>
  <c r="BD63" i="5"/>
  <c r="BE63" i="5" s="1"/>
  <c r="AD63" i="5"/>
  <c r="AH64" i="5" l="1"/>
  <c r="AD64" i="5"/>
  <c r="AF64" i="5"/>
  <c r="BJ64" i="5"/>
  <c r="BK64" i="5" s="1"/>
  <c r="BJ66" i="5"/>
  <c r="BK66" i="5" s="1"/>
  <c r="BJ68" i="5"/>
  <c r="BK68" i="5" s="1"/>
  <c r="BJ65" i="5"/>
  <c r="BK65" i="5" s="1"/>
  <c r="BJ67" i="5"/>
  <c r="BK67" i="5" s="1"/>
  <c r="AA64" i="5"/>
  <c r="AZ64" i="5"/>
  <c r="BA64" i="5" s="1"/>
  <c r="AZ68" i="5"/>
  <c r="BA68" i="5" s="1"/>
  <c r="AZ66" i="5"/>
  <c r="BA66" i="5" s="1"/>
  <c r="AZ65" i="5"/>
  <c r="BA65" i="5" s="1"/>
  <c r="AZ67" i="5"/>
  <c r="BA67" i="5" s="1"/>
  <c r="BN68" i="5"/>
  <c r="BO68" i="5" s="1"/>
  <c r="BN64" i="5"/>
  <c r="BO64" i="5" s="1"/>
  <c r="BN67" i="5"/>
  <c r="BO67" i="5" s="1"/>
  <c r="BN65" i="5"/>
  <c r="BO65" i="5" s="1"/>
  <c r="BN66" i="5"/>
  <c r="BO66" i="5" s="1"/>
  <c r="AG64" i="5"/>
  <c r="BL67" i="5"/>
  <c r="BM67" i="5" s="1"/>
  <c r="BL66" i="5"/>
  <c r="BM66" i="5" s="1"/>
  <c r="BL65" i="5"/>
  <c r="BM65" i="5" s="1"/>
  <c r="BL64" i="5"/>
  <c r="BM64" i="5" s="1"/>
  <c r="BL68" i="5"/>
  <c r="BM68" i="5" s="1"/>
  <c r="BF67" i="5"/>
  <c r="BG67" i="5" s="1"/>
  <c r="BF68" i="5"/>
  <c r="BG68" i="5" s="1"/>
  <c r="BF66" i="5"/>
  <c r="BG66" i="5" s="1"/>
  <c r="BF64" i="5"/>
  <c r="BG64" i="5" s="1"/>
  <c r="BF65" i="5"/>
  <c r="BG65" i="5" s="1"/>
  <c r="BH66" i="5"/>
  <c r="BI66" i="5" s="1"/>
  <c r="BH68" i="5"/>
  <c r="BI68" i="5" s="1"/>
  <c r="BH64" i="5"/>
  <c r="BI64" i="5" s="1"/>
  <c r="BH65" i="5"/>
  <c r="BI65" i="5" s="1"/>
  <c r="BH67" i="5"/>
  <c r="BI67" i="5" s="1"/>
  <c r="AE64" i="5"/>
  <c r="AC64" i="5"/>
  <c r="BD68" i="5"/>
  <c r="BE68" i="5" s="1"/>
  <c r="BD64" i="5"/>
  <c r="BE64" i="5" s="1"/>
  <c r="BD65" i="5"/>
  <c r="BE65" i="5" s="1"/>
  <c r="BD66" i="5"/>
  <c r="BE66" i="5" s="1"/>
  <c r="BD67" i="5"/>
  <c r="BE67" i="5" s="1"/>
  <c r="AB64" i="5"/>
  <c r="BB68" i="5"/>
  <c r="BC68" i="5" s="1"/>
  <c r="BB66" i="5"/>
  <c r="BC66" i="5" s="1"/>
  <c r="BB65" i="5"/>
  <c r="BC65" i="5" s="1"/>
  <c r="BB64" i="5"/>
  <c r="BC64" i="5" s="1"/>
  <c r="BB67" i="5"/>
  <c r="BC6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Q42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Did I mis-lable this? Probably- SN-10 Low A is the only other extra larvae from 5/20
</t>
        </r>
      </text>
    </comment>
    <comment ref="Q44" authorId="0" shapeId="0" xr:uid="{00000000-0006-0000-0000-000002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Where did this larvae go?</t>
        </r>
      </text>
    </comment>
    <comment ref="A63" authorId="0" shapeId="0" xr:uid="{00000000-0006-0000-0000-000003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Screened larvae, re-counted stocking densities in buckets
</t>
        </r>
      </text>
    </comment>
    <comment ref="O127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Mistakenly stocked 37,800, thought I had stocked 17,000. Spreadhsset error.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B818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18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19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19" authorId="0" shapeId="0" xr:uid="{00000000-0006-0000-01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B838" authorId="0" shapeId="0" xr:uid="{00000000-0006-0000-0100-000005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38" authorId="0" shapeId="0" xr:uid="{00000000-0006-0000-01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39" authorId="0" shapeId="0" xr:uid="{00000000-0006-0000-01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39" authorId="0" shapeId="0" xr:uid="{00000000-0006-0000-01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0" authorId="0" shapeId="0" xr:uid="{00000000-0006-0000-0100-000009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0" authorId="0" shapeId="0" xr:uid="{00000000-0006-0000-01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1" authorId="0" shapeId="0" xr:uid="{00000000-0006-0000-0100-00000B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1" authorId="0" shapeId="0" xr:uid="{00000000-0006-0000-0100-00000C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3" authorId="0" shapeId="0" xr:uid="{00000000-0006-0000-0100-00000D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53" authorId="0" shapeId="0" xr:uid="{00000000-0006-0000-0100-00000E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B858" authorId="0" shapeId="0" xr:uid="{00000000-0006-0000-0100-00000F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8" authorId="0" shapeId="0" xr:uid="{00000000-0006-0000-0100-000010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9" authorId="0" shapeId="0" xr:uid="{00000000-0006-0000-0100-00001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9" authorId="0" shapeId="0" xr:uid="{00000000-0006-0000-0100-00001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78" authorId="0" shapeId="0" xr:uid="{00000000-0006-0000-0100-00001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4" authorId="0" shapeId="0" xr:uid="{00000000-0006-0000-0100-00001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I98" authorId="0" shapeId="0" xr:uid="{00000000-0006-0000-02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 shapeId="0" xr:uid="{00000000-0006-0000-02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A92" authorId="0" shapeId="0" xr:uid="{00000000-0006-0000-0C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These were originally bag measurements for eelgrass outplant, but high mortality occurred. Had to re-do bags (see blow)
</t>
        </r>
      </text>
    </comment>
    <comment ref="S117" authorId="0" shapeId="0" xr:uid="{00000000-0006-0000-0C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<sst xmlns="http://schemas.openxmlformats.org/spreadsheetml/2006/main" count="4361" uniqueCount="495">
  <si>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</si>
  <si>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</si>
  <si>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</si>
  <si>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</si>
  <si>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</si>
  <si>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</si>
  <si>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</si>
  <si>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</si>
  <si>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</si>
  <si>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</si>
  <si>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</si>
  <si>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</si>
  <si>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</si>
  <si>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</si>
  <si>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</si>
  <si>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</si>
  <si>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</si>
  <si>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</si>
  <si>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</si>
  <si>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</si>
  <si>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</si>
  <si>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</si>
  <si>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</si>
  <si>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</si>
  <si>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</si>
  <si>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</si>
  <si>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</si>
  <si>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</si>
  <si>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</si>
  <si>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</si>
  <si>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</si>
  <si>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</si>
  <si>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</si>
  <si>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</si>
  <si>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</si>
  <si>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</si>
  <si>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</si>
  <si>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</si>
  <si>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</si>
  <si>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</si>
  <si>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</si>
  <si>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</si>
  <si>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</si>
  <si>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</si>
  <si>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</si>
  <si>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</si>
  <si>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</si>
  <si>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</si>
  <si>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</si>
  <si>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</si>
  <si>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</si>
  <si>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</si>
  <si>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</si>
  <si>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</si>
  <si>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</si>
  <si>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</si>
  <si>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</si>
  <si>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</si>
  <si>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</si>
  <si>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</si>
  <si>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</si>
  <si>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</si>
  <si>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</si>
  <si>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</si>
  <si>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</si>
  <si>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</si>
  <si>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</si>
  <si>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</si>
  <si>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</si>
  <si>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</si>
  <si>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</si>
  <si>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</si>
  <si>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</si>
  <si>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</si>
  <si>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</si>
  <si>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</si>
  <si>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</si>
  <si>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</si>
  <si>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</si>
  <si>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</si>
  <si>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</si>
  <si>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</si>
  <si>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</si>
  <si>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</si>
  <si>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</si>
  <si>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</si>
  <si>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</si>
  <si>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</si>
  <si>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</si>
  <si>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</si>
  <si>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</si>
  <si>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</si>
  <si>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</si>
  <si>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</si>
  <si>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</si>
  <si>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</si>
  <si>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</si>
  <si>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</si>
  <si>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</si>
  <si>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</si>
  <si>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</si>
  <si>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</si>
  <si>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</si>
  <si>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</si>
  <si>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</si>
  <si>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</si>
  <si>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</si>
  <si>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</si>
  <si>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</si>
  <si>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</si>
  <si>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</si>
  <si>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</si>
  <si>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</si>
  <si>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</si>
  <si>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</si>
  <si>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</si>
  <si>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</si>
  <si>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</si>
  <si>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</si>
  <si>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</si>
  <si>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</si>
  <si>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</si>
  <si>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</si>
  <si>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</si>
  <si>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</si>
  <si>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</si>
  <si>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</si>
  <si>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</si>
  <si>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</si>
  <si>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</si>
  <si>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</si>
  <si>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</si>
  <si>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</si>
  <si>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</si>
  <si>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</si>
  <si>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</si>
  <si>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</si>
  <si>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</si>
  <si>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</si>
  <si>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</si>
  <si>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</si>
  <si>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</si>
  <si>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</si>
  <si>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</si>
  <si>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</si>
  <si>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</si>
  <si>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</si>
  <si>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</si>
  <si>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</si>
  <si>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</si>
  <si>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</si>
  <si>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</si>
  <si>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</si>
  <si>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</si>
  <si>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</si>
  <si>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</si>
  <si>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</si>
  <si>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</si>
  <si>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</si>
  <si>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</si>
  <si>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</si>
  <si>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</si>
  <si>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</si>
  <si>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</si>
  <si>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</si>
  <si>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</si>
  <si>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</si>
  <si>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</si>
  <si>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</si>
  <si>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</si>
  <si>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</si>
  <si>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</si>
  <si>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</si>
  <si>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</si>
  <si>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</si>
  <si>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</si>
  <si>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</si>
  <si>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</si>
  <si>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</si>
  <si>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</si>
  <si>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</si>
  <si>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</si>
  <si>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</si>
  <si>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</si>
  <si>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</si>
  <si>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</si>
  <si>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</si>
  <si>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</si>
  <si>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</si>
  <si>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</si>
  <si>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</si>
  <si>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</si>
  <si>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</si>
  <si>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</si>
  <si>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</si>
  <si>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</si>
  <si>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</si>
  <si>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</si>
  <si>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</si>
  <si>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</si>
  <si>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</si>
  <si>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</si>
  <si>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</si>
  <si>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</si>
  <si>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</si>
  <si>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</si>
  <si>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</si>
  <si>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</si>
  <si>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</si>
  <si>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</si>
  <si>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</si>
  <si>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</si>
  <si>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</si>
  <si>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</si>
  <si>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</si>
  <si>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</si>
  <si>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</si>
  <si>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</si>
  <si>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</si>
  <si>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</si>
  <si>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</si>
  <si>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</si>
  <si>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</si>
  <si>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</si>
  <si>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</si>
  <si>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</si>
  <si>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</si>
  <si>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</si>
  <si>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</si>
  <si>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</si>
  <si>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</si>
  <si>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</si>
  <si>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</si>
  <si>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</si>
  <si>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</si>
  <si>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</si>
  <si>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</si>
  <si>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</si>
  <si>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</si>
  <si>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</si>
  <si>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</si>
  <si>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</si>
  <si>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</si>
  <si>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</si>
  <si>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</si>
  <si>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</si>
  <si>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</si>
  <si>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</si>
  <si>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</si>
  <si>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</si>
  <si>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</si>
  <si>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</si>
  <si>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</si>
  <si>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</si>
  <si>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</si>
  <si>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</si>
  <si>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</si>
  <si>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</si>
  <si>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</si>
  <si>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</si>
  <si>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</si>
  <si>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</si>
  <si>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</si>
  <si>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</si>
  <si>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</si>
  <si>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</si>
  <si>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</si>
  <si>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</si>
  <si>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</si>
  <si>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</si>
  <si>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</si>
  <si>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</si>
  <si>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</si>
  <si>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</si>
  <si>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</si>
  <si>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</si>
  <si>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</si>
  <si>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</si>
  <si>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</si>
  <si>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</si>
  <si>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</si>
  <si>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</si>
  <si>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</si>
  <si>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</si>
  <si>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</si>
  <si>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</si>
  <si>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</si>
  <si>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</si>
  <si>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</si>
  <si>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</si>
  <si>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</si>
  <si>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</si>
  <si>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</si>
  <si>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</si>
  <si>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</si>
  <si>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</si>
  <si>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</si>
  <si>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</si>
  <si>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</si>
  <si>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</si>
  <si>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</si>
  <si>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</si>
  <si>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</si>
  <si>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</si>
  <si>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</si>
  <si>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</si>
  <si>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</si>
  <si>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</si>
  <si>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</si>
  <si>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</si>
  <si>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</si>
  <si>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</si>
  <si>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</si>
  <si>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</si>
  <si>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</si>
  <si>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</si>
  <si>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</si>
  <si>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</si>
  <si>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</si>
  <si>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</si>
  <si>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</si>
  <si>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</si>
  <si>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</si>
  <si>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</si>
  <si>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</si>
  <si>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</si>
  <si>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</si>
  <si>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</si>
  <si>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</si>
  <si>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</si>
  <si>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</si>
  <si>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</si>
  <si>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</si>
  <si>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</si>
  <si>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</si>
  <si>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</si>
  <si>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</si>
  <si>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</si>
  <si>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</si>
  <si>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</si>
  <si>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</si>
  <si>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</si>
  <si>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</si>
  <si>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</si>
  <si>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</si>
  <si>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</si>
  <si>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</si>
  <si>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</si>
  <si>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</si>
  <si>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</si>
  <si>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</si>
  <si>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</si>
  <si>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</si>
  <si>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</si>
  <si>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</si>
  <si>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</si>
  <si>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</si>
  <si>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</si>
  <si>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</si>
  <si>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</si>
  <si>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</si>
  <si>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</si>
  <si>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</si>
  <si>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</si>
  <si>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</si>
  <si>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</si>
  <si>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</si>
  <si>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</si>
  <si>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</si>
  <si>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</si>
  <si>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</si>
  <si>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</si>
  <si>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</si>
  <si>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</si>
  <si>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</si>
  <si>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</si>
  <si>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</si>
  <si>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</si>
  <si>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</si>
  <si>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</si>
  <si>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</si>
  <si>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</si>
  <si>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</si>
  <si>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</si>
  <si>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</si>
  <si>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</si>
  <si>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</si>
  <si>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</si>
  <si>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</si>
  <si>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</si>
  <si>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</si>
  <si>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</si>
  <si>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</si>
  <si>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</si>
  <si>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</si>
  <si>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</si>
  <si>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</si>
  <si>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</si>
  <si>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</si>
  <si>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</si>
  <si>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</si>
  <si>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</si>
  <si>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</si>
  <si>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</si>
  <si>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</si>
  <si>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</si>
  <si>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</si>
  <si>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</si>
  <si>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</si>
  <si>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</si>
  <si>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</si>
  <si>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</si>
  <si>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</si>
  <si>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</si>
  <si>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</si>
  <si>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</si>
  <si>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</si>
  <si>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</si>
  <si>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</si>
  <si>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</si>
  <si>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</si>
  <si>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</si>
  <si>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</si>
  <si>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</si>
  <si>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</si>
  <si>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</si>
  <si>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</si>
  <si>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</si>
  <si>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</si>
  <si>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</si>
  <si>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</si>
  <si>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</si>
  <si>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</si>
  <si>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</si>
  <si>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</si>
  <si>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</si>
  <si>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</si>
  <si>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</si>
  <si>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</si>
  <si>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</si>
  <si>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</si>
  <si>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</si>
  <si>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</si>
  <si>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</si>
  <si>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</si>
  <si>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</si>
  <si>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</si>
  <si>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</si>
  <si>
    <t>K6-LOW</t>
  </si>
  <si>
    <t>K</t>
  </si>
  <si>
    <t>SMALL/LARGE</t>
  </si>
  <si>
    <t>MINI</t>
  </si>
  <si>
    <t>&lt;0.1</t>
  </si>
  <si>
    <t>NA</t>
  </si>
  <si>
    <t>NF10-LOW</t>
  </si>
  <si>
    <t>SN10-AMB</t>
  </si>
  <si>
    <t>SN10-LOW</t>
  </si>
  <si>
    <t>NF10-AMB</t>
  </si>
  <si>
    <t>HL10-AMB</t>
  </si>
  <si>
    <t>10-LOW</t>
  </si>
  <si>
    <t>10-AMB</t>
  </si>
  <si>
    <t>HL10-LOW</t>
  </si>
  <si>
    <t>K10-AMB</t>
  </si>
  <si>
    <t>K10-LOW</t>
  </si>
  <si>
    <t>K6-AMB</t>
  </si>
  <si>
    <t># STOCKED</t>
  </si>
  <si>
    <t>% COUNTED</t>
  </si>
  <si>
    <t>MIN COUNT @ 25%</t>
  </si>
  <si>
    <t>NF6-AMB</t>
  </si>
  <si>
    <t># COUNTeD</t>
  </si>
  <si>
    <t>SN10-LOW-Exp</t>
  </si>
  <si>
    <t>SN6-AMB-Exp</t>
  </si>
  <si>
    <t>SN6-LOW-Exp</t>
  </si>
  <si>
    <t>SN10-AMB-Exp</t>
  </si>
  <si>
    <t xml:space="preserve"># Re-stocked </t>
  </si>
  <si>
    <t xml:space="preserve"># Live @ 9 months </t>
  </si>
  <si>
    <t>SN-10 Low mini</t>
  </si>
  <si>
    <t>SN-6 Low mini</t>
  </si>
  <si>
    <t>SN-10 Ambient mini</t>
  </si>
  <si>
    <t>SN-6 Ambient mini</t>
  </si>
  <si>
    <t>% Survival</t>
  </si>
  <si>
    <t>Mean Length @ 9 month</t>
  </si>
  <si>
    <t xml:space="preserve">* Had to re-do K-6 bags due to high mortality prior to outplant. </t>
  </si>
  <si>
    <t>Screened</t>
  </si>
  <si>
    <t>Morts</t>
  </si>
  <si>
    <t>Setters</t>
  </si>
  <si>
    <t>Y</t>
  </si>
  <si>
    <t>N</t>
  </si>
  <si>
    <t>Live-today</t>
  </si>
  <si>
    <t>Expected-today</t>
  </si>
  <si>
    <t>Numb.Stocked</t>
  </si>
  <si>
    <t>Density</t>
  </si>
  <si>
    <t>Expected.today</t>
  </si>
  <si>
    <t xml:space="preserve">Numb.Restocked </t>
  </si>
  <si>
    <t>Live.today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</si>
</sst>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  <numFmt numFmtId="169" formatCode="_(* #,##0.0_);_(* \(#,##0.0\);_(* &quot;-&quot;??_);_(@_)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17">
    <xf numFmtId="0" fontId="0" fillId="0" borderId="0"/>
    <xf numFmtId="43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6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left"/>
    </xf>
    <xf numFmtId="165" fontId="9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0" fillId="2" borderId="10" xfId="0" applyFill="1" applyBorder="1"/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0" fontId="0" fillId="2" borderId="12" xfId="0" applyFill="1" applyBorder="1"/>
    <xf numFmtId="0" fontId="9" fillId="2" borderId="12" xfId="0" applyFont="1" applyFill="1" applyBorder="1" applyAlignment="1">
      <alignment horizontal="right"/>
    </xf>
    <xf numFmtId="0" fontId="9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9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9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9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14" fontId="5" fillId="0" borderId="3" xfId="0" applyNumberFormat="1" applyFont="1" applyBorder="1" applyAlignment="1">
      <alignment horizontal="right"/>
    </xf>
    <xf numFmtId="14" fontId="5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5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5" fillId="5" borderId="14" xfId="260" applyFont="1" applyFill="1" applyBorder="1"/>
    <xf numFmtId="164" fontId="6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9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5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9" fillId="2" borderId="14" xfId="0" applyFont="1" applyFill="1" applyBorder="1" applyAlignment="1">
      <alignment horizontal="left"/>
    </xf>
    <xf numFmtId="0" fontId="0" fillId="2" borderId="14" xfId="0" applyFill="1" applyBorder="1"/>
    <xf numFmtId="0" fontId="9" fillId="2" borderId="14" xfId="0" applyFont="1" applyFill="1" applyBorder="1"/>
    <xf numFmtId="164" fontId="9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5" fillId="0" borderId="0" xfId="0" applyFont="1" applyFill="1" applyBorder="1" applyAlignment="1">
      <alignment horizontal="right" wrapText="1"/>
    </xf>
    <xf numFmtId="3" fontId="16" fillId="0" borderId="0" xfId="0" applyNumberFormat="1" applyFont="1" applyFill="1" applyBorder="1" applyAlignment="1">
      <alignment horizontal="right"/>
    </xf>
    <xf numFmtId="0" fontId="16" fillId="0" borderId="0" xfId="0" applyFont="1" applyFill="1" applyAlignment="1">
      <alignment horizontal="right"/>
    </xf>
    <xf numFmtId="43" fontId="16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9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10" fillId="2" borderId="10" xfId="0" applyFont="1" applyFill="1" applyBorder="1"/>
    <xf numFmtId="0" fontId="17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9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6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9" fillId="2" borderId="12" xfId="260" applyFont="1" applyFill="1" applyBorder="1"/>
    <xf numFmtId="9" fontId="5" fillId="3" borderId="8" xfId="260" applyFont="1" applyFill="1" applyBorder="1" applyAlignment="1">
      <alignment horizontal="right"/>
    </xf>
    <xf numFmtId="9" fontId="5" fillId="3" borderId="10" xfId="260" applyFont="1" applyFill="1" applyBorder="1" applyAlignment="1">
      <alignment horizontal="right"/>
    </xf>
    <xf numFmtId="9" fontId="5" fillId="3" borderId="12" xfId="260" applyFont="1" applyFill="1" applyBorder="1" applyAlignment="1">
      <alignment horizontal="right"/>
    </xf>
    <xf numFmtId="9" fontId="5" fillId="0" borderId="2" xfId="260" applyFont="1" applyBorder="1"/>
    <xf numFmtId="9" fontId="5" fillId="0" borderId="0" xfId="260" applyFont="1" applyBorder="1"/>
    <xf numFmtId="9" fontId="5" fillId="0" borderId="5" xfId="260" applyFont="1" applyBorder="1"/>
    <xf numFmtId="9" fontId="5" fillId="2" borderId="10" xfId="260" applyFont="1" applyFill="1" applyBorder="1"/>
    <xf numFmtId="9" fontId="5" fillId="2" borderId="14" xfId="260" applyFont="1" applyFill="1" applyBorder="1" applyAlignment="1">
      <alignment horizontal="right"/>
    </xf>
    <xf numFmtId="9" fontId="5" fillId="2" borderId="15" xfId="260" applyFont="1" applyFill="1" applyBorder="1"/>
    <xf numFmtId="9" fontId="18" fillId="2" borderId="10" xfId="260" applyFont="1" applyFill="1" applyBorder="1"/>
    <xf numFmtId="9" fontId="18" fillId="2" borderId="10" xfId="26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9" fontId="5" fillId="3" borderId="10" xfId="260" applyFont="1" applyFill="1" applyBorder="1"/>
    <xf numFmtId="9" fontId="5" fillId="3" borderId="14" xfId="260" applyFont="1" applyFill="1" applyBorder="1" applyAlignment="1">
      <alignment horizontal="right"/>
    </xf>
    <xf numFmtId="9" fontId="5" fillId="3" borderId="15" xfId="260" applyFont="1" applyFill="1" applyBorder="1"/>
    <xf numFmtId="9" fontId="18" fillId="3" borderId="10" xfId="260" applyFont="1" applyFill="1" applyBorder="1"/>
    <xf numFmtId="9" fontId="18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8" fillId="2" borderId="12" xfId="260" applyFont="1" applyFill="1" applyBorder="1"/>
    <xf numFmtId="0" fontId="9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8" fillId="3" borderId="12" xfId="260" applyFont="1" applyFill="1" applyBorder="1"/>
    <xf numFmtId="0" fontId="7" fillId="0" borderId="0" xfId="0" applyFont="1" applyBorder="1" applyAlignment="1">
      <alignment horizontal="center" wrapText="1"/>
    </xf>
    <xf numFmtId="164" fontId="7" fillId="0" borderId="0" xfId="1" applyNumberFormat="1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9" fillId="0" borderId="0" xfId="0" applyNumberFormat="1" applyFont="1" applyFill="1" applyBorder="1" applyAlignment="1"/>
    <xf numFmtId="14" fontId="5" fillId="0" borderId="0" xfId="0" applyNumberFormat="1" applyFont="1"/>
    <xf numFmtId="0" fontId="7" fillId="0" borderId="0" xfId="0" applyFont="1"/>
    <xf numFmtId="164" fontId="7" fillId="0" borderId="0" xfId="1" applyNumberFormat="1" applyFont="1"/>
    <xf numFmtId="14" fontId="7" fillId="0" borderId="0" xfId="0" applyNumberFormat="1" applyFont="1"/>
    <xf numFmtId="0" fontId="7" fillId="0" borderId="0" xfId="0" applyFont="1" applyBorder="1"/>
    <xf numFmtId="164" fontId="7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7" fillId="0" borderId="0" xfId="1" applyNumberFormat="1" applyFont="1" applyBorder="1"/>
    <xf numFmtId="14" fontId="7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7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5" fillId="0" borderId="0" xfId="1" applyNumberFormat="1" applyFont="1" applyAlignment="1">
      <alignment wrapText="1"/>
    </xf>
    <xf numFmtId="164" fontId="5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7" fillId="0" borderId="22" xfId="1" applyNumberFormat="1" applyFont="1" applyBorder="1" applyAlignment="1">
      <alignment wrapText="1"/>
    </xf>
    <xf numFmtId="0" fontId="10" fillId="3" borderId="10" xfId="0" applyFont="1" applyFill="1" applyBorder="1"/>
    <xf numFmtId="0" fontId="0" fillId="3" borderId="10" xfId="0" applyFont="1" applyFill="1" applyBorder="1"/>
    <xf numFmtId="164" fontId="2" fillId="0" borderId="0" xfId="1" applyNumberFormat="1" applyFont="1" applyBorder="1"/>
    <xf numFmtId="0" fontId="16" fillId="0" borderId="0" xfId="0" applyFont="1" applyBorder="1" applyAlignment="1">
      <alignment horizontal="right"/>
    </xf>
    <xf numFmtId="164" fontId="16" fillId="0" borderId="0" xfId="1" applyNumberFormat="1" applyFont="1" applyBorder="1"/>
    <xf numFmtId="0" fontId="16" fillId="0" borderId="6" xfId="0" applyFont="1" applyBorder="1" applyAlignment="1">
      <alignment horizontal="right"/>
    </xf>
    <xf numFmtId="164" fontId="16" fillId="0" borderId="6" xfId="1" applyNumberFormat="1" applyFont="1" applyBorder="1"/>
    <xf numFmtId="0" fontId="17" fillId="3" borderId="10" xfId="0" applyFont="1" applyFill="1" applyBorder="1"/>
    <xf numFmtId="0" fontId="9" fillId="3" borderId="15" xfId="0" applyFont="1" applyFill="1" applyBorder="1" applyAlignment="1">
      <alignment horizontal="left"/>
    </xf>
    <xf numFmtId="9" fontId="18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5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9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10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5" fillId="0" borderId="5" xfId="0" applyFont="1" applyBorder="1" applyAlignment="1">
      <alignment horizontal="right"/>
    </xf>
    <xf numFmtId="164" fontId="5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5" fillId="0" borderId="5" xfId="0" applyFont="1" applyBorder="1"/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5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7" fillId="0" borderId="0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9" fillId="6" borderId="10" xfId="0" applyFont="1" applyFill="1" applyBorder="1"/>
    <xf numFmtId="14" fontId="17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3" xfId="0" applyFont="1" applyBorder="1"/>
    <xf numFmtId="167" fontId="0" fillId="0" borderId="18" xfId="260" applyNumberFormat="1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7" fillId="0" borderId="0" xfId="0" applyNumberFormat="1" applyFont="1" applyAlignment="1">
      <alignment horizontal="center" wrapText="1"/>
    </xf>
    <xf numFmtId="0" fontId="23" fillId="0" borderId="0" xfId="0" applyFont="1"/>
    <xf numFmtId="0" fontId="19" fillId="0" borderId="0" xfId="0" applyFont="1" applyAlignment="1">
      <alignment horizontal="center" wrapText="1"/>
    </xf>
    <xf numFmtId="164" fontId="7" fillId="0" borderId="0" xfId="0" applyNumberFormat="1" applyFont="1" applyFill="1" applyAlignment="1">
      <alignment horizontal="center" wrapText="1"/>
    </xf>
    <xf numFmtId="164" fontId="24" fillId="0" borderId="0" xfId="0" applyNumberFormat="1" applyFont="1" applyFill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24" fillId="0" borderId="0" xfId="0" applyNumberFormat="1" applyFont="1" applyAlignment="1">
      <alignment horizontal="center" wrapText="1"/>
    </xf>
    <xf numFmtId="0" fontId="5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5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5" fillId="0" borderId="0" xfId="0" applyFont="1" applyBorder="1"/>
    <xf numFmtId="0" fontId="9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8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8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6" fillId="0" borderId="0" xfId="0" applyFont="1" applyAlignment="1">
      <alignment horizontal="right" wrapText="1"/>
    </xf>
    <xf numFmtId="164" fontId="9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6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9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5" xfId="0" applyFont="1" applyBorder="1" applyAlignment="1">
      <alignment wrapText="1"/>
    </xf>
    <xf numFmtId="167" fontId="0" fillId="0" borderId="0" xfId="0" applyNumberFormat="1"/>
    <xf numFmtId="0" fontId="5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9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9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5" fillId="0" borderId="0" xfId="0" applyNumberFormat="1" applyFont="1"/>
    <xf numFmtId="0" fontId="0" fillId="0" borderId="0" xfId="0" applyFont="1"/>
    <xf numFmtId="0" fontId="0" fillId="4" borderId="0" xfId="0" applyFill="1"/>
    <xf numFmtId="2" fontId="0" fillId="4" borderId="0" xfId="0" applyNumberFormat="1" applyFill="1"/>
    <xf numFmtId="0" fontId="0" fillId="0" borderId="0" xfId="0" applyFill="1"/>
    <xf numFmtId="0" fontId="9" fillId="0" borderId="0" xfId="0" applyFont="1" applyFill="1"/>
    <xf numFmtId="169" fontId="0" fillId="0" borderId="0" xfId="1" applyNumberFormat="1" applyFont="1"/>
    <xf numFmtId="167" fontId="0" fillId="0" borderId="0" xfId="260" applyNumberFormat="1" applyFont="1"/>
    <xf numFmtId="167" fontId="10" fillId="0" borderId="0" xfId="260" applyNumberFormat="1" applyFont="1"/>
    <xf numFmtId="167" fontId="5" fillId="0" borderId="0" xfId="260" applyNumberFormat="1" applyFont="1"/>
    <xf numFmtId="169" fontId="0" fillId="0" borderId="0" xfId="1" applyNumberFormat="1" applyFont="1" applyFill="1"/>
    <xf numFmtId="167" fontId="0" fillId="0" borderId="0" xfId="260" applyNumberFormat="1" applyFont="1" applyFill="1"/>
    <xf numFmtId="43" fontId="0" fillId="0" borderId="0" xfId="1" applyFont="1" applyFill="1"/>
    <xf numFmtId="43" fontId="5" fillId="0" borderId="0" xfId="0" applyNumberFormat="1" applyFont="1" applyFill="1"/>
    <xf numFmtId="0" fontId="9" fillId="0" borderId="0" xfId="0" applyFont="1"/>
    <xf numFmtId="0" fontId="5" fillId="0" borderId="0" xfId="0" applyFont="1" applyFill="1"/>
    <xf numFmtId="0" fontId="0" fillId="12" borderId="0" xfId="0" applyFill="1" applyAlignment="1">
      <alignment horizontal="right"/>
    </xf>
    <xf numFmtId="43" fontId="0" fillId="12" borderId="0" xfId="1" applyFont="1" applyFill="1" applyAlignment="1">
      <alignment horizontal="right"/>
    </xf>
    <xf numFmtId="164" fontId="0" fillId="12" borderId="0" xfId="1" applyNumberFormat="1" applyFont="1" applyFill="1" applyAlignment="1">
      <alignment horizontal="right"/>
    </xf>
    <xf numFmtId="0" fontId="0" fillId="12" borderId="0" xfId="0" applyFill="1" applyBorder="1" applyAlignment="1">
      <alignment horizontal="right"/>
    </xf>
    <xf numFmtId="43" fontId="0" fillId="12" borderId="0" xfId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4" fontId="0" fillId="5" borderId="14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5" xfId="1" applyNumberFormat="1" applyFont="1" applyFill="1" applyBorder="1" applyAlignment="1">
      <alignment horizontal="center"/>
    </xf>
    <xf numFmtId="164" fontId="0" fillId="12" borderId="12" xfId="1" applyNumberFormat="1" applyFont="1" applyFill="1" applyBorder="1" applyAlignment="1">
      <alignment horizontal="center"/>
    </xf>
    <xf numFmtId="164" fontId="0" fillId="2" borderId="14" xfId="1" applyNumberFormat="1" applyFont="1" applyFill="1" applyBorder="1" applyAlignment="1">
      <alignment horizontal="center"/>
    </xf>
    <xf numFmtId="164" fontId="0" fillId="3" borderId="14" xfId="1" applyNumberFormat="1" applyFont="1" applyFill="1" applyBorder="1" applyAlignment="1">
      <alignment horizontal="center"/>
    </xf>
    <xf numFmtId="164" fontId="9" fillId="2" borderId="10" xfId="1" applyNumberFormat="1" applyFont="1" applyFill="1" applyBorder="1" applyAlignment="1">
      <alignment horizontal="left"/>
    </xf>
    <xf numFmtId="164" fontId="9" fillId="2" borderId="12" xfId="1" applyNumberFormat="1" applyFont="1" applyFill="1" applyBorder="1" applyAlignment="1">
      <alignment horizontal="left"/>
    </xf>
    <xf numFmtId="164" fontId="9" fillId="3" borderId="8" xfId="1" applyNumberFormat="1" applyFont="1" applyFill="1" applyBorder="1" applyAlignment="1">
      <alignment horizontal="left"/>
    </xf>
    <xf numFmtId="164" fontId="9" fillId="3" borderId="10" xfId="1" applyNumberFormat="1" applyFont="1" applyFill="1" applyBorder="1" applyAlignment="1">
      <alignment horizontal="left"/>
    </xf>
    <xf numFmtId="164" fontId="9" fillId="3" borderId="15" xfId="1" applyNumberFormat="1" applyFont="1" applyFill="1" applyBorder="1" applyAlignment="1">
      <alignment horizontal="left"/>
    </xf>
    <xf numFmtId="164" fontId="9" fillId="2" borderId="2" xfId="1" applyNumberFormat="1" applyFont="1" applyFill="1" applyBorder="1" applyAlignment="1">
      <alignment horizontal="left"/>
    </xf>
    <xf numFmtId="164" fontId="9" fillId="3" borderId="0" xfId="1" applyNumberFormat="1" applyFont="1" applyFill="1" applyBorder="1" applyAlignment="1">
      <alignment horizontal="left"/>
    </xf>
    <xf numFmtId="164" fontId="9" fillId="2" borderId="8" xfId="1" applyNumberFormat="1" applyFont="1" applyFill="1" applyBorder="1" applyAlignment="1">
      <alignment horizontal="left"/>
    </xf>
    <xf numFmtId="164" fontId="9" fillId="2" borderId="15" xfId="1" applyNumberFormat="1" applyFont="1" applyFill="1" applyBorder="1" applyAlignment="1">
      <alignment horizontal="left"/>
    </xf>
    <xf numFmtId="164" fontId="9" fillId="6" borderId="10" xfId="1" applyNumberFormat="1" applyFont="1" applyFill="1" applyBorder="1"/>
    <xf numFmtId="164" fontId="9" fillId="11" borderId="10" xfId="1" applyNumberFormat="1" applyFont="1" applyFill="1" applyBorder="1"/>
    <xf numFmtId="164" fontId="9" fillId="3" borderId="12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4" borderId="0" xfId="1" applyNumberFormat="1" applyFont="1" applyFill="1" applyAlignment="1">
      <alignment horizontal="right"/>
    </xf>
    <xf numFmtId="43" fontId="0" fillId="0" borderId="0" xfId="1" applyNumberFormat="1" applyFont="1" applyBorder="1"/>
    <xf numFmtId="0" fontId="0" fillId="0" borderId="0" xfId="1" applyNumberFormat="1" applyFont="1" applyBorder="1"/>
    <xf numFmtId="14" fontId="0" fillId="14" borderId="0" xfId="0" applyNumberFormat="1" applyFill="1"/>
    <xf numFmtId="164" fontId="0" fillId="14" borderId="3" xfId="1" applyNumberFormat="1" applyFont="1" applyFill="1" applyBorder="1"/>
    <xf numFmtId="164" fontId="0" fillId="14" borderId="0" xfId="1" applyNumberFormat="1" applyFont="1" applyFill="1" applyBorder="1"/>
    <xf numFmtId="43" fontId="0" fillId="14" borderId="0" xfId="1" applyNumberFormat="1" applyFont="1" applyFill="1" applyBorder="1"/>
    <xf numFmtId="164" fontId="0" fillId="14" borderId="18" xfId="1" applyNumberFormat="1" applyFont="1" applyFill="1" applyBorder="1"/>
    <xf numFmtId="0" fontId="0" fillId="14" borderId="0" xfId="0" applyFill="1" applyAlignment="1">
      <alignment horizontal="left"/>
    </xf>
    <xf numFmtId="0" fontId="0" fillId="14" borderId="0" xfId="0" applyFill="1"/>
    <xf numFmtId="43" fontId="0" fillId="0" borderId="0" xfId="1" applyNumberFormat="1" applyFont="1" applyFill="1" applyAlignment="1">
      <alignment horizontal="right"/>
    </xf>
    <xf numFmtId="0" fontId="7" fillId="0" borderId="23" xfId="0" applyFont="1" applyBorder="1" applyAlignment="1">
      <alignment horizontal="center" wrapText="1"/>
    </xf>
    <xf numFmtId="164" fontId="7" fillId="0" borderId="23" xfId="1" applyNumberFormat="1" applyFont="1" applyBorder="1" applyAlignment="1">
      <alignment horizontal="center" wrapText="1"/>
    </xf>
    <xf numFmtId="0" fontId="7" fillId="0" borderId="23" xfId="0" applyFont="1" applyFill="1" applyBorder="1" applyAlignment="1">
      <alignment horizontal="center" wrapText="1"/>
    </xf>
    <xf numFmtId="0" fontId="0" fillId="0" borderId="23" xfId="0" applyBorder="1" applyAlignment="1">
      <alignment horizontal="right"/>
    </xf>
    <xf numFmtId="164" fontId="0" fillId="0" borderId="23" xfId="1" applyNumberFormat="1" applyFont="1" applyBorder="1"/>
    <xf numFmtId="164" fontId="0" fillId="0" borderId="23" xfId="0" applyNumberFormat="1" applyBorder="1"/>
    <xf numFmtId="0" fontId="0" fillId="0" borderId="23" xfId="0" applyBorder="1"/>
    <xf numFmtId="10" fontId="0" fillId="7" borderId="23" xfId="260" applyNumberFormat="1" applyFont="1" applyFill="1" applyBorder="1"/>
    <xf numFmtId="10" fontId="5" fillId="7" borderId="23" xfId="260" applyNumberFormat="1" applyFont="1" applyFill="1" applyBorder="1"/>
    <xf numFmtId="168" fontId="0" fillId="7" borderId="23" xfId="260" applyNumberFormat="1" applyFont="1" applyFill="1" applyBorder="1"/>
    <xf numFmtId="10" fontId="0" fillId="8" borderId="23" xfId="260" applyNumberFormat="1" applyFont="1" applyFill="1" applyBorder="1"/>
    <xf numFmtId="10" fontId="5" fillId="8" borderId="23" xfId="260" applyNumberFormat="1" applyFont="1" applyFill="1" applyBorder="1"/>
    <xf numFmtId="168" fontId="0" fillId="8" borderId="23" xfId="260" applyNumberFormat="1" applyFont="1" applyFill="1" applyBorder="1"/>
    <xf numFmtId="10" fontId="0" fillId="9" borderId="23" xfId="260" applyNumberFormat="1" applyFont="1" applyFill="1" applyBorder="1"/>
    <xf numFmtId="10" fontId="5" fillId="9" borderId="23" xfId="260" applyNumberFormat="1" applyFont="1" applyFill="1" applyBorder="1"/>
    <xf numFmtId="168" fontId="0" fillId="9" borderId="23" xfId="260" applyNumberFormat="1" applyFont="1" applyFill="1" applyBorder="1"/>
    <xf numFmtId="10" fontId="0" fillId="10" borderId="23" xfId="260" applyNumberFormat="1" applyFont="1" applyFill="1" applyBorder="1"/>
    <xf numFmtId="10" fontId="5" fillId="10" borderId="23" xfId="260" applyNumberFormat="1" applyFont="1" applyFill="1" applyBorder="1"/>
    <xf numFmtId="168" fontId="0" fillId="10" borderId="23" xfId="260" applyNumberFormat="1" applyFont="1" applyFill="1" applyBorder="1"/>
    <xf numFmtId="10" fontId="0" fillId="7" borderId="23" xfId="0" applyNumberFormat="1" applyFill="1" applyBorder="1"/>
    <xf numFmtId="168" fontId="0" fillId="7" borderId="23" xfId="0" applyNumberFormat="1" applyFill="1" applyBorder="1"/>
    <xf numFmtId="10" fontId="0" fillId="8" borderId="23" xfId="0" applyNumberFormat="1" applyFill="1" applyBorder="1"/>
    <xf numFmtId="168" fontId="0" fillId="8" borderId="23" xfId="0" applyNumberFormat="1" applyFill="1" applyBorder="1"/>
    <xf numFmtId="10" fontId="0" fillId="9" borderId="23" xfId="0" applyNumberFormat="1" applyFill="1" applyBorder="1"/>
    <xf numFmtId="168" fontId="0" fillId="9" borderId="23" xfId="0" applyNumberFormat="1" applyFill="1" applyBorder="1"/>
    <xf numFmtId="10" fontId="0" fillId="10" borderId="23" xfId="0" applyNumberFormat="1" applyFill="1" applyBorder="1"/>
    <xf numFmtId="168" fontId="0" fillId="10" borderId="23" xfId="0" applyNumberFormat="1" applyFill="1" applyBorder="1"/>
    <xf numFmtId="0" fontId="21" fillId="0" borderId="20" xfId="0" applyFont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64" fontId="21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61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45C-0546-92F8-4A89A2492B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45C-0546-92F8-4A89A2492B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45C-0546-92F8-4A89A2492B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45C-0546-92F8-4A89A2492B5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5C-0546-92F8-4A89A2492B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5C-0546-92F8-4A89A2492B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5C-0546-92F8-4A89A2492B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5C-0546-92F8-4A89A2492B5F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'Summary-info'!$AG$6:$AG$9</c:f>
              <c:numCache>
                <c:formatCode>0.000%</c:formatCode>
                <c:ptCount val="4"/>
                <c:pt idx="0">
                  <c:v>7.6173936758391469E-5</c:v>
                </c:pt>
                <c:pt idx="1">
                  <c:v>5.4135268568934178E-5</c:v>
                </c:pt>
                <c:pt idx="2">
                  <c:v>2.9409187797882903E-4</c:v>
                </c:pt>
                <c:pt idx="3">
                  <c:v>4.0908253708724188E-4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5C-0546-92F8-4A89A249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82264"/>
        <c:axId val="20798350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'Summary-info'!$AH$6:$AH$9</c:f>
              <c:numCache>
                <c:formatCode>_(* #,##0_);_(* \(#,##0\);_(* "-"??_);_(@_)</c:formatCode>
                <c:ptCount val="4"/>
                <c:pt idx="0">
                  <c:v>708903.88888888899</c:v>
                </c:pt>
                <c:pt idx="1">
                  <c:v>646528.61111111112</c:v>
                </c:pt>
                <c:pt idx="2">
                  <c:v>435238.13333333336</c:v>
                </c:pt>
                <c:pt idx="3">
                  <c:v>515788.33333333331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5C-0546-92F8-4A89A249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46344"/>
        <c:axId val="2079840632"/>
      </c:scatterChart>
      <c:catAx>
        <c:axId val="207878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835032"/>
        <c:crosses val="autoZero"/>
        <c:auto val="1"/>
        <c:lblAlgn val="ctr"/>
        <c:lblOffset val="100"/>
        <c:noMultiLvlLbl val="0"/>
      </c:catAx>
      <c:valAx>
        <c:axId val="207983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6112789526686801E-2"/>
              <c:y val="0.411925414860602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8782264"/>
        <c:crosses val="autoZero"/>
        <c:crossBetween val="between"/>
        <c:majorUnit val="1E-4"/>
      </c:valAx>
      <c:valAx>
        <c:axId val="20798406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5999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846344"/>
        <c:crosses val="max"/>
        <c:crossBetween val="midCat"/>
      </c:valAx>
      <c:valAx>
        <c:axId val="2079846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84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199"/>
          <c:y val="6.24155701467549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53653141098031E-2"/>
          <c:y val="3.41836921547597E-2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460266.66666666669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156500.00000000003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AC40-80D9-28566FB2C28A}"/>
            </c:ext>
          </c:extLst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219449.99999999997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193120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A-AC40-80D9-28566FB2C28A}"/>
            </c:ext>
          </c:extLst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407133.33333333337</c:v>
                </c:pt>
                <c:pt idx="7">
                  <c:v>11400</c:v>
                </c:pt>
                <c:pt idx="8">
                  <c:v>0</c:v>
                </c:pt>
                <c:pt idx="9">
                  <c:v>281000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A-AC40-80D9-28566FB2C28A}"/>
            </c:ext>
          </c:extLst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554500</c:v>
                </c:pt>
                <c:pt idx="5">
                  <c:v>0</c:v>
                </c:pt>
                <c:pt idx="6">
                  <c:v>62400</c:v>
                </c:pt>
                <c:pt idx="7">
                  <c:v>6000</c:v>
                </c:pt>
                <c:pt idx="8">
                  <c:v>201600</c:v>
                </c:pt>
                <c:pt idx="9">
                  <c:v>318293.33333333337</c:v>
                </c:pt>
                <c:pt idx="10">
                  <c:v>642133.33333333337</c:v>
                </c:pt>
                <c:pt idx="11">
                  <c:v>3400</c:v>
                </c:pt>
                <c:pt idx="12">
                  <c:v>38266.666666666664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504080</c:v>
                </c:pt>
                <c:pt idx="24">
                  <c:v>182050</c:v>
                </c:pt>
                <c:pt idx="25">
                  <c:v>42293.333333333328</c:v>
                </c:pt>
                <c:pt idx="26">
                  <c:v>6300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A-AC40-80D9-28566FB2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4952"/>
        <c:axId val="2090118152"/>
      </c:barChart>
      <c:dateAx>
        <c:axId val="2090114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18152"/>
        <c:crosses val="autoZero"/>
        <c:auto val="1"/>
        <c:lblOffset val="100"/>
        <c:baseTimeUnit val="days"/>
        <c:minorUnit val="1"/>
        <c:minorTimeUnit val="days"/>
      </c:dateAx>
      <c:valAx>
        <c:axId val="20901181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14952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06"/>
          <c:y val="0.228495621215665"/>
          <c:w val="9.4201322342038596E-2"/>
          <c:h val="0.30575546015778898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01"/>
          <c:y val="6.2327902081546697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169800</c:v>
                </c:pt>
                <c:pt idx="26">
                  <c:v>105536.66666666667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6-BF48-A324-A7F4EEEEDD4C}"/>
            </c:ext>
          </c:extLst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139800</c:v>
                </c:pt>
                <c:pt idx="16">
                  <c:v>10625</c:v>
                </c:pt>
                <c:pt idx="17">
                  <c:v>0</c:v>
                </c:pt>
                <c:pt idx="18">
                  <c:v>114299.99999999999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6-BF48-A324-A7F4EEEEDD4C}"/>
            </c:ext>
          </c:extLst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4958.333333333333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6-BF48-A324-A7F4EEEEDD4C}"/>
            </c:ext>
          </c:extLst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6-BF48-A324-A7F4EEEE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58856"/>
        <c:axId val="2090162056"/>
      </c:barChart>
      <c:dateAx>
        <c:axId val="2090158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62056"/>
        <c:crosses val="autoZero"/>
        <c:auto val="1"/>
        <c:lblOffset val="100"/>
        <c:baseTimeUnit val="days"/>
        <c:minorUnit val="1"/>
        <c:minorTimeUnit val="days"/>
      </c:dateAx>
      <c:valAx>
        <c:axId val="20901620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58856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59997"/>
          <c:y val="0.31562407421844502"/>
          <c:w val="8.9116720239458505E-2"/>
          <c:h val="0.2876452436688660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599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7327.7777777777774</c:v>
                </c:pt>
                <c:pt idx="4">
                  <c:v>7327.7777777777774</c:v>
                </c:pt>
                <c:pt idx="5">
                  <c:v>7327.7777777777774</c:v>
                </c:pt>
                <c:pt idx="6">
                  <c:v>149994.44444444444</c:v>
                </c:pt>
                <c:pt idx="7">
                  <c:v>149994.44444444444</c:v>
                </c:pt>
                <c:pt idx="8">
                  <c:v>149994.44444444444</c:v>
                </c:pt>
                <c:pt idx="9">
                  <c:v>149994.44444444444</c:v>
                </c:pt>
                <c:pt idx="10">
                  <c:v>149994.44444444444</c:v>
                </c:pt>
                <c:pt idx="11">
                  <c:v>149994.44444444444</c:v>
                </c:pt>
                <c:pt idx="12">
                  <c:v>149994.44444444444</c:v>
                </c:pt>
                <c:pt idx="13">
                  <c:v>149994.44444444444</c:v>
                </c:pt>
                <c:pt idx="14">
                  <c:v>149994.44444444444</c:v>
                </c:pt>
                <c:pt idx="15">
                  <c:v>149994.44444444444</c:v>
                </c:pt>
                <c:pt idx="16">
                  <c:v>149994.44444444444</c:v>
                </c:pt>
                <c:pt idx="17">
                  <c:v>149994.44444444444</c:v>
                </c:pt>
                <c:pt idx="18">
                  <c:v>149994.44444444444</c:v>
                </c:pt>
                <c:pt idx="19">
                  <c:v>149994.44444444444</c:v>
                </c:pt>
                <c:pt idx="20">
                  <c:v>149994.44444444444</c:v>
                </c:pt>
                <c:pt idx="21">
                  <c:v>149994.44444444444</c:v>
                </c:pt>
                <c:pt idx="22">
                  <c:v>149994.44444444444</c:v>
                </c:pt>
                <c:pt idx="23">
                  <c:v>149994.44444444444</c:v>
                </c:pt>
                <c:pt idx="24">
                  <c:v>149994.44444444444</c:v>
                </c:pt>
                <c:pt idx="25">
                  <c:v>149994.44444444444</c:v>
                </c:pt>
                <c:pt idx="26">
                  <c:v>149994.44444444444</c:v>
                </c:pt>
                <c:pt idx="27">
                  <c:v>432127.77777777781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437002.77777777781</c:v>
                </c:pt>
                <c:pt idx="36">
                  <c:v>437002.77777777781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</c:v>
                </c:pt>
                <c:pt idx="43">
                  <c:v>959265</c:v>
                </c:pt>
                <c:pt idx="44">
                  <c:v>959265</c:v>
                </c:pt>
                <c:pt idx="45">
                  <c:v>959265</c:v>
                </c:pt>
                <c:pt idx="46">
                  <c:v>959265</c:v>
                </c:pt>
                <c:pt idx="47">
                  <c:v>959265</c:v>
                </c:pt>
                <c:pt idx="48">
                  <c:v>959265</c:v>
                </c:pt>
                <c:pt idx="49">
                  <c:v>959265</c:v>
                </c:pt>
                <c:pt idx="50">
                  <c:v>959265</c:v>
                </c:pt>
                <c:pt idx="51">
                  <c:v>959265</c:v>
                </c:pt>
                <c:pt idx="52">
                  <c:v>959265</c:v>
                </c:pt>
                <c:pt idx="53">
                  <c:v>959265</c:v>
                </c:pt>
                <c:pt idx="54">
                  <c:v>959265</c:v>
                </c:pt>
                <c:pt idx="55">
                  <c:v>959265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4-214F-8B47-2B04A0EA36F8}"/>
            </c:ext>
          </c:extLst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105066.66666666667</c:v>
                </c:pt>
                <c:pt idx="34">
                  <c:v>105066.66666666667</c:v>
                </c:pt>
                <c:pt idx="35">
                  <c:v>105066.66666666667</c:v>
                </c:pt>
                <c:pt idx="36">
                  <c:v>105066.66666666667</c:v>
                </c:pt>
                <c:pt idx="37">
                  <c:v>105066.66666666667</c:v>
                </c:pt>
                <c:pt idx="38">
                  <c:v>105066.66666666667</c:v>
                </c:pt>
                <c:pt idx="39">
                  <c:v>105066.66666666667</c:v>
                </c:pt>
                <c:pt idx="40">
                  <c:v>105066.66666666667</c:v>
                </c:pt>
                <c:pt idx="41">
                  <c:v>105066.66666666667</c:v>
                </c:pt>
                <c:pt idx="42">
                  <c:v>105066.66666666667</c:v>
                </c:pt>
                <c:pt idx="43">
                  <c:v>105066.66666666667</c:v>
                </c:pt>
                <c:pt idx="44">
                  <c:v>105066.66666666667</c:v>
                </c:pt>
                <c:pt idx="45">
                  <c:v>105066.66666666667</c:v>
                </c:pt>
                <c:pt idx="46">
                  <c:v>105066.66666666667</c:v>
                </c:pt>
                <c:pt idx="47">
                  <c:v>105066.66666666667</c:v>
                </c:pt>
                <c:pt idx="48">
                  <c:v>105066.66666666667</c:v>
                </c:pt>
                <c:pt idx="49">
                  <c:v>105066.66666666667</c:v>
                </c:pt>
                <c:pt idx="50">
                  <c:v>105066.66666666667</c:v>
                </c:pt>
                <c:pt idx="51">
                  <c:v>105066.66666666667</c:v>
                </c:pt>
                <c:pt idx="52">
                  <c:v>105066.66666666667</c:v>
                </c:pt>
                <c:pt idx="53">
                  <c:v>105066.66666666667</c:v>
                </c:pt>
                <c:pt idx="54">
                  <c:v>105066.66666666667</c:v>
                </c:pt>
                <c:pt idx="55">
                  <c:v>105066.66666666667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4-214F-8B47-2B04A0EA36F8}"/>
            </c:ext>
          </c:extLst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322546.66666666669</c:v>
                </c:pt>
                <c:pt idx="17">
                  <c:v>322546.66666666669</c:v>
                </c:pt>
                <c:pt idx="18">
                  <c:v>322546.66666666669</c:v>
                </c:pt>
                <c:pt idx="19">
                  <c:v>322546.66666666669</c:v>
                </c:pt>
                <c:pt idx="20">
                  <c:v>322546.66666666669</c:v>
                </c:pt>
                <c:pt idx="21">
                  <c:v>322546.66666666669</c:v>
                </c:pt>
                <c:pt idx="22">
                  <c:v>322546.66666666669</c:v>
                </c:pt>
                <c:pt idx="23">
                  <c:v>322546.66666666669</c:v>
                </c:pt>
                <c:pt idx="24">
                  <c:v>322546.66666666669</c:v>
                </c:pt>
                <c:pt idx="25">
                  <c:v>322546.66666666669</c:v>
                </c:pt>
                <c:pt idx="26">
                  <c:v>322546.66666666669</c:v>
                </c:pt>
                <c:pt idx="27">
                  <c:v>322546.66666666669</c:v>
                </c:pt>
                <c:pt idx="28">
                  <c:v>322546.66666666669</c:v>
                </c:pt>
                <c:pt idx="29">
                  <c:v>322546.66666666669</c:v>
                </c:pt>
                <c:pt idx="30">
                  <c:v>471596.66666666669</c:v>
                </c:pt>
                <c:pt idx="31">
                  <c:v>471596.66666666669</c:v>
                </c:pt>
                <c:pt idx="32">
                  <c:v>647596.66666666674</c:v>
                </c:pt>
                <c:pt idx="33">
                  <c:v>647596.66666666674</c:v>
                </c:pt>
                <c:pt idx="34">
                  <c:v>647596.66666666674</c:v>
                </c:pt>
                <c:pt idx="35">
                  <c:v>647596.66666666674</c:v>
                </c:pt>
                <c:pt idx="36">
                  <c:v>647596.66666666674</c:v>
                </c:pt>
                <c:pt idx="37">
                  <c:v>695063.33333333337</c:v>
                </c:pt>
                <c:pt idx="38">
                  <c:v>695063.33333333337</c:v>
                </c:pt>
                <c:pt idx="39">
                  <c:v>695188.33333333337</c:v>
                </c:pt>
                <c:pt idx="40">
                  <c:v>695188.33333333337</c:v>
                </c:pt>
                <c:pt idx="41">
                  <c:v>695188.33333333337</c:v>
                </c:pt>
                <c:pt idx="42">
                  <c:v>695188.33333333337</c:v>
                </c:pt>
                <c:pt idx="43">
                  <c:v>695188.33333333337</c:v>
                </c:pt>
                <c:pt idx="44">
                  <c:v>705188.33333333337</c:v>
                </c:pt>
                <c:pt idx="45">
                  <c:v>705188.33333333337</c:v>
                </c:pt>
                <c:pt idx="46">
                  <c:v>705188.33333333337</c:v>
                </c:pt>
                <c:pt idx="47">
                  <c:v>705188.33333333337</c:v>
                </c:pt>
                <c:pt idx="48">
                  <c:v>705188.33333333337</c:v>
                </c:pt>
                <c:pt idx="49">
                  <c:v>705188.33333333337</c:v>
                </c:pt>
                <c:pt idx="50">
                  <c:v>705188.33333333337</c:v>
                </c:pt>
                <c:pt idx="51">
                  <c:v>705188.33333333337</c:v>
                </c:pt>
                <c:pt idx="52">
                  <c:v>705188.33333333337</c:v>
                </c:pt>
                <c:pt idx="53">
                  <c:v>705188.33333333337</c:v>
                </c:pt>
                <c:pt idx="54">
                  <c:v>705188.33333333337</c:v>
                </c:pt>
                <c:pt idx="55">
                  <c:v>705188.33333333337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4-214F-8B47-2B04A0EA36F8}"/>
            </c:ext>
          </c:extLst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232186.66666666666</c:v>
                </c:pt>
                <c:pt idx="15">
                  <c:v>234986.66666666666</c:v>
                </c:pt>
                <c:pt idx="16">
                  <c:v>234986.66666666666</c:v>
                </c:pt>
                <c:pt idx="17">
                  <c:v>234986.66666666666</c:v>
                </c:pt>
                <c:pt idx="18">
                  <c:v>234986.66666666666</c:v>
                </c:pt>
                <c:pt idx="19">
                  <c:v>234986.66666666666</c:v>
                </c:pt>
                <c:pt idx="20">
                  <c:v>671786.66666666663</c:v>
                </c:pt>
                <c:pt idx="21">
                  <c:v>671786.66666666663</c:v>
                </c:pt>
                <c:pt idx="22">
                  <c:v>671786.66666666663</c:v>
                </c:pt>
                <c:pt idx="23">
                  <c:v>671786.66666666663</c:v>
                </c:pt>
                <c:pt idx="24">
                  <c:v>671786.66666666663</c:v>
                </c:pt>
                <c:pt idx="25">
                  <c:v>671786.66666666663</c:v>
                </c:pt>
                <c:pt idx="26">
                  <c:v>671786.66666666663</c:v>
                </c:pt>
                <c:pt idx="27">
                  <c:v>671786.66666666663</c:v>
                </c:pt>
                <c:pt idx="28">
                  <c:v>671786.66666666663</c:v>
                </c:pt>
                <c:pt idx="29">
                  <c:v>671786.66666666663</c:v>
                </c:pt>
                <c:pt idx="30">
                  <c:v>671786.66666666663</c:v>
                </c:pt>
                <c:pt idx="31">
                  <c:v>671786.66666666663</c:v>
                </c:pt>
                <c:pt idx="32">
                  <c:v>671786.66666666663</c:v>
                </c:pt>
                <c:pt idx="33">
                  <c:v>671786.66666666663</c:v>
                </c:pt>
                <c:pt idx="34">
                  <c:v>671786.66666666663</c:v>
                </c:pt>
                <c:pt idx="35">
                  <c:v>671786.66666666663</c:v>
                </c:pt>
                <c:pt idx="36">
                  <c:v>671786.66666666663</c:v>
                </c:pt>
                <c:pt idx="37">
                  <c:v>671786.66666666663</c:v>
                </c:pt>
                <c:pt idx="38">
                  <c:v>671786.66666666663</c:v>
                </c:pt>
                <c:pt idx="39">
                  <c:v>739453.33333333326</c:v>
                </c:pt>
                <c:pt idx="40">
                  <c:v>739453.33333333326</c:v>
                </c:pt>
                <c:pt idx="41">
                  <c:v>739453.33333333326</c:v>
                </c:pt>
                <c:pt idx="42">
                  <c:v>741017.77777777775</c:v>
                </c:pt>
                <c:pt idx="43">
                  <c:v>741017.77777777775</c:v>
                </c:pt>
                <c:pt idx="44">
                  <c:v>741017.77777777775</c:v>
                </c:pt>
                <c:pt idx="45">
                  <c:v>741017.77777777775</c:v>
                </c:pt>
                <c:pt idx="46">
                  <c:v>741017.77777777775</c:v>
                </c:pt>
                <c:pt idx="47">
                  <c:v>741017.77777777775</c:v>
                </c:pt>
                <c:pt idx="48">
                  <c:v>741017.77777777775</c:v>
                </c:pt>
                <c:pt idx="49">
                  <c:v>937817.77777777775</c:v>
                </c:pt>
                <c:pt idx="50">
                  <c:v>937817.77777777775</c:v>
                </c:pt>
                <c:pt idx="51">
                  <c:v>939467.77777777775</c:v>
                </c:pt>
                <c:pt idx="52">
                  <c:v>939467.77777777775</c:v>
                </c:pt>
                <c:pt idx="53">
                  <c:v>939467.77777777775</c:v>
                </c:pt>
                <c:pt idx="54">
                  <c:v>939467.77777777775</c:v>
                </c:pt>
                <c:pt idx="55">
                  <c:v>939467.77777777775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4-214F-8B47-2B04A0EA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02920"/>
        <c:axId val="2090206136"/>
      </c:scatterChart>
      <c:valAx>
        <c:axId val="2090202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06136"/>
        <c:crosses val="autoZero"/>
        <c:crossBetween val="midCat"/>
        <c:minorUnit val="1"/>
      </c:valAx>
      <c:valAx>
        <c:axId val="2090206136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029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01"/>
          <c:y val="0.32707529759196902"/>
          <c:w val="0.110202529508373"/>
          <c:h val="0.304392283017246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7.0778115454866397E-2"/>
          <c:y val="7.386162707259870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123200</c:v>
                </c:pt>
                <c:pt idx="12">
                  <c:v>125000</c:v>
                </c:pt>
                <c:pt idx="13">
                  <c:v>255933.33333333331</c:v>
                </c:pt>
                <c:pt idx="14">
                  <c:v>304340</c:v>
                </c:pt>
                <c:pt idx="15">
                  <c:v>304340</c:v>
                </c:pt>
                <c:pt idx="16">
                  <c:v>308606.66666666669</c:v>
                </c:pt>
                <c:pt idx="17">
                  <c:v>308606.66666666669</c:v>
                </c:pt>
                <c:pt idx="18">
                  <c:v>308606.66666666669</c:v>
                </c:pt>
                <c:pt idx="19">
                  <c:v>308606.66666666669</c:v>
                </c:pt>
                <c:pt idx="20">
                  <c:v>308606.66666666669</c:v>
                </c:pt>
                <c:pt idx="21">
                  <c:v>308606.66666666669</c:v>
                </c:pt>
                <c:pt idx="22">
                  <c:v>308606.66666666669</c:v>
                </c:pt>
                <c:pt idx="23">
                  <c:v>308606.66666666669</c:v>
                </c:pt>
                <c:pt idx="24">
                  <c:v>308606.66666666669</c:v>
                </c:pt>
                <c:pt idx="25">
                  <c:v>308606.66666666669</c:v>
                </c:pt>
                <c:pt idx="26">
                  <c:v>308606.66666666669</c:v>
                </c:pt>
                <c:pt idx="27">
                  <c:v>308606.66666666669</c:v>
                </c:pt>
                <c:pt idx="28">
                  <c:v>358206.66666666669</c:v>
                </c:pt>
                <c:pt idx="29">
                  <c:v>367273.33333333337</c:v>
                </c:pt>
                <c:pt idx="30">
                  <c:v>367273.33333333337</c:v>
                </c:pt>
                <c:pt idx="31">
                  <c:v>370073.33333333337</c:v>
                </c:pt>
                <c:pt idx="32">
                  <c:v>370073.33333333337</c:v>
                </c:pt>
                <c:pt idx="33">
                  <c:v>370073.33333333337</c:v>
                </c:pt>
                <c:pt idx="34">
                  <c:v>370073.33333333337</c:v>
                </c:pt>
                <c:pt idx="35">
                  <c:v>370073.33333333337</c:v>
                </c:pt>
                <c:pt idx="36">
                  <c:v>370073.33333333337</c:v>
                </c:pt>
                <c:pt idx="37">
                  <c:v>370073.33333333337</c:v>
                </c:pt>
                <c:pt idx="38">
                  <c:v>370073.33333333337</c:v>
                </c:pt>
                <c:pt idx="39">
                  <c:v>370073.33333333337</c:v>
                </c:pt>
                <c:pt idx="40">
                  <c:v>370073.33333333337</c:v>
                </c:pt>
                <c:pt idx="41">
                  <c:v>370073.33333333337</c:v>
                </c:pt>
                <c:pt idx="42">
                  <c:v>370073.33333333337</c:v>
                </c:pt>
                <c:pt idx="43">
                  <c:v>370073.33333333337</c:v>
                </c:pt>
                <c:pt idx="44">
                  <c:v>370073.33333333337</c:v>
                </c:pt>
                <c:pt idx="45">
                  <c:v>370073.33333333337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3-2642-B1A8-6524F6C479C9}"/>
            </c:ext>
          </c:extLst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2041.6666666666665</c:v>
                </c:pt>
                <c:pt idx="10">
                  <c:v>91708.333333333343</c:v>
                </c:pt>
                <c:pt idx="11">
                  <c:v>91708.333333333343</c:v>
                </c:pt>
                <c:pt idx="12">
                  <c:v>91708.333333333343</c:v>
                </c:pt>
                <c:pt idx="13">
                  <c:v>91708.333333333343</c:v>
                </c:pt>
                <c:pt idx="14">
                  <c:v>91708.333333333343</c:v>
                </c:pt>
                <c:pt idx="15">
                  <c:v>91708.333333333343</c:v>
                </c:pt>
                <c:pt idx="16">
                  <c:v>91708.333333333343</c:v>
                </c:pt>
                <c:pt idx="17">
                  <c:v>91708.333333333343</c:v>
                </c:pt>
                <c:pt idx="18">
                  <c:v>91708.333333333343</c:v>
                </c:pt>
                <c:pt idx="19">
                  <c:v>91708.333333333343</c:v>
                </c:pt>
                <c:pt idx="20">
                  <c:v>91708.333333333343</c:v>
                </c:pt>
                <c:pt idx="21">
                  <c:v>91708.333333333343</c:v>
                </c:pt>
                <c:pt idx="22">
                  <c:v>191441.66666666669</c:v>
                </c:pt>
                <c:pt idx="23">
                  <c:v>191441.66666666669</c:v>
                </c:pt>
                <c:pt idx="24">
                  <c:v>324281.66666666669</c:v>
                </c:pt>
                <c:pt idx="25">
                  <c:v>324281.66666666669</c:v>
                </c:pt>
                <c:pt idx="26">
                  <c:v>324281.66666666669</c:v>
                </c:pt>
                <c:pt idx="27">
                  <c:v>324281.66666666669</c:v>
                </c:pt>
                <c:pt idx="28">
                  <c:v>324281.66666666669</c:v>
                </c:pt>
                <c:pt idx="29">
                  <c:v>324281.66666666669</c:v>
                </c:pt>
                <c:pt idx="30">
                  <c:v>324281.66666666669</c:v>
                </c:pt>
                <c:pt idx="31">
                  <c:v>396335</c:v>
                </c:pt>
                <c:pt idx="32">
                  <c:v>396335</c:v>
                </c:pt>
                <c:pt idx="33">
                  <c:v>400535</c:v>
                </c:pt>
                <c:pt idx="34">
                  <c:v>400535</c:v>
                </c:pt>
                <c:pt idx="35">
                  <c:v>400535</c:v>
                </c:pt>
                <c:pt idx="36">
                  <c:v>400535</c:v>
                </c:pt>
                <c:pt idx="37">
                  <c:v>400535</c:v>
                </c:pt>
                <c:pt idx="38">
                  <c:v>400535</c:v>
                </c:pt>
                <c:pt idx="39">
                  <c:v>400535</c:v>
                </c:pt>
                <c:pt idx="40">
                  <c:v>451685</c:v>
                </c:pt>
                <c:pt idx="41">
                  <c:v>517351.66666666669</c:v>
                </c:pt>
                <c:pt idx="42">
                  <c:v>517351.66666666669</c:v>
                </c:pt>
                <c:pt idx="43">
                  <c:v>517545</c:v>
                </c:pt>
                <c:pt idx="44">
                  <c:v>517545</c:v>
                </c:pt>
                <c:pt idx="45">
                  <c:v>517545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73-2642-B1A8-6524F6C479C9}"/>
            </c:ext>
          </c:extLst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37200</c:v>
                </c:pt>
                <c:pt idx="2">
                  <c:v>37200</c:v>
                </c:pt>
                <c:pt idx="3">
                  <c:v>37200</c:v>
                </c:pt>
                <c:pt idx="4">
                  <c:v>89466.666666666657</c:v>
                </c:pt>
                <c:pt idx="5">
                  <c:v>89466.666666666657</c:v>
                </c:pt>
                <c:pt idx="6">
                  <c:v>89466.666666666657</c:v>
                </c:pt>
                <c:pt idx="7">
                  <c:v>89466.666666666657</c:v>
                </c:pt>
                <c:pt idx="8">
                  <c:v>89466.666666666657</c:v>
                </c:pt>
                <c:pt idx="9">
                  <c:v>89466.666666666657</c:v>
                </c:pt>
                <c:pt idx="10">
                  <c:v>89466.666666666657</c:v>
                </c:pt>
                <c:pt idx="11">
                  <c:v>89466.666666666657</c:v>
                </c:pt>
                <c:pt idx="12">
                  <c:v>89466.666666666657</c:v>
                </c:pt>
                <c:pt idx="13">
                  <c:v>330533.33333333331</c:v>
                </c:pt>
                <c:pt idx="14">
                  <c:v>397200</c:v>
                </c:pt>
                <c:pt idx="15">
                  <c:v>400600</c:v>
                </c:pt>
                <c:pt idx="16">
                  <c:v>410600</c:v>
                </c:pt>
                <c:pt idx="17">
                  <c:v>432200</c:v>
                </c:pt>
                <c:pt idx="18">
                  <c:v>432200</c:v>
                </c:pt>
                <c:pt idx="19">
                  <c:v>432200</c:v>
                </c:pt>
                <c:pt idx="20">
                  <c:v>432200</c:v>
                </c:pt>
                <c:pt idx="21">
                  <c:v>432200</c:v>
                </c:pt>
                <c:pt idx="22">
                  <c:v>432200</c:v>
                </c:pt>
                <c:pt idx="23">
                  <c:v>432200</c:v>
                </c:pt>
                <c:pt idx="24">
                  <c:v>432200</c:v>
                </c:pt>
                <c:pt idx="25">
                  <c:v>623050</c:v>
                </c:pt>
                <c:pt idx="26">
                  <c:v>640356.66666666663</c:v>
                </c:pt>
                <c:pt idx="27">
                  <c:v>640356.66666666663</c:v>
                </c:pt>
                <c:pt idx="28">
                  <c:v>640356.66666666663</c:v>
                </c:pt>
                <c:pt idx="29">
                  <c:v>640356.66666666663</c:v>
                </c:pt>
                <c:pt idx="30">
                  <c:v>640356.66666666663</c:v>
                </c:pt>
                <c:pt idx="31">
                  <c:v>640356.66666666663</c:v>
                </c:pt>
                <c:pt idx="32">
                  <c:v>640356.66666666663</c:v>
                </c:pt>
                <c:pt idx="33">
                  <c:v>640356.66666666663</c:v>
                </c:pt>
                <c:pt idx="34">
                  <c:v>640356.66666666663</c:v>
                </c:pt>
                <c:pt idx="35">
                  <c:v>640356.66666666663</c:v>
                </c:pt>
                <c:pt idx="36">
                  <c:v>640356.66666666663</c:v>
                </c:pt>
                <c:pt idx="37">
                  <c:v>640356.66666666663</c:v>
                </c:pt>
                <c:pt idx="38">
                  <c:v>640356.66666666663</c:v>
                </c:pt>
                <c:pt idx="39">
                  <c:v>640356.66666666663</c:v>
                </c:pt>
                <c:pt idx="40">
                  <c:v>653356.66666666663</c:v>
                </c:pt>
                <c:pt idx="41">
                  <c:v>653356.66666666663</c:v>
                </c:pt>
                <c:pt idx="42">
                  <c:v>653356.66666666663</c:v>
                </c:pt>
                <c:pt idx="43">
                  <c:v>653356.66666666663</c:v>
                </c:pt>
                <c:pt idx="44">
                  <c:v>653356.66666666663</c:v>
                </c:pt>
                <c:pt idx="45">
                  <c:v>653356.66666666663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73-2642-B1A8-6524F6C479C9}"/>
            </c:ext>
          </c:extLst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47400</c:v>
                </c:pt>
                <c:pt idx="2">
                  <c:v>47400</c:v>
                </c:pt>
                <c:pt idx="3">
                  <c:v>47400</c:v>
                </c:pt>
                <c:pt idx="4">
                  <c:v>114200</c:v>
                </c:pt>
                <c:pt idx="5">
                  <c:v>114200</c:v>
                </c:pt>
                <c:pt idx="6">
                  <c:v>114200</c:v>
                </c:pt>
                <c:pt idx="7">
                  <c:v>114200</c:v>
                </c:pt>
                <c:pt idx="8">
                  <c:v>114200</c:v>
                </c:pt>
                <c:pt idx="9">
                  <c:v>114200</c:v>
                </c:pt>
                <c:pt idx="10">
                  <c:v>222200</c:v>
                </c:pt>
                <c:pt idx="11">
                  <c:v>235450</c:v>
                </c:pt>
                <c:pt idx="12">
                  <c:v>236075</c:v>
                </c:pt>
                <c:pt idx="13">
                  <c:v>236075</c:v>
                </c:pt>
                <c:pt idx="14">
                  <c:v>273641.66666666669</c:v>
                </c:pt>
                <c:pt idx="15">
                  <c:v>304848.33333333337</c:v>
                </c:pt>
                <c:pt idx="16">
                  <c:v>304848.33333333337</c:v>
                </c:pt>
                <c:pt idx="17">
                  <c:v>304848.33333333337</c:v>
                </c:pt>
                <c:pt idx="18">
                  <c:v>304848.33333333337</c:v>
                </c:pt>
                <c:pt idx="19">
                  <c:v>304848.33333333337</c:v>
                </c:pt>
                <c:pt idx="20">
                  <c:v>304848.33333333337</c:v>
                </c:pt>
                <c:pt idx="21">
                  <c:v>304848.33333333337</c:v>
                </c:pt>
                <c:pt idx="22">
                  <c:v>345381.66666666669</c:v>
                </c:pt>
                <c:pt idx="23">
                  <c:v>345381.66666666669</c:v>
                </c:pt>
                <c:pt idx="24">
                  <c:v>408795</c:v>
                </c:pt>
                <c:pt idx="25">
                  <c:v>408795</c:v>
                </c:pt>
                <c:pt idx="26">
                  <c:v>408795</c:v>
                </c:pt>
                <c:pt idx="27">
                  <c:v>408795</c:v>
                </c:pt>
                <c:pt idx="28">
                  <c:v>408795</c:v>
                </c:pt>
                <c:pt idx="29">
                  <c:v>433961.66666666669</c:v>
                </c:pt>
                <c:pt idx="30">
                  <c:v>433961.66666666669</c:v>
                </c:pt>
                <c:pt idx="31">
                  <c:v>435241.66666666669</c:v>
                </c:pt>
                <c:pt idx="32">
                  <c:v>435241.66666666669</c:v>
                </c:pt>
                <c:pt idx="33">
                  <c:v>435241.66666666669</c:v>
                </c:pt>
                <c:pt idx="34">
                  <c:v>435241.66666666669</c:v>
                </c:pt>
                <c:pt idx="35">
                  <c:v>435241.66666666669</c:v>
                </c:pt>
                <c:pt idx="36">
                  <c:v>453408.33333333337</c:v>
                </c:pt>
                <c:pt idx="37">
                  <c:v>453408.33333333337</c:v>
                </c:pt>
                <c:pt idx="38">
                  <c:v>466208.33333333337</c:v>
                </c:pt>
                <c:pt idx="39">
                  <c:v>466208.33333333337</c:v>
                </c:pt>
                <c:pt idx="40">
                  <c:v>466208.33333333337</c:v>
                </c:pt>
                <c:pt idx="41">
                  <c:v>466208.33333333337</c:v>
                </c:pt>
                <c:pt idx="42">
                  <c:v>466208.33333333337</c:v>
                </c:pt>
                <c:pt idx="43">
                  <c:v>466208.33333333337</c:v>
                </c:pt>
                <c:pt idx="44">
                  <c:v>466208.33333333337</c:v>
                </c:pt>
                <c:pt idx="45">
                  <c:v>466208.33333333337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73-2642-B1A8-6524F6C4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45272"/>
        <c:axId val="2090248488"/>
      </c:scatterChart>
      <c:valAx>
        <c:axId val="2090245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48488"/>
        <c:crosses val="autoZero"/>
        <c:crossBetween val="midCat"/>
        <c:minorUnit val="1"/>
      </c:valAx>
      <c:valAx>
        <c:axId val="209024848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452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9.7161764818194996E-2"/>
          <c:h val="0.324888235847590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11866.666666666668</c:v>
                </c:pt>
                <c:pt idx="11">
                  <c:v>472133.33333333337</c:v>
                </c:pt>
                <c:pt idx="12">
                  <c:v>608133.33333333337</c:v>
                </c:pt>
                <c:pt idx="13">
                  <c:v>609133.33333333337</c:v>
                </c:pt>
                <c:pt idx="14">
                  <c:v>609133.33333333337</c:v>
                </c:pt>
                <c:pt idx="15">
                  <c:v>609133.33333333337</c:v>
                </c:pt>
                <c:pt idx="16">
                  <c:v>609133.33333333337</c:v>
                </c:pt>
                <c:pt idx="17">
                  <c:v>854793.33333333337</c:v>
                </c:pt>
                <c:pt idx="18">
                  <c:v>854793.33333333337</c:v>
                </c:pt>
                <c:pt idx="19">
                  <c:v>862693.33333333337</c:v>
                </c:pt>
                <c:pt idx="20">
                  <c:v>862693.33333333337</c:v>
                </c:pt>
                <c:pt idx="21">
                  <c:v>1026960</c:v>
                </c:pt>
                <c:pt idx="22">
                  <c:v>1027710</c:v>
                </c:pt>
                <c:pt idx="23">
                  <c:v>1027710</c:v>
                </c:pt>
                <c:pt idx="24">
                  <c:v>1027710</c:v>
                </c:pt>
                <c:pt idx="25">
                  <c:v>1027710</c:v>
                </c:pt>
                <c:pt idx="26">
                  <c:v>1027710</c:v>
                </c:pt>
                <c:pt idx="27">
                  <c:v>1027710</c:v>
                </c:pt>
                <c:pt idx="28">
                  <c:v>1027710</c:v>
                </c:pt>
                <c:pt idx="29">
                  <c:v>1027710</c:v>
                </c:pt>
                <c:pt idx="30">
                  <c:v>1027710</c:v>
                </c:pt>
                <c:pt idx="31">
                  <c:v>1027710</c:v>
                </c:pt>
                <c:pt idx="32">
                  <c:v>1027710</c:v>
                </c:pt>
                <c:pt idx="33">
                  <c:v>1029110</c:v>
                </c:pt>
                <c:pt idx="34">
                  <c:v>1029110</c:v>
                </c:pt>
                <c:pt idx="35">
                  <c:v>1837910.0000000002</c:v>
                </c:pt>
                <c:pt idx="36">
                  <c:v>1958976.666666667</c:v>
                </c:pt>
                <c:pt idx="37">
                  <c:v>1958976.666666667</c:v>
                </c:pt>
                <c:pt idx="38">
                  <c:v>2115476.666666667</c:v>
                </c:pt>
                <c:pt idx="39">
                  <c:v>2115476.666666667</c:v>
                </c:pt>
                <c:pt idx="40">
                  <c:v>2115476.666666667</c:v>
                </c:pt>
                <c:pt idx="41">
                  <c:v>2115476.666666667</c:v>
                </c:pt>
                <c:pt idx="42">
                  <c:v>2115476.666666667</c:v>
                </c:pt>
                <c:pt idx="43">
                  <c:v>2115476.666666667</c:v>
                </c:pt>
                <c:pt idx="44">
                  <c:v>2115476.666666667</c:v>
                </c:pt>
                <c:pt idx="45">
                  <c:v>2115476.666666667</c:v>
                </c:pt>
                <c:pt idx="46">
                  <c:v>2115476.666666667</c:v>
                </c:pt>
                <c:pt idx="47">
                  <c:v>2115476.666666667</c:v>
                </c:pt>
                <c:pt idx="48">
                  <c:v>2115476.666666667</c:v>
                </c:pt>
                <c:pt idx="49">
                  <c:v>2115476.666666667</c:v>
                </c:pt>
                <c:pt idx="50">
                  <c:v>2115476.666666667</c:v>
                </c:pt>
                <c:pt idx="51">
                  <c:v>2115476.666666667</c:v>
                </c:pt>
                <c:pt idx="52">
                  <c:v>2115476.666666667</c:v>
                </c:pt>
                <c:pt idx="53">
                  <c:v>2115476.666666667</c:v>
                </c:pt>
                <c:pt idx="54">
                  <c:v>2115476.666666667</c:v>
                </c:pt>
                <c:pt idx="55">
                  <c:v>2115476.666666667</c:v>
                </c:pt>
                <c:pt idx="56">
                  <c:v>2115476.666666667</c:v>
                </c:pt>
                <c:pt idx="57">
                  <c:v>2115476.666666667</c:v>
                </c:pt>
                <c:pt idx="58">
                  <c:v>2115476.666666667</c:v>
                </c:pt>
                <c:pt idx="59">
                  <c:v>2115476.666666667</c:v>
                </c:pt>
                <c:pt idx="60">
                  <c:v>2115476.666666667</c:v>
                </c:pt>
                <c:pt idx="61">
                  <c:v>2115476.666666667</c:v>
                </c:pt>
                <c:pt idx="62">
                  <c:v>2115476.666666667</c:v>
                </c:pt>
                <c:pt idx="63">
                  <c:v>2115476.666666667</c:v>
                </c:pt>
                <c:pt idx="64">
                  <c:v>2115476.666666667</c:v>
                </c:pt>
                <c:pt idx="65">
                  <c:v>2115476.666666667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3-6841-AC29-B56F85F2E22E}"/>
            </c:ext>
          </c:extLst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69066.666666666657</c:v>
                </c:pt>
                <c:pt idx="5">
                  <c:v>530566.66666666663</c:v>
                </c:pt>
                <c:pt idx="6">
                  <c:v>530566.66666666663</c:v>
                </c:pt>
                <c:pt idx="7">
                  <c:v>750016.66666666651</c:v>
                </c:pt>
                <c:pt idx="8">
                  <c:v>753599.99999999988</c:v>
                </c:pt>
                <c:pt idx="9">
                  <c:v>753599.99999999988</c:v>
                </c:pt>
                <c:pt idx="10">
                  <c:v>753599.99999999988</c:v>
                </c:pt>
                <c:pt idx="11">
                  <c:v>761766.66666666651</c:v>
                </c:pt>
                <c:pt idx="12">
                  <c:v>786266.66666666651</c:v>
                </c:pt>
                <c:pt idx="13">
                  <c:v>995333.33333333326</c:v>
                </c:pt>
                <c:pt idx="14">
                  <c:v>999833.33333333326</c:v>
                </c:pt>
                <c:pt idx="15">
                  <c:v>999833.33333333326</c:v>
                </c:pt>
                <c:pt idx="16">
                  <c:v>999833.33333333326</c:v>
                </c:pt>
                <c:pt idx="17">
                  <c:v>1001233.3333333333</c:v>
                </c:pt>
                <c:pt idx="18">
                  <c:v>1001233.3333333333</c:v>
                </c:pt>
                <c:pt idx="19">
                  <c:v>1001233.3333333333</c:v>
                </c:pt>
                <c:pt idx="20">
                  <c:v>1001233.3333333333</c:v>
                </c:pt>
                <c:pt idx="21">
                  <c:v>1001233.3333333333</c:v>
                </c:pt>
                <c:pt idx="22">
                  <c:v>1001233.3333333333</c:v>
                </c:pt>
                <c:pt idx="23">
                  <c:v>1001233.3333333333</c:v>
                </c:pt>
                <c:pt idx="24">
                  <c:v>1151400</c:v>
                </c:pt>
                <c:pt idx="25">
                  <c:v>1151400</c:v>
                </c:pt>
                <c:pt idx="26">
                  <c:v>1635666.6666666667</c:v>
                </c:pt>
                <c:pt idx="27">
                  <c:v>1645533.3333333335</c:v>
                </c:pt>
                <c:pt idx="28">
                  <c:v>1645533.3333333335</c:v>
                </c:pt>
                <c:pt idx="29">
                  <c:v>1645533.3333333335</c:v>
                </c:pt>
                <c:pt idx="30">
                  <c:v>1645533.3333333335</c:v>
                </c:pt>
                <c:pt idx="31">
                  <c:v>1645533.3333333335</c:v>
                </c:pt>
                <c:pt idx="32">
                  <c:v>1645533.3333333335</c:v>
                </c:pt>
                <c:pt idx="33">
                  <c:v>1645533.3333333335</c:v>
                </c:pt>
                <c:pt idx="34">
                  <c:v>1645533.3333333335</c:v>
                </c:pt>
                <c:pt idx="35">
                  <c:v>1645533.3333333335</c:v>
                </c:pt>
                <c:pt idx="36">
                  <c:v>1880733.3333333335</c:v>
                </c:pt>
                <c:pt idx="37">
                  <c:v>1880733.3333333335</c:v>
                </c:pt>
                <c:pt idx="38">
                  <c:v>1985266.6666666667</c:v>
                </c:pt>
                <c:pt idx="39">
                  <c:v>1985266.6666666667</c:v>
                </c:pt>
                <c:pt idx="40">
                  <c:v>2178386.666666667</c:v>
                </c:pt>
                <c:pt idx="41">
                  <c:v>2178386.666666667</c:v>
                </c:pt>
                <c:pt idx="42">
                  <c:v>2178386.666666667</c:v>
                </c:pt>
                <c:pt idx="43">
                  <c:v>2178386.666666667</c:v>
                </c:pt>
                <c:pt idx="44">
                  <c:v>2178386.666666667</c:v>
                </c:pt>
                <c:pt idx="45">
                  <c:v>2178386.666666667</c:v>
                </c:pt>
                <c:pt idx="46">
                  <c:v>2178386.666666667</c:v>
                </c:pt>
                <c:pt idx="47">
                  <c:v>2178386.666666667</c:v>
                </c:pt>
                <c:pt idx="48">
                  <c:v>2178386.666666667</c:v>
                </c:pt>
                <c:pt idx="49">
                  <c:v>2178386.666666667</c:v>
                </c:pt>
                <c:pt idx="50">
                  <c:v>2178386.666666667</c:v>
                </c:pt>
                <c:pt idx="51">
                  <c:v>2178386.666666667</c:v>
                </c:pt>
                <c:pt idx="52">
                  <c:v>2178386.666666667</c:v>
                </c:pt>
                <c:pt idx="53">
                  <c:v>2178386.666666667</c:v>
                </c:pt>
                <c:pt idx="54">
                  <c:v>2178386.666666667</c:v>
                </c:pt>
                <c:pt idx="55">
                  <c:v>2178386.666666667</c:v>
                </c:pt>
                <c:pt idx="56">
                  <c:v>2178386.666666667</c:v>
                </c:pt>
                <c:pt idx="57">
                  <c:v>2178386.666666667</c:v>
                </c:pt>
                <c:pt idx="58">
                  <c:v>2178386.666666667</c:v>
                </c:pt>
                <c:pt idx="59">
                  <c:v>2178386.666666667</c:v>
                </c:pt>
                <c:pt idx="60">
                  <c:v>2178386.666666667</c:v>
                </c:pt>
                <c:pt idx="61">
                  <c:v>2178386.666666667</c:v>
                </c:pt>
                <c:pt idx="62">
                  <c:v>2178386.666666667</c:v>
                </c:pt>
                <c:pt idx="63">
                  <c:v>2178386.666666667</c:v>
                </c:pt>
                <c:pt idx="64">
                  <c:v>2178386.666666667</c:v>
                </c:pt>
                <c:pt idx="65">
                  <c:v>2178386.666666667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3-6841-AC29-B56F85F2E22E}"/>
            </c:ext>
          </c:extLst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98000</c:v>
                </c:pt>
                <c:pt idx="5">
                  <c:v>175250</c:v>
                </c:pt>
                <c:pt idx="6">
                  <c:v>175250</c:v>
                </c:pt>
                <c:pt idx="7">
                  <c:v>582383.33333333337</c:v>
                </c:pt>
                <c:pt idx="8">
                  <c:v>593783.33333333337</c:v>
                </c:pt>
                <c:pt idx="9">
                  <c:v>593783.33333333337</c:v>
                </c:pt>
                <c:pt idx="10">
                  <c:v>874783.33333333337</c:v>
                </c:pt>
                <c:pt idx="11">
                  <c:v>1047050</c:v>
                </c:pt>
                <c:pt idx="12">
                  <c:v>1047050</c:v>
                </c:pt>
                <c:pt idx="13">
                  <c:v>1114650</c:v>
                </c:pt>
                <c:pt idx="14">
                  <c:v>1114650</c:v>
                </c:pt>
                <c:pt idx="15">
                  <c:v>1114650</c:v>
                </c:pt>
                <c:pt idx="16">
                  <c:v>1230383.3333333335</c:v>
                </c:pt>
                <c:pt idx="17">
                  <c:v>1387133.3333333335</c:v>
                </c:pt>
                <c:pt idx="18">
                  <c:v>1387133.3333333335</c:v>
                </c:pt>
                <c:pt idx="19">
                  <c:v>1391633.3333333335</c:v>
                </c:pt>
                <c:pt idx="20">
                  <c:v>1391633.3333333335</c:v>
                </c:pt>
                <c:pt idx="21">
                  <c:v>1769633.3333333335</c:v>
                </c:pt>
                <c:pt idx="22">
                  <c:v>1769633.3333333335</c:v>
                </c:pt>
                <c:pt idx="23">
                  <c:v>1769633.3333333335</c:v>
                </c:pt>
                <c:pt idx="24">
                  <c:v>1769633.3333333335</c:v>
                </c:pt>
                <c:pt idx="25">
                  <c:v>1769633.3333333335</c:v>
                </c:pt>
                <c:pt idx="26">
                  <c:v>1769633.3333333335</c:v>
                </c:pt>
                <c:pt idx="27">
                  <c:v>1769633.3333333335</c:v>
                </c:pt>
                <c:pt idx="28">
                  <c:v>1769633.3333333335</c:v>
                </c:pt>
                <c:pt idx="29">
                  <c:v>1769633.3333333335</c:v>
                </c:pt>
                <c:pt idx="30">
                  <c:v>1769633.3333333335</c:v>
                </c:pt>
                <c:pt idx="31">
                  <c:v>1769633.3333333335</c:v>
                </c:pt>
                <c:pt idx="32">
                  <c:v>1769633.3333333335</c:v>
                </c:pt>
                <c:pt idx="33">
                  <c:v>1769633.3333333335</c:v>
                </c:pt>
                <c:pt idx="34">
                  <c:v>1769633.3333333335</c:v>
                </c:pt>
                <c:pt idx="35">
                  <c:v>2147006.666666667</c:v>
                </c:pt>
                <c:pt idx="36">
                  <c:v>2275006.666666667</c:v>
                </c:pt>
                <c:pt idx="37">
                  <c:v>2275006.666666667</c:v>
                </c:pt>
                <c:pt idx="38">
                  <c:v>2276873.3333333335</c:v>
                </c:pt>
                <c:pt idx="39">
                  <c:v>2276873.3333333335</c:v>
                </c:pt>
                <c:pt idx="40">
                  <c:v>2276873.3333333335</c:v>
                </c:pt>
                <c:pt idx="41">
                  <c:v>2276873.3333333335</c:v>
                </c:pt>
                <c:pt idx="42">
                  <c:v>2276873.3333333335</c:v>
                </c:pt>
                <c:pt idx="43">
                  <c:v>2277740</c:v>
                </c:pt>
                <c:pt idx="44">
                  <c:v>2277740</c:v>
                </c:pt>
                <c:pt idx="45">
                  <c:v>2373206.6666666665</c:v>
                </c:pt>
                <c:pt idx="46">
                  <c:v>2373206.6666666665</c:v>
                </c:pt>
                <c:pt idx="47">
                  <c:v>2373206.6666666665</c:v>
                </c:pt>
                <c:pt idx="48">
                  <c:v>2373206.6666666665</c:v>
                </c:pt>
                <c:pt idx="49">
                  <c:v>2373206.6666666665</c:v>
                </c:pt>
                <c:pt idx="50">
                  <c:v>2373206.6666666665</c:v>
                </c:pt>
                <c:pt idx="51">
                  <c:v>2373206.6666666665</c:v>
                </c:pt>
                <c:pt idx="52">
                  <c:v>2373206.6666666665</c:v>
                </c:pt>
                <c:pt idx="53">
                  <c:v>2373206.6666666665</c:v>
                </c:pt>
                <c:pt idx="54">
                  <c:v>2373206.6666666665</c:v>
                </c:pt>
                <c:pt idx="55">
                  <c:v>2373206.6666666665</c:v>
                </c:pt>
                <c:pt idx="56">
                  <c:v>2373206.6666666665</c:v>
                </c:pt>
                <c:pt idx="57">
                  <c:v>2373206.6666666665</c:v>
                </c:pt>
                <c:pt idx="58">
                  <c:v>2373206.6666666665</c:v>
                </c:pt>
                <c:pt idx="59">
                  <c:v>2373206.6666666665</c:v>
                </c:pt>
                <c:pt idx="60">
                  <c:v>2373206.6666666665</c:v>
                </c:pt>
                <c:pt idx="61">
                  <c:v>2373206.6666666665</c:v>
                </c:pt>
                <c:pt idx="62">
                  <c:v>2373206.6666666665</c:v>
                </c:pt>
                <c:pt idx="63">
                  <c:v>2373206.6666666665</c:v>
                </c:pt>
                <c:pt idx="64">
                  <c:v>2373206.6666666665</c:v>
                </c:pt>
                <c:pt idx="65">
                  <c:v>2373206.6666666665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F3-6841-AC29-B56F85F2E22E}"/>
            </c:ext>
          </c:extLst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635166.66666666663</c:v>
                </c:pt>
                <c:pt idx="5">
                  <c:v>635166.66666666663</c:v>
                </c:pt>
                <c:pt idx="6">
                  <c:v>697566.66666666663</c:v>
                </c:pt>
                <c:pt idx="7">
                  <c:v>703566.66666666663</c:v>
                </c:pt>
                <c:pt idx="8">
                  <c:v>905166.66666666663</c:v>
                </c:pt>
                <c:pt idx="9">
                  <c:v>1223460</c:v>
                </c:pt>
                <c:pt idx="10">
                  <c:v>1865593.3333333335</c:v>
                </c:pt>
                <c:pt idx="11">
                  <c:v>1868993.3333333335</c:v>
                </c:pt>
                <c:pt idx="12">
                  <c:v>1907260.0000000002</c:v>
                </c:pt>
                <c:pt idx="13">
                  <c:v>1907260.0000000002</c:v>
                </c:pt>
                <c:pt idx="14">
                  <c:v>1907260.0000000002</c:v>
                </c:pt>
                <c:pt idx="15">
                  <c:v>1907260.0000000002</c:v>
                </c:pt>
                <c:pt idx="16">
                  <c:v>1907260.0000000002</c:v>
                </c:pt>
                <c:pt idx="17">
                  <c:v>1907260.0000000002</c:v>
                </c:pt>
                <c:pt idx="18">
                  <c:v>1907260.0000000002</c:v>
                </c:pt>
                <c:pt idx="19">
                  <c:v>1907260.0000000002</c:v>
                </c:pt>
                <c:pt idx="20">
                  <c:v>1907260.0000000002</c:v>
                </c:pt>
                <c:pt idx="21">
                  <c:v>2314060</c:v>
                </c:pt>
                <c:pt idx="22">
                  <c:v>2314060</c:v>
                </c:pt>
                <c:pt idx="23">
                  <c:v>2818140.0000000005</c:v>
                </c:pt>
                <c:pt idx="24">
                  <c:v>3000190</c:v>
                </c:pt>
                <c:pt idx="25">
                  <c:v>3042483.3333333335</c:v>
                </c:pt>
                <c:pt idx="26">
                  <c:v>3048783.3333333335</c:v>
                </c:pt>
                <c:pt idx="27">
                  <c:v>3048783.3333333335</c:v>
                </c:pt>
                <c:pt idx="28">
                  <c:v>3048783.3333333335</c:v>
                </c:pt>
                <c:pt idx="29">
                  <c:v>3048783.3333333335</c:v>
                </c:pt>
                <c:pt idx="30">
                  <c:v>3048783.3333333335</c:v>
                </c:pt>
                <c:pt idx="31">
                  <c:v>3048783.3333333335</c:v>
                </c:pt>
                <c:pt idx="32">
                  <c:v>3048783.3333333335</c:v>
                </c:pt>
                <c:pt idx="33">
                  <c:v>3048783.3333333335</c:v>
                </c:pt>
                <c:pt idx="34">
                  <c:v>3117033.3333333335</c:v>
                </c:pt>
                <c:pt idx="35">
                  <c:v>3194900</c:v>
                </c:pt>
                <c:pt idx="36">
                  <c:v>3194900</c:v>
                </c:pt>
                <c:pt idx="37">
                  <c:v>3196066.6666666665</c:v>
                </c:pt>
                <c:pt idx="38">
                  <c:v>3196066.6666666665</c:v>
                </c:pt>
                <c:pt idx="39">
                  <c:v>3196066.6666666665</c:v>
                </c:pt>
                <c:pt idx="40">
                  <c:v>3196066.6666666665</c:v>
                </c:pt>
                <c:pt idx="41">
                  <c:v>3196066.6666666665</c:v>
                </c:pt>
                <c:pt idx="42">
                  <c:v>3196066.6666666665</c:v>
                </c:pt>
                <c:pt idx="43">
                  <c:v>3196066.6666666665</c:v>
                </c:pt>
                <c:pt idx="44">
                  <c:v>3196066.6666666665</c:v>
                </c:pt>
                <c:pt idx="45">
                  <c:v>3196066.6666666665</c:v>
                </c:pt>
                <c:pt idx="46">
                  <c:v>3196066.6666666665</c:v>
                </c:pt>
                <c:pt idx="47">
                  <c:v>3196066.6666666665</c:v>
                </c:pt>
                <c:pt idx="48">
                  <c:v>3196066.6666666665</c:v>
                </c:pt>
                <c:pt idx="49">
                  <c:v>3196066.6666666665</c:v>
                </c:pt>
                <c:pt idx="50">
                  <c:v>3196066.6666666665</c:v>
                </c:pt>
                <c:pt idx="51">
                  <c:v>3196066.6666666665</c:v>
                </c:pt>
                <c:pt idx="52">
                  <c:v>3196066.6666666665</c:v>
                </c:pt>
                <c:pt idx="53">
                  <c:v>3196066.6666666665</c:v>
                </c:pt>
                <c:pt idx="54">
                  <c:v>3196066.6666666665</c:v>
                </c:pt>
                <c:pt idx="55">
                  <c:v>3196483.333333333</c:v>
                </c:pt>
                <c:pt idx="56">
                  <c:v>3463149.9999999995</c:v>
                </c:pt>
                <c:pt idx="57">
                  <c:v>3463149.9999999995</c:v>
                </c:pt>
                <c:pt idx="58">
                  <c:v>3463149.9999999995</c:v>
                </c:pt>
                <c:pt idx="59">
                  <c:v>3463149.9999999995</c:v>
                </c:pt>
                <c:pt idx="60">
                  <c:v>3463349.9999999995</c:v>
                </c:pt>
                <c:pt idx="61">
                  <c:v>3463349.9999999995</c:v>
                </c:pt>
                <c:pt idx="62">
                  <c:v>3463349.9999999995</c:v>
                </c:pt>
                <c:pt idx="63">
                  <c:v>3463349.9999999995</c:v>
                </c:pt>
                <c:pt idx="64">
                  <c:v>3463349.9999999995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F3-6841-AC29-B56F85F2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88088"/>
        <c:axId val="2090291304"/>
      </c:scatterChart>
      <c:valAx>
        <c:axId val="2090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91304"/>
        <c:crosses val="autoZero"/>
        <c:crossBetween val="midCat"/>
        <c:minorUnit val="1"/>
      </c:valAx>
      <c:valAx>
        <c:axId val="2090291304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8808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0.12384775367991301"/>
          <c:h val="0.2973251432417409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59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307800</c:v>
                </c:pt>
                <c:pt idx="16">
                  <c:v>498200</c:v>
                </c:pt>
                <c:pt idx="17">
                  <c:v>506216.66666666669</c:v>
                </c:pt>
                <c:pt idx="18">
                  <c:v>506216.66666666669</c:v>
                </c:pt>
                <c:pt idx="19">
                  <c:v>506216.66666666669</c:v>
                </c:pt>
                <c:pt idx="20">
                  <c:v>506216.66666666669</c:v>
                </c:pt>
                <c:pt idx="21">
                  <c:v>506216.66666666669</c:v>
                </c:pt>
                <c:pt idx="22">
                  <c:v>506216.66666666669</c:v>
                </c:pt>
                <c:pt idx="23">
                  <c:v>506216.66666666669</c:v>
                </c:pt>
                <c:pt idx="24">
                  <c:v>506216.66666666669</c:v>
                </c:pt>
                <c:pt idx="25">
                  <c:v>506216.66666666669</c:v>
                </c:pt>
                <c:pt idx="26">
                  <c:v>676016.66666666663</c:v>
                </c:pt>
                <c:pt idx="27">
                  <c:v>781553.33333333326</c:v>
                </c:pt>
                <c:pt idx="28">
                  <c:v>781553.33333333326</c:v>
                </c:pt>
                <c:pt idx="29">
                  <c:v>781553.33333333326</c:v>
                </c:pt>
                <c:pt idx="30">
                  <c:v>781553.33333333326</c:v>
                </c:pt>
                <c:pt idx="31">
                  <c:v>1028486.6666666666</c:v>
                </c:pt>
                <c:pt idx="32">
                  <c:v>1028486.6666666666</c:v>
                </c:pt>
                <c:pt idx="33">
                  <c:v>1037886.6666666666</c:v>
                </c:pt>
                <c:pt idx="34">
                  <c:v>1037886.6666666666</c:v>
                </c:pt>
                <c:pt idx="35">
                  <c:v>1037886.6666666666</c:v>
                </c:pt>
                <c:pt idx="36">
                  <c:v>1037886.6666666666</c:v>
                </c:pt>
                <c:pt idx="37">
                  <c:v>1037886.6666666666</c:v>
                </c:pt>
                <c:pt idx="38">
                  <c:v>1037886.6666666666</c:v>
                </c:pt>
                <c:pt idx="39">
                  <c:v>1037886.6666666666</c:v>
                </c:pt>
                <c:pt idx="40">
                  <c:v>1179886.666666667</c:v>
                </c:pt>
                <c:pt idx="41">
                  <c:v>1179886.666666667</c:v>
                </c:pt>
                <c:pt idx="42">
                  <c:v>1179886.666666667</c:v>
                </c:pt>
                <c:pt idx="43">
                  <c:v>1180775.5555555557</c:v>
                </c:pt>
                <c:pt idx="44">
                  <c:v>1180775.5555555557</c:v>
                </c:pt>
                <c:pt idx="45">
                  <c:v>1180775.5555555557</c:v>
                </c:pt>
                <c:pt idx="46">
                  <c:v>1180775.5555555557</c:v>
                </c:pt>
                <c:pt idx="47">
                  <c:v>1180775.5555555557</c:v>
                </c:pt>
                <c:pt idx="48">
                  <c:v>1180775.5555555557</c:v>
                </c:pt>
                <c:pt idx="49">
                  <c:v>1180775.5555555557</c:v>
                </c:pt>
                <c:pt idx="50">
                  <c:v>1180775.5555555557</c:v>
                </c:pt>
                <c:pt idx="51">
                  <c:v>1180775.5555555557</c:v>
                </c:pt>
                <c:pt idx="52">
                  <c:v>1180775.5555555557</c:v>
                </c:pt>
                <c:pt idx="53">
                  <c:v>1180775.5555555557</c:v>
                </c:pt>
                <c:pt idx="54">
                  <c:v>1180775.5555555557</c:v>
                </c:pt>
                <c:pt idx="55">
                  <c:v>1180775.5555555557</c:v>
                </c:pt>
                <c:pt idx="56">
                  <c:v>1180775.5555555557</c:v>
                </c:pt>
                <c:pt idx="57">
                  <c:v>1180775.5555555557</c:v>
                </c:pt>
                <c:pt idx="58">
                  <c:v>1180775.5555555557</c:v>
                </c:pt>
                <c:pt idx="59">
                  <c:v>1180775.5555555557</c:v>
                </c:pt>
                <c:pt idx="60">
                  <c:v>1180775.5555555557</c:v>
                </c:pt>
                <c:pt idx="61">
                  <c:v>1483708.888888889</c:v>
                </c:pt>
                <c:pt idx="62">
                  <c:v>1483708.888888889</c:v>
                </c:pt>
                <c:pt idx="63">
                  <c:v>1483708.888888889</c:v>
                </c:pt>
                <c:pt idx="64">
                  <c:v>1483708.888888889</c:v>
                </c:pt>
                <c:pt idx="65">
                  <c:v>1483708.888888889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9-114A-ACD6-8DBA8F80E05B}"/>
            </c:ext>
          </c:extLst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816.66666666666663</c:v>
                </c:pt>
                <c:pt idx="13">
                  <c:v>816.66666666666663</c:v>
                </c:pt>
                <c:pt idx="14">
                  <c:v>816.66666666666663</c:v>
                </c:pt>
                <c:pt idx="15">
                  <c:v>11616.666666666666</c:v>
                </c:pt>
                <c:pt idx="16">
                  <c:v>151416.66666666666</c:v>
                </c:pt>
                <c:pt idx="17">
                  <c:v>162041.66666666666</c:v>
                </c:pt>
                <c:pt idx="18">
                  <c:v>162041.66666666666</c:v>
                </c:pt>
                <c:pt idx="19">
                  <c:v>276341.66666666663</c:v>
                </c:pt>
                <c:pt idx="20">
                  <c:v>276341.66666666663</c:v>
                </c:pt>
                <c:pt idx="21">
                  <c:v>277675</c:v>
                </c:pt>
                <c:pt idx="22">
                  <c:v>277675</c:v>
                </c:pt>
                <c:pt idx="23">
                  <c:v>277675</c:v>
                </c:pt>
                <c:pt idx="24">
                  <c:v>277675</c:v>
                </c:pt>
                <c:pt idx="25">
                  <c:v>277675</c:v>
                </c:pt>
                <c:pt idx="26">
                  <c:v>277675</c:v>
                </c:pt>
                <c:pt idx="27">
                  <c:v>277675</c:v>
                </c:pt>
                <c:pt idx="28">
                  <c:v>277675</c:v>
                </c:pt>
                <c:pt idx="29">
                  <c:v>277675</c:v>
                </c:pt>
                <c:pt idx="30">
                  <c:v>277675</c:v>
                </c:pt>
                <c:pt idx="31">
                  <c:v>277675</c:v>
                </c:pt>
                <c:pt idx="32">
                  <c:v>277675</c:v>
                </c:pt>
                <c:pt idx="33">
                  <c:v>277675</c:v>
                </c:pt>
                <c:pt idx="34">
                  <c:v>277675</c:v>
                </c:pt>
                <c:pt idx="35">
                  <c:v>277675</c:v>
                </c:pt>
                <c:pt idx="36">
                  <c:v>277675</c:v>
                </c:pt>
                <c:pt idx="37">
                  <c:v>277675</c:v>
                </c:pt>
                <c:pt idx="38">
                  <c:v>277675</c:v>
                </c:pt>
                <c:pt idx="39">
                  <c:v>277675</c:v>
                </c:pt>
                <c:pt idx="40">
                  <c:v>277675</c:v>
                </c:pt>
                <c:pt idx="41">
                  <c:v>277675</c:v>
                </c:pt>
                <c:pt idx="42">
                  <c:v>277675</c:v>
                </c:pt>
                <c:pt idx="43">
                  <c:v>277708.33333333331</c:v>
                </c:pt>
                <c:pt idx="44">
                  <c:v>277708.33333333331</c:v>
                </c:pt>
                <c:pt idx="45">
                  <c:v>277708.33333333331</c:v>
                </c:pt>
                <c:pt idx="46">
                  <c:v>277708.33333333331</c:v>
                </c:pt>
                <c:pt idx="47">
                  <c:v>277708.33333333331</c:v>
                </c:pt>
                <c:pt idx="48">
                  <c:v>277708.33333333331</c:v>
                </c:pt>
                <c:pt idx="49">
                  <c:v>277708.33333333331</c:v>
                </c:pt>
                <c:pt idx="50">
                  <c:v>277708.33333333331</c:v>
                </c:pt>
                <c:pt idx="51">
                  <c:v>277708.33333333331</c:v>
                </c:pt>
                <c:pt idx="52">
                  <c:v>277708.33333333331</c:v>
                </c:pt>
                <c:pt idx="53">
                  <c:v>277708.33333333331</c:v>
                </c:pt>
                <c:pt idx="54">
                  <c:v>277708.33333333331</c:v>
                </c:pt>
                <c:pt idx="55">
                  <c:v>277708.33333333331</c:v>
                </c:pt>
                <c:pt idx="56">
                  <c:v>277708.33333333331</c:v>
                </c:pt>
                <c:pt idx="57">
                  <c:v>277708.33333333331</c:v>
                </c:pt>
                <c:pt idx="58">
                  <c:v>277708.33333333331</c:v>
                </c:pt>
                <c:pt idx="59">
                  <c:v>277708.33333333331</c:v>
                </c:pt>
                <c:pt idx="60">
                  <c:v>277708.33333333331</c:v>
                </c:pt>
                <c:pt idx="61">
                  <c:v>277708.33333333331</c:v>
                </c:pt>
                <c:pt idx="62">
                  <c:v>277708.33333333331</c:v>
                </c:pt>
                <c:pt idx="63">
                  <c:v>277708.33333333331</c:v>
                </c:pt>
                <c:pt idx="64">
                  <c:v>277708.33333333331</c:v>
                </c:pt>
                <c:pt idx="65">
                  <c:v>277708.33333333331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59-114A-ACD6-8DBA8F80E05B}"/>
            </c:ext>
          </c:extLst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126400</c:v>
                </c:pt>
                <c:pt idx="12">
                  <c:v>126983.33333333333</c:v>
                </c:pt>
                <c:pt idx="13">
                  <c:v>129250</c:v>
                </c:pt>
                <c:pt idx="14">
                  <c:v>315383.33333333331</c:v>
                </c:pt>
                <c:pt idx="15">
                  <c:v>315383.33333333331</c:v>
                </c:pt>
                <c:pt idx="16">
                  <c:v>315383.33333333331</c:v>
                </c:pt>
                <c:pt idx="17">
                  <c:v>320341.66666666663</c:v>
                </c:pt>
                <c:pt idx="18">
                  <c:v>320341.66666666663</c:v>
                </c:pt>
                <c:pt idx="19">
                  <c:v>320341.66666666663</c:v>
                </c:pt>
                <c:pt idx="20">
                  <c:v>320341.66666666663</c:v>
                </c:pt>
                <c:pt idx="21">
                  <c:v>320341.66666666663</c:v>
                </c:pt>
                <c:pt idx="22">
                  <c:v>321808.33333333331</c:v>
                </c:pt>
                <c:pt idx="23">
                  <c:v>321808.33333333331</c:v>
                </c:pt>
                <c:pt idx="24">
                  <c:v>396475</c:v>
                </c:pt>
                <c:pt idx="25">
                  <c:v>397675</c:v>
                </c:pt>
                <c:pt idx="26">
                  <c:v>397675</c:v>
                </c:pt>
                <c:pt idx="27">
                  <c:v>397675</c:v>
                </c:pt>
                <c:pt idx="28">
                  <c:v>397675</c:v>
                </c:pt>
                <c:pt idx="29">
                  <c:v>397675</c:v>
                </c:pt>
                <c:pt idx="30">
                  <c:v>397675</c:v>
                </c:pt>
                <c:pt idx="31">
                  <c:v>397675</c:v>
                </c:pt>
                <c:pt idx="32">
                  <c:v>397675</c:v>
                </c:pt>
                <c:pt idx="33">
                  <c:v>397675</c:v>
                </c:pt>
                <c:pt idx="34">
                  <c:v>397675</c:v>
                </c:pt>
                <c:pt idx="35">
                  <c:v>397675</c:v>
                </c:pt>
                <c:pt idx="36">
                  <c:v>397675</c:v>
                </c:pt>
                <c:pt idx="37">
                  <c:v>397675</c:v>
                </c:pt>
                <c:pt idx="38">
                  <c:v>397675</c:v>
                </c:pt>
                <c:pt idx="39">
                  <c:v>397675</c:v>
                </c:pt>
                <c:pt idx="40">
                  <c:v>397675</c:v>
                </c:pt>
                <c:pt idx="41">
                  <c:v>397675</c:v>
                </c:pt>
                <c:pt idx="42">
                  <c:v>397675</c:v>
                </c:pt>
                <c:pt idx="43">
                  <c:v>397675</c:v>
                </c:pt>
                <c:pt idx="44">
                  <c:v>397675</c:v>
                </c:pt>
                <c:pt idx="45">
                  <c:v>397675</c:v>
                </c:pt>
                <c:pt idx="46">
                  <c:v>397675</c:v>
                </c:pt>
                <c:pt idx="47">
                  <c:v>397675</c:v>
                </c:pt>
                <c:pt idx="48">
                  <c:v>397675</c:v>
                </c:pt>
                <c:pt idx="49">
                  <c:v>397675</c:v>
                </c:pt>
                <c:pt idx="50">
                  <c:v>397675</c:v>
                </c:pt>
                <c:pt idx="51">
                  <c:v>397675</c:v>
                </c:pt>
                <c:pt idx="52">
                  <c:v>397675</c:v>
                </c:pt>
                <c:pt idx="53">
                  <c:v>397675</c:v>
                </c:pt>
                <c:pt idx="54">
                  <c:v>439633.33333333337</c:v>
                </c:pt>
                <c:pt idx="55">
                  <c:v>439633.33333333337</c:v>
                </c:pt>
                <c:pt idx="56">
                  <c:v>439633.33333333337</c:v>
                </c:pt>
                <c:pt idx="57">
                  <c:v>439633.33333333337</c:v>
                </c:pt>
                <c:pt idx="58">
                  <c:v>439633.33333333337</c:v>
                </c:pt>
                <c:pt idx="59">
                  <c:v>439633.33333333337</c:v>
                </c:pt>
                <c:pt idx="60">
                  <c:v>439633.33333333337</c:v>
                </c:pt>
                <c:pt idx="61">
                  <c:v>439841.66666666669</c:v>
                </c:pt>
                <c:pt idx="62">
                  <c:v>439841.66666666669</c:v>
                </c:pt>
                <c:pt idx="63">
                  <c:v>439841.66666666669</c:v>
                </c:pt>
                <c:pt idx="64">
                  <c:v>439841.66666666669</c:v>
                </c:pt>
                <c:pt idx="65">
                  <c:v>439841.66666666669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9-114A-ACD6-8DBA8F80E05B}"/>
            </c:ext>
          </c:extLst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246666.66666666666</c:v>
                </c:pt>
                <c:pt idx="8">
                  <c:v>246666.66666666666</c:v>
                </c:pt>
                <c:pt idx="9">
                  <c:v>246666.66666666666</c:v>
                </c:pt>
                <c:pt idx="10">
                  <c:v>246666.66666666666</c:v>
                </c:pt>
                <c:pt idx="11">
                  <c:v>246666.66666666666</c:v>
                </c:pt>
                <c:pt idx="12">
                  <c:v>246666.66666666666</c:v>
                </c:pt>
                <c:pt idx="13">
                  <c:v>246666.66666666666</c:v>
                </c:pt>
                <c:pt idx="14">
                  <c:v>494666.66666666663</c:v>
                </c:pt>
                <c:pt idx="15">
                  <c:v>494666.66666666663</c:v>
                </c:pt>
                <c:pt idx="16">
                  <c:v>499583.33333333331</c:v>
                </c:pt>
                <c:pt idx="17">
                  <c:v>499583.33333333331</c:v>
                </c:pt>
                <c:pt idx="18">
                  <c:v>499583.33333333331</c:v>
                </c:pt>
                <c:pt idx="19">
                  <c:v>499583.33333333331</c:v>
                </c:pt>
                <c:pt idx="20">
                  <c:v>499583.33333333331</c:v>
                </c:pt>
                <c:pt idx="21">
                  <c:v>499583.33333333331</c:v>
                </c:pt>
                <c:pt idx="22">
                  <c:v>499583.33333333331</c:v>
                </c:pt>
                <c:pt idx="23">
                  <c:v>714063.33333333326</c:v>
                </c:pt>
                <c:pt idx="24">
                  <c:v>716996.66666666663</c:v>
                </c:pt>
                <c:pt idx="25">
                  <c:v>716996.66666666663</c:v>
                </c:pt>
                <c:pt idx="26">
                  <c:v>716996.66666666663</c:v>
                </c:pt>
                <c:pt idx="27">
                  <c:v>941529.99999999988</c:v>
                </c:pt>
                <c:pt idx="28">
                  <c:v>941529.99999999988</c:v>
                </c:pt>
                <c:pt idx="29">
                  <c:v>941529.99999999988</c:v>
                </c:pt>
                <c:pt idx="30">
                  <c:v>941529.99999999988</c:v>
                </c:pt>
                <c:pt idx="31">
                  <c:v>941529.99999999988</c:v>
                </c:pt>
                <c:pt idx="32">
                  <c:v>941529.99999999988</c:v>
                </c:pt>
                <c:pt idx="33">
                  <c:v>941529.99999999988</c:v>
                </c:pt>
                <c:pt idx="34">
                  <c:v>1057263.3333333333</c:v>
                </c:pt>
                <c:pt idx="35">
                  <c:v>1115396.6666666665</c:v>
                </c:pt>
                <c:pt idx="36">
                  <c:v>1115396.6666666665</c:v>
                </c:pt>
                <c:pt idx="37">
                  <c:v>1116063.3333333333</c:v>
                </c:pt>
                <c:pt idx="38">
                  <c:v>1116063.3333333333</c:v>
                </c:pt>
                <c:pt idx="39">
                  <c:v>1116063.3333333333</c:v>
                </c:pt>
                <c:pt idx="40">
                  <c:v>1116063.3333333333</c:v>
                </c:pt>
                <c:pt idx="41">
                  <c:v>1116063.3333333333</c:v>
                </c:pt>
                <c:pt idx="42">
                  <c:v>1116063.3333333333</c:v>
                </c:pt>
                <c:pt idx="43">
                  <c:v>1116063.3333333333</c:v>
                </c:pt>
                <c:pt idx="44">
                  <c:v>1116063.3333333333</c:v>
                </c:pt>
                <c:pt idx="45">
                  <c:v>1116063.3333333333</c:v>
                </c:pt>
                <c:pt idx="46">
                  <c:v>1116063.3333333333</c:v>
                </c:pt>
                <c:pt idx="47">
                  <c:v>1116063.3333333333</c:v>
                </c:pt>
                <c:pt idx="48">
                  <c:v>1116063.3333333333</c:v>
                </c:pt>
                <c:pt idx="49">
                  <c:v>1116063.3333333333</c:v>
                </c:pt>
                <c:pt idx="50">
                  <c:v>1116063.3333333333</c:v>
                </c:pt>
                <c:pt idx="51">
                  <c:v>1116063.3333333333</c:v>
                </c:pt>
                <c:pt idx="52">
                  <c:v>1116063.3333333333</c:v>
                </c:pt>
                <c:pt idx="53">
                  <c:v>1116063.3333333333</c:v>
                </c:pt>
                <c:pt idx="54">
                  <c:v>1116063.3333333333</c:v>
                </c:pt>
                <c:pt idx="55">
                  <c:v>1116063.3333333333</c:v>
                </c:pt>
                <c:pt idx="56">
                  <c:v>1116063.3333333333</c:v>
                </c:pt>
                <c:pt idx="57">
                  <c:v>1116063.3333333333</c:v>
                </c:pt>
                <c:pt idx="58">
                  <c:v>1116063.3333333333</c:v>
                </c:pt>
                <c:pt idx="59">
                  <c:v>1116063.3333333333</c:v>
                </c:pt>
                <c:pt idx="60">
                  <c:v>1116063.3333333333</c:v>
                </c:pt>
                <c:pt idx="61">
                  <c:v>1116063.3333333333</c:v>
                </c:pt>
                <c:pt idx="62">
                  <c:v>1116063.3333333333</c:v>
                </c:pt>
                <c:pt idx="63">
                  <c:v>1116063.3333333333</c:v>
                </c:pt>
                <c:pt idx="64">
                  <c:v>1116063.3333333333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59-114A-ACD6-8DBA8F80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30744"/>
        <c:axId val="2090333960"/>
      </c:scatterChart>
      <c:valAx>
        <c:axId val="2090330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33960"/>
        <c:crosses val="autoZero"/>
        <c:crossBetween val="midCat"/>
        <c:minorUnit val="1"/>
      </c:valAx>
      <c:valAx>
        <c:axId val="2090333960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307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01"/>
          <c:y val="0.29880673848995298"/>
          <c:w val="0.13261968350447401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01"/>
          <c:y val="7.386162707259870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290.27777777777777</c:v>
                </c:pt>
                <c:pt idx="3">
                  <c:v>610.64814814814815</c:v>
                </c:pt>
                <c:pt idx="4">
                  <c:v>610.64814814814815</c:v>
                </c:pt>
                <c:pt idx="5">
                  <c:v>610.64814814814815</c:v>
                </c:pt>
                <c:pt idx="6">
                  <c:v>12499.537037037036</c:v>
                </c:pt>
                <c:pt idx="7">
                  <c:v>12499.537037037036</c:v>
                </c:pt>
                <c:pt idx="8">
                  <c:v>12499.537037037036</c:v>
                </c:pt>
                <c:pt idx="9">
                  <c:v>12499.537037037036</c:v>
                </c:pt>
                <c:pt idx="10">
                  <c:v>12499.537037037036</c:v>
                </c:pt>
                <c:pt idx="11">
                  <c:v>12499.537037037036</c:v>
                </c:pt>
                <c:pt idx="12">
                  <c:v>12499.537037037036</c:v>
                </c:pt>
                <c:pt idx="13">
                  <c:v>12499.537037037036</c:v>
                </c:pt>
                <c:pt idx="14">
                  <c:v>12499.537037037036</c:v>
                </c:pt>
                <c:pt idx="15">
                  <c:v>12499.537037037036</c:v>
                </c:pt>
                <c:pt idx="16">
                  <c:v>12499.537037037036</c:v>
                </c:pt>
                <c:pt idx="17">
                  <c:v>12499.537037037036</c:v>
                </c:pt>
                <c:pt idx="18">
                  <c:v>12499.537037037036</c:v>
                </c:pt>
                <c:pt idx="19">
                  <c:v>12499.537037037036</c:v>
                </c:pt>
                <c:pt idx="20">
                  <c:v>12499.537037037036</c:v>
                </c:pt>
                <c:pt idx="21">
                  <c:v>12499.537037037036</c:v>
                </c:pt>
                <c:pt idx="22">
                  <c:v>12499.537037037036</c:v>
                </c:pt>
                <c:pt idx="23">
                  <c:v>12499.537037037036</c:v>
                </c:pt>
                <c:pt idx="24">
                  <c:v>12499.537037037036</c:v>
                </c:pt>
                <c:pt idx="25">
                  <c:v>12499.537037037036</c:v>
                </c:pt>
                <c:pt idx="26">
                  <c:v>12499.537037037036</c:v>
                </c:pt>
                <c:pt idx="27">
                  <c:v>36010.648148148153</c:v>
                </c:pt>
                <c:pt idx="28">
                  <c:v>36376.620370370372</c:v>
                </c:pt>
                <c:pt idx="29">
                  <c:v>36376.620370370372</c:v>
                </c:pt>
                <c:pt idx="30">
                  <c:v>36376.620370370372</c:v>
                </c:pt>
                <c:pt idx="31">
                  <c:v>36376.620370370372</c:v>
                </c:pt>
                <c:pt idx="32">
                  <c:v>36376.620370370372</c:v>
                </c:pt>
                <c:pt idx="33">
                  <c:v>36376.620370370372</c:v>
                </c:pt>
                <c:pt idx="34">
                  <c:v>36376.620370370372</c:v>
                </c:pt>
                <c:pt idx="35">
                  <c:v>36416.898148148153</c:v>
                </c:pt>
                <c:pt idx="36">
                  <c:v>36416.898148148153</c:v>
                </c:pt>
                <c:pt idx="37">
                  <c:v>66105.787037037036</c:v>
                </c:pt>
                <c:pt idx="38">
                  <c:v>66105.787037037036</c:v>
                </c:pt>
                <c:pt idx="39">
                  <c:v>79855.787037037036</c:v>
                </c:pt>
                <c:pt idx="40">
                  <c:v>79855.787037037036</c:v>
                </c:pt>
                <c:pt idx="41">
                  <c:v>79855.787037037036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E-4C47-A961-70282924284D}"/>
            </c:ext>
          </c:extLst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8755.5555555555566</c:v>
                </c:pt>
                <c:pt idx="33">
                  <c:v>8755.5555555555566</c:v>
                </c:pt>
                <c:pt idx="34">
                  <c:v>8755.5555555555566</c:v>
                </c:pt>
                <c:pt idx="35">
                  <c:v>8755.5555555555566</c:v>
                </c:pt>
                <c:pt idx="36">
                  <c:v>8755.5555555555566</c:v>
                </c:pt>
                <c:pt idx="37">
                  <c:v>8755.5555555555566</c:v>
                </c:pt>
                <c:pt idx="38">
                  <c:v>8755.5555555555566</c:v>
                </c:pt>
                <c:pt idx="39">
                  <c:v>8755.5555555555566</c:v>
                </c:pt>
                <c:pt idx="40">
                  <c:v>8755.5555555555566</c:v>
                </c:pt>
                <c:pt idx="41">
                  <c:v>8755.5555555555566</c:v>
                </c:pt>
                <c:pt idx="42">
                  <c:v>8755.5555555555566</c:v>
                </c:pt>
                <c:pt idx="43">
                  <c:v>8755.5555555555566</c:v>
                </c:pt>
                <c:pt idx="44">
                  <c:v>8755.5555555555566</c:v>
                </c:pt>
                <c:pt idx="45">
                  <c:v>8755.5555555555566</c:v>
                </c:pt>
                <c:pt idx="46">
                  <c:v>8755.5555555555566</c:v>
                </c:pt>
                <c:pt idx="47">
                  <c:v>8755.5555555555566</c:v>
                </c:pt>
                <c:pt idx="48">
                  <c:v>8755.5555555555566</c:v>
                </c:pt>
                <c:pt idx="49">
                  <c:v>8755.5555555555566</c:v>
                </c:pt>
                <c:pt idx="50">
                  <c:v>8755.5555555555566</c:v>
                </c:pt>
                <c:pt idx="51">
                  <c:v>8755.5555555555566</c:v>
                </c:pt>
                <c:pt idx="52">
                  <c:v>8755.5555555555566</c:v>
                </c:pt>
                <c:pt idx="53">
                  <c:v>8755.5555555555566</c:v>
                </c:pt>
                <c:pt idx="54">
                  <c:v>8755.5555555555566</c:v>
                </c:pt>
                <c:pt idx="55">
                  <c:v>8755.5555555555566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E-4C47-A961-70282924284D}"/>
            </c:ext>
          </c:extLst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3626.6666666666665</c:v>
                </c:pt>
                <c:pt idx="16">
                  <c:v>21503.111111111113</c:v>
                </c:pt>
                <c:pt idx="17">
                  <c:v>21503.111111111113</c:v>
                </c:pt>
                <c:pt idx="18">
                  <c:v>21503.111111111113</c:v>
                </c:pt>
                <c:pt idx="19">
                  <c:v>21503.111111111113</c:v>
                </c:pt>
                <c:pt idx="20">
                  <c:v>21503.111111111113</c:v>
                </c:pt>
                <c:pt idx="21">
                  <c:v>21503.111111111113</c:v>
                </c:pt>
                <c:pt idx="22">
                  <c:v>21503.111111111113</c:v>
                </c:pt>
                <c:pt idx="23">
                  <c:v>21503.111111111113</c:v>
                </c:pt>
                <c:pt idx="24">
                  <c:v>21503.111111111113</c:v>
                </c:pt>
                <c:pt idx="25">
                  <c:v>21503.111111111113</c:v>
                </c:pt>
                <c:pt idx="26">
                  <c:v>21503.111111111113</c:v>
                </c:pt>
                <c:pt idx="27">
                  <c:v>21503.111111111113</c:v>
                </c:pt>
                <c:pt idx="28">
                  <c:v>21503.111111111113</c:v>
                </c:pt>
                <c:pt idx="29">
                  <c:v>21503.111111111113</c:v>
                </c:pt>
                <c:pt idx="30">
                  <c:v>31439.777777777777</c:v>
                </c:pt>
                <c:pt idx="31">
                  <c:v>31439.777777777777</c:v>
                </c:pt>
                <c:pt idx="32">
                  <c:v>43173.111111111117</c:v>
                </c:pt>
                <c:pt idx="33">
                  <c:v>43173.111111111117</c:v>
                </c:pt>
                <c:pt idx="34">
                  <c:v>43173.111111111117</c:v>
                </c:pt>
                <c:pt idx="35">
                  <c:v>43173.111111111117</c:v>
                </c:pt>
                <c:pt idx="36">
                  <c:v>43173.111111111117</c:v>
                </c:pt>
                <c:pt idx="37">
                  <c:v>46337.555555555555</c:v>
                </c:pt>
                <c:pt idx="38">
                  <c:v>46337.555555555555</c:v>
                </c:pt>
                <c:pt idx="39">
                  <c:v>46345.888888888891</c:v>
                </c:pt>
                <c:pt idx="40">
                  <c:v>46345.888888888891</c:v>
                </c:pt>
                <c:pt idx="41">
                  <c:v>46345.888888888891</c:v>
                </c:pt>
                <c:pt idx="42">
                  <c:v>46345.888888888891</c:v>
                </c:pt>
                <c:pt idx="43">
                  <c:v>46345.888888888891</c:v>
                </c:pt>
                <c:pt idx="44">
                  <c:v>47012.555555555555</c:v>
                </c:pt>
                <c:pt idx="45">
                  <c:v>47012.555555555555</c:v>
                </c:pt>
                <c:pt idx="46">
                  <c:v>47012.555555555555</c:v>
                </c:pt>
                <c:pt idx="47">
                  <c:v>47012.555555555555</c:v>
                </c:pt>
                <c:pt idx="48">
                  <c:v>47012.555555555555</c:v>
                </c:pt>
                <c:pt idx="49">
                  <c:v>47012.555555555555</c:v>
                </c:pt>
                <c:pt idx="50">
                  <c:v>47012.555555555555</c:v>
                </c:pt>
                <c:pt idx="51">
                  <c:v>47012.555555555555</c:v>
                </c:pt>
                <c:pt idx="52">
                  <c:v>47012.555555555555</c:v>
                </c:pt>
                <c:pt idx="53">
                  <c:v>47012.555555555555</c:v>
                </c:pt>
                <c:pt idx="54">
                  <c:v>47012.555555555555</c:v>
                </c:pt>
                <c:pt idx="55">
                  <c:v>47012.555555555555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E-4C47-A961-70282924284D}"/>
            </c:ext>
          </c:extLst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20586.666666666664</c:v>
                </c:pt>
                <c:pt idx="14">
                  <c:v>23218.666666666664</c:v>
                </c:pt>
                <c:pt idx="15">
                  <c:v>23498.666666666664</c:v>
                </c:pt>
                <c:pt idx="16">
                  <c:v>23498.666666666664</c:v>
                </c:pt>
                <c:pt idx="17">
                  <c:v>23498.666666666664</c:v>
                </c:pt>
                <c:pt idx="18">
                  <c:v>23498.666666666664</c:v>
                </c:pt>
                <c:pt idx="19">
                  <c:v>23498.666666666664</c:v>
                </c:pt>
                <c:pt idx="20">
                  <c:v>67178.666666666657</c:v>
                </c:pt>
                <c:pt idx="21">
                  <c:v>67178.666666666657</c:v>
                </c:pt>
                <c:pt idx="22">
                  <c:v>67178.666666666657</c:v>
                </c:pt>
                <c:pt idx="23">
                  <c:v>67178.666666666657</c:v>
                </c:pt>
                <c:pt idx="24">
                  <c:v>67178.666666666657</c:v>
                </c:pt>
                <c:pt idx="25">
                  <c:v>67178.666666666657</c:v>
                </c:pt>
                <c:pt idx="26">
                  <c:v>67178.666666666657</c:v>
                </c:pt>
                <c:pt idx="27">
                  <c:v>67178.666666666657</c:v>
                </c:pt>
                <c:pt idx="28">
                  <c:v>67178.666666666657</c:v>
                </c:pt>
                <c:pt idx="29">
                  <c:v>67178.666666666657</c:v>
                </c:pt>
                <c:pt idx="30">
                  <c:v>67178.666666666657</c:v>
                </c:pt>
                <c:pt idx="31">
                  <c:v>67178.666666666657</c:v>
                </c:pt>
                <c:pt idx="32">
                  <c:v>67178.666666666657</c:v>
                </c:pt>
                <c:pt idx="33">
                  <c:v>67178.666666666657</c:v>
                </c:pt>
                <c:pt idx="34">
                  <c:v>67178.666666666657</c:v>
                </c:pt>
                <c:pt idx="35">
                  <c:v>67178.666666666657</c:v>
                </c:pt>
                <c:pt idx="36">
                  <c:v>67178.666666666657</c:v>
                </c:pt>
                <c:pt idx="37">
                  <c:v>67178.666666666657</c:v>
                </c:pt>
                <c:pt idx="38">
                  <c:v>67178.666666666657</c:v>
                </c:pt>
                <c:pt idx="39">
                  <c:v>73945.333333333328</c:v>
                </c:pt>
                <c:pt idx="40">
                  <c:v>73945.333333333328</c:v>
                </c:pt>
                <c:pt idx="41">
                  <c:v>73945.333333333328</c:v>
                </c:pt>
                <c:pt idx="42">
                  <c:v>74101.777777777781</c:v>
                </c:pt>
                <c:pt idx="43">
                  <c:v>74101.777777777781</c:v>
                </c:pt>
                <c:pt idx="44">
                  <c:v>74101.777777777781</c:v>
                </c:pt>
                <c:pt idx="45">
                  <c:v>74101.777777777781</c:v>
                </c:pt>
                <c:pt idx="46">
                  <c:v>74101.777777777781</c:v>
                </c:pt>
                <c:pt idx="47">
                  <c:v>74101.777777777781</c:v>
                </c:pt>
                <c:pt idx="48">
                  <c:v>74101.777777777781</c:v>
                </c:pt>
                <c:pt idx="49">
                  <c:v>93781.777777777781</c:v>
                </c:pt>
                <c:pt idx="50">
                  <c:v>93781.777777777781</c:v>
                </c:pt>
                <c:pt idx="51">
                  <c:v>93946.777777777781</c:v>
                </c:pt>
                <c:pt idx="52">
                  <c:v>93946.777777777781</c:v>
                </c:pt>
                <c:pt idx="53">
                  <c:v>93946.777777777781</c:v>
                </c:pt>
                <c:pt idx="54">
                  <c:v>93946.777777777781</c:v>
                </c:pt>
                <c:pt idx="55">
                  <c:v>93946.777777777781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E-4C47-A961-70282924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73400"/>
        <c:axId val="2090376600"/>
      </c:scatterChart>
      <c:valAx>
        <c:axId val="2090373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76600"/>
        <c:crosses val="autoZero"/>
        <c:crossBetween val="midCat"/>
        <c:minorUnit val="1"/>
      </c:valAx>
      <c:valAx>
        <c:axId val="2090376600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7340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01"/>
          <c:y val="0.32707529759196902"/>
          <c:w val="0.110202529508373"/>
          <c:h val="0.304392283017246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9.51445871897591E-2"/>
          <c:y val="4.9126637858333898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1109.9099099099099</c:v>
                </c:pt>
                <c:pt idx="12">
                  <c:v>1126.1261261261261</c:v>
                </c:pt>
                <c:pt idx="13">
                  <c:v>2305.7057057057054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2780.2402402402404</c:v>
                </c:pt>
                <c:pt idx="17">
                  <c:v>2780.2402402402404</c:v>
                </c:pt>
                <c:pt idx="18">
                  <c:v>2780.2402402402404</c:v>
                </c:pt>
                <c:pt idx="19">
                  <c:v>2780.2402402402404</c:v>
                </c:pt>
                <c:pt idx="20">
                  <c:v>2780.2402402402404</c:v>
                </c:pt>
                <c:pt idx="21">
                  <c:v>2780.2402402402404</c:v>
                </c:pt>
                <c:pt idx="22">
                  <c:v>2780.2402402402404</c:v>
                </c:pt>
                <c:pt idx="23">
                  <c:v>2780.2402402402404</c:v>
                </c:pt>
                <c:pt idx="24">
                  <c:v>2780.2402402402404</c:v>
                </c:pt>
                <c:pt idx="25">
                  <c:v>2780.2402402402404</c:v>
                </c:pt>
                <c:pt idx="26">
                  <c:v>2780.2402402402404</c:v>
                </c:pt>
                <c:pt idx="27">
                  <c:v>2780.2402402402404</c:v>
                </c:pt>
                <c:pt idx="28">
                  <c:v>3227.0870870870872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3333.9939939939945</c:v>
                </c:pt>
                <c:pt idx="32">
                  <c:v>3333.9939939939945</c:v>
                </c:pt>
                <c:pt idx="33">
                  <c:v>3333.9939939939945</c:v>
                </c:pt>
                <c:pt idx="34">
                  <c:v>3333.9939939939945</c:v>
                </c:pt>
                <c:pt idx="35">
                  <c:v>3333.9939939939945</c:v>
                </c:pt>
                <c:pt idx="36">
                  <c:v>3333.9939939939945</c:v>
                </c:pt>
                <c:pt idx="37">
                  <c:v>3333.9939939939945</c:v>
                </c:pt>
                <c:pt idx="38">
                  <c:v>3333.9939939939945</c:v>
                </c:pt>
                <c:pt idx="39">
                  <c:v>3333.9939939939945</c:v>
                </c:pt>
                <c:pt idx="40">
                  <c:v>3333.9939939939945</c:v>
                </c:pt>
                <c:pt idx="41">
                  <c:v>3333.9939939939945</c:v>
                </c:pt>
                <c:pt idx="42">
                  <c:v>3333.9939939939945</c:v>
                </c:pt>
                <c:pt idx="43">
                  <c:v>3333.9939939939945</c:v>
                </c:pt>
                <c:pt idx="44">
                  <c:v>3333.9939939939945</c:v>
                </c:pt>
                <c:pt idx="45">
                  <c:v>3333.9939939939945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A-C347-BD91-FB14472E368B}"/>
            </c:ext>
          </c:extLst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20.214521452145213</c:v>
                </c:pt>
                <c:pt idx="10">
                  <c:v>908.00330033003308</c:v>
                </c:pt>
                <c:pt idx="11">
                  <c:v>908.00330033003308</c:v>
                </c:pt>
                <c:pt idx="12">
                  <c:v>908.00330033003308</c:v>
                </c:pt>
                <c:pt idx="13">
                  <c:v>908.00330033003308</c:v>
                </c:pt>
                <c:pt idx="14">
                  <c:v>908.00330033003308</c:v>
                </c:pt>
                <c:pt idx="15">
                  <c:v>908.00330033003308</c:v>
                </c:pt>
                <c:pt idx="16">
                  <c:v>908.00330033003308</c:v>
                </c:pt>
                <c:pt idx="17">
                  <c:v>908.00330033003308</c:v>
                </c:pt>
                <c:pt idx="18">
                  <c:v>908.00330033003308</c:v>
                </c:pt>
                <c:pt idx="19">
                  <c:v>908.00330033003308</c:v>
                </c:pt>
                <c:pt idx="20">
                  <c:v>908.00330033003308</c:v>
                </c:pt>
                <c:pt idx="21">
                  <c:v>908.00330033003308</c:v>
                </c:pt>
                <c:pt idx="22">
                  <c:v>1895.4620462046207</c:v>
                </c:pt>
                <c:pt idx="23">
                  <c:v>1895.4620462046207</c:v>
                </c:pt>
                <c:pt idx="24">
                  <c:v>3210.7095709570958</c:v>
                </c:pt>
                <c:pt idx="25">
                  <c:v>3210.7095709570958</c:v>
                </c:pt>
                <c:pt idx="26">
                  <c:v>3210.7095709570958</c:v>
                </c:pt>
                <c:pt idx="27">
                  <c:v>3210.7095709570958</c:v>
                </c:pt>
                <c:pt idx="28">
                  <c:v>3210.7095709570958</c:v>
                </c:pt>
                <c:pt idx="29">
                  <c:v>3210.7095709570958</c:v>
                </c:pt>
                <c:pt idx="30">
                  <c:v>3210.7095709570958</c:v>
                </c:pt>
                <c:pt idx="31">
                  <c:v>3924.1089108910892</c:v>
                </c:pt>
                <c:pt idx="32">
                  <c:v>3924.1089108910892</c:v>
                </c:pt>
                <c:pt idx="33">
                  <c:v>3965.6930693069307</c:v>
                </c:pt>
                <c:pt idx="34">
                  <c:v>3965.6930693069307</c:v>
                </c:pt>
                <c:pt idx="35">
                  <c:v>3965.6930693069307</c:v>
                </c:pt>
                <c:pt idx="36">
                  <c:v>3965.6930693069307</c:v>
                </c:pt>
                <c:pt idx="37">
                  <c:v>3965.6930693069307</c:v>
                </c:pt>
                <c:pt idx="38">
                  <c:v>3965.6930693069307</c:v>
                </c:pt>
                <c:pt idx="39">
                  <c:v>3965.6930693069307</c:v>
                </c:pt>
                <c:pt idx="40">
                  <c:v>4472.1287128712875</c:v>
                </c:pt>
                <c:pt idx="41">
                  <c:v>5122.2937293729374</c:v>
                </c:pt>
                <c:pt idx="42">
                  <c:v>5122.2937293729374</c:v>
                </c:pt>
                <c:pt idx="43">
                  <c:v>5124.2079207920788</c:v>
                </c:pt>
                <c:pt idx="44">
                  <c:v>5124.2079207920788</c:v>
                </c:pt>
                <c:pt idx="45">
                  <c:v>5124.2079207920788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CA-C347-BD91-FB14472E368B}"/>
            </c:ext>
          </c:extLst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379.59183673469386</c:v>
                </c:pt>
                <c:pt idx="2">
                  <c:v>379.59183673469386</c:v>
                </c:pt>
                <c:pt idx="3">
                  <c:v>379.59183673469386</c:v>
                </c:pt>
                <c:pt idx="4">
                  <c:v>912.92517006802711</c:v>
                </c:pt>
                <c:pt idx="5">
                  <c:v>912.92517006802711</c:v>
                </c:pt>
                <c:pt idx="6">
                  <c:v>912.92517006802711</c:v>
                </c:pt>
                <c:pt idx="7">
                  <c:v>912.92517006802711</c:v>
                </c:pt>
                <c:pt idx="8">
                  <c:v>912.92517006802711</c:v>
                </c:pt>
                <c:pt idx="9">
                  <c:v>912.92517006802711</c:v>
                </c:pt>
                <c:pt idx="10">
                  <c:v>912.92517006802711</c:v>
                </c:pt>
                <c:pt idx="11">
                  <c:v>912.92517006802711</c:v>
                </c:pt>
                <c:pt idx="12">
                  <c:v>912.92517006802711</c:v>
                </c:pt>
                <c:pt idx="13">
                  <c:v>3372.7891156462583</c:v>
                </c:pt>
                <c:pt idx="14">
                  <c:v>4053.0612244897961</c:v>
                </c:pt>
                <c:pt idx="15">
                  <c:v>4087.7551020408164</c:v>
                </c:pt>
                <c:pt idx="16">
                  <c:v>4189.7959183673465</c:v>
                </c:pt>
                <c:pt idx="17">
                  <c:v>4410.2040816326535</c:v>
                </c:pt>
                <c:pt idx="18">
                  <c:v>4410.2040816326535</c:v>
                </c:pt>
                <c:pt idx="19">
                  <c:v>4410.2040816326535</c:v>
                </c:pt>
                <c:pt idx="20">
                  <c:v>4410.2040816326535</c:v>
                </c:pt>
                <c:pt idx="21">
                  <c:v>4410.2040816326535</c:v>
                </c:pt>
                <c:pt idx="22">
                  <c:v>4410.2040816326535</c:v>
                </c:pt>
                <c:pt idx="23">
                  <c:v>4410.2040816326535</c:v>
                </c:pt>
                <c:pt idx="24">
                  <c:v>4410.2040816326535</c:v>
                </c:pt>
                <c:pt idx="25">
                  <c:v>6357.6530612244896</c:v>
                </c:pt>
                <c:pt idx="26">
                  <c:v>6534.2517006802718</c:v>
                </c:pt>
                <c:pt idx="27">
                  <c:v>6534.2517006802718</c:v>
                </c:pt>
                <c:pt idx="28">
                  <c:v>6534.2517006802718</c:v>
                </c:pt>
                <c:pt idx="29">
                  <c:v>6534.2517006802718</c:v>
                </c:pt>
                <c:pt idx="30">
                  <c:v>6534.2517006802718</c:v>
                </c:pt>
                <c:pt idx="31">
                  <c:v>6534.2517006802718</c:v>
                </c:pt>
                <c:pt idx="32">
                  <c:v>6534.2517006802718</c:v>
                </c:pt>
                <c:pt idx="33">
                  <c:v>6534.2517006802718</c:v>
                </c:pt>
                <c:pt idx="34">
                  <c:v>6534.2517006802718</c:v>
                </c:pt>
                <c:pt idx="35">
                  <c:v>6534.2517006802718</c:v>
                </c:pt>
                <c:pt idx="36">
                  <c:v>6534.2517006802718</c:v>
                </c:pt>
                <c:pt idx="37">
                  <c:v>6534.2517006802718</c:v>
                </c:pt>
                <c:pt idx="38">
                  <c:v>6534.2517006802718</c:v>
                </c:pt>
                <c:pt idx="39">
                  <c:v>6534.2517006802718</c:v>
                </c:pt>
                <c:pt idx="40">
                  <c:v>6666.9047619047615</c:v>
                </c:pt>
                <c:pt idx="41">
                  <c:v>6666.9047619047615</c:v>
                </c:pt>
                <c:pt idx="42">
                  <c:v>6666.9047619047615</c:v>
                </c:pt>
                <c:pt idx="43">
                  <c:v>6666.9047619047615</c:v>
                </c:pt>
                <c:pt idx="44">
                  <c:v>6666.9047619047615</c:v>
                </c:pt>
                <c:pt idx="45">
                  <c:v>6666.9047619047615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CA-C347-BD91-FB14472E368B}"/>
            </c:ext>
          </c:extLst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451.42857142857144</c:v>
                </c:pt>
                <c:pt idx="2">
                  <c:v>451.42857142857144</c:v>
                </c:pt>
                <c:pt idx="3">
                  <c:v>451.42857142857144</c:v>
                </c:pt>
                <c:pt idx="4">
                  <c:v>1087.6190476190477</c:v>
                </c:pt>
                <c:pt idx="5">
                  <c:v>1087.6190476190477</c:v>
                </c:pt>
                <c:pt idx="6">
                  <c:v>1087.6190476190477</c:v>
                </c:pt>
                <c:pt idx="7">
                  <c:v>1087.6190476190477</c:v>
                </c:pt>
                <c:pt idx="8">
                  <c:v>1087.6190476190477</c:v>
                </c:pt>
                <c:pt idx="9">
                  <c:v>1087.6190476190477</c:v>
                </c:pt>
                <c:pt idx="10">
                  <c:v>2116.1904761904761</c:v>
                </c:pt>
                <c:pt idx="11">
                  <c:v>2242.3809523809523</c:v>
                </c:pt>
                <c:pt idx="12">
                  <c:v>2248.3333333333335</c:v>
                </c:pt>
                <c:pt idx="13">
                  <c:v>2248.3333333333335</c:v>
                </c:pt>
                <c:pt idx="14">
                  <c:v>2606.1111111111113</c:v>
                </c:pt>
                <c:pt idx="15">
                  <c:v>2903.3174603174607</c:v>
                </c:pt>
                <c:pt idx="16">
                  <c:v>2903.3174603174607</c:v>
                </c:pt>
                <c:pt idx="17">
                  <c:v>2903.3174603174607</c:v>
                </c:pt>
                <c:pt idx="18">
                  <c:v>2903.3174603174607</c:v>
                </c:pt>
                <c:pt idx="19">
                  <c:v>2903.3174603174607</c:v>
                </c:pt>
                <c:pt idx="20">
                  <c:v>2903.3174603174607</c:v>
                </c:pt>
                <c:pt idx="21">
                  <c:v>2903.3174603174607</c:v>
                </c:pt>
                <c:pt idx="22">
                  <c:v>3289.3492063492067</c:v>
                </c:pt>
                <c:pt idx="23">
                  <c:v>3289.3492063492067</c:v>
                </c:pt>
                <c:pt idx="24">
                  <c:v>3893.2857142857142</c:v>
                </c:pt>
                <c:pt idx="25">
                  <c:v>3893.2857142857142</c:v>
                </c:pt>
                <c:pt idx="26">
                  <c:v>3893.2857142857142</c:v>
                </c:pt>
                <c:pt idx="27">
                  <c:v>3893.2857142857142</c:v>
                </c:pt>
                <c:pt idx="28">
                  <c:v>3893.2857142857142</c:v>
                </c:pt>
                <c:pt idx="29">
                  <c:v>4132.9682539682544</c:v>
                </c:pt>
                <c:pt idx="30">
                  <c:v>4132.9682539682544</c:v>
                </c:pt>
                <c:pt idx="31">
                  <c:v>4145.1587301587306</c:v>
                </c:pt>
                <c:pt idx="32">
                  <c:v>4145.1587301587306</c:v>
                </c:pt>
                <c:pt idx="33">
                  <c:v>4145.1587301587306</c:v>
                </c:pt>
                <c:pt idx="34">
                  <c:v>4145.1587301587306</c:v>
                </c:pt>
                <c:pt idx="35">
                  <c:v>4145.1587301587306</c:v>
                </c:pt>
                <c:pt idx="36">
                  <c:v>4318.1746031746034</c:v>
                </c:pt>
                <c:pt idx="37">
                  <c:v>4318.1746031746034</c:v>
                </c:pt>
                <c:pt idx="38">
                  <c:v>4440.0793650793657</c:v>
                </c:pt>
                <c:pt idx="39">
                  <c:v>4440.0793650793657</c:v>
                </c:pt>
                <c:pt idx="40">
                  <c:v>4440.0793650793657</c:v>
                </c:pt>
                <c:pt idx="41">
                  <c:v>4440.0793650793657</c:v>
                </c:pt>
                <c:pt idx="42">
                  <c:v>4440.0793650793657</c:v>
                </c:pt>
                <c:pt idx="43">
                  <c:v>4440.0793650793657</c:v>
                </c:pt>
                <c:pt idx="44">
                  <c:v>4440.0793650793657</c:v>
                </c:pt>
                <c:pt idx="45">
                  <c:v>4440.0793650793657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CA-C347-BD91-FB14472E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16232"/>
        <c:axId val="2090419448"/>
      </c:scatterChart>
      <c:valAx>
        <c:axId val="2090416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19448"/>
        <c:crosses val="autoZero"/>
        <c:crossBetween val="midCat"/>
        <c:minorUnit val="1"/>
      </c:valAx>
      <c:valAx>
        <c:axId val="209041944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162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9.7635262697426006E-2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370.83333333333337</c:v>
                </c:pt>
                <c:pt idx="11">
                  <c:v>14754.166666666668</c:v>
                </c:pt>
                <c:pt idx="12">
                  <c:v>19004.166666666668</c:v>
                </c:pt>
                <c:pt idx="13">
                  <c:v>19035.416666666668</c:v>
                </c:pt>
                <c:pt idx="14">
                  <c:v>19035.416666666668</c:v>
                </c:pt>
                <c:pt idx="15">
                  <c:v>19035.416666666668</c:v>
                </c:pt>
                <c:pt idx="16">
                  <c:v>19035.416666666668</c:v>
                </c:pt>
                <c:pt idx="17">
                  <c:v>26712.291666666668</c:v>
                </c:pt>
                <c:pt idx="18">
                  <c:v>26712.291666666668</c:v>
                </c:pt>
                <c:pt idx="19">
                  <c:v>26959.166666666668</c:v>
                </c:pt>
                <c:pt idx="20">
                  <c:v>26959.166666666668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57434.687500000007</c:v>
                </c:pt>
                <c:pt idx="36">
                  <c:v>61218.020833333343</c:v>
                </c:pt>
                <c:pt idx="37">
                  <c:v>61218.020833333343</c:v>
                </c:pt>
                <c:pt idx="38">
                  <c:v>66108.645833333343</c:v>
                </c:pt>
                <c:pt idx="39">
                  <c:v>66108.645833333343</c:v>
                </c:pt>
                <c:pt idx="40">
                  <c:v>66108.645833333343</c:v>
                </c:pt>
                <c:pt idx="41">
                  <c:v>66108.645833333343</c:v>
                </c:pt>
                <c:pt idx="42">
                  <c:v>66108.645833333343</c:v>
                </c:pt>
                <c:pt idx="43">
                  <c:v>66108.645833333343</c:v>
                </c:pt>
                <c:pt idx="44">
                  <c:v>66108.645833333343</c:v>
                </c:pt>
                <c:pt idx="45">
                  <c:v>66108.645833333343</c:v>
                </c:pt>
                <c:pt idx="46">
                  <c:v>66108.645833333343</c:v>
                </c:pt>
                <c:pt idx="47">
                  <c:v>66108.645833333343</c:v>
                </c:pt>
                <c:pt idx="48">
                  <c:v>66108.645833333343</c:v>
                </c:pt>
                <c:pt idx="49">
                  <c:v>66108.645833333343</c:v>
                </c:pt>
                <c:pt idx="50">
                  <c:v>66108.645833333343</c:v>
                </c:pt>
                <c:pt idx="51">
                  <c:v>66108.645833333343</c:v>
                </c:pt>
                <c:pt idx="52">
                  <c:v>66108.645833333343</c:v>
                </c:pt>
                <c:pt idx="53">
                  <c:v>66108.645833333343</c:v>
                </c:pt>
                <c:pt idx="54">
                  <c:v>66108.645833333343</c:v>
                </c:pt>
                <c:pt idx="55">
                  <c:v>66108.645833333343</c:v>
                </c:pt>
                <c:pt idx="56">
                  <c:v>66108.645833333343</c:v>
                </c:pt>
                <c:pt idx="57">
                  <c:v>66108.645833333343</c:v>
                </c:pt>
                <c:pt idx="58">
                  <c:v>66108.645833333343</c:v>
                </c:pt>
                <c:pt idx="59">
                  <c:v>66108.645833333343</c:v>
                </c:pt>
                <c:pt idx="60">
                  <c:v>66108.645833333343</c:v>
                </c:pt>
                <c:pt idx="61">
                  <c:v>66108.645833333343</c:v>
                </c:pt>
                <c:pt idx="62">
                  <c:v>66108.645833333343</c:v>
                </c:pt>
                <c:pt idx="63">
                  <c:v>66108.645833333343</c:v>
                </c:pt>
                <c:pt idx="64">
                  <c:v>66108.645833333343</c:v>
                </c:pt>
                <c:pt idx="65">
                  <c:v>66108.645833333343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9F41-BC37-4616671FC7D0}"/>
            </c:ext>
          </c:extLst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2302.2222222222217</c:v>
                </c:pt>
                <c:pt idx="5">
                  <c:v>17685.555555555555</c:v>
                </c:pt>
                <c:pt idx="6">
                  <c:v>17685.555555555555</c:v>
                </c:pt>
                <c:pt idx="7">
                  <c:v>25000.555555555551</c:v>
                </c:pt>
                <c:pt idx="8">
                  <c:v>25119.999999999996</c:v>
                </c:pt>
                <c:pt idx="9">
                  <c:v>25119.999999999996</c:v>
                </c:pt>
                <c:pt idx="10">
                  <c:v>25119.999999999996</c:v>
                </c:pt>
                <c:pt idx="11">
                  <c:v>25392.222222222215</c:v>
                </c:pt>
                <c:pt idx="12">
                  <c:v>26208.888888888883</c:v>
                </c:pt>
                <c:pt idx="13">
                  <c:v>33177.777777777774</c:v>
                </c:pt>
                <c:pt idx="14">
                  <c:v>33327.777777777774</c:v>
                </c:pt>
                <c:pt idx="15">
                  <c:v>33327.777777777774</c:v>
                </c:pt>
                <c:pt idx="16">
                  <c:v>33327.777777777774</c:v>
                </c:pt>
                <c:pt idx="17">
                  <c:v>33374.444444444445</c:v>
                </c:pt>
                <c:pt idx="18">
                  <c:v>33374.444444444445</c:v>
                </c:pt>
                <c:pt idx="19">
                  <c:v>33374.444444444445</c:v>
                </c:pt>
                <c:pt idx="20">
                  <c:v>33374.444444444445</c:v>
                </c:pt>
                <c:pt idx="21">
                  <c:v>33374.444444444445</c:v>
                </c:pt>
                <c:pt idx="22">
                  <c:v>33374.444444444445</c:v>
                </c:pt>
                <c:pt idx="23">
                  <c:v>33374.444444444445</c:v>
                </c:pt>
                <c:pt idx="24">
                  <c:v>38380</c:v>
                </c:pt>
                <c:pt idx="25">
                  <c:v>38380</c:v>
                </c:pt>
                <c:pt idx="26">
                  <c:v>54522.222222222226</c:v>
                </c:pt>
                <c:pt idx="27">
                  <c:v>54851.111111111117</c:v>
                </c:pt>
                <c:pt idx="28">
                  <c:v>54851.111111111117</c:v>
                </c:pt>
                <c:pt idx="29">
                  <c:v>54851.111111111117</c:v>
                </c:pt>
                <c:pt idx="30">
                  <c:v>54851.111111111117</c:v>
                </c:pt>
                <c:pt idx="31">
                  <c:v>54851.111111111117</c:v>
                </c:pt>
                <c:pt idx="32">
                  <c:v>54851.111111111117</c:v>
                </c:pt>
                <c:pt idx="33">
                  <c:v>54851.111111111117</c:v>
                </c:pt>
                <c:pt idx="34">
                  <c:v>54851.111111111117</c:v>
                </c:pt>
                <c:pt idx="35">
                  <c:v>54851.111111111117</c:v>
                </c:pt>
                <c:pt idx="36">
                  <c:v>62691.111111111117</c:v>
                </c:pt>
                <c:pt idx="37">
                  <c:v>62691.111111111117</c:v>
                </c:pt>
                <c:pt idx="38">
                  <c:v>66175.555555555562</c:v>
                </c:pt>
                <c:pt idx="39">
                  <c:v>66175.555555555562</c:v>
                </c:pt>
                <c:pt idx="40">
                  <c:v>72612.888888888905</c:v>
                </c:pt>
                <c:pt idx="41">
                  <c:v>72612.888888888905</c:v>
                </c:pt>
                <c:pt idx="42">
                  <c:v>72612.888888888905</c:v>
                </c:pt>
                <c:pt idx="43">
                  <c:v>72612.888888888905</c:v>
                </c:pt>
                <c:pt idx="44">
                  <c:v>72612.888888888905</c:v>
                </c:pt>
                <c:pt idx="45">
                  <c:v>72612.888888888905</c:v>
                </c:pt>
                <c:pt idx="46">
                  <c:v>72612.888888888905</c:v>
                </c:pt>
                <c:pt idx="47">
                  <c:v>72612.888888888905</c:v>
                </c:pt>
                <c:pt idx="48">
                  <c:v>72612.888888888905</c:v>
                </c:pt>
                <c:pt idx="49">
                  <c:v>72612.888888888905</c:v>
                </c:pt>
                <c:pt idx="50">
                  <c:v>72612.888888888905</c:v>
                </c:pt>
                <c:pt idx="51">
                  <c:v>72612.888888888905</c:v>
                </c:pt>
                <c:pt idx="52">
                  <c:v>72612.888888888905</c:v>
                </c:pt>
                <c:pt idx="53">
                  <c:v>72612.888888888905</c:v>
                </c:pt>
                <c:pt idx="54">
                  <c:v>72612.888888888905</c:v>
                </c:pt>
                <c:pt idx="55">
                  <c:v>72612.888888888905</c:v>
                </c:pt>
                <c:pt idx="56">
                  <c:v>72612.888888888905</c:v>
                </c:pt>
                <c:pt idx="57">
                  <c:v>72612.888888888905</c:v>
                </c:pt>
                <c:pt idx="58">
                  <c:v>72612.888888888905</c:v>
                </c:pt>
                <c:pt idx="59">
                  <c:v>72612.888888888905</c:v>
                </c:pt>
                <c:pt idx="60">
                  <c:v>72612.888888888905</c:v>
                </c:pt>
                <c:pt idx="61">
                  <c:v>72612.888888888905</c:v>
                </c:pt>
                <c:pt idx="62">
                  <c:v>72612.888888888905</c:v>
                </c:pt>
                <c:pt idx="63">
                  <c:v>72612.888888888905</c:v>
                </c:pt>
                <c:pt idx="64">
                  <c:v>72612.888888888905</c:v>
                </c:pt>
                <c:pt idx="65">
                  <c:v>72612.888888888905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0-9F41-BC37-4616671FC7D0}"/>
            </c:ext>
          </c:extLst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3769.2307692307691</c:v>
                </c:pt>
                <c:pt idx="5">
                  <c:v>6740.3846153846152</c:v>
                </c:pt>
                <c:pt idx="6">
                  <c:v>6740.3846153846152</c:v>
                </c:pt>
                <c:pt idx="7">
                  <c:v>22399.358974358976</c:v>
                </c:pt>
                <c:pt idx="8">
                  <c:v>22837.820512820515</c:v>
                </c:pt>
                <c:pt idx="9">
                  <c:v>22837.820512820515</c:v>
                </c:pt>
                <c:pt idx="10">
                  <c:v>33645.51282051282</c:v>
                </c:pt>
                <c:pt idx="11">
                  <c:v>40271.153846153844</c:v>
                </c:pt>
                <c:pt idx="12">
                  <c:v>40271.153846153844</c:v>
                </c:pt>
                <c:pt idx="13">
                  <c:v>42871.153846153844</c:v>
                </c:pt>
                <c:pt idx="14">
                  <c:v>42871.153846153844</c:v>
                </c:pt>
                <c:pt idx="15">
                  <c:v>42871.153846153844</c:v>
                </c:pt>
                <c:pt idx="16">
                  <c:v>47322.435897435906</c:v>
                </c:pt>
                <c:pt idx="17">
                  <c:v>53351.282051282054</c:v>
                </c:pt>
                <c:pt idx="18">
                  <c:v>53351.282051282054</c:v>
                </c:pt>
                <c:pt idx="19">
                  <c:v>53524.358974358984</c:v>
                </c:pt>
                <c:pt idx="20">
                  <c:v>53524.358974358984</c:v>
                </c:pt>
                <c:pt idx="21">
                  <c:v>68062.820512820515</c:v>
                </c:pt>
                <c:pt idx="22">
                  <c:v>68062.820512820515</c:v>
                </c:pt>
                <c:pt idx="23">
                  <c:v>68062.820512820515</c:v>
                </c:pt>
                <c:pt idx="24">
                  <c:v>68062.820512820515</c:v>
                </c:pt>
                <c:pt idx="25">
                  <c:v>68062.820512820515</c:v>
                </c:pt>
                <c:pt idx="26">
                  <c:v>68062.820512820515</c:v>
                </c:pt>
                <c:pt idx="27">
                  <c:v>68062.820512820515</c:v>
                </c:pt>
                <c:pt idx="28">
                  <c:v>68062.820512820515</c:v>
                </c:pt>
                <c:pt idx="29">
                  <c:v>68062.820512820515</c:v>
                </c:pt>
                <c:pt idx="30">
                  <c:v>68062.820512820515</c:v>
                </c:pt>
                <c:pt idx="31">
                  <c:v>68062.820512820515</c:v>
                </c:pt>
                <c:pt idx="32">
                  <c:v>68062.820512820515</c:v>
                </c:pt>
                <c:pt idx="33">
                  <c:v>68062.820512820515</c:v>
                </c:pt>
                <c:pt idx="34">
                  <c:v>68062.820512820515</c:v>
                </c:pt>
                <c:pt idx="35">
                  <c:v>82577.179487179499</c:v>
                </c:pt>
                <c:pt idx="36">
                  <c:v>87500.256410256421</c:v>
                </c:pt>
                <c:pt idx="37">
                  <c:v>87500.256410256421</c:v>
                </c:pt>
                <c:pt idx="38">
                  <c:v>87572.051282051281</c:v>
                </c:pt>
                <c:pt idx="39">
                  <c:v>87572.051282051281</c:v>
                </c:pt>
                <c:pt idx="40">
                  <c:v>87572.051282051281</c:v>
                </c:pt>
                <c:pt idx="41">
                  <c:v>87572.051282051281</c:v>
                </c:pt>
                <c:pt idx="42">
                  <c:v>87572.051282051281</c:v>
                </c:pt>
                <c:pt idx="43">
                  <c:v>87605.38461538461</c:v>
                </c:pt>
                <c:pt idx="44">
                  <c:v>87605.38461538461</c:v>
                </c:pt>
                <c:pt idx="45">
                  <c:v>91277.179487179485</c:v>
                </c:pt>
                <c:pt idx="46">
                  <c:v>91277.179487179485</c:v>
                </c:pt>
                <c:pt idx="47">
                  <c:v>91277.179487179485</c:v>
                </c:pt>
                <c:pt idx="48">
                  <c:v>91277.179487179485</c:v>
                </c:pt>
                <c:pt idx="49">
                  <c:v>91277.179487179485</c:v>
                </c:pt>
                <c:pt idx="50">
                  <c:v>91277.179487179485</c:v>
                </c:pt>
                <c:pt idx="51">
                  <c:v>91277.179487179485</c:v>
                </c:pt>
                <c:pt idx="52">
                  <c:v>91277.179487179485</c:v>
                </c:pt>
                <c:pt idx="53">
                  <c:v>91277.179487179485</c:v>
                </c:pt>
                <c:pt idx="54">
                  <c:v>91277.179487179485</c:v>
                </c:pt>
                <c:pt idx="55">
                  <c:v>91277.179487179485</c:v>
                </c:pt>
                <c:pt idx="56">
                  <c:v>91277.179487179485</c:v>
                </c:pt>
                <c:pt idx="57">
                  <c:v>91277.179487179485</c:v>
                </c:pt>
                <c:pt idx="58">
                  <c:v>91277.179487179485</c:v>
                </c:pt>
                <c:pt idx="59">
                  <c:v>91277.179487179485</c:v>
                </c:pt>
                <c:pt idx="60">
                  <c:v>91277.179487179485</c:v>
                </c:pt>
                <c:pt idx="61">
                  <c:v>91277.179487179485</c:v>
                </c:pt>
                <c:pt idx="62">
                  <c:v>91277.179487179485</c:v>
                </c:pt>
                <c:pt idx="63">
                  <c:v>91277.179487179485</c:v>
                </c:pt>
                <c:pt idx="64">
                  <c:v>91277.179487179485</c:v>
                </c:pt>
                <c:pt idx="65">
                  <c:v>91277.179487179485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9F41-BC37-4616671FC7D0}"/>
            </c:ext>
          </c:extLst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2602.1505376344085</c:v>
                </c:pt>
                <c:pt idx="4">
                  <c:v>20489.247311827956</c:v>
                </c:pt>
                <c:pt idx="5">
                  <c:v>20489.247311827956</c:v>
                </c:pt>
                <c:pt idx="6">
                  <c:v>22502.150537634407</c:v>
                </c:pt>
                <c:pt idx="7">
                  <c:v>22695.698924731183</c:v>
                </c:pt>
                <c:pt idx="8">
                  <c:v>29198.924731182793</c:v>
                </c:pt>
                <c:pt idx="9">
                  <c:v>39466.451612903227</c:v>
                </c:pt>
                <c:pt idx="10">
                  <c:v>60180.430107526889</c:v>
                </c:pt>
                <c:pt idx="11">
                  <c:v>60290.107526881722</c:v>
                </c:pt>
                <c:pt idx="12">
                  <c:v>61524.516129032265</c:v>
                </c:pt>
                <c:pt idx="13">
                  <c:v>61524.516129032265</c:v>
                </c:pt>
                <c:pt idx="14">
                  <c:v>61524.516129032265</c:v>
                </c:pt>
                <c:pt idx="15">
                  <c:v>61524.516129032265</c:v>
                </c:pt>
                <c:pt idx="16">
                  <c:v>61524.516129032265</c:v>
                </c:pt>
                <c:pt idx="17">
                  <c:v>61524.516129032265</c:v>
                </c:pt>
                <c:pt idx="18">
                  <c:v>61524.516129032265</c:v>
                </c:pt>
                <c:pt idx="19">
                  <c:v>61524.516129032265</c:v>
                </c:pt>
                <c:pt idx="20">
                  <c:v>61524.516129032265</c:v>
                </c:pt>
                <c:pt idx="21">
                  <c:v>74647.096774193546</c:v>
                </c:pt>
                <c:pt idx="22">
                  <c:v>74647.096774193546</c:v>
                </c:pt>
                <c:pt idx="23">
                  <c:v>90907.741935483893</c:v>
                </c:pt>
                <c:pt idx="24">
                  <c:v>96780.322580645166</c:v>
                </c:pt>
                <c:pt idx="25">
                  <c:v>98144.62365591398</c:v>
                </c:pt>
                <c:pt idx="26">
                  <c:v>98347.849462365601</c:v>
                </c:pt>
                <c:pt idx="27">
                  <c:v>98347.849462365601</c:v>
                </c:pt>
                <c:pt idx="28">
                  <c:v>98347.849462365601</c:v>
                </c:pt>
                <c:pt idx="29">
                  <c:v>98347.849462365601</c:v>
                </c:pt>
                <c:pt idx="30">
                  <c:v>98347.849462365601</c:v>
                </c:pt>
                <c:pt idx="31">
                  <c:v>98347.849462365601</c:v>
                </c:pt>
                <c:pt idx="32">
                  <c:v>98347.849462365601</c:v>
                </c:pt>
                <c:pt idx="33">
                  <c:v>98347.849462365601</c:v>
                </c:pt>
                <c:pt idx="34">
                  <c:v>100549.4623655914</c:v>
                </c:pt>
                <c:pt idx="35">
                  <c:v>103061.29032258065</c:v>
                </c:pt>
                <c:pt idx="36">
                  <c:v>103061.29032258065</c:v>
                </c:pt>
                <c:pt idx="37">
                  <c:v>103098.92473118279</c:v>
                </c:pt>
                <c:pt idx="38">
                  <c:v>103098.92473118279</c:v>
                </c:pt>
                <c:pt idx="39">
                  <c:v>103098.92473118279</c:v>
                </c:pt>
                <c:pt idx="40">
                  <c:v>103098.92473118279</c:v>
                </c:pt>
                <c:pt idx="41">
                  <c:v>103098.92473118279</c:v>
                </c:pt>
                <c:pt idx="42">
                  <c:v>103098.92473118279</c:v>
                </c:pt>
                <c:pt idx="43">
                  <c:v>103098.92473118279</c:v>
                </c:pt>
                <c:pt idx="44">
                  <c:v>103098.92473118279</c:v>
                </c:pt>
                <c:pt idx="45">
                  <c:v>103098.92473118279</c:v>
                </c:pt>
                <c:pt idx="46">
                  <c:v>103098.92473118279</c:v>
                </c:pt>
                <c:pt idx="47">
                  <c:v>103098.92473118279</c:v>
                </c:pt>
                <c:pt idx="48">
                  <c:v>103098.92473118279</c:v>
                </c:pt>
                <c:pt idx="49">
                  <c:v>103098.92473118279</c:v>
                </c:pt>
                <c:pt idx="50">
                  <c:v>103098.92473118279</c:v>
                </c:pt>
                <c:pt idx="51">
                  <c:v>103098.92473118279</c:v>
                </c:pt>
                <c:pt idx="52">
                  <c:v>103098.92473118279</c:v>
                </c:pt>
                <c:pt idx="53">
                  <c:v>103098.92473118279</c:v>
                </c:pt>
                <c:pt idx="54">
                  <c:v>103098.92473118279</c:v>
                </c:pt>
                <c:pt idx="55">
                  <c:v>103112.36559139784</c:v>
                </c:pt>
                <c:pt idx="56">
                  <c:v>111714.51612903224</c:v>
                </c:pt>
                <c:pt idx="57">
                  <c:v>111714.51612903224</c:v>
                </c:pt>
                <c:pt idx="58">
                  <c:v>111714.51612903224</c:v>
                </c:pt>
                <c:pt idx="59">
                  <c:v>111714.51612903224</c:v>
                </c:pt>
                <c:pt idx="60">
                  <c:v>111720.96774193547</c:v>
                </c:pt>
                <c:pt idx="61">
                  <c:v>111720.96774193547</c:v>
                </c:pt>
                <c:pt idx="62">
                  <c:v>111720.96774193547</c:v>
                </c:pt>
                <c:pt idx="63">
                  <c:v>111720.96774193547</c:v>
                </c:pt>
                <c:pt idx="64">
                  <c:v>111720.96774193547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D0-9F41-BC37-4616671FC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59192"/>
        <c:axId val="2090462408"/>
      </c:scatterChart>
      <c:valAx>
        <c:axId val="209045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62408"/>
        <c:crosses val="autoZero"/>
        <c:crossBetween val="midCat"/>
        <c:minorUnit val="1"/>
      </c:valAx>
      <c:valAx>
        <c:axId val="209046240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591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0.12384775367991301"/>
          <c:h val="0.2973251432417409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59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12825</c:v>
                </c:pt>
                <c:pt idx="16">
                  <c:v>20758.333333333332</c:v>
                </c:pt>
                <c:pt idx="17">
                  <c:v>21092.361111111113</c:v>
                </c:pt>
                <c:pt idx="18">
                  <c:v>21092.361111111113</c:v>
                </c:pt>
                <c:pt idx="19">
                  <c:v>21092.361111111113</c:v>
                </c:pt>
                <c:pt idx="20">
                  <c:v>21092.361111111113</c:v>
                </c:pt>
                <c:pt idx="21">
                  <c:v>21092.361111111113</c:v>
                </c:pt>
                <c:pt idx="22">
                  <c:v>21092.361111111113</c:v>
                </c:pt>
                <c:pt idx="23">
                  <c:v>21092.361111111113</c:v>
                </c:pt>
                <c:pt idx="24">
                  <c:v>21092.361111111113</c:v>
                </c:pt>
                <c:pt idx="25">
                  <c:v>21092.361111111113</c:v>
                </c:pt>
                <c:pt idx="26">
                  <c:v>28167.361111111109</c:v>
                </c:pt>
                <c:pt idx="27">
                  <c:v>32564.722222222219</c:v>
                </c:pt>
                <c:pt idx="28">
                  <c:v>32564.722222222219</c:v>
                </c:pt>
                <c:pt idx="29">
                  <c:v>32564.722222222219</c:v>
                </c:pt>
                <c:pt idx="30">
                  <c:v>32564.722222222219</c:v>
                </c:pt>
                <c:pt idx="31">
                  <c:v>42853.611111111109</c:v>
                </c:pt>
                <c:pt idx="32">
                  <c:v>42853.611111111109</c:v>
                </c:pt>
                <c:pt idx="33">
                  <c:v>43245.277777777774</c:v>
                </c:pt>
                <c:pt idx="34">
                  <c:v>43245.277777777774</c:v>
                </c:pt>
                <c:pt idx="35">
                  <c:v>43245.277777777774</c:v>
                </c:pt>
                <c:pt idx="36">
                  <c:v>43245.277777777774</c:v>
                </c:pt>
                <c:pt idx="37">
                  <c:v>43245.277777777774</c:v>
                </c:pt>
                <c:pt idx="38">
                  <c:v>43245.277777777774</c:v>
                </c:pt>
                <c:pt idx="39">
                  <c:v>43245.277777777774</c:v>
                </c:pt>
                <c:pt idx="40">
                  <c:v>49161.94444444446</c:v>
                </c:pt>
                <c:pt idx="41">
                  <c:v>49161.94444444446</c:v>
                </c:pt>
                <c:pt idx="42">
                  <c:v>49161.94444444446</c:v>
                </c:pt>
                <c:pt idx="43">
                  <c:v>49198.981481481489</c:v>
                </c:pt>
                <c:pt idx="44">
                  <c:v>49198.981481481489</c:v>
                </c:pt>
                <c:pt idx="45">
                  <c:v>49198.981481481489</c:v>
                </c:pt>
                <c:pt idx="46">
                  <c:v>49198.981481481489</c:v>
                </c:pt>
                <c:pt idx="47">
                  <c:v>49198.981481481489</c:v>
                </c:pt>
                <c:pt idx="48">
                  <c:v>49198.981481481489</c:v>
                </c:pt>
                <c:pt idx="49">
                  <c:v>49198.981481481489</c:v>
                </c:pt>
                <c:pt idx="50">
                  <c:v>49198.981481481489</c:v>
                </c:pt>
                <c:pt idx="51">
                  <c:v>49198.981481481489</c:v>
                </c:pt>
                <c:pt idx="52">
                  <c:v>49198.981481481489</c:v>
                </c:pt>
                <c:pt idx="53">
                  <c:v>49198.981481481489</c:v>
                </c:pt>
                <c:pt idx="54">
                  <c:v>49198.981481481489</c:v>
                </c:pt>
                <c:pt idx="55">
                  <c:v>49198.981481481489</c:v>
                </c:pt>
                <c:pt idx="56">
                  <c:v>49198.981481481489</c:v>
                </c:pt>
                <c:pt idx="57">
                  <c:v>49198.981481481489</c:v>
                </c:pt>
                <c:pt idx="58">
                  <c:v>49198.981481481489</c:v>
                </c:pt>
                <c:pt idx="59">
                  <c:v>49198.981481481489</c:v>
                </c:pt>
                <c:pt idx="60">
                  <c:v>49198.981481481489</c:v>
                </c:pt>
                <c:pt idx="61">
                  <c:v>61821.203703703708</c:v>
                </c:pt>
                <c:pt idx="62">
                  <c:v>61821.203703703708</c:v>
                </c:pt>
                <c:pt idx="63">
                  <c:v>61821.203703703708</c:v>
                </c:pt>
                <c:pt idx="64">
                  <c:v>61821.203703703708</c:v>
                </c:pt>
                <c:pt idx="65">
                  <c:v>61821.203703703708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F-A848-BAFF-A63712700579}"/>
            </c:ext>
          </c:extLst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13.461538461538462</c:v>
                </c:pt>
                <c:pt idx="10">
                  <c:v>13.461538461538462</c:v>
                </c:pt>
                <c:pt idx="11">
                  <c:v>13.461538461538462</c:v>
                </c:pt>
                <c:pt idx="12">
                  <c:v>31.410256410256409</c:v>
                </c:pt>
                <c:pt idx="13">
                  <c:v>31.410256410256409</c:v>
                </c:pt>
                <c:pt idx="14">
                  <c:v>31.410256410256409</c:v>
                </c:pt>
                <c:pt idx="15">
                  <c:v>446.79487179487177</c:v>
                </c:pt>
                <c:pt idx="16">
                  <c:v>5823.7179487179483</c:v>
                </c:pt>
                <c:pt idx="17">
                  <c:v>6232.3717948717949</c:v>
                </c:pt>
                <c:pt idx="18">
                  <c:v>6232.3717948717949</c:v>
                </c:pt>
                <c:pt idx="19">
                  <c:v>10628.525641025639</c:v>
                </c:pt>
                <c:pt idx="20">
                  <c:v>10628.525641025639</c:v>
                </c:pt>
                <c:pt idx="21">
                  <c:v>10679.807692307691</c:v>
                </c:pt>
                <c:pt idx="22">
                  <c:v>10679.807692307691</c:v>
                </c:pt>
                <c:pt idx="23">
                  <c:v>10679.807692307691</c:v>
                </c:pt>
                <c:pt idx="24">
                  <c:v>10679.807692307691</c:v>
                </c:pt>
                <c:pt idx="25">
                  <c:v>10679.807692307691</c:v>
                </c:pt>
                <c:pt idx="26">
                  <c:v>10679.807692307691</c:v>
                </c:pt>
                <c:pt idx="27">
                  <c:v>10679.807692307691</c:v>
                </c:pt>
                <c:pt idx="28">
                  <c:v>10679.807692307691</c:v>
                </c:pt>
                <c:pt idx="29">
                  <c:v>10679.807692307691</c:v>
                </c:pt>
                <c:pt idx="30">
                  <c:v>10679.807692307691</c:v>
                </c:pt>
                <c:pt idx="31">
                  <c:v>10679.807692307691</c:v>
                </c:pt>
                <c:pt idx="32">
                  <c:v>10679.807692307691</c:v>
                </c:pt>
                <c:pt idx="33">
                  <c:v>10679.807692307691</c:v>
                </c:pt>
                <c:pt idx="34">
                  <c:v>10679.807692307691</c:v>
                </c:pt>
                <c:pt idx="35">
                  <c:v>10679.807692307691</c:v>
                </c:pt>
                <c:pt idx="36">
                  <c:v>10679.807692307691</c:v>
                </c:pt>
                <c:pt idx="37">
                  <c:v>10679.807692307691</c:v>
                </c:pt>
                <c:pt idx="38">
                  <c:v>10679.807692307691</c:v>
                </c:pt>
                <c:pt idx="39">
                  <c:v>10679.807692307691</c:v>
                </c:pt>
                <c:pt idx="40">
                  <c:v>10679.807692307691</c:v>
                </c:pt>
                <c:pt idx="41">
                  <c:v>10679.807692307691</c:v>
                </c:pt>
                <c:pt idx="42">
                  <c:v>10679.807692307691</c:v>
                </c:pt>
                <c:pt idx="43">
                  <c:v>10681.089743589742</c:v>
                </c:pt>
                <c:pt idx="44">
                  <c:v>10681.089743589742</c:v>
                </c:pt>
                <c:pt idx="45">
                  <c:v>10681.089743589742</c:v>
                </c:pt>
                <c:pt idx="46">
                  <c:v>10681.089743589742</c:v>
                </c:pt>
                <c:pt idx="47">
                  <c:v>10681.089743589742</c:v>
                </c:pt>
                <c:pt idx="48">
                  <c:v>10681.089743589742</c:v>
                </c:pt>
                <c:pt idx="49">
                  <c:v>10681.089743589742</c:v>
                </c:pt>
                <c:pt idx="50">
                  <c:v>10681.089743589742</c:v>
                </c:pt>
                <c:pt idx="51">
                  <c:v>10681.089743589742</c:v>
                </c:pt>
                <c:pt idx="52">
                  <c:v>10681.089743589742</c:v>
                </c:pt>
                <c:pt idx="53">
                  <c:v>10681.089743589742</c:v>
                </c:pt>
                <c:pt idx="54">
                  <c:v>10681.089743589742</c:v>
                </c:pt>
                <c:pt idx="55">
                  <c:v>10681.089743589742</c:v>
                </c:pt>
                <c:pt idx="56">
                  <c:v>10681.089743589742</c:v>
                </c:pt>
                <c:pt idx="57">
                  <c:v>10681.089743589742</c:v>
                </c:pt>
                <c:pt idx="58">
                  <c:v>10681.089743589742</c:v>
                </c:pt>
                <c:pt idx="59">
                  <c:v>10681.089743589742</c:v>
                </c:pt>
                <c:pt idx="60">
                  <c:v>10681.089743589742</c:v>
                </c:pt>
                <c:pt idx="61">
                  <c:v>10681.089743589742</c:v>
                </c:pt>
                <c:pt idx="62">
                  <c:v>10681.089743589742</c:v>
                </c:pt>
                <c:pt idx="63">
                  <c:v>10681.089743589742</c:v>
                </c:pt>
                <c:pt idx="64">
                  <c:v>10681.089743589742</c:v>
                </c:pt>
                <c:pt idx="65">
                  <c:v>10681.089743589742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F-A848-BAFF-A63712700579}"/>
            </c:ext>
          </c:extLst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4514.2857142857147</c:v>
                </c:pt>
                <c:pt idx="12">
                  <c:v>4535.1190476190477</c:v>
                </c:pt>
                <c:pt idx="13">
                  <c:v>4616.0714285714284</c:v>
                </c:pt>
                <c:pt idx="14">
                  <c:v>11263.690476190475</c:v>
                </c:pt>
                <c:pt idx="15">
                  <c:v>11263.690476190475</c:v>
                </c:pt>
                <c:pt idx="16">
                  <c:v>11263.690476190475</c:v>
                </c:pt>
                <c:pt idx="17">
                  <c:v>11440.773809523807</c:v>
                </c:pt>
                <c:pt idx="18">
                  <c:v>11440.773809523807</c:v>
                </c:pt>
                <c:pt idx="19">
                  <c:v>11440.773809523807</c:v>
                </c:pt>
                <c:pt idx="20">
                  <c:v>11440.773809523807</c:v>
                </c:pt>
                <c:pt idx="21">
                  <c:v>11440.773809523807</c:v>
                </c:pt>
                <c:pt idx="22">
                  <c:v>11493.154761904761</c:v>
                </c:pt>
                <c:pt idx="23">
                  <c:v>11493.154761904761</c:v>
                </c:pt>
                <c:pt idx="24">
                  <c:v>14159.821428571429</c:v>
                </c:pt>
                <c:pt idx="25">
                  <c:v>14202.678571428571</c:v>
                </c:pt>
                <c:pt idx="26">
                  <c:v>14202.678571428571</c:v>
                </c:pt>
                <c:pt idx="27">
                  <c:v>14202.678571428571</c:v>
                </c:pt>
                <c:pt idx="28">
                  <c:v>14202.678571428571</c:v>
                </c:pt>
                <c:pt idx="29">
                  <c:v>14202.678571428571</c:v>
                </c:pt>
                <c:pt idx="30">
                  <c:v>14202.678571428571</c:v>
                </c:pt>
                <c:pt idx="31">
                  <c:v>14202.678571428571</c:v>
                </c:pt>
                <c:pt idx="32">
                  <c:v>14202.678571428571</c:v>
                </c:pt>
                <c:pt idx="33">
                  <c:v>14202.678571428571</c:v>
                </c:pt>
                <c:pt idx="34">
                  <c:v>14202.678571428571</c:v>
                </c:pt>
                <c:pt idx="35">
                  <c:v>14202.678571428571</c:v>
                </c:pt>
                <c:pt idx="36">
                  <c:v>14202.678571428571</c:v>
                </c:pt>
                <c:pt idx="37">
                  <c:v>14202.678571428571</c:v>
                </c:pt>
                <c:pt idx="38">
                  <c:v>14202.678571428571</c:v>
                </c:pt>
                <c:pt idx="39">
                  <c:v>14202.678571428571</c:v>
                </c:pt>
                <c:pt idx="40">
                  <c:v>14202.678571428571</c:v>
                </c:pt>
                <c:pt idx="41">
                  <c:v>14202.678571428571</c:v>
                </c:pt>
                <c:pt idx="42">
                  <c:v>14202.678571428571</c:v>
                </c:pt>
                <c:pt idx="43">
                  <c:v>14202.678571428571</c:v>
                </c:pt>
                <c:pt idx="44">
                  <c:v>14202.678571428571</c:v>
                </c:pt>
                <c:pt idx="45">
                  <c:v>14202.678571428571</c:v>
                </c:pt>
                <c:pt idx="46">
                  <c:v>14202.678571428571</c:v>
                </c:pt>
                <c:pt idx="47">
                  <c:v>14202.678571428571</c:v>
                </c:pt>
                <c:pt idx="48">
                  <c:v>14202.678571428571</c:v>
                </c:pt>
                <c:pt idx="49">
                  <c:v>14202.678571428571</c:v>
                </c:pt>
                <c:pt idx="50">
                  <c:v>14202.678571428571</c:v>
                </c:pt>
                <c:pt idx="51">
                  <c:v>14202.678571428571</c:v>
                </c:pt>
                <c:pt idx="52">
                  <c:v>14202.678571428571</c:v>
                </c:pt>
                <c:pt idx="53">
                  <c:v>14202.678571428571</c:v>
                </c:pt>
                <c:pt idx="54">
                  <c:v>15701.190476190477</c:v>
                </c:pt>
                <c:pt idx="55">
                  <c:v>15701.190476190477</c:v>
                </c:pt>
                <c:pt idx="56">
                  <c:v>15701.190476190477</c:v>
                </c:pt>
                <c:pt idx="57">
                  <c:v>15701.190476190477</c:v>
                </c:pt>
                <c:pt idx="58">
                  <c:v>15701.190476190477</c:v>
                </c:pt>
                <c:pt idx="59">
                  <c:v>15701.190476190477</c:v>
                </c:pt>
                <c:pt idx="60">
                  <c:v>15701.190476190477</c:v>
                </c:pt>
                <c:pt idx="61">
                  <c:v>15708.630952380952</c:v>
                </c:pt>
                <c:pt idx="62">
                  <c:v>15708.630952380952</c:v>
                </c:pt>
                <c:pt idx="63">
                  <c:v>15708.630952380952</c:v>
                </c:pt>
                <c:pt idx="64">
                  <c:v>15708.630952380952</c:v>
                </c:pt>
                <c:pt idx="65">
                  <c:v>15708.630952380952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4F-A848-BAFF-A63712700579}"/>
            </c:ext>
          </c:extLst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9098.7654320987658</c:v>
                </c:pt>
                <c:pt idx="7">
                  <c:v>9135.8024691358023</c:v>
                </c:pt>
                <c:pt idx="8">
                  <c:v>9135.8024691358023</c:v>
                </c:pt>
                <c:pt idx="9">
                  <c:v>9135.8024691358023</c:v>
                </c:pt>
                <c:pt idx="10">
                  <c:v>9135.8024691358023</c:v>
                </c:pt>
                <c:pt idx="11">
                  <c:v>9135.8024691358023</c:v>
                </c:pt>
                <c:pt idx="12">
                  <c:v>9135.8024691358023</c:v>
                </c:pt>
                <c:pt idx="13">
                  <c:v>9135.8024691358023</c:v>
                </c:pt>
                <c:pt idx="14">
                  <c:v>18320.987654320987</c:v>
                </c:pt>
                <c:pt idx="15">
                  <c:v>18320.987654320987</c:v>
                </c:pt>
                <c:pt idx="16">
                  <c:v>18503.086419753086</c:v>
                </c:pt>
                <c:pt idx="17">
                  <c:v>18503.086419753086</c:v>
                </c:pt>
                <c:pt idx="18">
                  <c:v>18503.086419753086</c:v>
                </c:pt>
                <c:pt idx="19">
                  <c:v>18503.086419753086</c:v>
                </c:pt>
                <c:pt idx="20">
                  <c:v>18503.086419753086</c:v>
                </c:pt>
                <c:pt idx="21">
                  <c:v>18503.086419753086</c:v>
                </c:pt>
                <c:pt idx="22">
                  <c:v>18503.086419753086</c:v>
                </c:pt>
                <c:pt idx="23">
                  <c:v>26446.790123456787</c:v>
                </c:pt>
                <c:pt idx="24">
                  <c:v>26555.432098765432</c:v>
                </c:pt>
                <c:pt idx="25">
                  <c:v>26555.432098765432</c:v>
                </c:pt>
                <c:pt idx="26">
                  <c:v>26555.432098765432</c:v>
                </c:pt>
                <c:pt idx="27">
                  <c:v>34871.481481481474</c:v>
                </c:pt>
                <c:pt idx="28">
                  <c:v>34871.481481481474</c:v>
                </c:pt>
                <c:pt idx="29">
                  <c:v>34871.481481481474</c:v>
                </c:pt>
                <c:pt idx="30">
                  <c:v>34871.481481481474</c:v>
                </c:pt>
                <c:pt idx="31">
                  <c:v>34871.481481481474</c:v>
                </c:pt>
                <c:pt idx="32">
                  <c:v>34871.481481481474</c:v>
                </c:pt>
                <c:pt idx="33">
                  <c:v>34871.481481481474</c:v>
                </c:pt>
                <c:pt idx="34">
                  <c:v>39157.9012345679</c:v>
                </c:pt>
                <c:pt idx="35">
                  <c:v>41310.987654320983</c:v>
                </c:pt>
                <c:pt idx="36">
                  <c:v>41310.987654320983</c:v>
                </c:pt>
                <c:pt idx="37">
                  <c:v>41335.679012345674</c:v>
                </c:pt>
                <c:pt idx="38">
                  <c:v>41335.679012345674</c:v>
                </c:pt>
                <c:pt idx="39">
                  <c:v>41335.679012345674</c:v>
                </c:pt>
                <c:pt idx="40">
                  <c:v>41335.679012345674</c:v>
                </c:pt>
                <c:pt idx="41">
                  <c:v>41335.679012345674</c:v>
                </c:pt>
                <c:pt idx="42">
                  <c:v>41335.679012345674</c:v>
                </c:pt>
                <c:pt idx="43">
                  <c:v>41335.679012345674</c:v>
                </c:pt>
                <c:pt idx="44">
                  <c:v>41335.679012345674</c:v>
                </c:pt>
                <c:pt idx="45">
                  <c:v>41335.679012345674</c:v>
                </c:pt>
                <c:pt idx="46">
                  <c:v>41335.679012345674</c:v>
                </c:pt>
                <c:pt idx="47">
                  <c:v>41335.679012345674</c:v>
                </c:pt>
                <c:pt idx="48">
                  <c:v>41335.679012345674</c:v>
                </c:pt>
                <c:pt idx="49">
                  <c:v>41335.679012345674</c:v>
                </c:pt>
                <c:pt idx="50">
                  <c:v>41335.679012345674</c:v>
                </c:pt>
                <c:pt idx="51">
                  <c:v>41335.679012345674</c:v>
                </c:pt>
                <c:pt idx="52">
                  <c:v>41335.679012345674</c:v>
                </c:pt>
                <c:pt idx="53">
                  <c:v>41335.679012345674</c:v>
                </c:pt>
                <c:pt idx="54">
                  <c:v>41335.679012345674</c:v>
                </c:pt>
                <c:pt idx="55">
                  <c:v>41335.679012345674</c:v>
                </c:pt>
                <c:pt idx="56">
                  <c:v>41335.679012345674</c:v>
                </c:pt>
                <c:pt idx="57">
                  <c:v>41335.679012345674</c:v>
                </c:pt>
                <c:pt idx="58">
                  <c:v>41335.679012345674</c:v>
                </c:pt>
                <c:pt idx="59">
                  <c:v>41335.679012345674</c:v>
                </c:pt>
                <c:pt idx="60">
                  <c:v>41335.679012345674</c:v>
                </c:pt>
                <c:pt idx="61">
                  <c:v>41335.679012345674</c:v>
                </c:pt>
                <c:pt idx="62">
                  <c:v>41335.679012345674</c:v>
                </c:pt>
                <c:pt idx="63">
                  <c:v>41335.679012345674</c:v>
                </c:pt>
                <c:pt idx="64">
                  <c:v>41335.679012345674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4F-A848-BAFF-A6371270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02312"/>
        <c:axId val="2090505528"/>
      </c:scatterChart>
      <c:valAx>
        <c:axId val="2090502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505528"/>
        <c:crosses val="autoZero"/>
        <c:crossBetween val="midCat"/>
        <c:minorUnit val="1"/>
      </c:valAx>
      <c:valAx>
        <c:axId val="209050552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5023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01"/>
          <c:y val="0.29880673848995298"/>
          <c:w val="0.13261968350447401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C01-B043-9470-B24898035C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C01-B043-9470-B24898035C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C01-B043-9470-B24898035C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C01-B043-9470-B24898035CE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1-B043-9470-B24898035C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01-B043-9470-B24898035C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01-B043-9470-B24898035C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01-B043-9470-B24898035CE3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'Summary-info'!$AG$14:$AG$17</c:f>
              <c:numCache>
                <c:formatCode>0.000%</c:formatCode>
                <c:ptCount val="4"/>
                <c:pt idx="0">
                  <c:v>8.2369310276287006E-4</c:v>
                </c:pt>
                <c:pt idx="1">
                  <c:v>5.5082322487433409E-4</c:v>
                </c:pt>
                <c:pt idx="2">
                  <c:v>1.1165229048937923E-3</c:v>
                </c:pt>
                <c:pt idx="3">
                  <c:v>1.9825837543120711E-3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01-B043-9470-B248980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91688"/>
        <c:axId val="207989474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'Summary-info'!$AH$14:$AH$17</c:f>
              <c:numCache>
                <c:formatCode>_(* #,##0_);_(* \(#,##0\);_(* "-"??_);_(@_)</c:formatCode>
                <c:ptCount val="4"/>
                <c:pt idx="0">
                  <c:v>314437.50000000006</c:v>
                </c:pt>
                <c:pt idx="1">
                  <c:v>221486.66666666666</c:v>
                </c:pt>
                <c:pt idx="2">
                  <c:v>333177.22222222213</c:v>
                </c:pt>
                <c:pt idx="3">
                  <c:v>171997.77777777778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01-B043-9470-B248980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06088"/>
        <c:axId val="2079900376"/>
      </c:scatterChart>
      <c:catAx>
        <c:axId val="207989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894744"/>
        <c:crosses val="autoZero"/>
        <c:auto val="1"/>
        <c:lblAlgn val="ctr"/>
        <c:lblOffset val="100"/>
        <c:noMultiLvlLbl val="0"/>
      </c:catAx>
      <c:valAx>
        <c:axId val="2079894744"/>
        <c:scaling>
          <c:orientation val="minMax"/>
          <c:max val="2.5000000000000001E-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891688"/>
        <c:crosses val="autoZero"/>
        <c:crossBetween val="between"/>
      </c:valAx>
      <c:valAx>
        <c:axId val="20799003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06088"/>
        <c:crosses val="max"/>
        <c:crossBetween val="midCat"/>
      </c:valAx>
      <c:valAx>
        <c:axId val="2079906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0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7.2566362443330895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5.3809100897271603E-2"/>
          <c:y val="3.5984848484848501E-2"/>
          <c:w val="0.93107462003296104"/>
          <c:h val="0.8932829277022189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A4CB-E246-B6A0-A0105004CF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4CB-E246-B6A0-A0105004CF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4CB-E246-B6A0-A0105004CFB8}"/>
              </c:ext>
            </c:extLst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7-A4CB-E246-B6A0-A0105004CFB8}"/>
              </c:ext>
            </c:extLst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9-A4CB-E246-B6A0-A0105004CFB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B-A4CB-E246-B6A0-A0105004CFB8}"/>
              </c:ext>
            </c:extLst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D-A4CB-E246-B6A0-A0105004CFB8}"/>
              </c:ext>
            </c:extLst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F-A4CB-E246-B6A0-A0105004CFB8}"/>
              </c:ext>
            </c:extLst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11-A4CB-E246-B6A0-A0105004CFB8}"/>
              </c:ext>
            </c:extLst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3-A4CB-E246-B6A0-A0105004CFB8}"/>
              </c:ext>
            </c:extLst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15-A4CB-E246-B6A0-A0105004CFB8}"/>
              </c:ext>
            </c:extLst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17-A4CB-E246-B6A0-A0105004CFB8}"/>
              </c:ext>
            </c:extLst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19-A4CB-E246-B6A0-A0105004CFB8}"/>
              </c:ext>
            </c:extLst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B-A4CB-E246-B6A0-A0105004CFB8}"/>
              </c:ext>
            </c:extLst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1D-A4CB-E246-B6A0-A0105004CF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F-A4CB-E246-B6A0-A0105004CFB8}"/>
              </c:ext>
            </c:extLst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'Summary-info'!$X$2:$X$17</c:f>
              <c:numCache>
                <c:formatCode>0.000%</c:formatCode>
                <c:ptCount val="16"/>
                <c:pt idx="0">
                  <c:v>2.409064789628994E-3</c:v>
                </c:pt>
                <c:pt idx="1">
                  <c:v>3.650904033379694E-4</c:v>
                </c:pt>
                <c:pt idx="2">
                  <c:v>1.1511011030113354E-2</c:v>
                </c:pt>
                <c:pt idx="3">
                  <c:v>1.7532367667078678E-3</c:v>
                </c:pt>
                <c:pt idx="4">
                  <c:v>7.1885249841919011E-5</c:v>
                </c:pt>
                <c:pt idx="5">
                  <c:v>5.4135268568934178E-5</c:v>
                </c:pt>
                <c:pt idx="6">
                  <c:v>2.8624579986468926E-4</c:v>
                </c:pt>
                <c:pt idx="7">
                  <c:v>4.0908253708724188E-4</c:v>
                </c:pt>
                <c:pt idx="8">
                  <c:v>5.0135353514559507E-3</c:v>
                </c:pt>
                <c:pt idx="9">
                  <c:v>3.9404655500718923E-3</c:v>
                </c:pt>
                <c:pt idx="10">
                  <c:v>1.3509487298038953E-2</c:v>
                </c:pt>
                <c:pt idx="11">
                  <c:v>4.3739737825065446E-3</c:v>
                </c:pt>
                <c:pt idx="12">
                  <c:v>8.2369310276287006E-4</c:v>
                </c:pt>
                <c:pt idx="13">
                  <c:v>5.526947645006871E-4</c:v>
                </c:pt>
                <c:pt idx="14">
                  <c:v>1.1165229048937923E-3</c:v>
                </c:pt>
                <c:pt idx="15">
                  <c:v>1.9825837543120711E-3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4CB-E246-B6A0-A0105004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49048"/>
        <c:axId val="2089551928"/>
      </c:barChart>
      <c:catAx>
        <c:axId val="208954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551928"/>
        <c:crosses val="autoZero"/>
        <c:auto val="1"/>
        <c:lblAlgn val="ctr"/>
        <c:lblOffset val="100"/>
        <c:noMultiLvlLbl val="0"/>
      </c:catAx>
      <c:valAx>
        <c:axId val="2089551928"/>
        <c:scaling>
          <c:orientation val="minMax"/>
          <c:max val="1.4E-2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0895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036F-3344-A387-1396E89116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036F-3344-A387-1396E89116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036F-3344-A387-1396E89116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036F-3344-A387-1396E891165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6F-3344-A387-1396E89116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6F-3344-A387-1396E89116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6F-3344-A387-1396E89116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6F-3344-A387-1396E891165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'Summary-info'!$AG$18:$AG$21</c:f>
              <c:numCache>
                <c:formatCode>0%</c:formatCode>
                <c:ptCount val="4"/>
                <c:pt idx="0" formatCode="0.0%">
                  <c:v>5.0000000000000001E-3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6F-3344-A387-1396E891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955992"/>
        <c:axId val="207995904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'Summary-info'!$AH$18:$AH$21</c:f>
              <c:numCache>
                <c:formatCode>_(* #,##0_);_(* \(#,##0\);_(* "-"??_);_(@_)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6F-3344-A387-1396E891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70392"/>
        <c:axId val="2079964680"/>
      </c:scatterChart>
      <c:catAx>
        <c:axId val="207995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959048"/>
        <c:crosses val="autoZero"/>
        <c:auto val="1"/>
        <c:lblAlgn val="ctr"/>
        <c:lblOffset val="100"/>
        <c:noMultiLvlLbl val="0"/>
      </c:catAx>
      <c:valAx>
        <c:axId val="20799590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955992"/>
        <c:crosses val="autoZero"/>
        <c:crossBetween val="between"/>
      </c:valAx>
      <c:valAx>
        <c:axId val="2079964680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70392"/>
        <c:crosses val="max"/>
        <c:crossBetween val="midCat"/>
        <c:minorUnit val="5"/>
      </c:valAx>
      <c:valAx>
        <c:axId val="207997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6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899"/>
          <c:y val="0.15159210592306499"/>
          <c:w val="0.70016477547557299"/>
          <c:h val="0.754947339385125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13A-E847-BC59-5B07B7C93D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13A-E847-BC59-5B07B7C93D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13A-E847-BC59-5B07B7C93D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13A-E847-BC59-5B07B7C93D6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3A-E847-BC59-5B07B7C93D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3A-E847-BC59-5B07B7C93D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3A-E847-BC59-5B07B7C93D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3A-E847-BC59-5B07B7C93D69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'Summary-info'!$AG$2:$AG$5</c:f>
              <c:numCache>
                <c:formatCode>0.000%</c:formatCode>
                <c:ptCount val="4"/>
                <c:pt idx="0">
                  <c:v>2.4083333434540819E-3</c:v>
                </c:pt>
                <c:pt idx="1">
                  <c:v>3.650904033379694E-4</c:v>
                </c:pt>
                <c:pt idx="2">
                  <c:v>1.1511011030113354E-2</c:v>
                </c:pt>
                <c:pt idx="3">
                  <c:v>1.8514731181502112E-3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3A-E847-BC59-5B07B7C9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17176"/>
        <c:axId val="20800202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'Summary-info'!$AH$2:$AH$5</c:f>
              <c:numCache>
                <c:formatCode>_(* #,##0_);_(* \(#,##0\);_(* "-"??_);_(@_)</c:formatCode>
                <c:ptCount val="4"/>
                <c:pt idx="0">
                  <c:v>274463.66666666669</c:v>
                </c:pt>
                <c:pt idx="1">
                  <c:v>210906.66666666666</c:v>
                </c:pt>
                <c:pt idx="2">
                  <c:v>131005</c:v>
                </c:pt>
                <c:pt idx="3">
                  <c:v>369435.55555555556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3A-E847-BC59-5B07B7C9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31576"/>
        <c:axId val="2080025864"/>
      </c:scatterChart>
      <c:catAx>
        <c:axId val="208001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020232"/>
        <c:crosses val="autoZero"/>
        <c:auto val="1"/>
        <c:lblAlgn val="ctr"/>
        <c:lblOffset val="100"/>
        <c:noMultiLvlLbl val="0"/>
      </c:catAx>
      <c:valAx>
        <c:axId val="20800202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17176"/>
        <c:crosses val="autoZero"/>
        <c:crossBetween val="between"/>
      </c:valAx>
      <c:valAx>
        <c:axId val="2080025864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31576"/>
        <c:crosses val="max"/>
        <c:crossBetween val="midCat"/>
        <c:minorUnit val="5"/>
      </c:valAx>
      <c:valAx>
        <c:axId val="2080031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2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5A17-5C46-A423-AA6A4CEF86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5A17-5C46-A423-AA6A4CEF86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5A17-5C46-A423-AA6A4CEF86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5A17-5C46-A423-AA6A4CEF864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7-5C46-A423-AA6A4CEF86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7-5C46-A423-AA6A4CEF86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17-5C46-A423-AA6A4CEF86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17-5C46-A423-AA6A4CEF86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'Summary-info'!$AG$10:$AG$13</c:f>
              <c:numCache>
                <c:formatCode>0.00%</c:formatCode>
                <c:ptCount val="4"/>
                <c:pt idx="0">
                  <c:v>5.0135353514559507E-3</c:v>
                </c:pt>
                <c:pt idx="1">
                  <c:v>3.942479129521937E-3</c:v>
                </c:pt>
                <c:pt idx="2">
                  <c:v>1.3509487298038953E-2</c:v>
                </c:pt>
                <c:pt idx="3">
                  <c:v>4.3739737825065446E-3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17-5C46-A423-AA6A4CEF8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0080472"/>
        <c:axId val="208008359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'Summary-info'!$AH$10:$AH$13</c:f>
              <c:numCache>
                <c:formatCode>_(* #,##0_);_(* \(#,##0\);_(* "-"??_);_(@_)</c:formatCode>
                <c:ptCount val="4"/>
                <c:pt idx="0">
                  <c:v>269869.44444444444</c:v>
                </c:pt>
                <c:pt idx="1">
                  <c:v>300065</c:v>
                </c:pt>
                <c:pt idx="2">
                  <c:v>48928.577777777784</c:v>
                </c:pt>
                <c:pt idx="3">
                  <c:v>227710.55555555556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17-5C46-A423-AA6A4CEF8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80094808"/>
        <c:axId val="2080089096"/>
      </c:scatterChart>
      <c:catAx>
        <c:axId val="208008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083592"/>
        <c:crosses val="autoZero"/>
        <c:auto val="1"/>
        <c:lblAlgn val="ctr"/>
        <c:lblOffset val="100"/>
        <c:noMultiLvlLbl val="0"/>
      </c:catAx>
      <c:valAx>
        <c:axId val="20800835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80472"/>
        <c:crosses val="autoZero"/>
        <c:crossBetween val="between"/>
      </c:valAx>
      <c:valAx>
        <c:axId val="2080089096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94808"/>
        <c:crosses val="max"/>
        <c:crossBetween val="midCat"/>
        <c:minorUnit val="5"/>
      </c:valAx>
      <c:valAx>
        <c:axId val="2080094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8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199"/>
          <c:y val="6.877729848857569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8.4369286700596499E-2"/>
          <c:y val="5.1502119927316799E-2"/>
          <c:w val="0.91563072301467796"/>
          <c:h val="0.88263903161976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554500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53000</c:v>
                </c:pt>
                <c:pt idx="10" formatCode="_(* #,##0_);_(* \(#,##0\);_(* &quot;-&quot;??_);_(@_)">
                  <c:v>250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309333.33333333337</c:v>
                </c:pt>
                <c:pt idx="13" formatCode="_(* #,##0_);_(* \(#,##0\);_(* &quot;-&quot;??_);_(@_)">
                  <c:v>447466.66666666669</c:v>
                </c:pt>
                <c:pt idx="14" formatCode="_(* #,##0_);_(* \(#,##0\);_(* &quot;-&quot;??_);_(@_)">
                  <c:v>0</c:v>
                </c:pt>
                <c:pt idx="15" formatCode="_(* #,##0_);_(* \(#,##0\);_(* &quot;-&quot;??_);_(@_)">
                  <c:v>38266.666666666664</c:v>
                </c:pt>
                <c:pt idx="16" formatCode="_(* #,##0_);_(* \(#,##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_);_(* \(#,##0\);_(* &quot;-&quot;??_);_(@_)">
                  <c:v>0</c:v>
                </c:pt>
                <c:pt idx="21" formatCode="_(* #,##0_);_(* \(#,##0\);_(* &quot;-&quot;??_);_(@_)">
                  <c:v>0</c:v>
                </c:pt>
                <c:pt idx="22" formatCode="_(* #,##0_);_(* \(#,##0\);_(* &quot;-&quot;??_);_(@_)">
                  <c:v>0</c:v>
                </c:pt>
                <c:pt idx="23" formatCode="_(* #,##0_);_(* \(#,##0\);_(* &quot;-&quot;??_);_(@_)">
                  <c:v>0</c:v>
                </c:pt>
                <c:pt idx="24" formatCode="_(* #,##0_);_(* \(#,##0\);_(* &quot;-&quot;??_);_(@_)">
                  <c:v>0</c:v>
                </c:pt>
                <c:pt idx="25" formatCode="_(* #,##0_);_(* \(#,##0\);_(* &quot;-&quot;??_);_(@_)">
                  <c:v>0</c:v>
                </c:pt>
                <c:pt idx="26" formatCode="_(* #,##0_);_(* \(#,##0\);_(* &quot;-&quot;??_);_(@_)">
                  <c:v>326906.66666666669</c:v>
                </c:pt>
                <c:pt idx="27" formatCode="_(* #,##0_);_(* \(#,##0\);_(* &quot;-&quot;??_);_(@_)">
                  <c:v>182050</c:v>
                </c:pt>
                <c:pt idx="28" formatCode="_(* #,##0_);_(* \(#,##0\);_(* &quot;-&quot;??_);_(@_)">
                  <c:v>42293.333333333328</c:v>
                </c:pt>
                <c:pt idx="29" formatCode="_(* #,##0_);_(* \(#,##0\);_(* &quot;-&quot;??_);_(@_)">
                  <c:v>6300</c:v>
                </c:pt>
                <c:pt idx="30" formatCode="_(* #,##0_);_(* \(#,##0\);_(* &quot;-&quot;??_);_(@_)">
                  <c:v>0</c:v>
                </c:pt>
                <c:pt idx="31" formatCode="_(* #,##0_);_(* \(#,##0\);_(* &quot;-&quot;??_);_(@_)">
                  <c:v>0</c:v>
                </c:pt>
                <c:pt idx="32" formatCode="_(* #,##0_);_(* \(#,##0\);_(* &quot;-&quot;??_);_(@_)">
                  <c:v>0</c:v>
                </c:pt>
                <c:pt idx="33" formatCode="_(* #,##0_);_(* \(#,##0\);_(* &quot;-&quot;??_);_(@_)">
                  <c:v>0</c:v>
                </c:pt>
                <c:pt idx="34" formatCode="_(* #,##0_);_(* \(#,##0\);_(* &quot;-&quot;??_);_(@_)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0-9242-9010-B564B02D0057}"/>
            </c:ext>
          </c:extLst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404466.66666666669</c:v>
                </c:pt>
                <c:pt idx="7">
                  <c:v>11200</c:v>
                </c:pt>
                <c:pt idx="8">
                  <c:v>0</c:v>
                </c:pt>
                <c:pt idx="9">
                  <c:v>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0-9242-9010-B564B02D0057}"/>
            </c:ext>
          </c:extLst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1416.6666666666667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163200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0-9242-9010-B564B02D0057}"/>
            </c:ext>
          </c:extLst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81600</c:v>
                </c:pt>
                <c:pt idx="26">
                  <c:v>1586.6666666666667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0-9242-9010-B564B02D0057}"/>
            </c:ext>
          </c:extLst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0</c:v>
                </c:pt>
                <c:pt idx="5">
                  <c:v>0</c:v>
                </c:pt>
                <c:pt idx="6">
                  <c:v>9400</c:v>
                </c:pt>
                <c:pt idx="7">
                  <c:v>5750</c:v>
                </c:pt>
                <c:pt idx="8">
                  <c:v>201600</c:v>
                </c:pt>
                <c:pt idx="9">
                  <c:v>8960</c:v>
                </c:pt>
                <c:pt idx="10">
                  <c:v>194666.66666666669</c:v>
                </c:pt>
                <c:pt idx="11">
                  <c:v>3400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177173.33333333334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0-9242-9010-B564B02D0057}"/>
            </c:ext>
          </c:extLst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218033.33333333331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29920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E0-9242-9010-B564B02D0057}"/>
            </c:ext>
          </c:extLst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2666.6666666666665</c:v>
                </c:pt>
                <c:pt idx="7">
                  <c:v>200</c:v>
                </c:pt>
                <c:pt idx="8">
                  <c:v>0</c:v>
                </c:pt>
                <c:pt idx="9">
                  <c:v>281000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0-9242-9010-B564B02D0057}"/>
            </c:ext>
          </c:extLst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210133.33333333334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1833.3333333333333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E0-9242-9010-B564B02D0057}"/>
            </c:ext>
          </c:extLst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0-9242-9010-B564B02D0057}"/>
            </c:ext>
          </c:extLst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250133.33333333334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154666.66666666669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E0-9242-9010-B564B02D0057}"/>
            </c:ext>
          </c:extLst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E0-9242-9010-B564B02D0057}"/>
            </c:ext>
          </c:extLst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0</c:v>
                </c:pt>
                <c:pt idx="12">
                  <c:v>0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2625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E0-9242-9010-B564B02D0057}"/>
            </c:ext>
          </c:extLst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E0-9242-9010-B564B02D0057}"/>
            </c:ext>
          </c:extLst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E0-9242-9010-B564B02D0057}"/>
            </c:ext>
          </c:extLst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E0-9242-9010-B564B02D0057}"/>
            </c:ext>
          </c:extLst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E0-9242-9010-B564B02D0057}"/>
            </c:ext>
          </c:extLst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E0-9242-9010-B564B02D0057}"/>
            </c:ext>
          </c:extLst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E0-9242-9010-B564B02D0057}"/>
            </c:ext>
          </c:extLst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139800</c:v>
                </c:pt>
                <c:pt idx="16">
                  <c:v>7050</c:v>
                </c:pt>
                <c:pt idx="17">
                  <c:v>0</c:v>
                </c:pt>
                <c:pt idx="18">
                  <c:v>3200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E0-9242-9010-B564B02D0057}"/>
            </c:ext>
          </c:extLst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E0-9242-9010-B564B02D0057}"/>
            </c:ext>
          </c:extLst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0</c:v>
                </c:pt>
                <c:pt idx="16">
                  <c:v>3575</c:v>
                </c:pt>
                <c:pt idx="17">
                  <c:v>0</c:v>
                </c:pt>
                <c:pt idx="18">
                  <c:v>111099.99999999999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E0-9242-9010-B564B02D0057}"/>
            </c:ext>
          </c:extLst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2333.333333333333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E0-9242-9010-B564B02D0057}"/>
            </c:ext>
          </c:extLst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88200</c:v>
                </c:pt>
                <c:pt idx="26">
                  <c:v>103950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E0-9242-9010-B564B02D0057}"/>
            </c:ext>
          </c:extLst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8E0-9242-9010-B564B02D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71768"/>
        <c:axId val="2078974712"/>
      </c:barChart>
      <c:dateAx>
        <c:axId val="2078971768"/>
        <c:scaling>
          <c:orientation val="minMax"/>
          <c:max val="42928"/>
        </c:scaling>
        <c:delete val="0"/>
        <c:axPos val="b"/>
        <c:numFmt formatCode="m/d/yy" sourceLinked="1"/>
        <c:majorTickMark val="out"/>
        <c:minorTickMark val="none"/>
        <c:tickLblPos val="nextTo"/>
        <c:crossAx val="2078974712"/>
        <c:crosses val="autoZero"/>
        <c:auto val="1"/>
        <c:lblOffset val="100"/>
        <c:baseTimeUnit val="days"/>
        <c:minorUnit val="1"/>
        <c:minorTimeUnit val="days"/>
      </c:dateAx>
      <c:valAx>
        <c:axId val="207897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97176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02"/>
          <c:y val="4.9126641777553999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554500</c:v>
                </c:pt>
                <c:pt idx="5">
                  <c:v>0</c:v>
                </c:pt>
                <c:pt idx="6">
                  <c:v>53000</c:v>
                </c:pt>
                <c:pt idx="7">
                  <c:v>250</c:v>
                </c:pt>
                <c:pt idx="8">
                  <c:v>0</c:v>
                </c:pt>
                <c:pt idx="9">
                  <c:v>309333.33333333337</c:v>
                </c:pt>
                <c:pt idx="10">
                  <c:v>447466.66666666669</c:v>
                </c:pt>
                <c:pt idx="11">
                  <c:v>0</c:v>
                </c:pt>
                <c:pt idx="12">
                  <c:v>38266.666666666664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326906.66666666669</c:v>
                </c:pt>
                <c:pt idx="24">
                  <c:v>182050</c:v>
                </c:pt>
                <c:pt idx="25">
                  <c:v>42293.333333333328</c:v>
                </c:pt>
                <c:pt idx="26">
                  <c:v>6300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D-1D47-A702-3473F0C4DB01}"/>
            </c:ext>
          </c:extLst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404466.66666666669</c:v>
                </c:pt>
                <c:pt idx="7">
                  <c:v>11200</c:v>
                </c:pt>
                <c:pt idx="8">
                  <c:v>0</c:v>
                </c:pt>
                <c:pt idx="9">
                  <c:v>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D-1D47-A702-3473F0C4DB01}"/>
            </c:ext>
          </c:extLst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1416.6666666666667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163200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D-1D47-A702-3473F0C4DB01}"/>
            </c:ext>
          </c:extLst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81600</c:v>
                </c:pt>
                <c:pt idx="26">
                  <c:v>1586.6666666666667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D-1D47-A702-3473F0C4DB01}"/>
            </c:ext>
          </c:extLst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0</c:v>
                </c:pt>
                <c:pt idx="5">
                  <c:v>0</c:v>
                </c:pt>
                <c:pt idx="6">
                  <c:v>9400</c:v>
                </c:pt>
                <c:pt idx="7">
                  <c:v>5750</c:v>
                </c:pt>
                <c:pt idx="8">
                  <c:v>201600</c:v>
                </c:pt>
                <c:pt idx="9">
                  <c:v>8960</c:v>
                </c:pt>
                <c:pt idx="10">
                  <c:v>194666.66666666669</c:v>
                </c:pt>
                <c:pt idx="11">
                  <c:v>3400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177173.33333333334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D-1D47-A702-3473F0C4DB01}"/>
            </c:ext>
          </c:extLst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218033.33333333331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29920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D-1D47-A702-3473F0C4DB01}"/>
            </c:ext>
          </c:extLst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2666.6666666666665</c:v>
                </c:pt>
                <c:pt idx="7">
                  <c:v>200</c:v>
                </c:pt>
                <c:pt idx="8">
                  <c:v>0</c:v>
                </c:pt>
                <c:pt idx="9">
                  <c:v>281000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D-1D47-A702-3473F0C4DB01}"/>
            </c:ext>
          </c:extLst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210133.33333333334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1833.3333333333333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DD-1D47-A702-3473F0C4DB01}"/>
            </c:ext>
          </c:extLst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D-1D47-A702-3473F0C4DB01}"/>
            </c:ext>
          </c:extLst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250133.33333333334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154666.66666666669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D-1D47-A702-3473F0C4DB01}"/>
            </c:ext>
          </c:extLst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D-1D47-A702-3473F0C4DB01}"/>
            </c:ext>
          </c:extLst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0</c:v>
                </c:pt>
                <c:pt idx="12">
                  <c:v>0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2625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D-1D47-A702-3473F0C4DB01}"/>
            </c:ext>
          </c:extLst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D-1D47-A702-3473F0C4DB01}"/>
            </c:ext>
          </c:extLst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D-1D47-A702-3473F0C4DB01}"/>
            </c:ext>
          </c:extLst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D-1D47-A702-3473F0C4DB01}"/>
            </c:ext>
          </c:extLst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D-1D47-A702-3473F0C4DB01}"/>
            </c:ext>
          </c:extLst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DD-1D47-A702-3473F0C4DB01}"/>
            </c:ext>
          </c:extLst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D-1D47-A702-3473F0C4DB01}"/>
            </c:ext>
          </c:extLst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139800</c:v>
                </c:pt>
                <c:pt idx="16">
                  <c:v>7050</c:v>
                </c:pt>
                <c:pt idx="17">
                  <c:v>0</c:v>
                </c:pt>
                <c:pt idx="18">
                  <c:v>3200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D-1D47-A702-3473F0C4DB01}"/>
            </c:ext>
          </c:extLst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DD-1D47-A702-3473F0C4DB01}"/>
            </c:ext>
          </c:extLst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0</c:v>
                </c:pt>
                <c:pt idx="16">
                  <c:v>3575</c:v>
                </c:pt>
                <c:pt idx="17">
                  <c:v>0</c:v>
                </c:pt>
                <c:pt idx="18">
                  <c:v>111099.99999999999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DD-1D47-A702-3473F0C4DB01}"/>
            </c:ext>
          </c:extLst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2333.333333333333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DD-1D47-A702-3473F0C4DB01}"/>
            </c:ext>
          </c:extLst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88200</c:v>
                </c:pt>
                <c:pt idx="26">
                  <c:v>103950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DD-1D47-A702-3473F0C4DB01}"/>
            </c:ext>
          </c:extLst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DD-1D47-A702-3473F0C4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87976"/>
        <c:axId val="2079385016"/>
      </c:barChart>
      <c:dateAx>
        <c:axId val="2079387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9385016"/>
        <c:crosses val="autoZero"/>
        <c:auto val="1"/>
        <c:lblOffset val="100"/>
        <c:baseTimeUnit val="days"/>
        <c:minorUnit val="1"/>
        <c:minorTimeUnit val="days"/>
      </c:dateAx>
      <c:valAx>
        <c:axId val="20793850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938797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02"/>
          <c:y val="4.9126641777553999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8-784F-AB33-DB76FDDA2CBE}"/>
            </c:ext>
          </c:extLst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8-784F-AB33-DB76FDDA2CBE}"/>
            </c:ext>
          </c:extLst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8-784F-AB33-DB76FDDA2CBE}"/>
            </c:ext>
          </c:extLst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8-784F-AB33-DB76FDDA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29832"/>
        <c:axId val="2090033032"/>
      </c:barChart>
      <c:dateAx>
        <c:axId val="2090029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33032"/>
        <c:crosses val="autoZero"/>
        <c:auto val="1"/>
        <c:lblOffset val="100"/>
        <c:baseTimeUnit val="days"/>
        <c:minorUnit val="1"/>
        <c:minorTimeUnit val="days"/>
      </c:dateAx>
      <c:valAx>
        <c:axId val="20900330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29832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03"/>
          <c:y val="0.31294110029009498"/>
          <c:w val="8.5495390913187197E-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02"/>
          <c:y val="9.7174599128561398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A-FA48-98D9-1A61390EF9F1}"/>
            </c:ext>
          </c:extLst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A-FA48-98D9-1A61390EF9F1}"/>
            </c:ext>
          </c:extLst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A-FA48-98D9-1A61390EF9F1}"/>
            </c:ext>
          </c:extLst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A-FA48-98D9-1A61390E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72392"/>
        <c:axId val="2090075592"/>
      </c:barChart>
      <c:dateAx>
        <c:axId val="209007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75592"/>
        <c:crosses val="autoZero"/>
        <c:auto val="1"/>
        <c:lblOffset val="100"/>
        <c:baseTimeUnit val="days"/>
        <c:minorUnit val="1"/>
        <c:minorTimeUnit val="days"/>
      </c:dateAx>
      <c:valAx>
        <c:axId val="2090075592"/>
        <c:scaling>
          <c:orientation val="minMax"/>
          <c:max val="25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72392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02"/>
          <c:w val="8.3404683321775502E-2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3"/>
  <sheetViews>
    <sheetView tabSelected="1" showRuler="0" workbookViewId="0">
      <pane ySplit="2080" topLeftCell="A79" activePane="bottomLeft"/>
      <selection activeCell="O1" sqref="O1:T1048576"/>
      <selection pane="bottomLeft" activeCell="B95" sqref="B95"/>
    </sheetView>
  </sheetViews>
  <sheetFormatPr baseColWidth="10" defaultRowHeight="16" x14ac:dyDescent="0.2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customWidth="1"/>
    <col min="5" max="5" width="10.83203125" style="12" customWidth="1"/>
    <col min="6" max="6" width="10.5" style="12" customWidth="1"/>
    <col min="7" max="8" width="10.33203125" style="12" customWidth="1"/>
    <col min="9" max="9" width="10.6640625" style="13" customWidth="1"/>
    <col min="10" max="10" width="12.5" style="13" customWidth="1"/>
    <col min="11" max="11" width="10.1640625" style="12" customWidth="1"/>
    <col min="12" max="13" width="10.5" style="142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customWidth="1"/>
    <col min="20" max="20" width="69.83203125" style="14" customWidth="1"/>
    <col min="21" max="16384" width="10.83203125" style="12"/>
  </cols>
  <sheetData>
    <row r="1" spans="1:20" s="2" customFormat="1" ht="91" customHeight="1" x14ac:dyDescent="0.25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0" t="s">
        <v>11</v>
      </c>
      <c r="M1" s="140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65"/>
    </row>
    <row r="2" spans="1:20" s="5" customFormat="1" x14ac:dyDescent="0.2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1" t="s">
        <v>18</v>
      </c>
      <c r="M2" s="141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 x14ac:dyDescent="0.2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1" t="s">
        <v>18</v>
      </c>
      <c r="M3" s="141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 x14ac:dyDescent="0.2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1" t="s">
        <v>18</v>
      </c>
      <c r="M4" s="141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 x14ac:dyDescent="0.2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1" t="s">
        <v>18</v>
      </c>
      <c r="M5" s="141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1" x14ac:dyDescent="0.25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1" t="s">
        <v>18</v>
      </c>
      <c r="M6" s="141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 x14ac:dyDescent="0.2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1" t="s">
        <v>18</v>
      </c>
      <c r="M7" s="141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 x14ac:dyDescent="0.2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1" t="s">
        <v>18</v>
      </c>
      <c r="M8" s="141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 x14ac:dyDescent="0.2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1" t="s">
        <v>18</v>
      </c>
      <c r="M9" s="141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 x14ac:dyDescent="0.2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1" t="s">
        <v>18</v>
      </c>
      <c r="M10" s="141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 x14ac:dyDescent="0.2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1" t="s">
        <v>18</v>
      </c>
      <c r="M11" s="141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 x14ac:dyDescent="0.2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1" t="s">
        <v>18</v>
      </c>
      <c r="M12" s="141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 x14ac:dyDescent="0.2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1" t="s">
        <v>18</v>
      </c>
      <c r="M13" s="141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 x14ac:dyDescent="0.2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1" t="s">
        <v>18</v>
      </c>
      <c r="M14" s="141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 x14ac:dyDescent="0.2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1" t="s">
        <v>18</v>
      </c>
      <c r="M15" s="141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 x14ac:dyDescent="0.2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1" t="s">
        <v>18</v>
      </c>
      <c r="M16" s="141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 x14ac:dyDescent="0.2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1" t="s">
        <v>18</v>
      </c>
      <c r="M17" s="141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 x14ac:dyDescent="0.2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1" t="s">
        <v>18</v>
      </c>
      <c r="M18" s="141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 x14ac:dyDescent="0.2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1" t="s">
        <v>18</v>
      </c>
      <c r="M19" s="141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 x14ac:dyDescent="0.2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1" t="s">
        <v>18</v>
      </c>
      <c r="M20" s="141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 x14ac:dyDescent="0.2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1" t="s">
        <v>18</v>
      </c>
      <c r="M21" s="141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 x14ac:dyDescent="0.2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1" t="s">
        <v>18</v>
      </c>
      <c r="M22" s="141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 x14ac:dyDescent="0.2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1" t="s">
        <v>18</v>
      </c>
      <c r="M23" s="141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 x14ac:dyDescent="0.2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1" t="s">
        <v>18</v>
      </c>
      <c r="M24" s="141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 x14ac:dyDescent="0.2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1" t="s">
        <v>18</v>
      </c>
      <c r="M25" s="141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 x14ac:dyDescent="0.2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1" t="s">
        <v>18</v>
      </c>
      <c r="M26" s="141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 x14ac:dyDescent="0.2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1" t="s">
        <v>18</v>
      </c>
      <c r="M27" s="141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 x14ac:dyDescent="0.2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1" t="s">
        <v>18</v>
      </c>
      <c r="M28" s="141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 x14ac:dyDescent="0.2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1" t="s">
        <v>18</v>
      </c>
      <c r="M29" s="141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 x14ac:dyDescent="0.2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1" t="s">
        <v>18</v>
      </c>
      <c r="M30" s="141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 x14ac:dyDescent="0.2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1" t="s">
        <v>18</v>
      </c>
      <c r="M31" s="141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 x14ac:dyDescent="0.2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1" t="s">
        <v>18</v>
      </c>
      <c r="M32" s="141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 x14ac:dyDescent="0.2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21">
        <v>18</v>
      </c>
      <c r="L33" s="141"/>
      <c r="M33" s="141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 x14ac:dyDescent="0.2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21">
        <v>17</v>
      </c>
      <c r="L34" s="141"/>
      <c r="M34" s="141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 x14ac:dyDescent="0.2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21">
        <v>8</v>
      </c>
      <c r="L35" s="141"/>
      <c r="M35" s="141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 x14ac:dyDescent="0.2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21">
        <v>5</v>
      </c>
      <c r="L36" s="141">
        <v>80640</v>
      </c>
      <c r="M36" s="141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 x14ac:dyDescent="0.2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21">
        <v>22</v>
      </c>
      <c r="L37" s="141"/>
      <c r="M37" s="141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 x14ac:dyDescent="0.2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21">
        <v>17</v>
      </c>
      <c r="L38" s="141"/>
      <c r="M38" s="141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 x14ac:dyDescent="0.2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21">
        <v>7</v>
      </c>
      <c r="L39" s="141"/>
      <c r="M39" s="141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 x14ac:dyDescent="0.2">
      <c r="A40" s="36">
        <v>42875</v>
      </c>
      <c r="B40" s="395" t="s">
        <v>44</v>
      </c>
      <c r="C40" s="395"/>
      <c r="D40" s="396">
        <v>1</v>
      </c>
      <c r="E40" s="395">
        <v>200</v>
      </c>
      <c r="F40" s="395">
        <v>56</v>
      </c>
      <c r="G40" s="395">
        <v>54</v>
      </c>
      <c r="H40" s="395">
        <v>68</v>
      </c>
      <c r="I40" s="397">
        <f t="shared" si="3"/>
        <v>59.333333333333336</v>
      </c>
      <c r="J40" s="397">
        <f t="shared" si="1"/>
        <v>11866.666666666668</v>
      </c>
      <c r="K40" s="422">
        <v>1</v>
      </c>
      <c r="L40" s="141"/>
      <c r="M40" s="141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 x14ac:dyDescent="0.2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21">
        <v>5</v>
      </c>
      <c r="L41" s="141"/>
      <c r="M41" s="141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 x14ac:dyDescent="0.2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21">
        <v>5</v>
      </c>
      <c r="L42" s="141"/>
      <c r="M42" s="141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 x14ac:dyDescent="0.2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21">
        <v>22</v>
      </c>
      <c r="L43" s="141"/>
      <c r="M43" s="141"/>
      <c r="N43" s="43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 x14ac:dyDescent="0.2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21">
        <v>12</v>
      </c>
      <c r="L44" s="141"/>
      <c r="M44" s="141"/>
      <c r="N44" s="43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 x14ac:dyDescent="0.2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21">
        <v>16</v>
      </c>
      <c r="L45" s="141"/>
      <c r="M45" s="141"/>
      <c r="N45" s="43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 x14ac:dyDescent="0.2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21">
        <v>20</v>
      </c>
      <c r="L46" s="141"/>
      <c r="M46" s="141"/>
      <c r="N46" s="43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 x14ac:dyDescent="0.2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21">
        <v>11</v>
      </c>
      <c r="L47" s="141"/>
      <c r="M47" s="141"/>
      <c r="N47" s="43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 x14ac:dyDescent="0.2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21">
        <v>11</v>
      </c>
      <c r="L48" s="141"/>
      <c r="M48" s="141"/>
      <c r="N48" s="43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 x14ac:dyDescent="0.2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21">
        <v>7</v>
      </c>
      <c r="L49" s="141"/>
      <c r="M49" s="141"/>
      <c r="N49" s="43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 x14ac:dyDescent="0.2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21">
        <v>13</v>
      </c>
      <c r="L50" s="141"/>
      <c r="M50" s="141"/>
      <c r="N50" s="43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 x14ac:dyDescent="0.2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21">
        <v>13</v>
      </c>
      <c r="L51" s="141"/>
      <c r="M51" s="141"/>
      <c r="N51" s="43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 x14ac:dyDescent="0.2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21">
        <v>22</v>
      </c>
      <c r="L52" s="141"/>
      <c r="M52" s="141"/>
      <c r="N52" s="43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 x14ac:dyDescent="0.2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21">
        <v>20</v>
      </c>
      <c r="L53" s="141"/>
      <c r="M53" s="141"/>
      <c r="N53" s="43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 x14ac:dyDescent="0.2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21">
        <v>12</v>
      </c>
      <c r="L54" s="141"/>
      <c r="M54" s="141"/>
      <c r="N54" s="43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 x14ac:dyDescent="0.2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21">
        <v>8</v>
      </c>
      <c r="L55" s="141"/>
      <c r="M55" s="141"/>
      <c r="N55" s="43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 x14ac:dyDescent="0.2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21">
        <v>11</v>
      </c>
      <c r="L56" s="141"/>
      <c r="M56" s="141"/>
      <c r="N56" s="43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 x14ac:dyDescent="0.2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21">
        <v>16</v>
      </c>
      <c r="L57" s="141"/>
      <c r="M57" s="141"/>
      <c r="N57" s="43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 x14ac:dyDescent="0.2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21">
        <v>13</v>
      </c>
      <c r="L58" s="141"/>
      <c r="M58" s="141"/>
      <c r="N58" s="43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 x14ac:dyDescent="0.2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21">
        <v>12</v>
      </c>
      <c r="L59" s="141"/>
      <c r="M59" s="141"/>
      <c r="N59" s="43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 x14ac:dyDescent="0.2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21">
        <v>13</v>
      </c>
      <c r="L60" s="141"/>
      <c r="M60" s="141"/>
      <c r="N60" s="43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 x14ac:dyDescent="0.2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21">
        <v>18</v>
      </c>
      <c r="L61" s="141"/>
      <c r="M61" s="141"/>
      <c r="N61" s="43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 x14ac:dyDescent="0.2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21">
        <v>20</v>
      </c>
      <c r="L62" s="141"/>
      <c r="M62" s="141"/>
      <c r="N62" s="43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 x14ac:dyDescent="0.2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21">
        <v>11</v>
      </c>
      <c r="L63" s="141"/>
      <c r="M63" s="141"/>
      <c r="N63" s="43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 x14ac:dyDescent="0.2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21">
        <v>7</v>
      </c>
      <c r="L64" s="141"/>
      <c r="M64" s="141"/>
      <c r="N64" s="43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 x14ac:dyDescent="0.2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21">
        <v>16</v>
      </c>
      <c r="L65" s="141"/>
      <c r="M65" s="141"/>
      <c r="N65" s="43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 x14ac:dyDescent="0.2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30" si="6">I66*E66</f>
        <v>205866.66666666666</v>
      </c>
      <c r="K66" s="421">
        <v>19</v>
      </c>
      <c r="L66" s="141">
        <v>50000</v>
      </c>
      <c r="M66" s="141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 x14ac:dyDescent="0.2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421">
        <v>22</v>
      </c>
      <c r="L67" s="141">
        <v>25000</v>
      </c>
      <c r="M67" s="141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 x14ac:dyDescent="0.2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421">
        <v>18</v>
      </c>
      <c r="L68" s="141">
        <v>50000</v>
      </c>
      <c r="M68" s="141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 x14ac:dyDescent="0.2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421">
        <v>16</v>
      </c>
      <c r="L69" s="141"/>
      <c r="M69" s="141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 x14ac:dyDescent="0.2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421">
        <v>20</v>
      </c>
      <c r="L70" s="141"/>
      <c r="M70" s="141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 x14ac:dyDescent="0.2">
      <c r="A71" s="36">
        <v>42879</v>
      </c>
      <c r="B71" s="392" t="s">
        <v>94</v>
      </c>
      <c r="C71" s="392"/>
      <c r="D71" s="393">
        <v>0.5</v>
      </c>
      <c r="E71" s="392">
        <v>1000</v>
      </c>
      <c r="F71" s="392">
        <v>151</v>
      </c>
      <c r="G71" s="392">
        <v>139</v>
      </c>
      <c r="H71" s="392">
        <v>157</v>
      </c>
      <c r="I71" s="394">
        <f t="shared" si="5"/>
        <v>298</v>
      </c>
      <c r="J71" s="394">
        <f t="shared" si="6"/>
        <v>298000</v>
      </c>
      <c r="K71" s="423">
        <v>4</v>
      </c>
      <c r="L71" s="141">
        <v>50000</v>
      </c>
      <c r="M71" s="141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 x14ac:dyDescent="0.2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421">
        <v>12</v>
      </c>
      <c r="L72" s="141">
        <v>50000</v>
      </c>
      <c r="M72" s="141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 x14ac:dyDescent="0.2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424">
        <v>8</v>
      </c>
      <c r="M73" s="141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4"/>
    </row>
    <row r="74" spans="1:21" x14ac:dyDescent="0.2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424">
        <v>18</v>
      </c>
      <c r="M74" s="141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 x14ac:dyDescent="0.2">
      <c r="A75" s="45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424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 x14ac:dyDescent="0.2">
      <c r="A76" s="45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424">
        <v>22</v>
      </c>
      <c r="L76" s="142">
        <v>50000</v>
      </c>
      <c r="M76" s="143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 x14ac:dyDescent="0.2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424">
        <v>3</v>
      </c>
      <c r="L77" s="142">
        <v>50000</v>
      </c>
      <c r="M77" s="141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100</v>
      </c>
      <c r="Q77" s="13">
        <f t="shared" si="7"/>
        <v>178250</v>
      </c>
      <c r="T77" s="44" t="s">
        <v>96</v>
      </c>
    </row>
    <row r="78" spans="1:21" x14ac:dyDescent="0.2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>F78/D78</f>
        <v>342</v>
      </c>
      <c r="J78" s="13">
        <f>I78*E78</f>
        <v>307800</v>
      </c>
      <c r="K78" s="424">
        <v>10</v>
      </c>
      <c r="L78" s="142">
        <v>50000</v>
      </c>
      <c r="M78" s="141">
        <f t="shared" si="8"/>
        <v>146.19883040935673</v>
      </c>
      <c r="N78" s="12">
        <v>225</v>
      </c>
      <c r="O78" s="13">
        <f>N78*I78</f>
        <v>76950</v>
      </c>
      <c r="P78" s="12" t="s">
        <v>99</v>
      </c>
      <c r="Q78" s="13">
        <f t="shared" si="7"/>
        <v>230850</v>
      </c>
      <c r="T78" s="44" t="s">
        <v>96</v>
      </c>
    </row>
    <row r="79" spans="1:21" x14ac:dyDescent="0.2">
      <c r="A79" s="37">
        <v>42881</v>
      </c>
      <c r="B79" s="12" t="s">
        <v>108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424">
        <v>21</v>
      </c>
      <c r="L79" s="142">
        <v>50000</v>
      </c>
      <c r="M79" s="143">
        <f t="shared" si="8"/>
        <v>735.29411764705878</v>
      </c>
      <c r="N79" s="12">
        <v>650</v>
      </c>
      <c r="O79" s="13">
        <f t="shared" si="2"/>
        <v>44200</v>
      </c>
      <c r="P79" s="12" t="s">
        <v>110</v>
      </c>
      <c r="Q79" s="13">
        <f t="shared" si="7"/>
        <v>10200</v>
      </c>
      <c r="T79" s="14" t="s">
        <v>96</v>
      </c>
    </row>
    <row r="80" spans="1:21" x14ac:dyDescent="0.2">
      <c r="A80" s="45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424">
        <v>19</v>
      </c>
      <c r="L80" s="142">
        <v>32000</v>
      </c>
      <c r="M80" s="143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 x14ac:dyDescent="0.2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424">
        <v>18</v>
      </c>
      <c r="L81" s="142">
        <v>30000</v>
      </c>
      <c r="M81" s="143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 x14ac:dyDescent="0.2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424">
        <v>20</v>
      </c>
      <c r="L82" s="142">
        <v>32000</v>
      </c>
      <c r="M82" s="143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 x14ac:dyDescent="0.2">
      <c r="A83" s="45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424">
        <v>8</v>
      </c>
      <c r="L83" s="142">
        <v>47000</v>
      </c>
      <c r="M83" s="143">
        <f t="shared" si="8"/>
        <v>302.57510729613733</v>
      </c>
      <c r="N83" s="12">
        <v>350</v>
      </c>
      <c r="O83" s="13">
        <f t="shared" si="2"/>
        <v>54366.666666666672</v>
      </c>
      <c r="P83" s="12" t="s">
        <v>109</v>
      </c>
      <c r="Q83" s="13">
        <f t="shared" si="7"/>
        <v>85433.333333333328</v>
      </c>
    </row>
    <row r="84" spans="1:20" x14ac:dyDescent="0.2">
      <c r="A84" s="45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424">
        <v>10</v>
      </c>
      <c r="L84" s="142">
        <v>25000</v>
      </c>
      <c r="M84" s="143">
        <f t="shared" si="8"/>
        <v>105.04201680672269</v>
      </c>
      <c r="N84" s="12">
        <v>150</v>
      </c>
      <c r="O84" s="13">
        <f t="shared" si="2"/>
        <v>35700</v>
      </c>
      <c r="P84" s="12" t="s">
        <v>107</v>
      </c>
      <c r="Q84" s="13">
        <f t="shared" si="7"/>
        <v>154700</v>
      </c>
    </row>
    <row r="85" spans="1:20" x14ac:dyDescent="0.2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425">
        <v>9</v>
      </c>
      <c r="L85" s="142">
        <v>50000</v>
      </c>
      <c r="M85" s="143">
        <f t="shared" si="8"/>
        <v>345.62211981566821</v>
      </c>
      <c r="N85" s="12">
        <v>400</v>
      </c>
      <c r="O85" s="13">
        <f t="shared" si="2"/>
        <v>57866.666666666664</v>
      </c>
      <c r="P85" s="12" t="s">
        <v>111</v>
      </c>
      <c r="Q85" s="13">
        <f t="shared" si="7"/>
        <v>57866.666666666664</v>
      </c>
      <c r="T85" s="14" t="s">
        <v>96</v>
      </c>
    </row>
    <row r="86" spans="1:20" x14ac:dyDescent="0.2">
      <c r="A86" s="37">
        <v>42882</v>
      </c>
      <c r="B86" s="12" t="s">
        <v>108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424">
        <v>21</v>
      </c>
      <c r="L86" s="142">
        <v>50000</v>
      </c>
      <c r="M86" s="143">
        <f t="shared" si="8"/>
        <v>169.68325791855202</v>
      </c>
      <c r="N86" s="12">
        <v>400</v>
      </c>
      <c r="O86" s="13">
        <f t="shared" si="2"/>
        <v>117866.66666666667</v>
      </c>
      <c r="P86" s="12" t="s">
        <v>115</v>
      </c>
      <c r="Q86" s="13">
        <f t="shared" si="7"/>
        <v>150280</v>
      </c>
      <c r="T86" s="14" t="s">
        <v>114</v>
      </c>
    </row>
    <row r="87" spans="1:20" x14ac:dyDescent="0.2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424">
        <v>10</v>
      </c>
      <c r="M87" s="143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 x14ac:dyDescent="0.2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424">
        <v>8</v>
      </c>
      <c r="M88" s="143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 x14ac:dyDescent="0.2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424">
        <v>12</v>
      </c>
      <c r="M89" s="143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 x14ac:dyDescent="0.2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424">
        <v>12</v>
      </c>
      <c r="M90" s="143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 x14ac:dyDescent="0.2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424">
        <v>16</v>
      </c>
      <c r="M91" s="143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 x14ac:dyDescent="0.2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424">
        <v>3</v>
      </c>
      <c r="M92" s="143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 x14ac:dyDescent="0.2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424">
        <v>8</v>
      </c>
      <c r="M93" s="143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 x14ac:dyDescent="0.2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424">
        <v>18</v>
      </c>
      <c r="M94" s="143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 x14ac:dyDescent="0.2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424">
        <v>9</v>
      </c>
      <c r="L95" s="142">
        <v>50000</v>
      </c>
      <c r="M95" s="143">
        <f t="shared" si="8"/>
        <v>263.15789473684208</v>
      </c>
      <c r="N95" s="12">
        <v>275</v>
      </c>
      <c r="O95" s="13">
        <f t="shared" si="2"/>
        <v>52250</v>
      </c>
      <c r="P95" s="12" t="s">
        <v>113</v>
      </c>
      <c r="Q95" s="13">
        <f t="shared" si="7"/>
        <v>104500</v>
      </c>
    </row>
    <row r="96" spans="1:20" x14ac:dyDescent="0.2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424">
        <v>13</v>
      </c>
      <c r="L96" s="142">
        <v>50000</v>
      </c>
      <c r="M96" s="143">
        <f t="shared" si="8"/>
        <v>373.13432835820896</v>
      </c>
      <c r="N96" s="12">
        <v>400</v>
      </c>
      <c r="O96" s="13">
        <f t="shared" si="2"/>
        <v>53600</v>
      </c>
      <c r="P96" s="12" t="s">
        <v>112</v>
      </c>
      <c r="Q96" s="13">
        <f t="shared" si="7"/>
        <v>58960</v>
      </c>
    </row>
    <row r="97" spans="1:20" x14ac:dyDescent="0.2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424">
        <v>13</v>
      </c>
      <c r="L97" s="142">
        <v>25000</v>
      </c>
      <c r="M97" s="143">
        <f t="shared" si="8"/>
        <v>154.95867768595039</v>
      </c>
      <c r="N97" s="12">
        <v>200</v>
      </c>
      <c r="O97" s="13">
        <f t="shared" ref="O97:O161" si="9">N97*I97</f>
        <v>32266.666666666668</v>
      </c>
      <c r="P97" s="12" t="s">
        <v>117</v>
      </c>
      <c r="Q97" s="13">
        <f t="shared" si="7"/>
        <v>100833.33333333333</v>
      </c>
      <c r="T97" s="14" t="s">
        <v>116</v>
      </c>
    </row>
    <row r="98" spans="1:20" x14ac:dyDescent="0.2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7" si="10">AVERAGE(F98:H98)/D98</f>
        <v>10.666666666666666</v>
      </c>
      <c r="J98" s="13">
        <f t="shared" si="6"/>
        <v>3200</v>
      </c>
      <c r="K98" s="424">
        <v>8</v>
      </c>
      <c r="M98" s="143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 x14ac:dyDescent="0.2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424">
        <v>9</v>
      </c>
      <c r="M99" s="143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 x14ac:dyDescent="0.2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424">
        <v>8</v>
      </c>
      <c r="L100" s="142">
        <v>50000</v>
      </c>
      <c r="M100" s="143">
        <f t="shared" si="8"/>
        <v>371.28712871287132</v>
      </c>
      <c r="N100" s="12">
        <v>375</v>
      </c>
      <c r="O100" s="13">
        <f t="shared" si="9"/>
        <v>50500</v>
      </c>
      <c r="P100" s="12" t="s">
        <v>123</v>
      </c>
      <c r="Q100" s="13">
        <f t="shared" si="7"/>
        <v>60599.999999999985</v>
      </c>
    </row>
    <row r="101" spans="1:20" x14ac:dyDescent="0.2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424" t="s">
        <v>124</v>
      </c>
      <c r="M101" s="143">
        <f t="shared" si="8"/>
        <v>0</v>
      </c>
      <c r="O101" s="13">
        <f t="shared" si="9"/>
        <v>0</v>
      </c>
      <c r="P101" s="12" t="s">
        <v>125</v>
      </c>
      <c r="Q101" s="13">
        <f t="shared" si="7"/>
        <v>7900</v>
      </c>
      <c r="T101" s="14" t="s">
        <v>126</v>
      </c>
    </row>
    <row r="102" spans="1:20" x14ac:dyDescent="0.2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424">
        <v>19</v>
      </c>
      <c r="L102" s="142">
        <v>50000</v>
      </c>
      <c r="M102" s="143">
        <f t="shared" si="8"/>
        <v>103.02197802197803</v>
      </c>
      <c r="N102" s="12">
        <v>150</v>
      </c>
      <c r="O102" s="13">
        <f t="shared" si="9"/>
        <v>72800</v>
      </c>
      <c r="P102" s="12" t="s">
        <v>146</v>
      </c>
      <c r="Q102" s="13">
        <v>15000</v>
      </c>
    </row>
    <row r="103" spans="1:20" x14ac:dyDescent="0.2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424">
        <v>8</v>
      </c>
      <c r="L103" s="142">
        <v>50000</v>
      </c>
      <c r="M103" s="143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 x14ac:dyDescent="0.2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424">
        <v>7</v>
      </c>
      <c r="L104" s="142">
        <v>50000</v>
      </c>
      <c r="M104" s="143">
        <f t="shared" si="8"/>
        <v>119.04761904761905</v>
      </c>
      <c r="N104" s="12">
        <v>150</v>
      </c>
      <c r="O104" s="13">
        <f t="shared" si="9"/>
        <v>63000</v>
      </c>
      <c r="P104" s="12" t="s">
        <v>147</v>
      </c>
      <c r="Q104" s="13">
        <v>15000</v>
      </c>
    </row>
    <row r="105" spans="1:20" x14ac:dyDescent="0.2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424">
        <v>13</v>
      </c>
      <c r="L105" s="142">
        <v>30000</v>
      </c>
      <c r="M105" s="143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148</v>
      </c>
      <c r="Q105" s="13">
        <v>15000</v>
      </c>
    </row>
    <row r="106" spans="1:20" x14ac:dyDescent="0.2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424">
        <v>17</v>
      </c>
      <c r="L106" s="142">
        <v>50000</v>
      </c>
      <c r="M106" s="143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150</v>
      </c>
      <c r="Q106" s="13">
        <f>J106-O106</f>
        <v>49866.666666666672</v>
      </c>
    </row>
    <row r="107" spans="1:20" x14ac:dyDescent="0.2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424">
        <v>22</v>
      </c>
      <c r="M107" s="143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 x14ac:dyDescent="0.2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424">
        <v>12</v>
      </c>
      <c r="M108" s="143"/>
      <c r="N108" s="12">
        <v>275</v>
      </c>
      <c r="O108" s="13">
        <f t="shared" si="9"/>
        <v>1466.6666666666665</v>
      </c>
    </row>
    <row r="109" spans="1:20" x14ac:dyDescent="0.2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424">
        <v>13</v>
      </c>
      <c r="M109" s="143"/>
      <c r="N109" s="12">
        <v>375</v>
      </c>
      <c r="O109" s="13">
        <f t="shared" si="9"/>
        <v>750</v>
      </c>
    </row>
    <row r="110" spans="1:20" x14ac:dyDescent="0.2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424">
        <v>5</v>
      </c>
      <c r="L110" s="142">
        <v>70000</v>
      </c>
      <c r="M110" s="143">
        <f t="shared" ref="M110:M142" si="11">L110/I110</f>
        <v>154.86725663716814</v>
      </c>
      <c r="N110" s="12">
        <v>175</v>
      </c>
      <c r="O110" s="13">
        <f t="shared" si="9"/>
        <v>79100</v>
      </c>
      <c r="P110" s="12" t="s">
        <v>149</v>
      </c>
      <c r="Q110" s="13">
        <v>15000</v>
      </c>
      <c r="T110" s="14" t="s">
        <v>151</v>
      </c>
    </row>
    <row r="111" spans="1:20" x14ac:dyDescent="0.2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424">
        <v>22</v>
      </c>
      <c r="L111" s="142">
        <v>50000</v>
      </c>
      <c r="M111" s="143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158</v>
      </c>
      <c r="Q111" s="13">
        <f t="shared" ref="Q111:Q143" si="12">J111-O111</f>
        <v>13146.666666666664</v>
      </c>
    </row>
    <row r="112" spans="1:20" x14ac:dyDescent="0.2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424">
        <v>17</v>
      </c>
      <c r="L112" s="142">
        <v>50000</v>
      </c>
      <c r="M112" s="143">
        <f t="shared" si="11"/>
        <v>308.64197530864197</v>
      </c>
      <c r="N112" s="12">
        <v>325</v>
      </c>
      <c r="O112" s="13">
        <f t="shared" si="9"/>
        <v>52650</v>
      </c>
      <c r="P112" s="12" t="s">
        <v>157</v>
      </c>
      <c r="Q112" s="13">
        <f t="shared" si="12"/>
        <v>80190</v>
      </c>
    </row>
    <row r="113" spans="1:20" x14ac:dyDescent="0.2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424">
        <v>3</v>
      </c>
      <c r="L113" s="142">
        <v>50000</v>
      </c>
      <c r="M113" s="143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154</v>
      </c>
      <c r="Q113" s="13">
        <f t="shared" si="12"/>
        <v>155753.33333333331</v>
      </c>
    </row>
    <row r="114" spans="1:20" x14ac:dyDescent="0.2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424">
        <v>12</v>
      </c>
      <c r="L114" s="142">
        <v>50000</v>
      </c>
      <c r="M114" s="143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152</v>
      </c>
      <c r="Q114" s="13">
        <f t="shared" si="12"/>
        <v>23333.333333333328</v>
      </c>
      <c r="T114" s="105"/>
    </row>
    <row r="115" spans="1:20" x14ac:dyDescent="0.2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424">
        <v>5</v>
      </c>
      <c r="L115" s="142">
        <v>50000</v>
      </c>
      <c r="M115" s="143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155</v>
      </c>
      <c r="Q115" s="13">
        <f t="shared" si="12"/>
        <v>235213.33333333334</v>
      </c>
    </row>
    <row r="116" spans="1:20" x14ac:dyDescent="0.2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424">
        <v>5</v>
      </c>
      <c r="L116" s="142">
        <v>50000</v>
      </c>
      <c r="M116" s="143">
        <f t="shared" si="11"/>
        <v>124.17218543046357</v>
      </c>
      <c r="N116" s="12">
        <v>150</v>
      </c>
      <c r="O116" s="13">
        <f t="shared" si="9"/>
        <v>60400</v>
      </c>
      <c r="P116" s="12" t="s">
        <v>156</v>
      </c>
      <c r="Q116" s="13">
        <f t="shared" si="12"/>
        <v>116773.33333333334</v>
      </c>
    </row>
    <row r="117" spans="1:20" x14ac:dyDescent="0.2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424">
        <v>16</v>
      </c>
      <c r="L117" s="142">
        <v>50000</v>
      </c>
      <c r="M117" s="143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153</v>
      </c>
      <c r="Q117" s="13">
        <f t="shared" si="12"/>
        <v>92750</v>
      </c>
    </row>
    <row r="118" spans="1:20" x14ac:dyDescent="0.2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424">
        <v>18</v>
      </c>
      <c r="L118" s="142">
        <v>50000</v>
      </c>
      <c r="M118" s="143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163</v>
      </c>
      <c r="Q118" s="13">
        <f t="shared" si="12"/>
        <v>133016.66666666666</v>
      </c>
    </row>
    <row r="119" spans="1:20" x14ac:dyDescent="0.2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424">
        <v>12</v>
      </c>
      <c r="M119" s="143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 x14ac:dyDescent="0.2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424">
        <v>3</v>
      </c>
      <c r="M120" s="143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 x14ac:dyDescent="0.2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424">
        <v>2</v>
      </c>
      <c r="L121" s="142">
        <v>50000</v>
      </c>
      <c r="M121" s="143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165</v>
      </c>
      <c r="Q121" s="13">
        <f t="shared" si="12"/>
        <v>126883.33333333334</v>
      </c>
      <c r="T121" s="14" t="s">
        <v>164</v>
      </c>
    </row>
    <row r="122" spans="1:20" x14ac:dyDescent="0.2">
      <c r="A122" s="37">
        <v>42891</v>
      </c>
      <c r="B122" s="12" t="s">
        <v>120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K122" s="425">
        <v>10</v>
      </c>
      <c r="L122" s="142">
        <v>50000</v>
      </c>
      <c r="M122" s="143">
        <f t="shared" si="11"/>
        <v>306.12244897959181</v>
      </c>
      <c r="N122" s="12">
        <v>300</v>
      </c>
      <c r="O122" s="13">
        <f t="shared" si="9"/>
        <v>49000</v>
      </c>
      <c r="P122" s="12" t="s">
        <v>168</v>
      </c>
      <c r="Q122" s="13">
        <f t="shared" si="12"/>
        <v>39200</v>
      </c>
    </row>
    <row r="123" spans="1:20" x14ac:dyDescent="0.2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K123" s="425">
        <v>10</v>
      </c>
      <c r="L123" s="142">
        <v>50000</v>
      </c>
      <c r="M123" s="143">
        <f t="shared" si="11"/>
        <v>490.19607843137254</v>
      </c>
      <c r="N123" s="12">
        <v>500</v>
      </c>
      <c r="O123" s="13">
        <f t="shared" si="9"/>
        <v>51000</v>
      </c>
      <c r="P123" s="12" t="s">
        <v>167</v>
      </c>
      <c r="Q123" s="13">
        <f t="shared" si="12"/>
        <v>30600</v>
      </c>
    </row>
    <row r="124" spans="1:20" x14ac:dyDescent="0.2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K124" s="425">
        <v>18</v>
      </c>
      <c r="M124" s="143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 x14ac:dyDescent="0.2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K125" s="425">
        <v>16</v>
      </c>
      <c r="L125" s="142">
        <v>70000</v>
      </c>
      <c r="M125" s="143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166</v>
      </c>
      <c r="Q125" s="13">
        <f t="shared" si="12"/>
        <v>378333.33333333337</v>
      </c>
    </row>
    <row r="126" spans="1:20" x14ac:dyDescent="0.2">
      <c r="A126" s="37">
        <v>42891</v>
      </c>
      <c r="B126" s="12" t="s">
        <v>27</v>
      </c>
      <c r="D126" s="40">
        <v>0.5</v>
      </c>
      <c r="E126" s="12">
        <v>520</v>
      </c>
      <c r="F126" s="12">
        <v>39</v>
      </c>
      <c r="G126" s="12">
        <v>45</v>
      </c>
      <c r="H126" s="12">
        <v>38</v>
      </c>
      <c r="I126" s="13">
        <f t="shared" si="10"/>
        <v>81.333333333333329</v>
      </c>
      <c r="J126" s="13">
        <f t="shared" si="6"/>
        <v>42293.333333333328</v>
      </c>
      <c r="K126" s="425">
        <v>5</v>
      </c>
      <c r="M126" s="143"/>
      <c r="N126" s="12">
        <v>520</v>
      </c>
      <c r="O126" s="435">
        <f>N126*I126</f>
        <v>42293.333333333328</v>
      </c>
      <c r="Q126" s="13">
        <f t="shared" si="12"/>
        <v>0</v>
      </c>
    </row>
    <row r="127" spans="1:20" x14ac:dyDescent="0.2">
      <c r="A127" s="37">
        <v>42892</v>
      </c>
      <c r="B127" s="12" t="s">
        <v>120</v>
      </c>
      <c r="C127" s="12">
        <v>1</v>
      </c>
      <c r="D127" s="40">
        <v>0.5</v>
      </c>
      <c r="E127" s="12">
        <v>825</v>
      </c>
      <c r="F127" s="12">
        <v>59</v>
      </c>
      <c r="G127" s="12">
        <v>73</v>
      </c>
      <c r="H127" s="12">
        <v>57</v>
      </c>
      <c r="I127" s="13">
        <f t="shared" si="10"/>
        <v>126</v>
      </c>
      <c r="J127" s="13">
        <f t="shared" si="6"/>
        <v>103950</v>
      </c>
      <c r="K127" s="425">
        <v>8</v>
      </c>
      <c r="L127" s="142">
        <v>20000</v>
      </c>
      <c r="M127" s="143">
        <f t="shared" si="11"/>
        <v>158.73015873015873</v>
      </c>
      <c r="N127" s="12">
        <v>300</v>
      </c>
      <c r="O127" s="13">
        <f t="shared" si="9"/>
        <v>37800</v>
      </c>
      <c r="P127" s="12" t="s">
        <v>174</v>
      </c>
      <c r="Q127" s="13">
        <f t="shared" si="12"/>
        <v>66150</v>
      </c>
    </row>
    <row r="128" spans="1:20" x14ac:dyDescent="0.2">
      <c r="A128" s="37">
        <v>42892</v>
      </c>
      <c r="B128" s="12" t="s">
        <v>27</v>
      </c>
      <c r="C128" s="12">
        <v>1</v>
      </c>
      <c r="D128" s="40">
        <v>0.5</v>
      </c>
      <c r="E128" s="12">
        <v>450</v>
      </c>
      <c r="F128" s="12">
        <v>7</v>
      </c>
      <c r="G128" s="12">
        <v>7</v>
      </c>
      <c r="H128" s="12">
        <v>7</v>
      </c>
      <c r="I128" s="13">
        <f t="shared" ref="I128:I159" si="13">AVERAGE(F128:H128)/D128</f>
        <v>14</v>
      </c>
      <c r="J128" s="13">
        <f t="shared" si="6"/>
        <v>6300</v>
      </c>
      <c r="K128" s="425"/>
      <c r="M128" s="143">
        <f t="shared" si="11"/>
        <v>0</v>
      </c>
      <c r="O128" s="13">
        <f t="shared" si="9"/>
        <v>0</v>
      </c>
      <c r="P128" s="12" t="s">
        <v>173</v>
      </c>
      <c r="Q128" s="13">
        <f t="shared" si="12"/>
        <v>6300</v>
      </c>
      <c r="T128" s="14" t="s">
        <v>171</v>
      </c>
    </row>
    <row r="129" spans="1:20" x14ac:dyDescent="0.2">
      <c r="A129" s="37">
        <v>42892</v>
      </c>
      <c r="B129" s="12" t="s">
        <v>97</v>
      </c>
      <c r="C129" s="12">
        <v>1</v>
      </c>
      <c r="D129" s="40">
        <v>0.5</v>
      </c>
      <c r="E129" s="12">
        <v>340</v>
      </c>
      <c r="F129" s="12">
        <v>3</v>
      </c>
      <c r="G129" s="12">
        <v>0</v>
      </c>
      <c r="H129" s="12">
        <v>4</v>
      </c>
      <c r="I129" s="13">
        <f t="shared" si="13"/>
        <v>4.666666666666667</v>
      </c>
      <c r="J129" s="13">
        <f t="shared" si="6"/>
        <v>1586.6666666666667</v>
      </c>
      <c r="K129" s="425">
        <v>10</v>
      </c>
      <c r="M129" s="143">
        <f t="shared" si="11"/>
        <v>0</v>
      </c>
      <c r="N129" s="12">
        <v>340</v>
      </c>
      <c r="O129" s="13">
        <f t="shared" si="9"/>
        <v>1586.6666666666667</v>
      </c>
      <c r="Q129" s="13">
        <f t="shared" si="12"/>
        <v>0</v>
      </c>
    </row>
    <row r="130" spans="1:20" x14ac:dyDescent="0.2">
      <c r="A130" s="37">
        <v>42892</v>
      </c>
      <c r="B130" s="12" t="s">
        <v>36</v>
      </c>
      <c r="C130" s="12">
        <v>1</v>
      </c>
      <c r="D130" s="40">
        <v>0.5</v>
      </c>
      <c r="E130" s="12">
        <v>400</v>
      </c>
      <c r="F130" s="12">
        <v>15</v>
      </c>
      <c r="G130" s="12">
        <v>12</v>
      </c>
      <c r="H130" s="12">
        <v>10</v>
      </c>
      <c r="I130" s="13">
        <f t="shared" si="13"/>
        <v>24.666666666666668</v>
      </c>
      <c r="J130" s="13">
        <f t="shared" si="6"/>
        <v>9866.6666666666679</v>
      </c>
      <c r="K130" s="425"/>
      <c r="M130" s="143">
        <f t="shared" si="11"/>
        <v>0</v>
      </c>
      <c r="O130" s="13">
        <f t="shared" si="9"/>
        <v>0</v>
      </c>
      <c r="P130" s="12" t="s">
        <v>172</v>
      </c>
      <c r="Q130" s="13">
        <f t="shared" si="12"/>
        <v>9866.6666666666679</v>
      </c>
      <c r="T130" s="14" t="s">
        <v>171</v>
      </c>
    </row>
    <row r="131" spans="1:20" x14ac:dyDescent="0.2">
      <c r="A131" s="37">
        <v>42893</v>
      </c>
      <c r="B131" s="12" t="s">
        <v>21</v>
      </c>
      <c r="C131" s="12">
        <v>1</v>
      </c>
      <c r="D131" s="40">
        <v>0.5</v>
      </c>
      <c r="E131" s="12">
        <v>800</v>
      </c>
      <c r="F131" s="12">
        <v>152</v>
      </c>
      <c r="G131" s="12">
        <v>214</v>
      </c>
      <c r="H131" s="12">
        <v>163</v>
      </c>
      <c r="I131" s="13">
        <f t="shared" si="13"/>
        <v>352.66666666666669</v>
      </c>
      <c r="J131" s="13">
        <f t="shared" ref="J131:J194" si="14">I131*E131</f>
        <v>282133.33333333337</v>
      </c>
      <c r="K131" s="425">
        <v>23</v>
      </c>
      <c r="M131" s="143">
        <f t="shared" si="11"/>
        <v>0</v>
      </c>
      <c r="N131" s="12">
        <v>250</v>
      </c>
      <c r="O131" s="13">
        <f t="shared" si="9"/>
        <v>88166.666666666672</v>
      </c>
      <c r="P131" s="12" t="s">
        <v>177</v>
      </c>
      <c r="Q131" s="13">
        <f t="shared" si="12"/>
        <v>193966.66666666669</v>
      </c>
    </row>
    <row r="132" spans="1:20" x14ac:dyDescent="0.2">
      <c r="A132" s="37">
        <v>42893</v>
      </c>
      <c r="B132" s="12" t="s">
        <v>46</v>
      </c>
      <c r="C132" s="12">
        <v>1</v>
      </c>
      <c r="D132" s="40">
        <v>0.5</v>
      </c>
      <c r="E132" s="12">
        <v>800</v>
      </c>
      <c r="F132" s="12">
        <v>37</v>
      </c>
      <c r="G132" s="12">
        <v>34</v>
      </c>
      <c r="H132" s="12">
        <v>22</v>
      </c>
      <c r="I132" s="13">
        <f t="shared" si="13"/>
        <v>62</v>
      </c>
      <c r="J132" s="13">
        <f t="shared" si="14"/>
        <v>49600</v>
      </c>
      <c r="K132" s="425">
        <v>20</v>
      </c>
      <c r="M132" s="143">
        <f t="shared" si="11"/>
        <v>0</v>
      </c>
      <c r="N132" s="12">
        <v>625</v>
      </c>
      <c r="O132" s="13">
        <f t="shared" si="9"/>
        <v>38750</v>
      </c>
      <c r="P132" s="12" t="s">
        <v>178</v>
      </c>
      <c r="Q132" s="13">
        <f t="shared" si="12"/>
        <v>10850</v>
      </c>
    </row>
    <row r="133" spans="1:20" x14ac:dyDescent="0.2">
      <c r="A133" s="37">
        <v>42893</v>
      </c>
      <c r="B133" s="12" t="s">
        <v>98</v>
      </c>
      <c r="C133" s="12">
        <v>1</v>
      </c>
      <c r="D133" s="40">
        <v>0.5</v>
      </c>
      <c r="E133" s="12">
        <v>800</v>
      </c>
      <c r="F133" s="12">
        <v>146</v>
      </c>
      <c r="G133" s="12">
        <v>142</v>
      </c>
      <c r="H133" s="12">
        <v>133</v>
      </c>
      <c r="I133" s="13">
        <f t="shared" si="13"/>
        <v>280.66666666666669</v>
      </c>
      <c r="J133" s="13">
        <f t="shared" si="14"/>
        <v>224533.33333333334</v>
      </c>
      <c r="K133" s="425">
        <v>3</v>
      </c>
      <c r="M133" s="143">
        <f t="shared" si="11"/>
        <v>0</v>
      </c>
      <c r="N133" s="12">
        <v>275</v>
      </c>
      <c r="O133" s="13">
        <f t="shared" si="9"/>
        <v>77183.333333333343</v>
      </c>
      <c r="P133" s="12" t="s">
        <v>179</v>
      </c>
      <c r="Q133" s="13">
        <f t="shared" si="12"/>
        <v>147350</v>
      </c>
    </row>
    <row r="134" spans="1:20" x14ac:dyDescent="0.2">
      <c r="A134" s="37">
        <v>42894</v>
      </c>
      <c r="B134" s="12" t="s">
        <v>21</v>
      </c>
      <c r="C134" s="12">
        <v>1</v>
      </c>
      <c r="D134" s="40">
        <v>1</v>
      </c>
      <c r="E134" s="12">
        <v>425</v>
      </c>
      <c r="F134" s="12">
        <v>9</v>
      </c>
      <c r="G134" s="12">
        <v>11</v>
      </c>
      <c r="H134" s="12">
        <v>11</v>
      </c>
      <c r="I134" s="13">
        <f t="shared" si="13"/>
        <v>10.333333333333334</v>
      </c>
      <c r="J134" s="13">
        <f t="shared" si="14"/>
        <v>4391.666666666667</v>
      </c>
      <c r="K134" s="425">
        <v>23</v>
      </c>
      <c r="M134" s="143">
        <f t="shared" si="11"/>
        <v>0</v>
      </c>
      <c r="N134" s="12">
        <v>425</v>
      </c>
      <c r="O134" s="13">
        <f t="shared" si="9"/>
        <v>4391.666666666667</v>
      </c>
      <c r="Q134" s="13">
        <f t="shared" si="12"/>
        <v>0</v>
      </c>
    </row>
    <row r="135" spans="1:20" x14ac:dyDescent="0.2">
      <c r="A135" s="37">
        <v>42894</v>
      </c>
      <c r="B135" s="12" t="s">
        <v>46</v>
      </c>
      <c r="C135" s="12">
        <v>1</v>
      </c>
      <c r="D135" s="40">
        <v>1</v>
      </c>
      <c r="E135" s="12">
        <v>400</v>
      </c>
      <c r="F135" s="12">
        <v>23</v>
      </c>
      <c r="G135" s="12">
        <v>25</v>
      </c>
      <c r="H135" s="12">
        <v>20</v>
      </c>
      <c r="I135" s="13">
        <f t="shared" si="13"/>
        <v>22.666666666666668</v>
      </c>
      <c r="J135" s="13">
        <f t="shared" si="14"/>
        <v>9066.6666666666679</v>
      </c>
      <c r="K135" s="425">
        <v>20</v>
      </c>
      <c r="M135" s="143">
        <f t="shared" si="11"/>
        <v>0</v>
      </c>
      <c r="N135" s="12">
        <v>400</v>
      </c>
      <c r="O135" s="13">
        <f t="shared" si="9"/>
        <v>9066.6666666666679</v>
      </c>
      <c r="Q135" s="13">
        <f t="shared" si="12"/>
        <v>0</v>
      </c>
    </row>
    <row r="136" spans="1:20" x14ac:dyDescent="0.2">
      <c r="A136" s="37">
        <v>42894</v>
      </c>
      <c r="B136" s="12" t="s">
        <v>17</v>
      </c>
      <c r="C136" s="12">
        <v>1</v>
      </c>
      <c r="D136" s="40">
        <v>1</v>
      </c>
      <c r="E136" s="12">
        <v>500</v>
      </c>
      <c r="F136" s="12">
        <v>55</v>
      </c>
      <c r="G136" s="12">
        <v>47</v>
      </c>
      <c r="H136" s="12">
        <v>49</v>
      </c>
      <c r="I136" s="13">
        <f t="shared" si="13"/>
        <v>50.333333333333336</v>
      </c>
      <c r="J136" s="13">
        <f t="shared" si="14"/>
        <v>25166.666666666668</v>
      </c>
      <c r="K136" s="425">
        <v>22</v>
      </c>
      <c r="M136" s="143">
        <f t="shared" si="11"/>
        <v>0</v>
      </c>
      <c r="N136" s="12">
        <v>500</v>
      </c>
      <c r="O136" s="13">
        <f t="shared" si="9"/>
        <v>25166.666666666668</v>
      </c>
      <c r="Q136" s="13">
        <f t="shared" si="12"/>
        <v>0</v>
      </c>
    </row>
    <row r="137" spans="1:20" x14ac:dyDescent="0.2">
      <c r="A137" s="37">
        <v>42896</v>
      </c>
      <c r="B137" s="12" t="s">
        <v>108</v>
      </c>
      <c r="C137" s="12">
        <v>1</v>
      </c>
      <c r="D137" s="40">
        <v>0.5</v>
      </c>
      <c r="E137" s="12">
        <v>825</v>
      </c>
      <c r="F137" s="12">
        <v>100</v>
      </c>
      <c r="G137" s="12">
        <v>84</v>
      </c>
      <c r="H137" s="12">
        <v>87</v>
      </c>
      <c r="I137" s="13">
        <f t="shared" si="13"/>
        <v>180.66666666666666</v>
      </c>
      <c r="J137" s="13">
        <f t="shared" si="14"/>
        <v>149050</v>
      </c>
      <c r="K137" s="425">
        <v>21</v>
      </c>
      <c r="L137" s="142">
        <v>50000</v>
      </c>
      <c r="M137" s="143">
        <f t="shared" si="11"/>
        <v>276.7527675276753</v>
      </c>
      <c r="N137" s="12">
        <v>300</v>
      </c>
      <c r="O137" s="13">
        <f t="shared" si="9"/>
        <v>54200</v>
      </c>
      <c r="P137" s="12" t="s">
        <v>184</v>
      </c>
      <c r="Q137" s="13">
        <f t="shared" si="12"/>
        <v>94850</v>
      </c>
    </row>
    <row r="138" spans="1:20" x14ac:dyDescent="0.2">
      <c r="A138" s="37">
        <v>42896</v>
      </c>
      <c r="B138" s="12" t="s">
        <v>17</v>
      </c>
      <c r="C138" s="12">
        <v>1</v>
      </c>
      <c r="D138" s="40">
        <v>0.5</v>
      </c>
      <c r="E138" s="12">
        <v>320</v>
      </c>
      <c r="F138" s="12">
        <v>0</v>
      </c>
      <c r="G138" s="12">
        <v>4</v>
      </c>
      <c r="H138" s="12">
        <v>2</v>
      </c>
      <c r="I138" s="13">
        <f t="shared" si="13"/>
        <v>4</v>
      </c>
      <c r="J138" s="13">
        <f t="shared" si="14"/>
        <v>1280</v>
      </c>
      <c r="K138" s="425"/>
      <c r="M138" s="143">
        <f t="shared" si="11"/>
        <v>0</v>
      </c>
      <c r="O138" s="13">
        <f t="shared" si="9"/>
        <v>0</v>
      </c>
      <c r="P138" s="12" t="s">
        <v>182</v>
      </c>
      <c r="Q138" s="13">
        <f t="shared" si="12"/>
        <v>1280</v>
      </c>
      <c r="T138" s="14" t="s">
        <v>187</v>
      </c>
    </row>
    <row r="139" spans="1:20" x14ac:dyDescent="0.2">
      <c r="A139" s="37">
        <v>42896</v>
      </c>
      <c r="B139" s="12" t="s">
        <v>38</v>
      </c>
      <c r="C139" s="12">
        <v>1</v>
      </c>
      <c r="D139" s="40">
        <v>0.5</v>
      </c>
      <c r="E139" s="12">
        <v>560</v>
      </c>
      <c r="F139" s="12">
        <v>64</v>
      </c>
      <c r="G139" s="12">
        <v>62</v>
      </c>
      <c r="H139" s="12">
        <v>67</v>
      </c>
      <c r="I139" s="13">
        <f t="shared" si="13"/>
        <v>128.66666666666666</v>
      </c>
      <c r="J139" s="13">
        <f t="shared" si="14"/>
        <v>72053.333333333328</v>
      </c>
      <c r="K139" s="425">
        <v>17</v>
      </c>
      <c r="L139" s="142">
        <v>50000</v>
      </c>
      <c r="M139" s="143">
        <f t="shared" si="11"/>
        <v>388.6010362694301</v>
      </c>
      <c r="N139" s="12">
        <v>400</v>
      </c>
      <c r="O139" s="13">
        <f t="shared" si="9"/>
        <v>51466.666666666664</v>
      </c>
      <c r="P139" s="12" t="s">
        <v>181</v>
      </c>
      <c r="Q139" s="13">
        <f t="shared" si="12"/>
        <v>20586.666666666664</v>
      </c>
    </row>
    <row r="140" spans="1:20" x14ac:dyDescent="0.2">
      <c r="A140" s="37">
        <v>42896</v>
      </c>
      <c r="B140" s="12" t="s">
        <v>46</v>
      </c>
      <c r="C140" s="12">
        <v>1</v>
      </c>
      <c r="D140" s="40">
        <v>0.5</v>
      </c>
      <c r="E140" s="12">
        <v>300</v>
      </c>
      <c r="F140" s="12">
        <v>6</v>
      </c>
      <c r="G140" s="12">
        <v>3</v>
      </c>
      <c r="H140" s="12">
        <v>5</v>
      </c>
      <c r="I140" s="13">
        <f t="shared" si="13"/>
        <v>9.3333333333333339</v>
      </c>
      <c r="J140" s="13">
        <f t="shared" si="14"/>
        <v>2800</v>
      </c>
      <c r="K140" s="425"/>
      <c r="M140" s="143">
        <f t="shared" si="11"/>
        <v>0</v>
      </c>
      <c r="O140" s="13">
        <f t="shared" si="9"/>
        <v>0</v>
      </c>
      <c r="P140" s="12" t="s">
        <v>183</v>
      </c>
      <c r="Q140" s="13">
        <f t="shared" si="12"/>
        <v>2800</v>
      </c>
      <c r="T140" s="14" t="s">
        <v>188</v>
      </c>
    </row>
    <row r="141" spans="1:20" x14ac:dyDescent="0.2">
      <c r="A141" s="37">
        <v>42896</v>
      </c>
      <c r="B141" s="12" t="s">
        <v>120</v>
      </c>
      <c r="C141" s="12">
        <v>1</v>
      </c>
      <c r="D141" s="40">
        <v>0.5</v>
      </c>
      <c r="E141" s="12">
        <v>800</v>
      </c>
      <c r="F141" s="12">
        <v>135</v>
      </c>
      <c r="G141" s="12">
        <v>168</v>
      </c>
      <c r="H141" s="12">
        <v>160</v>
      </c>
      <c r="I141" s="13">
        <f t="shared" si="13"/>
        <v>308.66666666666669</v>
      </c>
      <c r="J141" s="13">
        <f t="shared" si="14"/>
        <v>246933.33333333334</v>
      </c>
      <c r="K141" s="425">
        <v>10</v>
      </c>
      <c r="L141" s="142">
        <v>50000</v>
      </c>
      <c r="M141" s="143">
        <f t="shared" si="11"/>
        <v>161.98704103671705</v>
      </c>
      <c r="N141" s="12">
        <v>200</v>
      </c>
      <c r="O141" s="13">
        <f t="shared" si="9"/>
        <v>61733.333333333336</v>
      </c>
      <c r="P141" s="12" t="s">
        <v>180</v>
      </c>
      <c r="Q141" s="13">
        <f t="shared" si="12"/>
        <v>185200</v>
      </c>
    </row>
    <row r="142" spans="1:20" x14ac:dyDescent="0.2">
      <c r="A142" s="37">
        <v>42898</v>
      </c>
      <c r="B142" s="12" t="s">
        <v>108</v>
      </c>
      <c r="C142" s="12" t="s">
        <v>186</v>
      </c>
      <c r="D142" s="40">
        <v>0.5</v>
      </c>
      <c r="E142" s="12">
        <v>825</v>
      </c>
      <c r="F142" s="12">
        <v>121</v>
      </c>
      <c r="G142" s="12">
        <v>94</v>
      </c>
      <c r="H142" s="12">
        <v>105</v>
      </c>
      <c r="I142" s="13">
        <f t="shared" si="13"/>
        <v>213.33333333333334</v>
      </c>
      <c r="J142" s="13">
        <f t="shared" si="14"/>
        <v>176000</v>
      </c>
      <c r="K142" s="425">
        <v>21</v>
      </c>
      <c r="M142" s="143">
        <f t="shared" si="11"/>
        <v>0</v>
      </c>
      <c r="N142" s="12">
        <v>250</v>
      </c>
      <c r="O142" s="13">
        <f t="shared" si="9"/>
        <v>53333.333333333336</v>
      </c>
      <c r="P142" s="12" t="s">
        <v>190</v>
      </c>
      <c r="Q142" s="13">
        <f t="shared" si="12"/>
        <v>122666.66666666666</v>
      </c>
    </row>
    <row r="143" spans="1:20" x14ac:dyDescent="0.2">
      <c r="A143" s="37">
        <v>42898</v>
      </c>
      <c r="B143" s="12" t="s">
        <v>118</v>
      </c>
      <c r="C143" s="12" t="s">
        <v>186</v>
      </c>
      <c r="D143" s="40">
        <v>0.5</v>
      </c>
      <c r="E143" s="12">
        <v>800</v>
      </c>
      <c r="F143" s="12">
        <v>70</v>
      </c>
      <c r="G143" s="12">
        <v>75</v>
      </c>
      <c r="H143" s="12">
        <v>52</v>
      </c>
      <c r="I143" s="13">
        <f t="shared" si="13"/>
        <v>131.33333333333334</v>
      </c>
      <c r="J143" s="13">
        <f t="shared" si="14"/>
        <v>105066.66666666667</v>
      </c>
      <c r="K143" s="425">
        <v>24</v>
      </c>
      <c r="M143" s="143">
        <f t="shared" ref="M143:M174" si="15">L143/I143</f>
        <v>0</v>
      </c>
      <c r="N143" s="12">
        <v>500</v>
      </c>
      <c r="O143" s="13">
        <f t="shared" si="9"/>
        <v>65666.666666666672</v>
      </c>
      <c r="P143" s="12" t="s">
        <v>189</v>
      </c>
      <c r="Q143" s="13">
        <f t="shared" si="12"/>
        <v>39400</v>
      </c>
    </row>
    <row r="144" spans="1:20" x14ac:dyDescent="0.2">
      <c r="A144" s="37">
        <v>42898</v>
      </c>
      <c r="B144" s="12" t="s">
        <v>38</v>
      </c>
      <c r="C144" s="12" t="s">
        <v>186</v>
      </c>
      <c r="D144" s="40">
        <v>0.5</v>
      </c>
      <c r="E144" s="12">
        <v>350</v>
      </c>
      <c r="F144" s="12">
        <v>3</v>
      </c>
      <c r="G144" s="12">
        <v>8</v>
      </c>
      <c r="H144" s="12">
        <v>7</v>
      </c>
      <c r="I144" s="13">
        <f t="shared" si="13"/>
        <v>12</v>
      </c>
      <c r="J144" s="13">
        <f t="shared" si="14"/>
        <v>4200</v>
      </c>
      <c r="K144" s="425">
        <v>17</v>
      </c>
      <c r="M144" s="143">
        <f t="shared" si="15"/>
        <v>0</v>
      </c>
      <c r="N144" s="12">
        <v>350</v>
      </c>
      <c r="O144" s="13">
        <f t="shared" si="9"/>
        <v>4200</v>
      </c>
      <c r="Q144" s="13">
        <f t="shared" ref="Q144:Q171" si="16">J144-O144</f>
        <v>0</v>
      </c>
    </row>
    <row r="145" spans="1:20" x14ac:dyDescent="0.2">
      <c r="A145" s="37">
        <v>42898</v>
      </c>
      <c r="B145" s="12" t="s">
        <v>48</v>
      </c>
      <c r="C145" s="12" t="s">
        <v>186</v>
      </c>
      <c r="D145" s="40">
        <v>0.5</v>
      </c>
      <c r="E145" s="12">
        <v>175</v>
      </c>
      <c r="F145" s="12">
        <v>3</v>
      </c>
      <c r="G145" s="12">
        <v>4</v>
      </c>
      <c r="H145" s="12">
        <v>5</v>
      </c>
      <c r="I145" s="13">
        <f t="shared" si="13"/>
        <v>8</v>
      </c>
      <c r="J145" s="13">
        <f t="shared" si="14"/>
        <v>1400</v>
      </c>
      <c r="K145" s="425">
        <v>13</v>
      </c>
      <c r="M145" s="143">
        <f t="shared" si="15"/>
        <v>0</v>
      </c>
      <c r="N145" s="12">
        <v>175</v>
      </c>
      <c r="O145" s="13">
        <f t="shared" si="9"/>
        <v>1400</v>
      </c>
      <c r="Q145" s="13">
        <f t="shared" si="16"/>
        <v>0</v>
      </c>
    </row>
    <row r="146" spans="1:20" x14ac:dyDescent="0.2">
      <c r="A146" s="37">
        <v>42898</v>
      </c>
      <c r="B146" s="12" t="s">
        <v>120</v>
      </c>
      <c r="C146" s="12" t="s">
        <v>186</v>
      </c>
      <c r="D146" s="40">
        <v>0.5</v>
      </c>
      <c r="E146" s="12">
        <v>300</v>
      </c>
      <c r="F146" s="12">
        <v>19</v>
      </c>
      <c r="G146" s="12">
        <v>10</v>
      </c>
      <c r="H146" s="12">
        <v>18</v>
      </c>
      <c r="I146" s="13">
        <f t="shared" si="13"/>
        <v>31.333333333333332</v>
      </c>
      <c r="J146" s="13">
        <f t="shared" si="14"/>
        <v>9400</v>
      </c>
      <c r="K146" s="425">
        <v>10</v>
      </c>
      <c r="M146" s="143">
        <f t="shared" si="15"/>
        <v>0</v>
      </c>
      <c r="N146" s="12">
        <v>300</v>
      </c>
      <c r="O146" s="13">
        <f t="shared" si="9"/>
        <v>9400</v>
      </c>
      <c r="Q146" s="13">
        <f t="shared" si="16"/>
        <v>0</v>
      </c>
    </row>
    <row r="147" spans="1:20" x14ac:dyDescent="0.2">
      <c r="A147" s="37">
        <v>42900</v>
      </c>
      <c r="B147" s="12" t="s">
        <v>31</v>
      </c>
      <c r="C147" s="12">
        <v>1</v>
      </c>
      <c r="D147" s="40">
        <v>0.5</v>
      </c>
      <c r="E147" s="12">
        <v>800</v>
      </c>
      <c r="F147" s="12">
        <v>78</v>
      </c>
      <c r="G147" s="12">
        <v>69</v>
      </c>
      <c r="H147" s="12">
        <v>70</v>
      </c>
      <c r="I147" s="13">
        <f t="shared" si="13"/>
        <v>144.66666666666666</v>
      </c>
      <c r="J147" s="13">
        <f t="shared" si="14"/>
        <v>115733.33333333333</v>
      </c>
      <c r="K147" s="425">
        <v>3</v>
      </c>
      <c r="M147" s="143">
        <f t="shared" si="15"/>
        <v>0</v>
      </c>
      <c r="N147" s="12">
        <v>400</v>
      </c>
      <c r="O147" s="13">
        <f t="shared" si="9"/>
        <v>57866.666666666664</v>
      </c>
      <c r="P147" s="12" t="s">
        <v>193</v>
      </c>
      <c r="Q147" s="13">
        <f t="shared" si="16"/>
        <v>57866.666666666664</v>
      </c>
    </row>
    <row r="148" spans="1:20" x14ac:dyDescent="0.2">
      <c r="A148" s="37">
        <v>42900</v>
      </c>
      <c r="B148" s="12" t="s">
        <v>23</v>
      </c>
      <c r="C148" s="12">
        <v>1</v>
      </c>
      <c r="D148" s="40">
        <v>0.5</v>
      </c>
      <c r="E148" s="12">
        <v>525</v>
      </c>
      <c r="F148" s="12">
        <v>63</v>
      </c>
      <c r="G148" s="12">
        <v>58</v>
      </c>
      <c r="H148" s="12">
        <v>74</v>
      </c>
      <c r="I148" s="13">
        <f t="shared" si="13"/>
        <v>130</v>
      </c>
      <c r="J148" s="13">
        <f t="shared" si="14"/>
        <v>68250</v>
      </c>
      <c r="K148" s="425">
        <v>5</v>
      </c>
      <c r="M148" s="143">
        <f t="shared" si="15"/>
        <v>0</v>
      </c>
      <c r="N148" s="12">
        <v>300</v>
      </c>
      <c r="O148" s="13">
        <f t="shared" si="9"/>
        <v>39000</v>
      </c>
      <c r="P148" s="12" t="s">
        <v>194</v>
      </c>
      <c r="Q148" s="13">
        <f t="shared" si="16"/>
        <v>29250</v>
      </c>
    </row>
    <row r="149" spans="1:20" x14ac:dyDescent="0.2">
      <c r="A149" s="37">
        <v>42900</v>
      </c>
      <c r="B149" s="12" t="s">
        <v>34</v>
      </c>
      <c r="C149" s="12">
        <v>1</v>
      </c>
      <c r="D149" s="40">
        <v>0.5</v>
      </c>
      <c r="E149" s="12">
        <v>830</v>
      </c>
      <c r="F149" s="12">
        <v>213</v>
      </c>
      <c r="G149" s="12">
        <v>227</v>
      </c>
      <c r="H149" s="12">
        <v>242</v>
      </c>
      <c r="I149" s="13">
        <f t="shared" si="13"/>
        <v>454.66666666666669</v>
      </c>
      <c r="J149" s="13">
        <f t="shared" si="14"/>
        <v>377373.33333333337</v>
      </c>
      <c r="K149" s="425">
        <v>7</v>
      </c>
      <c r="M149" s="143">
        <f t="shared" si="15"/>
        <v>0</v>
      </c>
      <c r="N149" s="12">
        <v>175</v>
      </c>
      <c r="O149" s="13">
        <f t="shared" si="9"/>
        <v>79566.666666666672</v>
      </c>
      <c r="P149" s="12" t="s">
        <v>192</v>
      </c>
      <c r="Q149" s="13">
        <f t="shared" si="16"/>
        <v>297806.66666666669</v>
      </c>
    </row>
    <row r="150" spans="1:20" x14ac:dyDescent="0.2">
      <c r="A150" s="37">
        <v>42900</v>
      </c>
      <c r="B150" s="12" t="s">
        <v>48</v>
      </c>
      <c r="C150" s="12">
        <v>1</v>
      </c>
      <c r="D150" s="40">
        <v>0.25</v>
      </c>
      <c r="E150" s="12">
        <v>900</v>
      </c>
      <c r="F150" s="12">
        <v>225</v>
      </c>
      <c r="G150" s="12">
        <v>210</v>
      </c>
      <c r="H150" s="12">
        <v>239</v>
      </c>
      <c r="I150" s="13">
        <f t="shared" si="13"/>
        <v>898.66666666666663</v>
      </c>
      <c r="J150" s="13">
        <f t="shared" si="14"/>
        <v>808800</v>
      </c>
      <c r="K150" s="425">
        <v>13</v>
      </c>
      <c r="M150" s="143">
        <f t="shared" si="15"/>
        <v>0</v>
      </c>
      <c r="N150" s="12">
        <v>150</v>
      </c>
      <c r="O150" s="13">
        <f t="shared" si="9"/>
        <v>134800</v>
      </c>
      <c r="P150" s="12" t="s">
        <v>191</v>
      </c>
      <c r="Q150" s="13">
        <f t="shared" si="16"/>
        <v>674000</v>
      </c>
    </row>
    <row r="151" spans="1:20" x14ac:dyDescent="0.2">
      <c r="A151" s="37">
        <v>42901</v>
      </c>
      <c r="B151" s="12" t="s">
        <v>31</v>
      </c>
      <c r="C151" s="12">
        <v>9</v>
      </c>
      <c r="D151" s="40">
        <v>0.5</v>
      </c>
      <c r="E151" s="12">
        <v>800</v>
      </c>
      <c r="F151" s="12">
        <v>36</v>
      </c>
      <c r="G151" s="12">
        <v>37</v>
      </c>
      <c r="H151" s="12">
        <v>36</v>
      </c>
      <c r="I151" s="13">
        <f t="shared" si="13"/>
        <v>72.666666666666671</v>
      </c>
      <c r="J151" s="13">
        <f t="shared" si="14"/>
        <v>58133.333333333336</v>
      </c>
      <c r="K151" s="425">
        <v>3</v>
      </c>
      <c r="M151" s="143">
        <f t="shared" si="15"/>
        <v>0</v>
      </c>
      <c r="N151" s="12">
        <v>650</v>
      </c>
      <c r="O151" s="13">
        <f t="shared" si="9"/>
        <v>47233.333333333336</v>
      </c>
      <c r="P151" s="12" t="s">
        <v>196</v>
      </c>
      <c r="Q151" s="13">
        <f t="shared" si="16"/>
        <v>10900</v>
      </c>
    </row>
    <row r="152" spans="1:20" x14ac:dyDescent="0.2">
      <c r="A152" s="37">
        <v>42901</v>
      </c>
      <c r="B152" s="12" t="s">
        <v>23</v>
      </c>
      <c r="C152" s="12">
        <v>9</v>
      </c>
      <c r="D152" s="40">
        <v>0.5</v>
      </c>
      <c r="E152" s="12">
        <v>800</v>
      </c>
      <c r="F152" s="12">
        <v>37</v>
      </c>
      <c r="G152" s="12">
        <v>48</v>
      </c>
      <c r="H152" s="12">
        <v>61</v>
      </c>
      <c r="I152" s="13">
        <f t="shared" si="13"/>
        <v>97.333333333333329</v>
      </c>
      <c r="J152" s="13">
        <f t="shared" si="14"/>
        <v>77866.666666666657</v>
      </c>
      <c r="K152" s="425">
        <v>5</v>
      </c>
      <c r="M152" s="143">
        <f t="shared" si="15"/>
        <v>0</v>
      </c>
      <c r="N152" s="12">
        <v>500</v>
      </c>
      <c r="O152" s="13">
        <f t="shared" si="9"/>
        <v>48666.666666666664</v>
      </c>
      <c r="P152" s="12" t="s">
        <v>197</v>
      </c>
      <c r="Q152" s="13">
        <f t="shared" si="16"/>
        <v>29199.999999999993</v>
      </c>
    </row>
    <row r="153" spans="1:20" x14ac:dyDescent="0.2">
      <c r="A153" s="37">
        <v>42901</v>
      </c>
      <c r="B153" s="12" t="s">
        <v>34</v>
      </c>
      <c r="C153" s="12">
        <v>9</v>
      </c>
      <c r="D153" s="40">
        <v>0.5</v>
      </c>
      <c r="E153" s="12">
        <v>800</v>
      </c>
      <c r="F153" s="12">
        <v>79</v>
      </c>
      <c r="G153" s="12">
        <v>81</v>
      </c>
      <c r="H153" s="12">
        <v>80</v>
      </c>
      <c r="I153" s="13">
        <f t="shared" si="13"/>
        <v>160</v>
      </c>
      <c r="J153" s="13">
        <f t="shared" si="14"/>
        <v>128000</v>
      </c>
      <c r="K153" s="425">
        <v>7</v>
      </c>
      <c r="M153" s="143">
        <f t="shared" si="15"/>
        <v>0</v>
      </c>
      <c r="N153" s="12">
        <v>300</v>
      </c>
      <c r="O153" s="13">
        <f t="shared" si="9"/>
        <v>48000</v>
      </c>
      <c r="P153" s="12" t="s">
        <v>198</v>
      </c>
      <c r="Q153" s="13">
        <f t="shared" si="16"/>
        <v>80000</v>
      </c>
    </row>
    <row r="154" spans="1:20" x14ac:dyDescent="0.2">
      <c r="A154" s="37">
        <v>42901</v>
      </c>
      <c r="B154" s="12" t="s">
        <v>49</v>
      </c>
      <c r="C154" s="12">
        <v>9</v>
      </c>
      <c r="D154" s="40">
        <v>2</v>
      </c>
      <c r="E154" s="12">
        <v>500</v>
      </c>
      <c r="F154" s="12">
        <v>0</v>
      </c>
      <c r="G154" s="12">
        <v>0</v>
      </c>
      <c r="H154" s="12">
        <v>0</v>
      </c>
      <c r="I154" s="13">
        <f t="shared" si="13"/>
        <v>0</v>
      </c>
      <c r="J154" s="13">
        <f t="shared" si="14"/>
        <v>0</v>
      </c>
      <c r="K154" s="425">
        <v>12</v>
      </c>
      <c r="M154" s="143" t="e">
        <f t="shared" si="15"/>
        <v>#DIV/0!</v>
      </c>
      <c r="N154" s="12">
        <v>500</v>
      </c>
      <c r="O154" s="13">
        <f t="shared" si="9"/>
        <v>0</v>
      </c>
      <c r="Q154" s="13">
        <f t="shared" si="16"/>
        <v>0</v>
      </c>
      <c r="T154" s="14" t="s">
        <v>195</v>
      </c>
    </row>
    <row r="155" spans="1:20" x14ac:dyDescent="0.2">
      <c r="A155" s="37">
        <v>42901</v>
      </c>
      <c r="B155" s="12" t="s">
        <v>21</v>
      </c>
      <c r="C155" s="12">
        <v>9</v>
      </c>
      <c r="D155" s="40">
        <v>1</v>
      </c>
      <c r="E155" s="12">
        <v>290</v>
      </c>
      <c r="F155" s="12">
        <v>1</v>
      </c>
      <c r="G155" s="12">
        <v>2</v>
      </c>
      <c r="H155" s="12">
        <v>2</v>
      </c>
      <c r="I155" s="13">
        <f t="shared" si="13"/>
        <v>1.6666666666666667</v>
      </c>
      <c r="J155" s="13">
        <f t="shared" si="14"/>
        <v>483.33333333333337</v>
      </c>
      <c r="K155" s="425">
        <v>23</v>
      </c>
      <c r="M155" s="143">
        <f t="shared" si="15"/>
        <v>0</v>
      </c>
      <c r="N155" s="12">
        <v>290</v>
      </c>
      <c r="O155" s="13">
        <f t="shared" si="9"/>
        <v>483.33333333333337</v>
      </c>
      <c r="Q155" s="13">
        <f t="shared" si="16"/>
        <v>0</v>
      </c>
    </row>
    <row r="156" spans="1:20" x14ac:dyDescent="0.2">
      <c r="A156" s="37">
        <v>42901</v>
      </c>
      <c r="B156" s="12" t="s">
        <v>17</v>
      </c>
      <c r="C156" s="12">
        <v>9</v>
      </c>
      <c r="D156" s="40">
        <v>1</v>
      </c>
      <c r="E156" s="12">
        <v>500</v>
      </c>
      <c r="F156" s="12">
        <v>33</v>
      </c>
      <c r="G156" s="12">
        <v>35</v>
      </c>
      <c r="H156" s="12">
        <v>41</v>
      </c>
      <c r="I156" s="13">
        <f t="shared" si="13"/>
        <v>36.333333333333336</v>
      </c>
      <c r="J156" s="13">
        <f t="shared" si="14"/>
        <v>18166.666666666668</v>
      </c>
      <c r="K156" s="425">
        <v>22</v>
      </c>
      <c r="M156" s="143">
        <f t="shared" si="15"/>
        <v>0</v>
      </c>
      <c r="N156" s="12">
        <v>500</v>
      </c>
      <c r="O156" s="13">
        <f t="shared" si="9"/>
        <v>18166.666666666668</v>
      </c>
      <c r="Q156" s="13">
        <f t="shared" si="16"/>
        <v>0</v>
      </c>
    </row>
    <row r="157" spans="1:20" x14ac:dyDescent="0.2">
      <c r="A157" s="37">
        <v>42901</v>
      </c>
      <c r="B157" s="12" t="s">
        <v>36</v>
      </c>
      <c r="C157" s="12">
        <v>9</v>
      </c>
      <c r="D157" s="40">
        <v>0.5</v>
      </c>
      <c r="E157" s="12">
        <v>800</v>
      </c>
      <c r="F157" s="12">
        <v>147</v>
      </c>
      <c r="G157" s="12">
        <v>154</v>
      </c>
      <c r="H157" s="12">
        <v>140</v>
      </c>
      <c r="I157" s="13">
        <f t="shared" si="13"/>
        <v>294</v>
      </c>
      <c r="J157" s="13">
        <f t="shared" si="14"/>
        <v>235200</v>
      </c>
      <c r="K157" s="425">
        <v>16</v>
      </c>
      <c r="M157" s="143">
        <f t="shared" si="15"/>
        <v>0</v>
      </c>
      <c r="N157" s="12">
        <v>200</v>
      </c>
      <c r="O157" s="13">
        <f t="shared" si="9"/>
        <v>58800</v>
      </c>
      <c r="P157" s="12" t="s">
        <v>200</v>
      </c>
      <c r="Q157" s="13">
        <f t="shared" si="16"/>
        <v>176400</v>
      </c>
    </row>
    <row r="158" spans="1:20" x14ac:dyDescent="0.2">
      <c r="A158" s="37">
        <v>42901</v>
      </c>
      <c r="B158" s="12" t="s">
        <v>48</v>
      </c>
      <c r="C158" s="12">
        <v>9</v>
      </c>
      <c r="D158" s="40">
        <v>0.5</v>
      </c>
      <c r="E158" s="12">
        <v>800</v>
      </c>
      <c r="F158" s="12">
        <v>88</v>
      </c>
      <c r="G158" s="12">
        <v>69</v>
      </c>
      <c r="H158" s="12">
        <v>70</v>
      </c>
      <c r="I158" s="13">
        <f t="shared" si="13"/>
        <v>151.33333333333334</v>
      </c>
      <c r="J158" s="13">
        <f t="shared" si="14"/>
        <v>121066.66666666667</v>
      </c>
      <c r="K158" s="425">
        <v>13</v>
      </c>
      <c r="M158" s="143">
        <f t="shared" si="15"/>
        <v>0</v>
      </c>
      <c r="N158" s="12">
        <v>300</v>
      </c>
      <c r="O158" s="13">
        <f t="shared" si="9"/>
        <v>45400</v>
      </c>
      <c r="P158" s="12" t="s">
        <v>199</v>
      </c>
      <c r="Q158" s="13">
        <f t="shared" si="16"/>
        <v>75666.666666666672</v>
      </c>
    </row>
    <row r="159" spans="1:20" x14ac:dyDescent="0.2">
      <c r="A159" s="37">
        <v>42903</v>
      </c>
      <c r="B159" s="12" t="s">
        <v>108</v>
      </c>
      <c r="C159" s="12">
        <v>1</v>
      </c>
      <c r="D159" s="40">
        <v>0.5</v>
      </c>
      <c r="E159" s="12">
        <v>800</v>
      </c>
      <c r="F159" s="12">
        <v>31</v>
      </c>
      <c r="G159" s="12">
        <v>25</v>
      </c>
      <c r="H159" s="12">
        <v>33</v>
      </c>
      <c r="I159" s="13">
        <f t="shared" si="13"/>
        <v>59.333333333333336</v>
      </c>
      <c r="J159" s="13">
        <f t="shared" si="14"/>
        <v>47466.666666666672</v>
      </c>
      <c r="K159" s="425">
        <v>21</v>
      </c>
      <c r="L159" s="142">
        <v>30000</v>
      </c>
      <c r="M159" s="143">
        <f t="shared" si="15"/>
        <v>505.61797752808985</v>
      </c>
      <c r="N159" s="12">
        <v>525</v>
      </c>
      <c r="O159" s="13">
        <f t="shared" si="9"/>
        <v>31150</v>
      </c>
      <c r="P159" s="12" t="s">
        <v>224</v>
      </c>
      <c r="Q159" s="13">
        <f t="shared" si="16"/>
        <v>16316.666666666672</v>
      </c>
    </row>
    <row r="160" spans="1:20" x14ac:dyDescent="0.2">
      <c r="A160" s="37">
        <v>42903</v>
      </c>
      <c r="B160" s="12" t="s">
        <v>21</v>
      </c>
      <c r="C160" s="12">
        <v>1</v>
      </c>
      <c r="D160" s="40">
        <v>0.25</v>
      </c>
      <c r="E160" s="12">
        <v>800</v>
      </c>
      <c r="F160" s="12">
        <v>110</v>
      </c>
      <c r="G160" s="12">
        <v>111</v>
      </c>
      <c r="H160" s="12">
        <v>113</v>
      </c>
      <c r="I160" s="13">
        <f t="shared" ref="I160:I191" si="17">AVERAGE(F160:H160)/D160</f>
        <v>445.33333333333331</v>
      </c>
      <c r="J160" s="13">
        <f t="shared" si="14"/>
        <v>356266.66666666663</v>
      </c>
      <c r="K160" s="425">
        <v>23</v>
      </c>
      <c r="L160" s="142">
        <v>100000</v>
      </c>
      <c r="M160" s="143">
        <f t="shared" si="15"/>
        <v>224.55089820359282</v>
      </c>
      <c r="N160" s="12">
        <v>250</v>
      </c>
      <c r="O160" s="13">
        <f t="shared" si="9"/>
        <v>111333.33333333333</v>
      </c>
      <c r="P160" s="12" t="s">
        <v>223</v>
      </c>
      <c r="Q160" s="13">
        <f t="shared" si="16"/>
        <v>244933.33333333331</v>
      </c>
    </row>
    <row r="161" spans="1:17" x14ac:dyDescent="0.2">
      <c r="A161" s="37">
        <v>42903</v>
      </c>
      <c r="B161" s="12" t="s">
        <v>23</v>
      </c>
      <c r="C161" s="12">
        <v>1</v>
      </c>
      <c r="D161" s="40">
        <v>0.5</v>
      </c>
      <c r="E161" s="12">
        <v>250</v>
      </c>
      <c r="F161" s="12">
        <v>4</v>
      </c>
      <c r="G161" s="12">
        <v>3</v>
      </c>
      <c r="H161" s="12">
        <v>0</v>
      </c>
      <c r="I161" s="13">
        <f t="shared" si="17"/>
        <v>4.666666666666667</v>
      </c>
      <c r="J161" s="13">
        <f t="shared" si="14"/>
        <v>1166.6666666666667</v>
      </c>
      <c r="K161" s="425">
        <v>5</v>
      </c>
      <c r="M161" s="143">
        <f t="shared" si="15"/>
        <v>0</v>
      </c>
      <c r="N161" s="12">
        <v>250</v>
      </c>
      <c r="O161" s="13">
        <f t="shared" si="9"/>
        <v>1166.6666666666667</v>
      </c>
      <c r="Q161" s="13">
        <f t="shared" si="16"/>
        <v>0</v>
      </c>
    </row>
    <row r="162" spans="1:17" x14ac:dyDescent="0.2">
      <c r="A162" s="37">
        <v>42903</v>
      </c>
      <c r="B162" s="12" t="s">
        <v>31</v>
      </c>
      <c r="C162" s="12">
        <v>1</v>
      </c>
      <c r="D162" s="40">
        <v>0.5</v>
      </c>
      <c r="E162" s="12">
        <v>250</v>
      </c>
      <c r="F162" s="12">
        <v>1</v>
      </c>
      <c r="G162" s="12">
        <v>1</v>
      </c>
      <c r="H162" s="12">
        <v>2</v>
      </c>
      <c r="I162" s="13">
        <f t="shared" si="17"/>
        <v>2.6666666666666665</v>
      </c>
      <c r="J162" s="13">
        <f t="shared" si="14"/>
        <v>666.66666666666663</v>
      </c>
      <c r="K162" s="425">
        <v>3</v>
      </c>
      <c r="M162" s="143">
        <f t="shared" si="15"/>
        <v>0</v>
      </c>
      <c r="N162" s="12">
        <v>250</v>
      </c>
      <c r="O162" s="13">
        <f t="shared" ref="O162:O225" si="18">N162*I162</f>
        <v>666.66666666666663</v>
      </c>
      <c r="Q162" s="13">
        <f t="shared" si="16"/>
        <v>0</v>
      </c>
    </row>
    <row r="163" spans="1:17" x14ac:dyDescent="0.2">
      <c r="A163" s="37">
        <v>42903</v>
      </c>
      <c r="B163" s="12" t="s">
        <v>34</v>
      </c>
      <c r="C163" s="12">
        <v>1</v>
      </c>
      <c r="D163" s="40">
        <v>0.5</v>
      </c>
      <c r="E163" s="12">
        <v>350</v>
      </c>
      <c r="F163" s="12">
        <v>3</v>
      </c>
      <c r="G163" s="12">
        <v>2</v>
      </c>
      <c r="H163" s="12">
        <v>3</v>
      </c>
      <c r="I163" s="13">
        <f t="shared" si="17"/>
        <v>5.333333333333333</v>
      </c>
      <c r="J163" s="13">
        <f t="shared" si="14"/>
        <v>1866.6666666666665</v>
      </c>
      <c r="K163" s="425">
        <v>7</v>
      </c>
      <c r="M163" s="143">
        <f t="shared" si="15"/>
        <v>0</v>
      </c>
      <c r="N163" s="12">
        <v>350</v>
      </c>
      <c r="O163" s="13">
        <f t="shared" si="18"/>
        <v>1866.6666666666665</v>
      </c>
      <c r="Q163" s="13">
        <f t="shared" si="16"/>
        <v>0</v>
      </c>
    </row>
    <row r="164" spans="1:17" x14ac:dyDescent="0.2">
      <c r="A164" s="37">
        <v>42903</v>
      </c>
      <c r="B164" s="12" t="s">
        <v>48</v>
      </c>
      <c r="C164" s="12">
        <v>1</v>
      </c>
      <c r="D164" s="40">
        <v>0.5</v>
      </c>
      <c r="E164" s="12">
        <v>250</v>
      </c>
      <c r="F164" s="12">
        <v>4</v>
      </c>
      <c r="G164" s="12">
        <v>5</v>
      </c>
      <c r="H164" s="12">
        <v>2</v>
      </c>
      <c r="I164" s="13">
        <f t="shared" si="17"/>
        <v>7.333333333333333</v>
      </c>
      <c r="J164" s="13">
        <f t="shared" si="14"/>
        <v>1833.3333333333333</v>
      </c>
      <c r="K164" s="425">
        <v>13</v>
      </c>
      <c r="M164" s="143">
        <f t="shared" si="15"/>
        <v>0</v>
      </c>
      <c r="N164" s="12">
        <v>250</v>
      </c>
      <c r="O164" s="13">
        <f t="shared" si="18"/>
        <v>1833.3333333333333</v>
      </c>
      <c r="Q164" s="13">
        <f t="shared" si="16"/>
        <v>0</v>
      </c>
    </row>
    <row r="165" spans="1:17" x14ac:dyDescent="0.2">
      <c r="A165" s="37">
        <v>42903</v>
      </c>
      <c r="B165" s="12" t="s">
        <v>36</v>
      </c>
      <c r="C165" s="12">
        <v>1</v>
      </c>
      <c r="D165" s="40">
        <v>0.5</v>
      </c>
      <c r="E165" s="12">
        <v>800</v>
      </c>
      <c r="F165" s="12">
        <v>83</v>
      </c>
      <c r="G165" s="12">
        <v>68</v>
      </c>
      <c r="H165" s="12">
        <v>45</v>
      </c>
      <c r="I165" s="13">
        <f t="shared" si="17"/>
        <v>130.66666666666666</v>
      </c>
      <c r="J165" s="13">
        <f t="shared" si="14"/>
        <v>104533.33333333333</v>
      </c>
      <c r="K165" s="425">
        <v>16</v>
      </c>
      <c r="L165" s="142">
        <v>50000</v>
      </c>
      <c r="M165" s="143">
        <f t="shared" si="15"/>
        <v>382.65306122448982</v>
      </c>
      <c r="N165" s="12">
        <v>500</v>
      </c>
      <c r="O165" s="13">
        <f t="shared" si="18"/>
        <v>65333.333333333328</v>
      </c>
      <c r="P165" s="12" t="s">
        <v>222</v>
      </c>
      <c r="Q165" s="13">
        <f t="shared" si="16"/>
        <v>39200</v>
      </c>
    </row>
    <row r="166" spans="1:17" x14ac:dyDescent="0.2">
      <c r="A166" s="37">
        <v>42903</v>
      </c>
      <c r="B166" s="12" t="s">
        <v>17</v>
      </c>
      <c r="C166" s="12">
        <v>2</v>
      </c>
      <c r="D166" s="40">
        <v>0.5</v>
      </c>
      <c r="E166" s="12">
        <v>300</v>
      </c>
      <c r="F166" s="12">
        <v>23</v>
      </c>
      <c r="G166" s="12">
        <v>22</v>
      </c>
      <c r="H166" s="12">
        <v>19</v>
      </c>
      <c r="I166" s="13">
        <f t="shared" si="17"/>
        <v>42.666666666666664</v>
      </c>
      <c r="J166" s="13">
        <f t="shared" si="14"/>
        <v>12800</v>
      </c>
      <c r="K166" s="425">
        <v>22</v>
      </c>
      <c r="M166" s="143">
        <f t="shared" si="15"/>
        <v>0</v>
      </c>
      <c r="N166" s="12">
        <v>300</v>
      </c>
      <c r="O166" s="13">
        <f t="shared" si="18"/>
        <v>12800</v>
      </c>
      <c r="Q166" s="13">
        <f t="shared" si="16"/>
        <v>0</v>
      </c>
    </row>
    <row r="167" spans="1:17" x14ac:dyDescent="0.2">
      <c r="A167" s="37">
        <v>42903</v>
      </c>
      <c r="B167" s="12" t="s">
        <v>44</v>
      </c>
      <c r="C167" s="12">
        <v>1</v>
      </c>
      <c r="D167" s="40">
        <v>0.25</v>
      </c>
      <c r="E167" s="12">
        <v>800</v>
      </c>
      <c r="F167" s="12">
        <v>61</v>
      </c>
      <c r="G167" s="12">
        <v>41</v>
      </c>
      <c r="H167" s="12">
        <v>43</v>
      </c>
      <c r="I167" s="13">
        <f t="shared" si="17"/>
        <v>193.33333333333334</v>
      </c>
      <c r="J167" s="13">
        <f t="shared" si="14"/>
        <v>154666.66666666669</v>
      </c>
      <c r="K167" s="425">
        <v>13</v>
      </c>
      <c r="L167" s="142">
        <v>50000</v>
      </c>
      <c r="M167" s="143">
        <f t="shared" si="15"/>
        <v>258.62068965517238</v>
      </c>
      <c r="N167" s="12">
        <v>300</v>
      </c>
      <c r="O167" s="13">
        <f t="shared" si="18"/>
        <v>58000</v>
      </c>
      <c r="P167" s="12" t="s">
        <v>221</v>
      </c>
      <c r="Q167" s="13">
        <f t="shared" si="16"/>
        <v>96666.666666666686</v>
      </c>
    </row>
    <row r="168" spans="1:17" x14ac:dyDescent="0.2">
      <c r="A168" s="37">
        <v>42905</v>
      </c>
      <c r="B168" s="12" t="s">
        <v>88</v>
      </c>
      <c r="C168" s="12">
        <v>9</v>
      </c>
      <c r="D168" s="40">
        <v>0.5</v>
      </c>
      <c r="E168" s="12">
        <v>500</v>
      </c>
      <c r="F168" s="12">
        <v>68</v>
      </c>
      <c r="G168" s="12">
        <v>73</v>
      </c>
      <c r="H168" s="12">
        <v>62</v>
      </c>
      <c r="I168" s="13">
        <f t="shared" si="17"/>
        <v>135.33333333333334</v>
      </c>
      <c r="J168" s="13">
        <f t="shared" si="14"/>
        <v>67666.666666666672</v>
      </c>
      <c r="K168" s="425">
        <v>19</v>
      </c>
      <c r="L168" s="142">
        <v>50000</v>
      </c>
      <c r="M168" s="143">
        <f t="shared" si="15"/>
        <v>369.45812807881771</v>
      </c>
      <c r="N168" s="12">
        <v>395</v>
      </c>
      <c r="O168" s="13">
        <f t="shared" si="18"/>
        <v>53456.666666666672</v>
      </c>
      <c r="P168" s="12" t="s">
        <v>238</v>
      </c>
      <c r="Q168" s="13">
        <f t="shared" si="16"/>
        <v>14210</v>
      </c>
    </row>
    <row r="169" spans="1:17" x14ac:dyDescent="0.2">
      <c r="A169" s="37">
        <v>42905</v>
      </c>
      <c r="B169" s="12" t="s">
        <v>21</v>
      </c>
      <c r="C169" s="12">
        <v>9</v>
      </c>
      <c r="D169" s="40">
        <v>0.5</v>
      </c>
      <c r="E169" s="12">
        <v>825</v>
      </c>
      <c r="F169" s="12">
        <v>81</v>
      </c>
      <c r="G169" s="12">
        <v>105</v>
      </c>
      <c r="H169" s="12">
        <v>114</v>
      </c>
      <c r="I169" s="13">
        <f t="shared" si="17"/>
        <v>200</v>
      </c>
      <c r="J169" s="13">
        <f t="shared" si="14"/>
        <v>165000</v>
      </c>
      <c r="K169" s="425">
        <v>23</v>
      </c>
      <c r="L169" s="142">
        <v>50000</v>
      </c>
      <c r="M169" s="143">
        <f t="shared" si="15"/>
        <v>250</v>
      </c>
      <c r="N169" s="12">
        <v>250</v>
      </c>
      <c r="O169" s="13">
        <f t="shared" si="18"/>
        <v>50000</v>
      </c>
      <c r="P169" s="12" t="s">
        <v>237</v>
      </c>
      <c r="Q169" s="13">
        <f t="shared" si="16"/>
        <v>115000</v>
      </c>
    </row>
    <row r="170" spans="1:17" x14ac:dyDescent="0.2">
      <c r="A170" s="37">
        <v>42905</v>
      </c>
      <c r="B170" s="12" t="s">
        <v>120</v>
      </c>
      <c r="C170" s="12">
        <v>9</v>
      </c>
      <c r="D170" s="40">
        <v>0.5</v>
      </c>
      <c r="E170" s="12">
        <v>500</v>
      </c>
      <c r="F170" s="12">
        <v>129</v>
      </c>
      <c r="G170" s="12">
        <v>142</v>
      </c>
      <c r="H170" s="12">
        <v>155</v>
      </c>
      <c r="I170" s="13">
        <f t="shared" si="17"/>
        <v>284</v>
      </c>
      <c r="J170" s="13">
        <f t="shared" si="14"/>
        <v>142000</v>
      </c>
      <c r="K170" s="425">
        <v>10</v>
      </c>
      <c r="L170" s="142">
        <v>50000</v>
      </c>
      <c r="M170" s="143">
        <f t="shared" si="15"/>
        <v>176.05633802816902</v>
      </c>
      <c r="N170" s="12">
        <v>210</v>
      </c>
      <c r="O170" s="13">
        <f t="shared" si="18"/>
        <v>59640</v>
      </c>
      <c r="P170" s="12" t="s">
        <v>239</v>
      </c>
      <c r="Q170" s="13">
        <f t="shared" si="16"/>
        <v>82360</v>
      </c>
    </row>
    <row r="171" spans="1:17" x14ac:dyDescent="0.2">
      <c r="A171" s="37">
        <v>42905</v>
      </c>
      <c r="B171" s="12" t="s">
        <v>25</v>
      </c>
      <c r="C171" s="12">
        <v>9</v>
      </c>
      <c r="D171" s="40">
        <v>0.5</v>
      </c>
      <c r="E171" s="12">
        <v>800</v>
      </c>
      <c r="F171" s="12">
        <v>100</v>
      </c>
      <c r="G171" s="12">
        <v>96</v>
      </c>
      <c r="H171" s="12">
        <v>110</v>
      </c>
      <c r="I171" s="13">
        <f t="shared" si="17"/>
        <v>204</v>
      </c>
      <c r="J171" s="13">
        <f t="shared" si="14"/>
        <v>163200</v>
      </c>
      <c r="K171" s="425">
        <v>16</v>
      </c>
      <c r="L171" s="142">
        <v>50000</v>
      </c>
      <c r="M171" s="143">
        <f t="shared" si="15"/>
        <v>245.09803921568627</v>
      </c>
      <c r="N171" s="12">
        <v>275</v>
      </c>
      <c r="O171" s="13">
        <f t="shared" si="18"/>
        <v>56100</v>
      </c>
      <c r="P171" s="12" t="s">
        <v>240</v>
      </c>
      <c r="Q171" s="13">
        <f t="shared" si="16"/>
        <v>107100</v>
      </c>
    </row>
    <row r="172" spans="1:17" x14ac:dyDescent="0.2">
      <c r="A172" s="37">
        <v>42905</v>
      </c>
      <c r="B172" s="12" t="s">
        <v>38</v>
      </c>
      <c r="C172" s="12">
        <v>9</v>
      </c>
      <c r="D172" s="40">
        <v>0.5</v>
      </c>
      <c r="E172" s="12">
        <v>495</v>
      </c>
      <c r="F172" s="12">
        <v>52</v>
      </c>
      <c r="G172" s="12">
        <v>54</v>
      </c>
      <c r="H172" s="12">
        <v>49</v>
      </c>
      <c r="I172" s="13">
        <f t="shared" si="17"/>
        <v>103.33333333333333</v>
      </c>
      <c r="J172" s="13">
        <f t="shared" si="14"/>
        <v>51150</v>
      </c>
      <c r="K172" s="425">
        <v>17</v>
      </c>
      <c r="L172" s="142">
        <v>50000</v>
      </c>
      <c r="M172" s="143">
        <f t="shared" si="15"/>
        <v>483.87096774193549</v>
      </c>
      <c r="N172" s="12">
        <v>495</v>
      </c>
      <c r="O172" s="13">
        <f t="shared" si="18"/>
        <v>51150</v>
      </c>
      <c r="Q172" s="13">
        <v>0</v>
      </c>
    </row>
    <row r="173" spans="1:17" x14ac:dyDescent="0.2">
      <c r="A173" s="37">
        <v>42905</v>
      </c>
      <c r="B173" s="12" t="s">
        <v>20</v>
      </c>
      <c r="C173" s="12">
        <v>9</v>
      </c>
      <c r="D173" s="40">
        <v>0.5</v>
      </c>
      <c r="E173" s="12">
        <v>500</v>
      </c>
      <c r="F173" s="12">
        <v>11</v>
      </c>
      <c r="G173" s="12">
        <v>11</v>
      </c>
      <c r="H173" s="12">
        <v>17</v>
      </c>
      <c r="I173" s="13">
        <f t="shared" si="17"/>
        <v>26</v>
      </c>
      <c r="J173" s="13">
        <f t="shared" si="14"/>
        <v>13000</v>
      </c>
      <c r="K173" s="425">
        <v>18</v>
      </c>
      <c r="M173" s="143">
        <f t="shared" si="15"/>
        <v>0</v>
      </c>
      <c r="N173" s="12">
        <v>500</v>
      </c>
      <c r="O173" s="13">
        <f t="shared" si="18"/>
        <v>13000</v>
      </c>
      <c r="Q173" s="13">
        <f t="shared" ref="Q173:Q188" si="19">J173-O173</f>
        <v>0</v>
      </c>
    </row>
    <row r="174" spans="1:17" x14ac:dyDescent="0.2">
      <c r="A174" s="37">
        <v>42905</v>
      </c>
      <c r="B174" s="12" t="s">
        <v>97</v>
      </c>
      <c r="C174" s="12">
        <v>9</v>
      </c>
      <c r="D174" s="40">
        <v>1.5</v>
      </c>
      <c r="E174" s="12">
        <v>300</v>
      </c>
      <c r="F174" s="12">
        <v>0</v>
      </c>
      <c r="G174" s="12">
        <v>0</v>
      </c>
      <c r="H174" s="12">
        <v>0</v>
      </c>
      <c r="I174" s="13">
        <f t="shared" si="17"/>
        <v>0</v>
      </c>
      <c r="J174" s="13">
        <f t="shared" si="14"/>
        <v>0</v>
      </c>
      <c r="K174" s="425"/>
      <c r="M174" s="143" t="e">
        <f t="shared" si="15"/>
        <v>#DIV/0!</v>
      </c>
      <c r="O174" s="13">
        <f t="shared" si="18"/>
        <v>0</v>
      </c>
      <c r="Q174" s="13">
        <f t="shared" si="19"/>
        <v>0</v>
      </c>
    </row>
    <row r="175" spans="1:17" x14ac:dyDescent="0.2">
      <c r="A175" s="37">
        <v>42905</v>
      </c>
      <c r="B175" s="12" t="s">
        <v>36</v>
      </c>
      <c r="C175" s="12">
        <v>9</v>
      </c>
      <c r="D175" s="40">
        <v>0.5</v>
      </c>
      <c r="E175" s="12">
        <v>510</v>
      </c>
      <c r="F175" s="12">
        <v>22</v>
      </c>
      <c r="G175" s="12">
        <v>35</v>
      </c>
      <c r="H175" s="12">
        <v>31</v>
      </c>
      <c r="I175" s="13">
        <f t="shared" si="17"/>
        <v>58.666666666666664</v>
      </c>
      <c r="J175" s="13">
        <f t="shared" si="14"/>
        <v>29920</v>
      </c>
      <c r="K175" s="425">
        <v>16</v>
      </c>
      <c r="M175" s="143">
        <f t="shared" ref="M175:M206" si="20">L175/I175</f>
        <v>0</v>
      </c>
      <c r="N175" s="12">
        <v>510</v>
      </c>
      <c r="O175" s="13">
        <f t="shared" si="18"/>
        <v>29920</v>
      </c>
      <c r="Q175" s="13">
        <f t="shared" si="19"/>
        <v>0</v>
      </c>
    </row>
    <row r="176" spans="1:17" x14ac:dyDescent="0.2">
      <c r="A176" s="37">
        <v>42905</v>
      </c>
      <c r="B176" s="12" t="s">
        <v>108</v>
      </c>
      <c r="C176" s="12">
        <v>10</v>
      </c>
      <c r="D176" s="40">
        <v>2</v>
      </c>
      <c r="E176" s="12">
        <v>250</v>
      </c>
      <c r="F176" s="12">
        <v>1</v>
      </c>
      <c r="G176" s="12">
        <v>2</v>
      </c>
      <c r="H176" s="12">
        <v>0</v>
      </c>
      <c r="I176" s="13">
        <f t="shared" si="17"/>
        <v>0.5</v>
      </c>
      <c r="J176" s="13">
        <f t="shared" si="14"/>
        <v>125</v>
      </c>
      <c r="K176" s="425">
        <v>21</v>
      </c>
      <c r="M176" s="143">
        <f t="shared" si="20"/>
        <v>0</v>
      </c>
      <c r="N176" s="12">
        <v>250</v>
      </c>
      <c r="O176" s="13">
        <f t="shared" si="18"/>
        <v>125</v>
      </c>
      <c r="Q176" s="13">
        <f t="shared" si="19"/>
        <v>0</v>
      </c>
    </row>
    <row r="177" spans="1:17" x14ac:dyDescent="0.2">
      <c r="A177" s="37">
        <v>42906</v>
      </c>
      <c r="B177" s="12" t="s">
        <v>38</v>
      </c>
      <c r="D177" s="40">
        <v>0.5</v>
      </c>
      <c r="E177" s="12">
        <v>500</v>
      </c>
      <c r="F177" s="12">
        <v>72</v>
      </c>
      <c r="G177" s="12">
        <v>58</v>
      </c>
      <c r="H177" s="12">
        <v>67</v>
      </c>
      <c r="I177" s="13">
        <f t="shared" si="17"/>
        <v>131.33333333333334</v>
      </c>
      <c r="J177" s="13">
        <f t="shared" si="14"/>
        <v>65666.666666666672</v>
      </c>
      <c r="K177" s="425">
        <v>17</v>
      </c>
      <c r="L177" s="142">
        <v>50000</v>
      </c>
      <c r="M177" s="143">
        <f t="shared" si="20"/>
        <v>380.7106598984771</v>
      </c>
      <c r="N177" s="12">
        <v>400</v>
      </c>
      <c r="O177" s="13">
        <f t="shared" si="18"/>
        <v>52533.333333333336</v>
      </c>
      <c r="P177" s="12" t="s">
        <v>245</v>
      </c>
      <c r="Q177" s="13">
        <f t="shared" si="19"/>
        <v>13133.333333333336</v>
      </c>
    </row>
    <row r="178" spans="1:17" x14ac:dyDescent="0.2">
      <c r="A178" s="37">
        <v>42908</v>
      </c>
      <c r="B178" s="12" t="s">
        <v>50</v>
      </c>
      <c r="D178" s="40">
        <v>3</v>
      </c>
      <c r="E178" s="12">
        <v>300</v>
      </c>
      <c r="F178" s="12">
        <v>0</v>
      </c>
      <c r="G178" s="12">
        <v>1</v>
      </c>
      <c r="H178" s="12">
        <v>0</v>
      </c>
      <c r="I178" s="13">
        <f t="shared" si="17"/>
        <v>0.1111111111111111</v>
      </c>
      <c r="J178" s="13">
        <f t="shared" si="14"/>
        <v>33.333333333333329</v>
      </c>
      <c r="K178" s="425">
        <v>8</v>
      </c>
      <c r="M178" s="143">
        <f t="shared" si="20"/>
        <v>0</v>
      </c>
      <c r="N178" s="12">
        <v>300</v>
      </c>
      <c r="O178" s="13">
        <f t="shared" si="18"/>
        <v>33.333333333333329</v>
      </c>
      <c r="Q178" s="13">
        <f t="shared" si="19"/>
        <v>0</v>
      </c>
    </row>
    <row r="179" spans="1:17" x14ac:dyDescent="0.2">
      <c r="A179" s="37">
        <v>42908</v>
      </c>
      <c r="B179" s="12" t="s">
        <v>120</v>
      </c>
      <c r="D179" s="40">
        <v>3</v>
      </c>
      <c r="E179" s="12">
        <v>250</v>
      </c>
      <c r="F179" s="12">
        <v>10</v>
      </c>
      <c r="G179" s="12">
        <v>12</v>
      </c>
      <c r="H179" s="12">
        <v>10</v>
      </c>
      <c r="I179" s="13">
        <f t="shared" si="17"/>
        <v>3.5555555555555554</v>
      </c>
      <c r="J179" s="13">
        <f t="shared" si="14"/>
        <v>888.8888888888888</v>
      </c>
      <c r="K179" s="425">
        <v>10</v>
      </c>
      <c r="M179" s="143">
        <f t="shared" si="20"/>
        <v>0</v>
      </c>
      <c r="N179" s="12">
        <v>250</v>
      </c>
      <c r="O179" s="13">
        <f t="shared" si="18"/>
        <v>888.8888888888888</v>
      </c>
      <c r="Q179" s="13">
        <f t="shared" si="19"/>
        <v>0</v>
      </c>
    </row>
    <row r="180" spans="1:17" x14ac:dyDescent="0.2">
      <c r="A180" s="37">
        <v>42908</v>
      </c>
      <c r="B180" s="12" t="s">
        <v>34</v>
      </c>
      <c r="D180" s="40">
        <v>3</v>
      </c>
      <c r="E180" s="12">
        <v>300</v>
      </c>
      <c r="F180" s="12">
        <v>12</v>
      </c>
      <c r="G180" s="12">
        <v>7</v>
      </c>
      <c r="H180" s="12">
        <v>7</v>
      </c>
      <c r="I180" s="13">
        <f t="shared" si="17"/>
        <v>2.8888888888888888</v>
      </c>
      <c r="J180" s="13">
        <f t="shared" si="14"/>
        <v>866.66666666666663</v>
      </c>
      <c r="K180" s="425">
        <v>7</v>
      </c>
      <c r="M180" s="143">
        <f t="shared" si="20"/>
        <v>0</v>
      </c>
      <c r="N180" s="12">
        <v>300</v>
      </c>
      <c r="O180" s="13">
        <f t="shared" si="18"/>
        <v>866.66666666666663</v>
      </c>
      <c r="Q180" s="13">
        <f t="shared" si="19"/>
        <v>0</v>
      </c>
    </row>
    <row r="181" spans="1:17" x14ac:dyDescent="0.2">
      <c r="A181" s="37">
        <v>42908</v>
      </c>
      <c r="B181" s="12" t="s">
        <v>21</v>
      </c>
      <c r="D181" s="40">
        <v>3</v>
      </c>
      <c r="E181" s="12">
        <v>280</v>
      </c>
      <c r="F181" s="12">
        <v>13</v>
      </c>
      <c r="G181" s="12">
        <v>7</v>
      </c>
      <c r="H181" s="12">
        <v>12</v>
      </c>
      <c r="I181" s="13">
        <f t="shared" si="17"/>
        <v>3.5555555555555554</v>
      </c>
      <c r="J181" s="13">
        <f t="shared" si="14"/>
        <v>995.55555555555554</v>
      </c>
      <c r="K181" s="425">
        <v>23</v>
      </c>
      <c r="M181" s="143">
        <f t="shared" si="20"/>
        <v>0</v>
      </c>
      <c r="N181" s="12">
        <v>280</v>
      </c>
      <c r="O181" s="13">
        <f t="shared" si="18"/>
        <v>995.55555555555554</v>
      </c>
      <c r="Q181" s="13">
        <f t="shared" si="19"/>
        <v>0</v>
      </c>
    </row>
    <row r="182" spans="1:17" x14ac:dyDescent="0.2">
      <c r="A182" s="37">
        <v>42908</v>
      </c>
      <c r="B182" s="12" t="s">
        <v>38</v>
      </c>
      <c r="D182" s="40">
        <v>3</v>
      </c>
      <c r="E182" s="12">
        <v>290</v>
      </c>
      <c r="F182" s="12">
        <v>2</v>
      </c>
      <c r="G182" s="12">
        <v>2</v>
      </c>
      <c r="H182" s="12">
        <v>2</v>
      </c>
      <c r="I182" s="13">
        <f t="shared" si="17"/>
        <v>0.66666666666666663</v>
      </c>
      <c r="J182" s="13">
        <f t="shared" si="14"/>
        <v>193.33333333333331</v>
      </c>
      <c r="K182" s="425">
        <v>17</v>
      </c>
      <c r="M182" s="143">
        <f t="shared" si="20"/>
        <v>0</v>
      </c>
      <c r="N182" s="12">
        <v>290</v>
      </c>
      <c r="O182" s="13">
        <f t="shared" si="18"/>
        <v>193.33333333333331</v>
      </c>
      <c r="Q182" s="13">
        <f t="shared" si="19"/>
        <v>0</v>
      </c>
    </row>
    <row r="183" spans="1:17" x14ac:dyDescent="0.2">
      <c r="A183" s="37">
        <v>42908</v>
      </c>
      <c r="B183" s="12" t="s">
        <v>88</v>
      </c>
      <c r="D183" s="40">
        <v>3</v>
      </c>
      <c r="E183" s="12">
        <v>320</v>
      </c>
      <c r="F183" s="12">
        <v>18</v>
      </c>
      <c r="G183" s="12">
        <v>11</v>
      </c>
      <c r="H183" s="12">
        <v>15</v>
      </c>
      <c r="I183" s="13">
        <f t="shared" si="17"/>
        <v>4.8888888888888884</v>
      </c>
      <c r="J183" s="13">
        <f t="shared" si="14"/>
        <v>1564.4444444444443</v>
      </c>
      <c r="K183" s="425">
        <v>19</v>
      </c>
      <c r="M183" s="143">
        <f t="shared" si="20"/>
        <v>0</v>
      </c>
      <c r="N183" s="12">
        <v>320</v>
      </c>
      <c r="O183" s="13">
        <f t="shared" si="18"/>
        <v>1564.4444444444443</v>
      </c>
      <c r="Q183" s="13">
        <f t="shared" si="19"/>
        <v>0</v>
      </c>
    </row>
    <row r="184" spans="1:17" x14ac:dyDescent="0.2">
      <c r="A184" s="37">
        <v>42910</v>
      </c>
      <c r="B184" s="12" t="s">
        <v>24</v>
      </c>
      <c r="D184" s="40">
        <v>0.5</v>
      </c>
      <c r="E184" s="12">
        <v>800</v>
      </c>
      <c r="F184" s="12">
        <v>59</v>
      </c>
      <c r="G184" s="12">
        <v>59</v>
      </c>
      <c r="H184" s="12">
        <v>61</v>
      </c>
      <c r="I184" s="13">
        <f t="shared" si="17"/>
        <v>119.33333333333333</v>
      </c>
      <c r="J184" s="13">
        <f t="shared" si="14"/>
        <v>95466.666666666657</v>
      </c>
      <c r="K184" s="425">
        <v>7</v>
      </c>
      <c r="M184" s="143">
        <f t="shared" si="20"/>
        <v>0</v>
      </c>
      <c r="N184" s="12">
        <v>650</v>
      </c>
      <c r="O184" s="13">
        <f t="shared" si="18"/>
        <v>77566.666666666657</v>
      </c>
      <c r="P184" s="12" t="s">
        <v>252</v>
      </c>
      <c r="Q184" s="13">
        <f t="shared" si="19"/>
        <v>17900</v>
      </c>
    </row>
    <row r="185" spans="1:17" x14ac:dyDescent="0.2">
      <c r="A185" s="37">
        <v>42910</v>
      </c>
      <c r="B185" s="12" t="s">
        <v>108</v>
      </c>
      <c r="D185" s="40">
        <v>0.5</v>
      </c>
      <c r="E185" s="12">
        <v>500</v>
      </c>
      <c r="F185" s="12">
        <v>11</v>
      </c>
      <c r="G185" s="12">
        <v>13</v>
      </c>
      <c r="H185" s="12">
        <v>6</v>
      </c>
      <c r="I185" s="13">
        <f t="shared" si="17"/>
        <v>20</v>
      </c>
      <c r="J185" s="13">
        <f t="shared" si="14"/>
        <v>10000</v>
      </c>
      <c r="K185" s="425">
        <v>21</v>
      </c>
      <c r="M185" s="143">
        <f t="shared" si="20"/>
        <v>0</v>
      </c>
      <c r="N185" s="12">
        <v>500</v>
      </c>
      <c r="O185" s="13">
        <f t="shared" si="18"/>
        <v>10000</v>
      </c>
      <c r="Q185" s="13">
        <f t="shared" si="19"/>
        <v>0</v>
      </c>
    </row>
    <row r="186" spans="1:17" x14ac:dyDescent="0.2">
      <c r="A186" s="37">
        <v>42915</v>
      </c>
      <c r="B186" s="12" t="s">
        <v>88</v>
      </c>
      <c r="D186" s="40">
        <v>0.5</v>
      </c>
      <c r="E186" s="12">
        <v>800</v>
      </c>
      <c r="F186" s="12">
        <v>123</v>
      </c>
      <c r="G186" s="12">
        <v>134</v>
      </c>
      <c r="H186" s="12">
        <v>112</v>
      </c>
      <c r="I186" s="13">
        <f t="shared" si="17"/>
        <v>246</v>
      </c>
      <c r="J186" s="13">
        <f t="shared" si="14"/>
        <v>196800</v>
      </c>
      <c r="K186" s="425">
        <v>19</v>
      </c>
      <c r="L186" s="142">
        <v>50000</v>
      </c>
      <c r="M186" s="143">
        <f t="shared" si="20"/>
        <v>203.2520325203252</v>
      </c>
      <c r="N186" s="12">
        <v>300</v>
      </c>
      <c r="O186" s="13">
        <f t="shared" si="18"/>
        <v>73800</v>
      </c>
      <c r="P186" s="12" t="s">
        <v>262</v>
      </c>
      <c r="Q186" s="13">
        <f t="shared" si="19"/>
        <v>123000</v>
      </c>
    </row>
    <row r="187" spans="1:17" x14ac:dyDescent="0.2">
      <c r="A187" s="37">
        <v>42917</v>
      </c>
      <c r="B187" s="12" t="s">
        <v>88</v>
      </c>
      <c r="D187" s="40">
        <v>2</v>
      </c>
      <c r="E187" s="12">
        <v>220</v>
      </c>
      <c r="F187" s="12">
        <v>16</v>
      </c>
      <c r="G187" s="12">
        <v>11</v>
      </c>
      <c r="H187" s="12">
        <v>18</v>
      </c>
      <c r="I187" s="13">
        <f t="shared" si="17"/>
        <v>7.5</v>
      </c>
      <c r="J187" s="13">
        <f t="shared" si="14"/>
        <v>1650</v>
      </c>
      <c r="K187" s="425">
        <v>19</v>
      </c>
      <c r="M187" s="143">
        <f t="shared" si="20"/>
        <v>0</v>
      </c>
      <c r="N187" s="12">
        <v>220</v>
      </c>
      <c r="O187" s="13">
        <f t="shared" si="18"/>
        <v>1650</v>
      </c>
      <c r="Q187" s="13">
        <f t="shared" si="19"/>
        <v>0</v>
      </c>
    </row>
    <row r="188" spans="1:17" x14ac:dyDescent="0.2">
      <c r="A188" s="37">
        <v>42919</v>
      </c>
      <c r="B188" s="12" t="s">
        <v>49</v>
      </c>
      <c r="D188" s="40">
        <v>2</v>
      </c>
      <c r="E188" s="12">
        <v>475</v>
      </c>
      <c r="F188" s="12">
        <v>178</v>
      </c>
      <c r="G188" s="12">
        <v>165</v>
      </c>
      <c r="H188" s="12">
        <v>187</v>
      </c>
      <c r="I188" s="13">
        <f t="shared" si="17"/>
        <v>88.333333333333329</v>
      </c>
      <c r="J188" s="13">
        <f t="shared" si="14"/>
        <v>41958.333333333328</v>
      </c>
      <c r="K188" s="425">
        <v>12</v>
      </c>
      <c r="M188" s="143">
        <f t="shared" si="20"/>
        <v>0</v>
      </c>
      <c r="N188" s="12">
        <v>475</v>
      </c>
      <c r="O188" s="13">
        <f t="shared" si="18"/>
        <v>41958.333333333328</v>
      </c>
      <c r="Q188" s="13">
        <f t="shared" si="19"/>
        <v>0</v>
      </c>
    </row>
    <row r="189" spans="1:17" x14ac:dyDescent="0.2">
      <c r="A189" s="37">
        <v>42921</v>
      </c>
      <c r="B189" s="12" t="s">
        <v>23</v>
      </c>
      <c r="D189" s="40">
        <v>3</v>
      </c>
      <c r="E189" s="12">
        <v>250</v>
      </c>
      <c r="F189" s="12">
        <v>6</v>
      </c>
      <c r="G189" s="12">
        <v>5</v>
      </c>
      <c r="H189" s="12">
        <v>4</v>
      </c>
      <c r="I189" s="13">
        <f t="shared" si="17"/>
        <v>1.6666666666666667</v>
      </c>
      <c r="J189" s="13">
        <f t="shared" si="14"/>
        <v>416.66666666666669</v>
      </c>
      <c r="K189" s="425"/>
      <c r="M189" s="143">
        <f t="shared" si="20"/>
        <v>0</v>
      </c>
      <c r="N189" s="12">
        <v>0</v>
      </c>
      <c r="O189" s="13">
        <f t="shared" si="18"/>
        <v>0</v>
      </c>
    </row>
    <row r="190" spans="1:17" x14ac:dyDescent="0.2">
      <c r="A190" s="37">
        <v>42922</v>
      </c>
      <c r="B190" s="12" t="s">
        <v>23</v>
      </c>
      <c r="D190" s="40">
        <v>0.5</v>
      </c>
      <c r="E190" s="12">
        <v>800</v>
      </c>
      <c r="F190" s="12">
        <v>163</v>
      </c>
      <c r="G190" s="12">
        <v>174</v>
      </c>
      <c r="H190" s="12">
        <v>163</v>
      </c>
      <c r="I190" s="13">
        <f t="shared" si="17"/>
        <v>333.33333333333331</v>
      </c>
      <c r="J190" s="13">
        <f t="shared" si="14"/>
        <v>266666.66666666663</v>
      </c>
      <c r="K190" s="425">
        <v>5</v>
      </c>
      <c r="M190" s="143">
        <f t="shared" si="20"/>
        <v>0</v>
      </c>
      <c r="N190" s="12">
        <v>600</v>
      </c>
      <c r="O190" s="13">
        <f t="shared" si="18"/>
        <v>200000</v>
      </c>
      <c r="P190" s="12" t="s">
        <v>264</v>
      </c>
      <c r="Q190" s="13">
        <f>J190-O190</f>
        <v>66666.666666666628</v>
      </c>
    </row>
    <row r="191" spans="1:17" x14ac:dyDescent="0.2">
      <c r="A191" s="37">
        <v>42922</v>
      </c>
      <c r="B191" s="12" t="s">
        <v>118</v>
      </c>
      <c r="D191" s="40">
        <v>3</v>
      </c>
      <c r="E191" s="12">
        <v>300</v>
      </c>
      <c r="F191" s="12">
        <v>2</v>
      </c>
      <c r="G191" s="12">
        <v>0</v>
      </c>
      <c r="H191" s="12">
        <v>0</v>
      </c>
      <c r="I191" s="13">
        <f t="shared" si="17"/>
        <v>0.22222222222222221</v>
      </c>
      <c r="J191" s="13">
        <f t="shared" si="14"/>
        <v>66.666666666666657</v>
      </c>
      <c r="K191" s="425"/>
      <c r="M191" s="143">
        <f t="shared" si="20"/>
        <v>0</v>
      </c>
      <c r="N191" s="12">
        <v>0</v>
      </c>
      <c r="O191" s="13">
        <f t="shared" si="18"/>
        <v>0</v>
      </c>
      <c r="Q191" s="13">
        <v>0</v>
      </c>
    </row>
    <row r="192" spans="1:17" x14ac:dyDescent="0.2">
      <c r="A192" s="37">
        <v>42926</v>
      </c>
      <c r="B192" s="12" t="s">
        <v>97</v>
      </c>
      <c r="D192" s="40">
        <v>0.25</v>
      </c>
      <c r="E192" s="12">
        <v>800</v>
      </c>
      <c r="F192" s="12">
        <v>109</v>
      </c>
      <c r="G192" s="12">
        <v>93</v>
      </c>
      <c r="H192" s="12">
        <v>82</v>
      </c>
      <c r="I192" s="13">
        <f t="shared" ref="I192:I223" si="21">AVERAGE(F192:H192)/D192</f>
        <v>378.66666666666669</v>
      </c>
      <c r="J192" s="13">
        <f t="shared" si="14"/>
        <v>302933.33333333337</v>
      </c>
      <c r="K192" s="425"/>
      <c r="M192" s="143">
        <f t="shared" si="20"/>
        <v>0</v>
      </c>
      <c r="N192" s="12">
        <v>0</v>
      </c>
      <c r="O192" s="13">
        <f t="shared" si="18"/>
        <v>0</v>
      </c>
      <c r="Q192" s="13">
        <f t="shared" ref="Q192:Q223" si="22">J192-O192</f>
        <v>302933.33333333337</v>
      </c>
    </row>
    <row r="193" spans="1:17" x14ac:dyDescent="0.2">
      <c r="A193" s="37">
        <v>42926</v>
      </c>
      <c r="B193" s="12" t="s">
        <v>27</v>
      </c>
      <c r="D193" s="40">
        <v>2</v>
      </c>
      <c r="E193" s="12">
        <v>200</v>
      </c>
      <c r="F193" s="12">
        <v>2</v>
      </c>
      <c r="G193" s="12">
        <v>1</v>
      </c>
      <c r="H193" s="12">
        <v>3</v>
      </c>
      <c r="I193" s="46">
        <f t="shared" si="21"/>
        <v>1</v>
      </c>
      <c r="J193" s="13">
        <f t="shared" si="14"/>
        <v>200</v>
      </c>
      <c r="K193" s="425"/>
      <c r="M193" s="143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 x14ac:dyDescent="0.2">
      <c r="A194" s="37">
        <v>42926</v>
      </c>
      <c r="B194" s="12" t="s">
        <v>47</v>
      </c>
      <c r="D194" s="40">
        <v>2</v>
      </c>
      <c r="E194" s="12">
        <v>250</v>
      </c>
      <c r="F194" s="12">
        <v>1</v>
      </c>
      <c r="G194" s="12">
        <v>2</v>
      </c>
      <c r="H194" s="12">
        <v>2</v>
      </c>
      <c r="I194" s="46">
        <f t="shared" si="21"/>
        <v>0.83333333333333337</v>
      </c>
      <c r="J194" s="13">
        <f t="shared" si="14"/>
        <v>208.33333333333334</v>
      </c>
      <c r="K194" s="425"/>
      <c r="M194" s="143">
        <f t="shared" si="20"/>
        <v>0</v>
      </c>
      <c r="N194" s="12">
        <v>0</v>
      </c>
      <c r="O194" s="13">
        <f t="shared" si="18"/>
        <v>0</v>
      </c>
      <c r="Q194" s="13">
        <v>0</v>
      </c>
    </row>
    <row r="195" spans="1:17" x14ac:dyDescent="0.2">
      <c r="I195" s="46" t="e">
        <f t="shared" si="21"/>
        <v>#DIV/0!</v>
      </c>
      <c r="J195" s="13" t="e">
        <f t="shared" ref="J195:J258" si="23">I195*E195</f>
        <v>#DIV/0!</v>
      </c>
      <c r="M195" s="143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 x14ac:dyDescent="0.2">
      <c r="I196" s="46" t="e">
        <f t="shared" si="21"/>
        <v>#DIV/0!</v>
      </c>
      <c r="J196" s="13" t="e">
        <f t="shared" si="23"/>
        <v>#DIV/0!</v>
      </c>
      <c r="M196" s="143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 x14ac:dyDescent="0.2">
      <c r="I197" s="46" t="e">
        <f t="shared" si="21"/>
        <v>#DIV/0!</v>
      </c>
      <c r="J197" s="13" t="e">
        <f t="shared" si="23"/>
        <v>#DIV/0!</v>
      </c>
      <c r="M197" s="143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 x14ac:dyDescent="0.2">
      <c r="I198" s="46" t="e">
        <f t="shared" si="21"/>
        <v>#DIV/0!</v>
      </c>
      <c r="J198" s="13" t="e">
        <f t="shared" si="23"/>
        <v>#DIV/0!</v>
      </c>
      <c r="M198" s="143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 x14ac:dyDescent="0.2">
      <c r="I199" s="46" t="e">
        <f t="shared" si="21"/>
        <v>#DIV/0!</v>
      </c>
      <c r="J199" s="13" t="e">
        <f t="shared" si="23"/>
        <v>#DIV/0!</v>
      </c>
      <c r="M199" s="143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 x14ac:dyDescent="0.2">
      <c r="I200" s="46" t="e">
        <f t="shared" si="21"/>
        <v>#DIV/0!</v>
      </c>
      <c r="J200" s="13" t="e">
        <f t="shared" si="23"/>
        <v>#DIV/0!</v>
      </c>
      <c r="M200" s="143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 x14ac:dyDescent="0.2">
      <c r="I201" s="46" t="e">
        <f t="shared" si="21"/>
        <v>#DIV/0!</v>
      </c>
      <c r="J201" s="13" t="e">
        <f t="shared" si="23"/>
        <v>#DIV/0!</v>
      </c>
      <c r="M201" s="143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 x14ac:dyDescent="0.2">
      <c r="I202" s="46" t="e">
        <f t="shared" si="21"/>
        <v>#DIV/0!</v>
      </c>
      <c r="J202" s="13" t="e">
        <f t="shared" si="23"/>
        <v>#DIV/0!</v>
      </c>
      <c r="M202" s="143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 x14ac:dyDescent="0.2">
      <c r="I203" s="46" t="e">
        <f t="shared" si="21"/>
        <v>#DIV/0!</v>
      </c>
      <c r="J203" s="13" t="e">
        <f t="shared" si="23"/>
        <v>#DIV/0!</v>
      </c>
      <c r="M203" s="143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 x14ac:dyDescent="0.2">
      <c r="I204" s="46" t="e">
        <f t="shared" si="21"/>
        <v>#DIV/0!</v>
      </c>
      <c r="J204" s="13" t="e">
        <f t="shared" si="23"/>
        <v>#DIV/0!</v>
      </c>
      <c r="M204" s="143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 x14ac:dyDescent="0.2">
      <c r="I205" s="46" t="e">
        <f t="shared" si="21"/>
        <v>#DIV/0!</v>
      </c>
      <c r="J205" s="13" t="e">
        <f t="shared" si="23"/>
        <v>#DIV/0!</v>
      </c>
      <c r="M205" s="143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 x14ac:dyDescent="0.2">
      <c r="I206" s="46" t="e">
        <f t="shared" si="21"/>
        <v>#DIV/0!</v>
      </c>
      <c r="J206" s="13" t="e">
        <f t="shared" si="23"/>
        <v>#DIV/0!</v>
      </c>
      <c r="M206" s="143" t="e">
        <f t="shared" si="20"/>
        <v>#DIV/0!</v>
      </c>
      <c r="O206" s="13" t="e">
        <f t="shared" si="18"/>
        <v>#DIV/0!</v>
      </c>
      <c r="Q206" s="13" t="e">
        <f t="shared" si="22"/>
        <v>#DIV/0!</v>
      </c>
    </row>
    <row r="207" spans="1:17" x14ac:dyDescent="0.2">
      <c r="I207" s="46" t="e">
        <f t="shared" si="21"/>
        <v>#DIV/0!</v>
      </c>
      <c r="J207" s="13" t="e">
        <f t="shared" si="23"/>
        <v>#DIV/0!</v>
      </c>
      <c r="M207" s="143" t="e">
        <f t="shared" ref="M207:M238" si="24">L207/I207</f>
        <v>#DIV/0!</v>
      </c>
      <c r="O207" s="13" t="e">
        <f t="shared" si="18"/>
        <v>#DIV/0!</v>
      </c>
      <c r="Q207" s="13" t="e">
        <f t="shared" si="22"/>
        <v>#DIV/0!</v>
      </c>
    </row>
    <row r="208" spans="1:17" x14ac:dyDescent="0.2">
      <c r="I208" s="46" t="e">
        <f t="shared" si="21"/>
        <v>#DIV/0!</v>
      </c>
      <c r="J208" s="13" t="e">
        <f t="shared" si="23"/>
        <v>#DIV/0!</v>
      </c>
      <c r="M208" s="143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 x14ac:dyDescent="0.2">
      <c r="I209" s="46" t="e">
        <f t="shared" si="21"/>
        <v>#DIV/0!</v>
      </c>
      <c r="J209" s="13" t="e">
        <f t="shared" si="23"/>
        <v>#DIV/0!</v>
      </c>
      <c r="M209" s="143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 x14ac:dyDescent="0.2">
      <c r="I210" s="46" t="e">
        <f t="shared" si="21"/>
        <v>#DIV/0!</v>
      </c>
      <c r="J210" s="13" t="e">
        <f t="shared" si="23"/>
        <v>#DIV/0!</v>
      </c>
      <c r="M210" s="143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 x14ac:dyDescent="0.2">
      <c r="I211" s="46" t="e">
        <f t="shared" si="21"/>
        <v>#DIV/0!</v>
      </c>
      <c r="J211" s="13" t="e">
        <f t="shared" si="23"/>
        <v>#DIV/0!</v>
      </c>
      <c r="M211" s="143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 x14ac:dyDescent="0.2">
      <c r="I212" s="46" t="e">
        <f t="shared" si="21"/>
        <v>#DIV/0!</v>
      </c>
      <c r="J212" s="13" t="e">
        <f t="shared" si="23"/>
        <v>#DIV/0!</v>
      </c>
      <c r="M212" s="143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 x14ac:dyDescent="0.2">
      <c r="I213" s="46" t="e">
        <f t="shared" si="21"/>
        <v>#DIV/0!</v>
      </c>
      <c r="J213" s="13" t="e">
        <f t="shared" si="23"/>
        <v>#DIV/0!</v>
      </c>
      <c r="M213" s="143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 x14ac:dyDescent="0.2">
      <c r="I214" s="46" t="e">
        <f t="shared" si="21"/>
        <v>#DIV/0!</v>
      </c>
      <c r="J214" s="13" t="e">
        <f t="shared" si="23"/>
        <v>#DIV/0!</v>
      </c>
      <c r="M214" s="143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 x14ac:dyDescent="0.2">
      <c r="I215" s="46" t="e">
        <f t="shared" si="21"/>
        <v>#DIV/0!</v>
      </c>
      <c r="J215" s="13" t="e">
        <f t="shared" si="23"/>
        <v>#DIV/0!</v>
      </c>
      <c r="M215" s="143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 x14ac:dyDescent="0.2">
      <c r="I216" s="46" t="e">
        <f t="shared" si="21"/>
        <v>#DIV/0!</v>
      </c>
      <c r="J216" s="13" t="e">
        <f t="shared" si="23"/>
        <v>#DIV/0!</v>
      </c>
      <c r="M216" s="143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 x14ac:dyDescent="0.2">
      <c r="I217" s="46" t="e">
        <f t="shared" si="21"/>
        <v>#DIV/0!</v>
      </c>
      <c r="J217" s="13" t="e">
        <f t="shared" si="23"/>
        <v>#DIV/0!</v>
      </c>
      <c r="M217" s="143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 x14ac:dyDescent="0.2">
      <c r="I218" s="46" t="e">
        <f t="shared" si="21"/>
        <v>#DIV/0!</v>
      </c>
      <c r="J218" s="13" t="e">
        <f t="shared" si="23"/>
        <v>#DIV/0!</v>
      </c>
      <c r="M218" s="143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 x14ac:dyDescent="0.2">
      <c r="I219" s="46" t="e">
        <f t="shared" si="21"/>
        <v>#DIV/0!</v>
      </c>
      <c r="J219" s="13" t="e">
        <f t="shared" si="23"/>
        <v>#DIV/0!</v>
      </c>
      <c r="M219" s="143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 x14ac:dyDescent="0.2">
      <c r="I220" s="46" t="e">
        <f t="shared" si="21"/>
        <v>#DIV/0!</v>
      </c>
      <c r="J220" s="13" t="e">
        <f t="shared" si="23"/>
        <v>#DIV/0!</v>
      </c>
      <c r="M220" s="143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 x14ac:dyDescent="0.2">
      <c r="I221" s="46" t="e">
        <f t="shared" si="21"/>
        <v>#DIV/0!</v>
      </c>
      <c r="J221" s="13" t="e">
        <f t="shared" si="23"/>
        <v>#DIV/0!</v>
      </c>
      <c r="M221" s="143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 x14ac:dyDescent="0.2">
      <c r="I222" s="46" t="e">
        <f t="shared" si="21"/>
        <v>#DIV/0!</v>
      </c>
      <c r="J222" s="13" t="e">
        <f t="shared" si="23"/>
        <v>#DIV/0!</v>
      </c>
      <c r="M222" s="143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 x14ac:dyDescent="0.2">
      <c r="I223" s="46" t="e">
        <f t="shared" si="21"/>
        <v>#DIV/0!</v>
      </c>
      <c r="J223" s="13" t="e">
        <f t="shared" si="23"/>
        <v>#DIV/0!</v>
      </c>
      <c r="M223" s="143" t="e">
        <f t="shared" si="24"/>
        <v>#DIV/0!</v>
      </c>
      <c r="O223" s="13" t="e">
        <f t="shared" si="18"/>
        <v>#DIV/0!</v>
      </c>
      <c r="Q223" s="13" t="e">
        <f t="shared" si="22"/>
        <v>#DIV/0!</v>
      </c>
    </row>
    <row r="224" spans="9:17" x14ac:dyDescent="0.2">
      <c r="I224" s="46" t="e">
        <f t="shared" ref="I224:I255" si="25">AVERAGE(F224:H224)/D224</f>
        <v>#DIV/0!</v>
      </c>
      <c r="J224" s="13" t="e">
        <f t="shared" si="23"/>
        <v>#DIV/0!</v>
      </c>
      <c r="M224" s="143" t="e">
        <f t="shared" si="24"/>
        <v>#DIV/0!</v>
      </c>
      <c r="O224" s="13" t="e">
        <f t="shared" si="18"/>
        <v>#DIV/0!</v>
      </c>
      <c r="Q224" s="13" t="e">
        <f t="shared" ref="Q224:Q255" si="26">J224-O224</f>
        <v>#DIV/0!</v>
      </c>
    </row>
    <row r="225" spans="9:17" x14ac:dyDescent="0.2">
      <c r="I225" s="46" t="e">
        <f t="shared" si="25"/>
        <v>#DIV/0!</v>
      </c>
      <c r="J225" s="13" t="e">
        <f t="shared" si="23"/>
        <v>#DIV/0!</v>
      </c>
      <c r="M225" s="143" t="e">
        <f t="shared" si="24"/>
        <v>#DIV/0!</v>
      </c>
      <c r="O225" s="13" t="e">
        <f t="shared" si="18"/>
        <v>#DIV/0!</v>
      </c>
      <c r="Q225" s="13" t="e">
        <f t="shared" si="26"/>
        <v>#DIV/0!</v>
      </c>
    </row>
    <row r="226" spans="9:17" x14ac:dyDescent="0.2">
      <c r="I226" s="46" t="e">
        <f t="shared" si="25"/>
        <v>#DIV/0!</v>
      </c>
      <c r="J226" s="13" t="e">
        <f t="shared" si="23"/>
        <v>#DIV/0!</v>
      </c>
      <c r="M226" s="143" t="e">
        <f t="shared" si="24"/>
        <v>#DIV/0!</v>
      </c>
      <c r="O226" s="13" t="e">
        <f t="shared" ref="O226:O289" si="27">N226*I226</f>
        <v>#DIV/0!</v>
      </c>
      <c r="Q226" s="13" t="e">
        <f t="shared" si="26"/>
        <v>#DIV/0!</v>
      </c>
    </row>
    <row r="227" spans="9:17" x14ac:dyDescent="0.2">
      <c r="I227" s="46" t="e">
        <f t="shared" si="25"/>
        <v>#DIV/0!</v>
      </c>
      <c r="J227" s="13" t="e">
        <f t="shared" si="23"/>
        <v>#DIV/0!</v>
      </c>
      <c r="M227" s="143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 x14ac:dyDescent="0.2">
      <c r="I228" s="46" t="e">
        <f t="shared" si="25"/>
        <v>#DIV/0!</v>
      </c>
      <c r="J228" s="13" t="e">
        <f t="shared" si="23"/>
        <v>#DIV/0!</v>
      </c>
      <c r="M228" s="143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 x14ac:dyDescent="0.2">
      <c r="I229" s="46" t="e">
        <f t="shared" si="25"/>
        <v>#DIV/0!</v>
      </c>
      <c r="J229" s="13" t="e">
        <f t="shared" si="23"/>
        <v>#DIV/0!</v>
      </c>
      <c r="M229" s="143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 x14ac:dyDescent="0.2">
      <c r="I230" s="46" t="e">
        <f t="shared" si="25"/>
        <v>#DIV/0!</v>
      </c>
      <c r="J230" s="13" t="e">
        <f t="shared" si="23"/>
        <v>#DIV/0!</v>
      </c>
      <c r="M230" s="143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 x14ac:dyDescent="0.2">
      <c r="I231" s="46" t="e">
        <f t="shared" si="25"/>
        <v>#DIV/0!</v>
      </c>
      <c r="J231" s="13" t="e">
        <f t="shared" si="23"/>
        <v>#DIV/0!</v>
      </c>
      <c r="M231" s="143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 x14ac:dyDescent="0.2">
      <c r="I232" s="46" t="e">
        <f t="shared" si="25"/>
        <v>#DIV/0!</v>
      </c>
      <c r="J232" s="13" t="e">
        <f t="shared" si="23"/>
        <v>#DIV/0!</v>
      </c>
      <c r="M232" s="143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 x14ac:dyDescent="0.2">
      <c r="I233" s="46" t="e">
        <f t="shared" si="25"/>
        <v>#DIV/0!</v>
      </c>
      <c r="J233" s="13" t="e">
        <f t="shared" si="23"/>
        <v>#DIV/0!</v>
      </c>
      <c r="M233" s="143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 x14ac:dyDescent="0.2">
      <c r="I234" s="46" t="e">
        <f t="shared" si="25"/>
        <v>#DIV/0!</v>
      </c>
      <c r="J234" s="13" t="e">
        <f t="shared" si="23"/>
        <v>#DIV/0!</v>
      </c>
      <c r="M234" s="143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 x14ac:dyDescent="0.2">
      <c r="I235" s="46" t="e">
        <f t="shared" si="25"/>
        <v>#DIV/0!</v>
      </c>
      <c r="J235" s="13" t="e">
        <f t="shared" si="23"/>
        <v>#DIV/0!</v>
      </c>
      <c r="M235" s="143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 x14ac:dyDescent="0.2">
      <c r="I236" s="46" t="e">
        <f t="shared" si="25"/>
        <v>#DIV/0!</v>
      </c>
      <c r="J236" s="13" t="e">
        <f t="shared" si="23"/>
        <v>#DIV/0!</v>
      </c>
      <c r="M236" s="143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 x14ac:dyDescent="0.2">
      <c r="I237" s="46" t="e">
        <f t="shared" si="25"/>
        <v>#DIV/0!</v>
      </c>
      <c r="J237" s="13" t="e">
        <f t="shared" si="23"/>
        <v>#DIV/0!</v>
      </c>
      <c r="M237" s="143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 x14ac:dyDescent="0.2">
      <c r="I238" s="46" t="e">
        <f t="shared" si="25"/>
        <v>#DIV/0!</v>
      </c>
      <c r="J238" s="13" t="e">
        <f t="shared" si="23"/>
        <v>#DIV/0!</v>
      </c>
      <c r="M238" s="143" t="e">
        <f t="shared" si="24"/>
        <v>#DIV/0!</v>
      </c>
      <c r="O238" s="13" t="e">
        <f t="shared" si="27"/>
        <v>#DIV/0!</v>
      </c>
      <c r="Q238" s="13" t="e">
        <f t="shared" si="26"/>
        <v>#DIV/0!</v>
      </c>
    </row>
    <row r="239" spans="9:17" x14ac:dyDescent="0.2">
      <c r="I239" s="46" t="e">
        <f t="shared" si="25"/>
        <v>#DIV/0!</v>
      </c>
      <c r="J239" s="13" t="e">
        <f t="shared" si="23"/>
        <v>#DIV/0!</v>
      </c>
      <c r="M239" s="143" t="e">
        <f t="shared" ref="M239:M270" si="28">L239/I239</f>
        <v>#DIV/0!</v>
      </c>
      <c r="O239" s="13" t="e">
        <f t="shared" si="27"/>
        <v>#DIV/0!</v>
      </c>
      <c r="Q239" s="13" t="e">
        <f t="shared" si="26"/>
        <v>#DIV/0!</v>
      </c>
    </row>
    <row r="240" spans="9:17" x14ac:dyDescent="0.2">
      <c r="I240" s="46" t="e">
        <f t="shared" si="25"/>
        <v>#DIV/0!</v>
      </c>
      <c r="J240" s="13" t="e">
        <f t="shared" si="23"/>
        <v>#DIV/0!</v>
      </c>
      <c r="M240" s="143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 x14ac:dyDescent="0.2">
      <c r="I241" s="46" t="e">
        <f t="shared" si="25"/>
        <v>#DIV/0!</v>
      </c>
      <c r="J241" s="13" t="e">
        <f t="shared" si="23"/>
        <v>#DIV/0!</v>
      </c>
      <c r="M241" s="143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 x14ac:dyDescent="0.2">
      <c r="I242" s="46" t="e">
        <f t="shared" si="25"/>
        <v>#DIV/0!</v>
      </c>
      <c r="J242" s="13" t="e">
        <f t="shared" si="23"/>
        <v>#DIV/0!</v>
      </c>
      <c r="M242" s="143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 x14ac:dyDescent="0.2">
      <c r="I243" s="46" t="e">
        <f t="shared" si="25"/>
        <v>#DIV/0!</v>
      </c>
      <c r="J243" s="13" t="e">
        <f t="shared" si="23"/>
        <v>#DIV/0!</v>
      </c>
      <c r="M243" s="143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 x14ac:dyDescent="0.2">
      <c r="I244" s="46" t="e">
        <f t="shared" si="25"/>
        <v>#DIV/0!</v>
      </c>
      <c r="J244" s="13" t="e">
        <f t="shared" si="23"/>
        <v>#DIV/0!</v>
      </c>
      <c r="M244" s="143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 x14ac:dyDescent="0.2">
      <c r="I245" s="46" t="e">
        <f t="shared" si="25"/>
        <v>#DIV/0!</v>
      </c>
      <c r="J245" s="13" t="e">
        <f t="shared" si="23"/>
        <v>#DIV/0!</v>
      </c>
      <c r="M245" s="143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 x14ac:dyDescent="0.2">
      <c r="I246" s="46" t="e">
        <f t="shared" si="25"/>
        <v>#DIV/0!</v>
      </c>
      <c r="J246" s="13" t="e">
        <f t="shared" si="23"/>
        <v>#DIV/0!</v>
      </c>
      <c r="M246" s="143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 x14ac:dyDescent="0.2">
      <c r="I247" s="46" t="e">
        <f t="shared" si="25"/>
        <v>#DIV/0!</v>
      </c>
      <c r="J247" s="13" t="e">
        <f t="shared" si="23"/>
        <v>#DIV/0!</v>
      </c>
      <c r="M247" s="143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 x14ac:dyDescent="0.2">
      <c r="I248" s="46" t="e">
        <f t="shared" si="25"/>
        <v>#DIV/0!</v>
      </c>
      <c r="J248" s="13" t="e">
        <f t="shared" si="23"/>
        <v>#DIV/0!</v>
      </c>
      <c r="M248" s="143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 x14ac:dyDescent="0.2">
      <c r="I249" s="46" t="e">
        <f t="shared" si="25"/>
        <v>#DIV/0!</v>
      </c>
      <c r="J249" s="13" t="e">
        <f t="shared" si="23"/>
        <v>#DIV/0!</v>
      </c>
      <c r="M249" s="143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 x14ac:dyDescent="0.2">
      <c r="I250" s="46" t="e">
        <f t="shared" si="25"/>
        <v>#DIV/0!</v>
      </c>
      <c r="J250" s="13" t="e">
        <f t="shared" si="23"/>
        <v>#DIV/0!</v>
      </c>
      <c r="M250" s="143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 x14ac:dyDescent="0.2">
      <c r="I251" s="46" t="e">
        <f t="shared" si="25"/>
        <v>#DIV/0!</v>
      </c>
      <c r="J251" s="13" t="e">
        <f t="shared" si="23"/>
        <v>#DIV/0!</v>
      </c>
      <c r="M251" s="143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 x14ac:dyDescent="0.2">
      <c r="I252" s="46" t="e">
        <f t="shared" si="25"/>
        <v>#DIV/0!</v>
      </c>
      <c r="J252" s="13" t="e">
        <f t="shared" si="23"/>
        <v>#DIV/0!</v>
      </c>
      <c r="M252" s="143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 x14ac:dyDescent="0.2">
      <c r="I253" s="46" t="e">
        <f t="shared" si="25"/>
        <v>#DIV/0!</v>
      </c>
      <c r="J253" s="13" t="e">
        <f t="shared" si="23"/>
        <v>#DIV/0!</v>
      </c>
      <c r="M253" s="143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 x14ac:dyDescent="0.2">
      <c r="I254" s="46" t="e">
        <f t="shared" si="25"/>
        <v>#DIV/0!</v>
      </c>
      <c r="J254" s="13" t="e">
        <f t="shared" si="23"/>
        <v>#DIV/0!</v>
      </c>
      <c r="M254" s="143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 x14ac:dyDescent="0.2">
      <c r="I255" s="46" t="e">
        <f t="shared" si="25"/>
        <v>#DIV/0!</v>
      </c>
      <c r="J255" s="13" t="e">
        <f t="shared" si="23"/>
        <v>#DIV/0!</v>
      </c>
      <c r="M255" s="143" t="e">
        <f t="shared" si="28"/>
        <v>#DIV/0!</v>
      </c>
      <c r="O255" s="13" t="e">
        <f t="shared" si="27"/>
        <v>#DIV/0!</v>
      </c>
      <c r="Q255" s="13" t="e">
        <f t="shared" si="26"/>
        <v>#DIV/0!</v>
      </c>
    </row>
    <row r="256" spans="9:17" x14ac:dyDescent="0.2">
      <c r="I256" s="46" t="e">
        <f t="shared" ref="I256:I287" si="29">AVERAGE(F256:H256)/D256</f>
        <v>#DIV/0!</v>
      </c>
      <c r="J256" s="13" t="e">
        <f t="shared" si="23"/>
        <v>#DIV/0!</v>
      </c>
      <c r="M256" s="143" t="e">
        <f t="shared" si="28"/>
        <v>#DIV/0!</v>
      </c>
      <c r="O256" s="13" t="e">
        <f t="shared" si="27"/>
        <v>#DIV/0!</v>
      </c>
      <c r="Q256" s="13" t="e">
        <f t="shared" ref="Q256:Q287" si="30">J256-O256</f>
        <v>#DIV/0!</v>
      </c>
    </row>
    <row r="257" spans="9:17" x14ac:dyDescent="0.2">
      <c r="I257" s="46" t="e">
        <f t="shared" si="29"/>
        <v>#DIV/0!</v>
      </c>
      <c r="J257" s="13" t="e">
        <f t="shared" si="23"/>
        <v>#DIV/0!</v>
      </c>
      <c r="M257" s="143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 x14ac:dyDescent="0.2">
      <c r="I258" s="46" t="e">
        <f t="shared" si="29"/>
        <v>#DIV/0!</v>
      </c>
      <c r="J258" s="13" t="e">
        <f t="shared" si="23"/>
        <v>#DIV/0!</v>
      </c>
      <c r="M258" s="143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 x14ac:dyDescent="0.2">
      <c r="I259" s="46" t="e">
        <f t="shared" si="29"/>
        <v>#DIV/0!</v>
      </c>
      <c r="J259" s="13" t="e">
        <f t="shared" ref="J259:J303" si="31">I259*E259</f>
        <v>#DIV/0!</v>
      </c>
      <c r="M259" s="143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 x14ac:dyDescent="0.2">
      <c r="I260" s="46" t="e">
        <f t="shared" si="29"/>
        <v>#DIV/0!</v>
      </c>
      <c r="J260" s="13" t="e">
        <f t="shared" si="31"/>
        <v>#DIV/0!</v>
      </c>
      <c r="M260" s="143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 x14ac:dyDescent="0.2">
      <c r="I261" s="46" t="e">
        <f t="shared" si="29"/>
        <v>#DIV/0!</v>
      </c>
      <c r="J261" s="13" t="e">
        <f t="shared" si="31"/>
        <v>#DIV/0!</v>
      </c>
      <c r="M261" s="143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 x14ac:dyDescent="0.2">
      <c r="I262" s="46" t="e">
        <f t="shared" si="29"/>
        <v>#DIV/0!</v>
      </c>
      <c r="J262" s="13" t="e">
        <f t="shared" si="31"/>
        <v>#DIV/0!</v>
      </c>
      <c r="M262" s="143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 x14ac:dyDescent="0.2">
      <c r="I263" s="46" t="e">
        <f t="shared" si="29"/>
        <v>#DIV/0!</v>
      </c>
      <c r="J263" s="13" t="e">
        <f t="shared" si="31"/>
        <v>#DIV/0!</v>
      </c>
      <c r="M263" s="143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 x14ac:dyDescent="0.2">
      <c r="I264" s="46" t="e">
        <f t="shared" si="29"/>
        <v>#DIV/0!</v>
      </c>
      <c r="J264" s="13" t="e">
        <f t="shared" si="31"/>
        <v>#DIV/0!</v>
      </c>
      <c r="M264" s="143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 x14ac:dyDescent="0.2">
      <c r="I265" s="46" t="e">
        <f t="shared" si="29"/>
        <v>#DIV/0!</v>
      </c>
      <c r="J265" s="13" t="e">
        <f t="shared" si="31"/>
        <v>#DIV/0!</v>
      </c>
      <c r="M265" s="143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 x14ac:dyDescent="0.2">
      <c r="I266" s="46" t="e">
        <f t="shared" si="29"/>
        <v>#DIV/0!</v>
      </c>
      <c r="J266" s="13" t="e">
        <f t="shared" si="31"/>
        <v>#DIV/0!</v>
      </c>
      <c r="M266" s="143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 x14ac:dyDescent="0.2">
      <c r="I267" s="46" t="e">
        <f t="shared" si="29"/>
        <v>#DIV/0!</v>
      </c>
      <c r="J267" s="13" t="e">
        <f t="shared" si="31"/>
        <v>#DIV/0!</v>
      </c>
      <c r="M267" s="143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 x14ac:dyDescent="0.2">
      <c r="I268" s="46" t="e">
        <f t="shared" si="29"/>
        <v>#DIV/0!</v>
      </c>
      <c r="J268" s="13" t="e">
        <f t="shared" si="31"/>
        <v>#DIV/0!</v>
      </c>
      <c r="M268" s="143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 x14ac:dyDescent="0.2">
      <c r="I269" s="46" t="e">
        <f t="shared" si="29"/>
        <v>#DIV/0!</v>
      </c>
      <c r="J269" s="13" t="e">
        <f t="shared" si="31"/>
        <v>#DIV/0!</v>
      </c>
      <c r="M269" s="143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 x14ac:dyDescent="0.2">
      <c r="I270" s="46" t="e">
        <f t="shared" si="29"/>
        <v>#DIV/0!</v>
      </c>
      <c r="J270" s="13" t="e">
        <f t="shared" si="31"/>
        <v>#DIV/0!</v>
      </c>
      <c r="M270" s="143" t="e">
        <f t="shared" si="28"/>
        <v>#DIV/0!</v>
      </c>
      <c r="O270" s="13" t="e">
        <f t="shared" si="27"/>
        <v>#DIV/0!</v>
      </c>
      <c r="Q270" s="13" t="e">
        <f t="shared" si="30"/>
        <v>#DIV/0!</v>
      </c>
    </row>
    <row r="271" spans="9:17" x14ac:dyDescent="0.2">
      <c r="I271" s="46" t="e">
        <f t="shared" si="29"/>
        <v>#DIV/0!</v>
      </c>
      <c r="J271" s="13" t="e">
        <f t="shared" si="31"/>
        <v>#DIV/0!</v>
      </c>
      <c r="M271" s="143" t="e">
        <f t="shared" ref="M271:M302" si="32">L271/I271</f>
        <v>#DIV/0!</v>
      </c>
      <c r="O271" s="13" t="e">
        <f t="shared" si="27"/>
        <v>#DIV/0!</v>
      </c>
      <c r="Q271" s="13" t="e">
        <f t="shared" si="30"/>
        <v>#DIV/0!</v>
      </c>
    </row>
    <row r="272" spans="9:17" x14ac:dyDescent="0.2">
      <c r="I272" s="46" t="e">
        <f t="shared" si="29"/>
        <v>#DIV/0!</v>
      </c>
      <c r="J272" s="13" t="e">
        <f t="shared" si="31"/>
        <v>#DIV/0!</v>
      </c>
      <c r="M272" s="143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 x14ac:dyDescent="0.2">
      <c r="I273" s="46" t="e">
        <f t="shared" si="29"/>
        <v>#DIV/0!</v>
      </c>
      <c r="J273" s="13" t="e">
        <f t="shared" si="31"/>
        <v>#DIV/0!</v>
      </c>
      <c r="M273" s="143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 x14ac:dyDescent="0.2">
      <c r="I274" s="46" t="e">
        <f t="shared" si="29"/>
        <v>#DIV/0!</v>
      </c>
      <c r="J274" s="13" t="e">
        <f t="shared" si="31"/>
        <v>#DIV/0!</v>
      </c>
      <c r="M274" s="143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 x14ac:dyDescent="0.2">
      <c r="I275" s="46" t="e">
        <f t="shared" si="29"/>
        <v>#DIV/0!</v>
      </c>
      <c r="J275" s="13" t="e">
        <f t="shared" si="31"/>
        <v>#DIV/0!</v>
      </c>
      <c r="M275" s="143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 x14ac:dyDescent="0.2">
      <c r="I276" s="46" t="e">
        <f t="shared" si="29"/>
        <v>#DIV/0!</v>
      </c>
      <c r="J276" s="13" t="e">
        <f t="shared" si="31"/>
        <v>#DIV/0!</v>
      </c>
      <c r="M276" s="143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 x14ac:dyDescent="0.2">
      <c r="I277" s="46" t="e">
        <f t="shared" si="29"/>
        <v>#DIV/0!</v>
      </c>
      <c r="J277" s="13" t="e">
        <f t="shared" si="31"/>
        <v>#DIV/0!</v>
      </c>
      <c r="M277" s="143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 x14ac:dyDescent="0.2">
      <c r="I278" s="46" t="e">
        <f t="shared" si="29"/>
        <v>#DIV/0!</v>
      </c>
      <c r="J278" s="13" t="e">
        <f t="shared" si="31"/>
        <v>#DIV/0!</v>
      </c>
      <c r="M278" s="143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 x14ac:dyDescent="0.2">
      <c r="I279" s="46" t="e">
        <f t="shared" si="29"/>
        <v>#DIV/0!</v>
      </c>
      <c r="J279" s="13" t="e">
        <f t="shared" si="31"/>
        <v>#DIV/0!</v>
      </c>
      <c r="M279" s="143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 x14ac:dyDescent="0.2">
      <c r="I280" s="46" t="e">
        <f t="shared" si="29"/>
        <v>#DIV/0!</v>
      </c>
      <c r="J280" s="13" t="e">
        <f t="shared" si="31"/>
        <v>#DIV/0!</v>
      </c>
      <c r="M280" s="143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 x14ac:dyDescent="0.2">
      <c r="I281" s="46" t="e">
        <f t="shared" si="29"/>
        <v>#DIV/0!</v>
      </c>
      <c r="J281" s="13" t="e">
        <f t="shared" si="31"/>
        <v>#DIV/0!</v>
      </c>
      <c r="M281" s="143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 x14ac:dyDescent="0.2">
      <c r="I282" s="46" t="e">
        <f t="shared" si="29"/>
        <v>#DIV/0!</v>
      </c>
      <c r="J282" s="13" t="e">
        <f t="shared" si="31"/>
        <v>#DIV/0!</v>
      </c>
      <c r="M282" s="143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 x14ac:dyDescent="0.2">
      <c r="I283" s="46" t="e">
        <f t="shared" si="29"/>
        <v>#DIV/0!</v>
      </c>
      <c r="J283" s="13" t="e">
        <f t="shared" si="31"/>
        <v>#DIV/0!</v>
      </c>
      <c r="M283" s="143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 x14ac:dyDescent="0.2">
      <c r="I284" s="46" t="e">
        <f t="shared" si="29"/>
        <v>#DIV/0!</v>
      </c>
      <c r="J284" s="13" t="e">
        <f t="shared" si="31"/>
        <v>#DIV/0!</v>
      </c>
      <c r="M284" s="143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 x14ac:dyDescent="0.2">
      <c r="I285" s="46" t="e">
        <f t="shared" si="29"/>
        <v>#DIV/0!</v>
      </c>
      <c r="J285" s="13" t="e">
        <f t="shared" si="31"/>
        <v>#DIV/0!</v>
      </c>
      <c r="M285" s="143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 x14ac:dyDescent="0.2">
      <c r="I286" s="46" t="e">
        <f t="shared" si="29"/>
        <v>#DIV/0!</v>
      </c>
      <c r="J286" s="13" t="e">
        <f t="shared" si="31"/>
        <v>#DIV/0!</v>
      </c>
      <c r="M286" s="143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 x14ac:dyDescent="0.2">
      <c r="I287" s="46" t="e">
        <f t="shared" si="29"/>
        <v>#DIV/0!</v>
      </c>
      <c r="J287" s="13" t="e">
        <f t="shared" si="31"/>
        <v>#DIV/0!</v>
      </c>
      <c r="M287" s="143" t="e">
        <f t="shared" si="32"/>
        <v>#DIV/0!</v>
      </c>
      <c r="O287" s="13" t="e">
        <f t="shared" si="27"/>
        <v>#DIV/0!</v>
      </c>
      <c r="Q287" s="13" t="e">
        <f t="shared" si="30"/>
        <v>#DIV/0!</v>
      </c>
    </row>
    <row r="288" spans="9:17" x14ac:dyDescent="0.2">
      <c r="I288" s="46" t="e">
        <f t="shared" ref="I288:I303" si="33">AVERAGE(F288:H288)/D288</f>
        <v>#DIV/0!</v>
      </c>
      <c r="J288" s="13" t="e">
        <f t="shared" si="31"/>
        <v>#DIV/0!</v>
      </c>
      <c r="M288" s="143" t="e">
        <f t="shared" si="32"/>
        <v>#DIV/0!</v>
      </c>
      <c r="O288" s="13" t="e">
        <f t="shared" si="27"/>
        <v>#DIV/0!</v>
      </c>
      <c r="Q288" s="13" t="e">
        <f t="shared" ref="Q288:Q303" si="34">J288-O288</f>
        <v>#DIV/0!</v>
      </c>
    </row>
    <row r="289" spans="9:17" x14ac:dyDescent="0.2">
      <c r="I289" s="46" t="e">
        <f t="shared" si="33"/>
        <v>#DIV/0!</v>
      </c>
      <c r="J289" s="13" t="e">
        <f t="shared" si="31"/>
        <v>#DIV/0!</v>
      </c>
      <c r="M289" s="143" t="e">
        <f t="shared" si="32"/>
        <v>#DIV/0!</v>
      </c>
      <c r="O289" s="13" t="e">
        <f t="shared" si="27"/>
        <v>#DIV/0!</v>
      </c>
      <c r="Q289" s="13" t="e">
        <f t="shared" si="34"/>
        <v>#DIV/0!</v>
      </c>
    </row>
    <row r="290" spans="9:17" x14ac:dyDescent="0.2">
      <c r="I290" s="46" t="e">
        <f t="shared" si="33"/>
        <v>#DIV/0!</v>
      </c>
      <c r="J290" s="13" t="e">
        <f t="shared" si="31"/>
        <v>#DIV/0!</v>
      </c>
      <c r="M290" s="143" t="e">
        <f t="shared" si="32"/>
        <v>#DIV/0!</v>
      </c>
      <c r="O290" s="13" t="e">
        <f t="shared" ref="O290:O303" si="35">N290*I290</f>
        <v>#DIV/0!</v>
      </c>
      <c r="Q290" s="13" t="e">
        <f t="shared" si="34"/>
        <v>#DIV/0!</v>
      </c>
    </row>
    <row r="291" spans="9:17" x14ac:dyDescent="0.2">
      <c r="I291" s="46" t="e">
        <f t="shared" si="33"/>
        <v>#DIV/0!</v>
      </c>
      <c r="J291" s="13" t="e">
        <f t="shared" si="31"/>
        <v>#DIV/0!</v>
      </c>
      <c r="M291" s="143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 x14ac:dyDescent="0.2">
      <c r="I292" s="46" t="e">
        <f t="shared" si="33"/>
        <v>#DIV/0!</v>
      </c>
      <c r="J292" s="13" t="e">
        <f t="shared" si="31"/>
        <v>#DIV/0!</v>
      </c>
      <c r="M292" s="143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 x14ac:dyDescent="0.2">
      <c r="I293" s="46" t="e">
        <f t="shared" si="33"/>
        <v>#DIV/0!</v>
      </c>
      <c r="J293" s="13" t="e">
        <f t="shared" si="31"/>
        <v>#DIV/0!</v>
      </c>
      <c r="M293" s="143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 x14ac:dyDescent="0.2">
      <c r="I294" s="46" t="e">
        <f t="shared" si="33"/>
        <v>#DIV/0!</v>
      </c>
      <c r="J294" s="13" t="e">
        <f t="shared" si="31"/>
        <v>#DIV/0!</v>
      </c>
      <c r="M294" s="143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 x14ac:dyDescent="0.2">
      <c r="I295" s="46" t="e">
        <f t="shared" si="33"/>
        <v>#DIV/0!</v>
      </c>
      <c r="J295" s="13" t="e">
        <f t="shared" si="31"/>
        <v>#DIV/0!</v>
      </c>
      <c r="M295" s="143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 x14ac:dyDescent="0.2">
      <c r="I296" s="46" t="e">
        <f t="shared" si="33"/>
        <v>#DIV/0!</v>
      </c>
      <c r="J296" s="13" t="e">
        <f t="shared" si="31"/>
        <v>#DIV/0!</v>
      </c>
      <c r="M296" s="143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 x14ac:dyDescent="0.2">
      <c r="I297" s="46" t="e">
        <f t="shared" si="33"/>
        <v>#DIV/0!</v>
      </c>
      <c r="J297" s="13" t="e">
        <f t="shared" si="31"/>
        <v>#DIV/0!</v>
      </c>
      <c r="M297" s="143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 x14ac:dyDescent="0.2">
      <c r="I298" s="46" t="e">
        <f t="shared" si="33"/>
        <v>#DIV/0!</v>
      </c>
      <c r="J298" s="13" t="e">
        <f t="shared" si="31"/>
        <v>#DIV/0!</v>
      </c>
      <c r="M298" s="143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 x14ac:dyDescent="0.2">
      <c r="I299" s="46" t="e">
        <f t="shared" si="33"/>
        <v>#DIV/0!</v>
      </c>
      <c r="J299" s="13" t="e">
        <f t="shared" si="31"/>
        <v>#DIV/0!</v>
      </c>
      <c r="M299" s="143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 x14ac:dyDescent="0.2">
      <c r="I300" s="46" t="e">
        <f t="shared" si="33"/>
        <v>#DIV/0!</v>
      </c>
      <c r="J300" s="13" t="e">
        <f t="shared" si="31"/>
        <v>#DIV/0!</v>
      </c>
      <c r="M300" s="143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 x14ac:dyDescent="0.2">
      <c r="I301" s="46" t="e">
        <f t="shared" si="33"/>
        <v>#DIV/0!</v>
      </c>
      <c r="J301" s="13" t="e">
        <f t="shared" si="31"/>
        <v>#DIV/0!</v>
      </c>
      <c r="M301" s="143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 x14ac:dyDescent="0.2">
      <c r="I302" s="46" t="e">
        <f t="shared" si="33"/>
        <v>#DIV/0!</v>
      </c>
      <c r="J302" s="13" t="e">
        <f t="shared" si="31"/>
        <v>#DIV/0!</v>
      </c>
      <c r="M302" s="143" t="e">
        <f t="shared" si="32"/>
        <v>#DIV/0!</v>
      </c>
      <c r="O302" s="13" t="e">
        <f t="shared" si="35"/>
        <v>#DIV/0!</v>
      </c>
      <c r="Q302" s="13" t="e">
        <f t="shared" si="34"/>
        <v>#DIV/0!</v>
      </c>
    </row>
    <row r="303" spans="9:17" x14ac:dyDescent="0.2">
      <c r="I303" s="46" t="e">
        <f t="shared" si="33"/>
        <v>#DIV/0!</v>
      </c>
      <c r="J303" s="13" t="e">
        <f t="shared" si="31"/>
        <v>#DIV/0!</v>
      </c>
      <c r="M303" s="143" t="e">
        <f>L303/I303</f>
        <v>#DIV/0!</v>
      </c>
      <c r="O303" s="13" t="e">
        <f t="shared" si="35"/>
        <v>#DIV/0!</v>
      </c>
      <c r="Q303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2" xr:uid="{00000000-0002-0000-0000-000000000000}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 xr:uid="{00000000-0002-0000-0000-000001000000}">
          <x14:formula1>
            <xm:f>'Summary-info'!$A$28:$A$51</xm:f>
          </x14:formula1>
          <xm:sqref>B144:B180 B184:B1048576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84"/>
  <sheetViews>
    <sheetView showRuler="0" topLeftCell="E1" zoomScale="80" zoomScaleNormal="80" zoomScalePageLayoutView="80" workbookViewId="0">
      <selection activeCell="J152" sqref="J152"/>
    </sheetView>
  </sheetViews>
  <sheetFormatPr baseColWidth="10" defaultRowHeight="16" x14ac:dyDescent="0.2"/>
  <cols>
    <col min="1" max="1" width="17.5" style="93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 x14ac:dyDescent="0.2">
      <c r="A1" s="93" t="s">
        <v>122</v>
      </c>
    </row>
    <row r="2" spans="1:30" s="31" customFormat="1" ht="47" customHeight="1" x14ac:dyDescent="0.25">
      <c r="A2" s="94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 x14ac:dyDescent="0.25">
      <c r="A3" s="94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104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108</v>
      </c>
      <c r="W3" s="33" t="s">
        <v>17</v>
      </c>
      <c r="X3" s="32"/>
      <c r="Y3" s="33"/>
    </row>
    <row r="4" spans="1:30" s="31" customFormat="1" ht="37" customHeight="1" x14ac:dyDescent="0.25">
      <c r="A4" s="94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 x14ac:dyDescent="0.2">
      <c r="A5" s="95">
        <v>42874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120</v>
      </c>
    </row>
    <row r="6" spans="1:30" x14ac:dyDescent="0.2">
      <c r="A6" s="95">
        <f t="shared" ref="A6:A81" si="0">1+A5</f>
        <v>42875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0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AA6" t="s">
        <v>118</v>
      </c>
      <c r="AB6" s="30" t="s">
        <v>38</v>
      </c>
      <c r="AC6" t="s">
        <v>48</v>
      </c>
      <c r="AD6" t="s">
        <v>97</v>
      </c>
    </row>
    <row r="7" spans="1:30" x14ac:dyDescent="0.2">
      <c r="A7" s="95">
        <f t="shared" si="0"/>
        <v>42876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0</v>
      </c>
      <c r="E7" s="47">
        <f>SUMIFS(Collection!$J:$J, Collection!$A:$A, $A7, Collection!$B:$B, E$2)</f>
        <v>0</v>
      </c>
      <c r="F7" s="47">
        <f>SUMIFS(Collection!$J:$J, Collection!$A:$A, $A7, Collection!$B:$B, F$2)</f>
        <v>0</v>
      </c>
      <c r="G7" s="47">
        <f>SUMIFS(Collection!$J:$J, Collection!$A:$A, $A7, Collection!$B:$B, G$2)</f>
        <v>0</v>
      </c>
      <c r="H7" s="47">
        <f>SUMIFS(Collection!$J:$J, Collection!$A:$A, $A7, Collection!$B:$B, H$2)</f>
        <v>0</v>
      </c>
      <c r="I7" s="47">
        <f>SUMIFS(Collection!$J:$J, Collection!$A:$A, $A7, Collection!$B:$B, I$2)</f>
        <v>0</v>
      </c>
      <c r="J7" s="47">
        <f>SUMIFS(Collection!$J:$J, Collection!$A:$A, $A7, Collection!$B:$B, J$2)</f>
        <v>0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0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AA7" t="s">
        <v>133</v>
      </c>
      <c r="AB7" s="30" t="s">
        <v>37</v>
      </c>
      <c r="AC7" t="s">
        <v>25</v>
      </c>
      <c r="AD7" t="s">
        <v>50</v>
      </c>
    </row>
    <row r="8" spans="1:30" x14ac:dyDescent="0.2">
      <c r="A8" s="95">
        <f t="shared" si="0"/>
        <v>42877</v>
      </c>
      <c r="B8" s="47">
        <f>SUMIFS(Collection!$J:$J, Collection!$A:$A, $A8, Collection!$B:$B, B$2)</f>
        <v>0</v>
      </c>
      <c r="C8" s="47">
        <f>SUMIFS(Collection!$J:$J, Collection!$A:$A, $A8, Collection!$B:$B, C$2)</f>
        <v>0</v>
      </c>
      <c r="D8" s="47">
        <f>SUMIFS(Collection!$J:$J, Collection!$A:$A, $A8, Collection!$B:$B, D$2)</f>
        <v>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AA8" t="s">
        <v>88</v>
      </c>
      <c r="AB8" s="55" t="s">
        <v>17</v>
      </c>
      <c r="AC8" t="s">
        <v>36</v>
      </c>
      <c r="AD8" t="s">
        <v>39</v>
      </c>
    </row>
    <row r="9" spans="1:30" s="55" customFormat="1" x14ac:dyDescent="0.2">
      <c r="A9" s="97" t="s">
        <v>68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A9" s="23"/>
      <c r="AC9" t="s">
        <v>24</v>
      </c>
      <c r="AD9" t="s">
        <v>49</v>
      </c>
    </row>
    <row r="10" spans="1:30" s="55" customFormat="1" x14ac:dyDescent="0.2">
      <c r="A10" s="97">
        <f>1+A8</f>
        <v>42878</v>
      </c>
      <c r="B10" s="90">
        <f>SUMIFS(Collection!$J:$J, Collection!$A:$A, $A10, Collection!$B:$B, B$2)</f>
        <v>0</v>
      </c>
      <c r="C10" s="90">
        <f>SUMIFS(Collection!$J:$J, Collection!$A:$A, $A10, Collection!$B:$B, C$2)</f>
        <v>0</v>
      </c>
      <c r="D10" s="90">
        <f>SUMIFS(Collection!$J:$J, Collection!$A:$A, $A10, Collection!$B:$B, D$2)</f>
        <v>0</v>
      </c>
      <c r="E10" s="90">
        <f>SUMIFS(Collection!$J:$J, Collection!$A:$A, $A10, Collection!$B:$B, E$2)</f>
        <v>0</v>
      </c>
      <c r="F10" s="90">
        <f>SUMIFS(Collection!$J:$J, Collection!$A:$A, $A10, Collection!$B:$B, F$2)</f>
        <v>0</v>
      </c>
      <c r="G10" s="90">
        <f>SUMIFS(Collection!$J:$J, Collection!$A:$A, $A10, Collection!$B:$B, G$2)</f>
        <v>0</v>
      </c>
      <c r="H10" s="90">
        <f>SUMIFS(Collection!$J:$J, Collection!$A:$A, $A10, Collection!$B:$B, H$2)</f>
        <v>0</v>
      </c>
      <c r="I10" s="90">
        <f>SUMIFS(Collection!$J:$J, Collection!$A:$A, $A10, Collection!$B:$B, I$2)</f>
        <v>0</v>
      </c>
      <c r="J10" s="90">
        <f>SUMIFS(Collection!$J:$J, Collection!$A:$A, $A10, Collection!$B:$B, J$2)</f>
        <v>0</v>
      </c>
      <c r="K10" s="90">
        <f>SUMIFS(Collection!$J:$J, Collection!$A:$A, $A10, Collection!$B:$B, K$2)</f>
        <v>0</v>
      </c>
      <c r="L10" s="90">
        <f>SUMIFS(Collection!$J:$J, Collection!$A:$A, $A10, Collection!$B:$B, L$2)</f>
        <v>0</v>
      </c>
      <c r="M10" s="90">
        <f>SUMIFS(Collection!$J:$J, Collection!$A:$A, $A10, Collection!$B:$B, M$2)</f>
        <v>0</v>
      </c>
      <c r="N10" s="90">
        <f>SUMIFS(Collection!$J:$J, Collection!$A:$A, $A10, Collection!$B:$B, N$2)</f>
        <v>0</v>
      </c>
      <c r="O10" s="90">
        <f>SUMIFS(Collection!$J:$J, Collection!$A:$A, $A10, Collection!$B:$B, O$2)</f>
        <v>0</v>
      </c>
      <c r="P10" s="90">
        <f>SUMIFS(Collection!$J:$J, Collection!$A:$A, $A10, Collection!$B:$B, P$2)</f>
        <v>0</v>
      </c>
      <c r="Q10" s="90">
        <f>SUMIFS(Collection!$J:$J, Collection!$A:$A, $A10, Collection!$B:$B, Q$2)</f>
        <v>0</v>
      </c>
      <c r="R10" s="90">
        <f>SUMIFS(Collection!$J:$J, Collection!$A:$A, $A10, Collection!$B:$B, R$2)</f>
        <v>0</v>
      </c>
      <c r="S10" s="90">
        <f>SUMIFS(Collection!$J:$J, Collection!$A:$A, $A10, Collection!$B:$B, S$2)</f>
        <v>0</v>
      </c>
      <c r="T10" s="90">
        <f>SUMIFS(Collection!$J:$J, Collection!$A:$A, $A10, Collection!$B:$B, T$2)</f>
        <v>0</v>
      </c>
      <c r="U10" s="90">
        <f>SUMIFS(Collection!$J:$J, Collection!$A:$A, $A10, Collection!$B:$B, U$2)</f>
        <v>0</v>
      </c>
      <c r="V10" s="90">
        <f>SUMIFS(Collection!$J:$J, Collection!$A:$A, $A10, Collection!$B:$B, V$2)</f>
        <v>0</v>
      </c>
      <c r="W10" s="90">
        <f>SUMIFS(Collection!$J:$J, Collection!$A:$A, $A10, Collection!$B:$B, W$2)</f>
        <v>0</v>
      </c>
      <c r="X10" s="90">
        <f>SUMIFS(Collection!$J:$J, Collection!$A:$A, $A10, Collection!$B:$B, X$2)</f>
        <v>0</v>
      </c>
      <c r="Y10" s="90">
        <f>SUMIFS(Collection!$J:$J, Collection!$A:$A, $A10, Collection!$B:$B, Y$2)</f>
        <v>0</v>
      </c>
      <c r="AA10" s="23"/>
      <c r="AC10" t="s">
        <v>34</v>
      </c>
      <c r="AD10" t="s">
        <v>137</v>
      </c>
    </row>
    <row r="11" spans="1:30" s="55" customFormat="1" x14ac:dyDescent="0.2">
      <c r="A11" s="97">
        <f t="shared" si="0"/>
        <v>42879</v>
      </c>
      <c r="B11" s="90">
        <f>SUMIFS(Collection!$J:$J, Collection!$A:$A, $A11, Collection!$B:$B, B$2)</f>
        <v>0</v>
      </c>
      <c r="C11" s="90">
        <f>SUMIFS(Collection!$J:$J, Collection!$A:$A, $A11, Collection!$B:$B, C$2)</f>
        <v>0</v>
      </c>
      <c r="D11" s="90">
        <f>SUMIFS(Collection!$J:$J, Collection!$A:$A, $A11, Collection!$B:$B, D$2)</f>
        <v>0</v>
      </c>
      <c r="E11" s="90">
        <f>SUMIFS(Collection!$J:$J, Collection!$A:$A, $A11, Collection!$B:$B, E$2)</f>
        <v>0</v>
      </c>
      <c r="F11" s="90">
        <f>SUMIFS(Collection!$J:$J, Collection!$A:$A, $A11, Collection!$B:$B, F$2)</f>
        <v>0</v>
      </c>
      <c r="G11" s="90">
        <f>SUMIFS(Collection!$J:$J, Collection!$A:$A, $A11, Collection!$B:$B, G$2)</f>
        <v>0</v>
      </c>
      <c r="H11" s="90">
        <f>SUMIFS(Collection!$J:$J, Collection!$A:$A, $A11, Collection!$B:$B, H$2)</f>
        <v>0</v>
      </c>
      <c r="I11" s="90">
        <f>SUMIFS(Collection!$J:$J, Collection!$A:$A, $A11, Collection!$B:$B, I$2)</f>
        <v>0</v>
      </c>
      <c r="J11" s="90">
        <f>SUMIFS(Collection!$J:$J, Collection!$A:$A, $A11, Collection!$B:$B, J$2)</f>
        <v>0</v>
      </c>
      <c r="K11" s="90">
        <f>SUMIFS(Collection!$J:$J, Collection!$A:$A, $A11, Collection!$B:$B, K$2)</f>
        <v>0</v>
      </c>
      <c r="L11" s="90">
        <f>SUMIFS(Collection!$J:$J, Collection!$A:$A, $A11, Collection!$B:$B, L$2)</f>
        <v>0</v>
      </c>
      <c r="M11" s="90">
        <f>SUMIFS(Collection!$J:$J, Collection!$A:$A, $A11, Collection!$B:$B, M$2)</f>
        <v>0</v>
      </c>
      <c r="N11" s="90">
        <f>SUMIFS(Collection!$J:$J, Collection!$A:$A, $A11, Collection!$B:$B, N$2)</f>
        <v>0</v>
      </c>
      <c r="O11" s="90">
        <f>SUMIFS(Collection!$J:$J, Collection!$A:$A, $A11, Collection!$B:$B, O$2)</f>
        <v>0</v>
      </c>
      <c r="P11" s="90">
        <f>SUMIFS(Collection!$J:$J, Collection!$A:$A, $A11, Collection!$B:$B, P$2)</f>
        <v>0</v>
      </c>
      <c r="Q11" s="90">
        <f>SUMIFS(Collection!$J:$J, Collection!$A:$A, $A11, Collection!$B:$B, Q$2)</f>
        <v>0</v>
      </c>
      <c r="R11" s="90">
        <f>SUMIFS(Collection!$J:$J, Collection!$A:$A, $A11, Collection!$B:$B, R$2)</f>
        <v>0</v>
      </c>
      <c r="S11" s="90">
        <f>SUMIFS(Collection!$J:$J, Collection!$A:$A, $A11, Collection!$B:$B, S$2)</f>
        <v>0</v>
      </c>
      <c r="T11" s="90">
        <f>SUMIFS(Collection!$J:$J, Collection!$A:$A, $A11, Collection!$B:$B, T$2)</f>
        <v>0</v>
      </c>
      <c r="U11" s="90">
        <f>SUMIFS(Collection!$J:$J, Collection!$A:$A, $A11, Collection!$B:$B, U$2)</f>
        <v>0</v>
      </c>
      <c r="V11" s="90">
        <f>SUMIFS(Collection!$J:$J, Collection!$A:$A, $A11, Collection!$B:$B, V$2)</f>
        <v>0</v>
      </c>
      <c r="W11" s="90">
        <f>SUMIFS(Collection!$J:$J, Collection!$A:$A, $A11, Collection!$B:$B, W$2)</f>
        <v>0</v>
      </c>
      <c r="X11" s="90">
        <f>SUMIFS(Collection!$J:$J, Collection!$A:$A, $A11, Collection!$B:$B, X$2)</f>
        <v>0</v>
      </c>
      <c r="Y11" s="90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5" customFormat="1" ht="17" thickBot="1" x14ac:dyDescent="0.25">
      <c r="A12" s="97">
        <f t="shared" si="0"/>
        <v>42880</v>
      </c>
      <c r="B12" s="90">
        <f>SUMIFS(Collection!$J:$J, Collection!$A:$A, $A12, Collection!$B:$B, B$2)</f>
        <v>0</v>
      </c>
      <c r="C12" s="90">
        <f>SUMIFS(Collection!$J:$J, Collection!$A:$A, $A12, Collection!$B:$B, C$2)</f>
        <v>0</v>
      </c>
      <c r="D12" s="90">
        <f>SUMIFS(Collection!$J:$J, Collection!$A:$A, $A12, Collection!$B:$B, D$2)</f>
        <v>0</v>
      </c>
      <c r="E12" s="90">
        <f>SUMIFS(Collection!$J:$J, Collection!$A:$A, $A12, Collection!$B:$B, E$2)</f>
        <v>0</v>
      </c>
      <c r="F12" s="90">
        <f>SUMIFS(Collection!$J:$J, Collection!$A:$A, $A12, Collection!$B:$B, F$2)</f>
        <v>0</v>
      </c>
      <c r="G12" s="90">
        <f>SUMIFS(Collection!$J:$J, Collection!$A:$A, $A12, Collection!$B:$B, G$2)</f>
        <v>0</v>
      </c>
      <c r="H12" s="90">
        <f>SUMIFS(Collection!$J:$J, Collection!$A:$A, $A12, Collection!$B:$B, H$2)</f>
        <v>0</v>
      </c>
      <c r="I12" s="90">
        <f>SUMIFS(Collection!$J:$J, Collection!$A:$A, $A12, Collection!$B:$B, I$2)</f>
        <v>0</v>
      </c>
      <c r="J12" s="90">
        <f>SUMIFS(Collection!$J:$J, Collection!$A:$A, $A12, Collection!$B:$B, J$2)</f>
        <v>0</v>
      </c>
      <c r="K12" s="90">
        <f>SUMIFS(Collection!$J:$J, Collection!$A:$A, $A12, Collection!$B:$B, K$2)</f>
        <v>0</v>
      </c>
      <c r="L12" s="90">
        <f>SUMIFS(Collection!$J:$J, Collection!$A:$A, $A12, Collection!$B:$B, L$2)</f>
        <v>0</v>
      </c>
      <c r="M12" s="90">
        <f>SUMIFS(Collection!$J:$J, Collection!$A:$A, $A12, Collection!$B:$B, M$2)</f>
        <v>0</v>
      </c>
      <c r="N12" s="90">
        <f>SUMIFS(Collection!$J:$J, Collection!$A:$A, $A12, Collection!$B:$B, N$2)</f>
        <v>0</v>
      </c>
      <c r="O12" s="90">
        <f>SUMIFS(Collection!$J:$J, Collection!$A:$A, $A12, Collection!$B:$B, O$2)</f>
        <v>0</v>
      </c>
      <c r="P12" s="90">
        <f>SUMIFS(Collection!$J:$J, Collection!$A:$A, $A12, Collection!$B:$B, P$2)</f>
        <v>0</v>
      </c>
      <c r="Q12" s="90">
        <f>SUMIFS(Collection!$J:$J, Collection!$A:$A, $A12, Collection!$B:$B, Q$2)</f>
        <v>0</v>
      </c>
      <c r="R12" s="90">
        <f>SUMIFS(Collection!$J:$J, Collection!$A:$A, $A12, Collection!$B:$B, R$2)</f>
        <v>0</v>
      </c>
      <c r="S12" s="90">
        <f>SUMIFS(Collection!$J:$J, Collection!$A:$A, $A12, Collection!$B:$B, S$2)</f>
        <v>0</v>
      </c>
      <c r="T12" s="90">
        <f>SUMIFS(Collection!$J:$J, Collection!$A:$A, $A12, Collection!$B:$B, T$2)</f>
        <v>0</v>
      </c>
      <c r="U12" s="90">
        <f>SUMIFS(Collection!$J:$J, Collection!$A:$A, $A12, Collection!$B:$B, U$2)</f>
        <v>0</v>
      </c>
      <c r="V12" s="90">
        <f>SUMIFS(Collection!$J:$J, Collection!$A:$A, $A12, Collection!$B:$B, V$2)</f>
        <v>0</v>
      </c>
      <c r="W12" s="90">
        <f>SUMIFS(Collection!$J:$J, Collection!$A:$A, $A12, Collection!$B:$B, W$2)</f>
        <v>0</v>
      </c>
      <c r="X12" s="90">
        <f>SUMIFS(Collection!$J:$J, Collection!$A:$A, $A12, Collection!$B:$B, X$2)</f>
        <v>0</v>
      </c>
      <c r="Y12" s="90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4" customFormat="1" x14ac:dyDescent="0.2">
      <c r="A13" s="96" t="s">
        <v>68</v>
      </c>
      <c r="B13" s="89"/>
      <c r="C13" s="89"/>
      <c r="D13" s="101">
        <v>100</v>
      </c>
      <c r="E13" s="89"/>
      <c r="F13" s="101">
        <v>100</v>
      </c>
      <c r="G13" s="89"/>
      <c r="H13" s="101">
        <v>100</v>
      </c>
      <c r="I13" s="101">
        <v>100</v>
      </c>
      <c r="J13" s="101">
        <v>100</v>
      </c>
      <c r="K13" s="101">
        <v>100</v>
      </c>
      <c r="L13" s="101">
        <v>100</v>
      </c>
      <c r="M13" s="101">
        <v>100</v>
      </c>
      <c r="N13" s="101">
        <v>100</v>
      </c>
      <c r="O13" s="89"/>
      <c r="P13" s="89"/>
      <c r="Q13" s="101">
        <v>100</v>
      </c>
      <c r="R13" s="101">
        <v>100</v>
      </c>
      <c r="S13" s="101">
        <v>100</v>
      </c>
      <c r="T13" s="101">
        <v>100</v>
      </c>
      <c r="U13" s="101">
        <v>100</v>
      </c>
      <c r="V13" s="101">
        <v>100</v>
      </c>
      <c r="W13" s="101">
        <v>100</v>
      </c>
      <c r="X13" s="89"/>
      <c r="Y13" s="89"/>
      <c r="AA13" s="19"/>
    </row>
    <row r="14" spans="1:30" s="55" customFormat="1" x14ac:dyDescent="0.2">
      <c r="A14" s="97">
        <f>1+A12</f>
        <v>42881</v>
      </c>
      <c r="B14" s="90">
        <f>SUMIFS(Collection!$J:$J, Collection!$A:$A, $A14, Collection!$B:$B, B$2)</f>
        <v>0</v>
      </c>
      <c r="C14" s="90">
        <f>SUMIFS(Collection!$J:$J, Collection!$A:$A, $A14, Collection!$B:$B, C$2)</f>
        <v>0</v>
      </c>
      <c r="D14" s="99">
        <f>'Bucket Counts'!U23</f>
        <v>69866.666666666657</v>
      </c>
      <c r="E14" s="90">
        <f>SUMIFS(Collection!$J:$J, Collection!$A:$A, $A14, Collection!$B:$B, E$2)</f>
        <v>0</v>
      </c>
      <c r="F14" s="99">
        <f>'Bucket Counts'!U24</f>
        <v>112000</v>
      </c>
      <c r="G14" s="90">
        <f>SUMIFS(Collection!$J:$J, Collection!$A:$A, $A14, Collection!$B:$B, G$2)</f>
        <v>0</v>
      </c>
      <c r="H14" s="99">
        <f>'Bucket Counts'!U26</f>
        <v>179400</v>
      </c>
      <c r="I14" s="99">
        <f>'Bucket Counts'!U20+Collection!O80</f>
        <v>14800</v>
      </c>
      <c r="J14" s="99">
        <f>Collection!O85</f>
        <v>57866.666666666664</v>
      </c>
      <c r="K14" s="99">
        <f>'Bucket Counts'!U28+Collection!O79</f>
        <v>144300</v>
      </c>
      <c r="L14" s="99">
        <f>'Bucket Counts'!U19</f>
        <v>118400</v>
      </c>
      <c r="M14" s="99">
        <f>'Bucket Counts'!U25</f>
        <v>150666.66666666666</v>
      </c>
      <c r="N14" s="99">
        <f>'Bucket Counts'!U22</f>
        <v>97600</v>
      </c>
      <c r="O14" s="90">
        <f>SUMIFS(Collection!$J:$J, Collection!$A:$A, $A14, Collection!$B:$B, O$2)</f>
        <v>0</v>
      </c>
      <c r="P14" s="90">
        <f>SUMIFS(Collection!$J:$J, Collection!$A:$A, $A14, Collection!$B:$B, P$2)</f>
        <v>0</v>
      </c>
      <c r="Q14" s="99">
        <f>'Bucket Counts'!U21</f>
        <v>97600</v>
      </c>
      <c r="R14" s="99">
        <f>'Bucket Counts'!U29</f>
        <v>20666.666666666668</v>
      </c>
      <c r="S14" s="99">
        <f>'Bucket Counts'!U30+Collection!O82</f>
        <v>84266.666666666672</v>
      </c>
      <c r="T14" s="99">
        <f>'Bucket Counts'!U31+Collection!O81</f>
        <v>81466.666666666657</v>
      </c>
      <c r="U14" s="99">
        <f>'Bucket Counts'!U32+Collection!O83</f>
        <v>125766.66666666667</v>
      </c>
      <c r="V14" s="99">
        <f>Collection!O84</f>
        <v>35700</v>
      </c>
      <c r="W14" s="99">
        <f>'Bucket Counts'!U33</f>
        <v>86933.333333333343</v>
      </c>
      <c r="X14" s="90">
        <f>SUMIFS(Collection!$J:$J, Collection!$A:$A, $A14, Collection!$B:$B, X$2)</f>
        <v>0</v>
      </c>
      <c r="Y14" s="90">
        <f>SUMIFS(Collection!$J:$J, Collection!$A:$A, $A14, Collection!$B:$B, Y$2)</f>
        <v>0</v>
      </c>
      <c r="AA14" s="23"/>
    </row>
    <row r="15" spans="1:30" s="55" customFormat="1" x14ac:dyDescent="0.2">
      <c r="A15" s="97">
        <f t="shared" si="0"/>
        <v>42882</v>
      </c>
      <c r="B15" s="90">
        <f>SUMIFS(Collection!$J:$J, Collection!$A:$A, $A15, Collection!$B:$B, B$2)</f>
        <v>0</v>
      </c>
      <c r="C15" s="90">
        <f>SUMIFS(Collection!$J:$J, Collection!$A:$A, $A15, Collection!$B:$B, C$2)</f>
        <v>0</v>
      </c>
      <c r="D15" s="99">
        <f>Collection!O93</f>
        <v>7050</v>
      </c>
      <c r="E15" s="90">
        <f>SUMIFS(Collection!$J:$J, Collection!$A:$A, $A15, Collection!$B:$B, E$2)</f>
        <v>0</v>
      </c>
      <c r="F15" s="99"/>
      <c r="G15" s="90">
        <f>SUMIFS(Collection!$J:$J, Collection!$A:$A, $A15, Collection!$B:$B, G$2)</f>
        <v>0</v>
      </c>
      <c r="H15" s="99">
        <f>SUMIFS(Collection!$J:$J, Collection!$A:$A, $A15, Collection!$B:$B, H$2)</f>
        <v>0</v>
      </c>
      <c r="I15" s="99">
        <f>Collection!O89+Collection!O94</f>
        <v>24225</v>
      </c>
      <c r="J15" s="99">
        <f>Collection!O87</f>
        <v>8016.666666666667</v>
      </c>
      <c r="K15" s="99">
        <f>Collection!O88</f>
        <v>3575</v>
      </c>
      <c r="L15" s="99">
        <f>SUMIFS(Collection!$J:$J, Collection!$A:$A, $A15, Collection!$B:$B, L$2)</f>
        <v>0</v>
      </c>
      <c r="M15" s="99">
        <f>Collection!O90+Collection!O91</f>
        <v>3733.333333333333</v>
      </c>
      <c r="N15" s="99">
        <f>Collection!O86+Collection!O97</f>
        <v>150133.33333333334</v>
      </c>
      <c r="O15" s="90">
        <f>SUMIFS(Collection!$J:$J, Collection!$A:$A, $A15, Collection!$B:$B, O$2)</f>
        <v>0</v>
      </c>
      <c r="P15" s="90">
        <f>SUMIFS(Collection!$J:$J, Collection!$A:$A, $A15, Collection!$B:$B, P$2)</f>
        <v>0</v>
      </c>
      <c r="Q15" s="99">
        <f>Collection!O92</f>
        <v>4916.666666666667</v>
      </c>
      <c r="R15" s="99">
        <f>SUMIFS(Collection!$J:$J, Collection!$A:$A, $A15, Collection!$B:$B, R$2)</f>
        <v>0</v>
      </c>
      <c r="S15" s="99">
        <f>Collection!O95</f>
        <v>52250</v>
      </c>
      <c r="T15" s="99">
        <f>SUMIFS(Collection!$J:$J, Collection!$A:$A, $A15, Collection!$B:$B, T$2)</f>
        <v>0</v>
      </c>
      <c r="U15" s="99">
        <f>SUMIFS(Collection!$J:$J, Collection!$A:$A, $A15, Collection!$B:$B, U$2)</f>
        <v>0</v>
      </c>
      <c r="V15" s="99">
        <f>Collection!O96</f>
        <v>53600</v>
      </c>
      <c r="W15" s="99">
        <f>SUMIFS(Collection!$J:$J, Collection!$A:$A, $A15, Collection!$B:$B, W$2)</f>
        <v>0</v>
      </c>
      <c r="X15" s="90">
        <f>SUMIFS(Collection!$J:$J, Collection!$A:$A, $A15, Collection!$B:$B, X$2)</f>
        <v>0</v>
      </c>
      <c r="Y15" s="90">
        <f>SUMIFS(Collection!$J:$J, Collection!$A:$A, $A15, Collection!$B:$B, Y$2)</f>
        <v>0</v>
      </c>
    </row>
    <row r="16" spans="1:30" s="55" customFormat="1" x14ac:dyDescent="0.2">
      <c r="A16" s="97">
        <f t="shared" si="0"/>
        <v>42883</v>
      </c>
      <c r="B16" s="90">
        <f>SUMIFS(Collection!$J:$J, Collection!$A:$A, $A16, Collection!$B:$B, B$2)</f>
        <v>0</v>
      </c>
      <c r="C16" s="90">
        <f>SUMIFS(Collection!$J:$J, Collection!$A:$A, $A16, Collection!$B:$B, C$2)</f>
        <v>0</v>
      </c>
      <c r="D16" s="99">
        <f>SUMIFS(Collection!$J:$J, Collection!$A:$A, $A16, Collection!$B:$B, D$2)</f>
        <v>0</v>
      </c>
      <c r="E16" s="90">
        <f>SUMIFS(Collection!$J:$J, Collection!$A:$A, $A16, Collection!$B:$B, E$2)</f>
        <v>0</v>
      </c>
      <c r="F16" s="99"/>
      <c r="G16" s="90">
        <f>SUMIFS(Collection!$J:$J, Collection!$A:$A, $A16, Collection!$B:$B, G$2)</f>
        <v>0</v>
      </c>
      <c r="H16" s="99">
        <f>SUMIFS(Collection!$J:$J, Collection!$A:$A, $A16, Collection!$B:$B, H$2)</f>
        <v>0</v>
      </c>
      <c r="I16" s="99"/>
      <c r="J16" s="99"/>
      <c r="K16" s="99">
        <f>SUMIFS(Collection!$J:$J, Collection!$A:$A, $A16, Collection!$B:$B, K$2)</f>
        <v>0</v>
      </c>
      <c r="L16" s="99">
        <f>SUMIFS(Collection!$J:$J, Collection!$A:$A, $A16, Collection!$B:$B, L$2)</f>
        <v>0</v>
      </c>
      <c r="M16" s="99">
        <f>SUMIFS(Collection!$J:$J, Collection!$A:$A, $A16, Collection!$B:$B, M$2)</f>
        <v>0</v>
      </c>
      <c r="N16" s="99">
        <f>SUMIFS(Collection!$J:$J, Collection!$A:$A, $A16, Collection!$B:$B, N$2)</f>
        <v>0</v>
      </c>
      <c r="O16" s="90">
        <f>SUMIFS(Collection!$J:$J, Collection!$A:$A, $A16, Collection!$B:$B, O$2)</f>
        <v>0</v>
      </c>
      <c r="P16" s="90">
        <f>SUMIFS(Collection!$J:$J, Collection!$A:$A, $A16, Collection!$B:$B, P$2)</f>
        <v>0</v>
      </c>
      <c r="Q16" s="99">
        <f>SUMIFS(Collection!$J:$J, Collection!$A:$A, $A16, Collection!$B:$B, Q$2)</f>
        <v>0</v>
      </c>
      <c r="R16" s="99">
        <f>SUMIFS(Collection!$J:$J, Collection!$A:$A, $A16, Collection!$B:$B, R$2)</f>
        <v>0</v>
      </c>
      <c r="S16" s="99">
        <f>SUMIFS(Collection!$J:$J, Collection!$A:$A, $A16, Collection!$B:$B, S$2)</f>
        <v>0</v>
      </c>
      <c r="T16" s="99">
        <f>SUMIFS(Collection!$J:$J, Collection!$A:$A, $A16, Collection!$B:$B, T$2)</f>
        <v>0</v>
      </c>
      <c r="U16" s="99">
        <f>SUMIFS(Collection!$J:$J, Collection!$A:$A, $A16, Collection!$B:$B, U$2)</f>
        <v>0</v>
      </c>
      <c r="V16" s="99">
        <f>SUMIFS(Collection!$J:$J, Collection!$A:$A, $A16, Collection!$B:$B, V$2)</f>
        <v>0</v>
      </c>
      <c r="W16" s="99">
        <f>SUMIFS(Collection!$J:$J, Collection!$A:$A, $A16, Collection!$B:$B, W$2)</f>
        <v>0</v>
      </c>
      <c r="X16" s="90">
        <f>SUMIFS(Collection!$J:$J, Collection!$A:$A, $A16, Collection!$B:$B, X$2)</f>
        <v>0</v>
      </c>
      <c r="Y16" s="90">
        <f>SUMIFS(Collection!$J:$J, Collection!$A:$A, $A16, Collection!$B:$B, Y$2)</f>
        <v>0</v>
      </c>
    </row>
    <row r="17" spans="1:25" s="55" customFormat="1" x14ac:dyDescent="0.2">
      <c r="A17" s="97">
        <v>42884</v>
      </c>
      <c r="B17" s="90"/>
      <c r="C17" s="90"/>
      <c r="D17" s="99"/>
      <c r="E17" s="90"/>
      <c r="F17" s="99"/>
      <c r="G17" s="90"/>
      <c r="H17" s="99"/>
      <c r="I17" s="99">
        <f>Collection!O98+Collection!O100</f>
        <v>53700</v>
      </c>
      <c r="J17" s="99">
        <f>Collection!O101</f>
        <v>0</v>
      </c>
      <c r="K17" s="99"/>
      <c r="L17" s="99"/>
      <c r="M17" s="99"/>
      <c r="N17" s="99"/>
      <c r="O17" s="90"/>
      <c r="P17" s="90"/>
      <c r="Q17" s="99"/>
      <c r="R17" s="99"/>
      <c r="S17" s="99"/>
      <c r="T17" s="99"/>
      <c r="U17" s="99"/>
      <c r="V17" s="99"/>
      <c r="W17" s="99"/>
      <c r="X17" s="90"/>
      <c r="Y17" s="90"/>
    </row>
    <row r="18" spans="1:25" s="55" customFormat="1" x14ac:dyDescent="0.2">
      <c r="A18" s="97" t="s">
        <v>138</v>
      </c>
      <c r="B18" s="90">
        <f>SUMIFS(Collection!$J:$J, Collection!$A:$A, $A18, Collection!$B:$B, B$2)</f>
        <v>0</v>
      </c>
      <c r="C18" s="90">
        <f>SUMIFS(Collection!$J:$J, Collection!$A:$A, $A18, Collection!$B:$B, C$2)</f>
        <v>0</v>
      </c>
      <c r="D18" s="99">
        <f t="shared" ref="D18:Y18" si="1">SUM(D14:D17)</f>
        <v>76916.666666666657</v>
      </c>
      <c r="E18" s="90">
        <f t="shared" si="1"/>
        <v>0</v>
      </c>
      <c r="F18" s="99">
        <f t="shared" si="1"/>
        <v>112000</v>
      </c>
      <c r="G18" s="90">
        <f t="shared" si="1"/>
        <v>0</v>
      </c>
      <c r="H18" s="99">
        <f t="shared" si="1"/>
        <v>179400</v>
      </c>
      <c r="I18" s="99">
        <f t="shared" si="1"/>
        <v>92725</v>
      </c>
      <c r="J18" s="99">
        <f t="shared" si="1"/>
        <v>65883.333333333328</v>
      </c>
      <c r="K18" s="99">
        <f t="shared" si="1"/>
        <v>147875</v>
      </c>
      <c r="L18" s="99">
        <f t="shared" si="1"/>
        <v>118400</v>
      </c>
      <c r="M18" s="99">
        <f t="shared" si="1"/>
        <v>154400</v>
      </c>
      <c r="N18" s="99">
        <f t="shared" si="1"/>
        <v>247733.33333333334</v>
      </c>
      <c r="O18" s="90">
        <f t="shared" si="1"/>
        <v>0</v>
      </c>
      <c r="P18" s="90">
        <f t="shared" si="1"/>
        <v>0</v>
      </c>
      <c r="Q18" s="99">
        <f t="shared" si="1"/>
        <v>102516.66666666667</v>
      </c>
      <c r="R18" s="99">
        <f t="shared" si="1"/>
        <v>20666.666666666668</v>
      </c>
      <c r="S18" s="99">
        <f t="shared" si="1"/>
        <v>136516.66666666669</v>
      </c>
      <c r="T18" s="99">
        <f t="shared" si="1"/>
        <v>81466.666666666657</v>
      </c>
      <c r="U18" s="99">
        <f t="shared" si="1"/>
        <v>125766.66666666667</v>
      </c>
      <c r="V18" s="99">
        <f t="shared" si="1"/>
        <v>89300</v>
      </c>
      <c r="W18" s="99">
        <f t="shared" si="1"/>
        <v>86933.333333333343</v>
      </c>
      <c r="X18" s="90">
        <f t="shared" si="1"/>
        <v>0</v>
      </c>
      <c r="Y18" s="90">
        <f t="shared" si="1"/>
        <v>0</v>
      </c>
    </row>
    <row r="19" spans="1:25" s="56" customFormat="1" ht="17" thickBot="1" x14ac:dyDescent="0.25">
      <c r="A19" s="98" t="s">
        <v>139</v>
      </c>
      <c r="B19" s="91" t="e">
        <f>SUM('Bucket Counts'!#REF!)/Stocking!B18</f>
        <v>#REF!</v>
      </c>
      <c r="C19" s="91" t="e">
        <f>SUM('Bucket Counts'!#REF!)/Stocking!C18</f>
        <v>#REF!</v>
      </c>
      <c r="D19" s="91">
        <f>SUM('Bucket Counts'!$P34:$P34)/Stocking!D18</f>
        <v>0.4507042253521128</v>
      </c>
      <c r="E19" s="91"/>
      <c r="F19" s="100"/>
      <c r="G19" s="91"/>
      <c r="H19" s="100"/>
      <c r="I19" s="100"/>
      <c r="J19" s="100"/>
      <c r="K19" s="100"/>
      <c r="L19" s="100"/>
      <c r="M19" s="100"/>
      <c r="N19" s="100"/>
      <c r="O19" s="91"/>
      <c r="P19" s="91"/>
      <c r="Q19" s="100"/>
      <c r="R19" s="100"/>
      <c r="S19" s="100"/>
      <c r="T19" s="100"/>
      <c r="U19" s="100"/>
      <c r="V19" s="100"/>
      <c r="W19" s="100"/>
      <c r="X19" s="91"/>
      <c r="Y19" s="91"/>
    </row>
    <row r="20" spans="1:25" s="55" customFormat="1" x14ac:dyDescent="0.2">
      <c r="A20" s="97" t="s">
        <v>68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s="55" customFormat="1" x14ac:dyDescent="0.2">
      <c r="A21" s="97">
        <v>42885</v>
      </c>
      <c r="B21" s="90">
        <f>SUMIFS(Collection!$J:$J, Collection!$A:$A, $A21, Collection!$B:$B, B$2)</f>
        <v>0</v>
      </c>
      <c r="C21" s="90">
        <f>SUMIFS(Collection!$J:$J, Collection!$A:$A, $A21, Collection!$B:$B, C$2)</f>
        <v>0</v>
      </c>
      <c r="D21" s="90">
        <f>SUMIFS(Collection!$J:$J, Collection!$A:$A, $A21, Collection!$B:$B, D$2)</f>
        <v>0</v>
      </c>
      <c r="E21" s="90">
        <f>SUMIFS(Collection!$J:$J, Collection!$A:$A, $A21, Collection!$B:$B, E$2)</f>
        <v>0</v>
      </c>
      <c r="F21" s="90">
        <f>SUMIFS(Collection!$J:$J, Collection!$A:$A, $A21, Collection!$B:$B, F$2)</f>
        <v>0</v>
      </c>
      <c r="G21" s="90">
        <f>SUMIFS(Collection!$J:$J, Collection!$A:$A, $A21, Collection!$B:$B, G$2)</f>
        <v>0</v>
      </c>
      <c r="H21" s="90">
        <f>SUMIFS(Collection!$J:$J, Collection!$A:$A, $A21, Collection!$B:$B, H$2)</f>
        <v>0</v>
      </c>
      <c r="I21" s="90">
        <f>SUMIFS(Collection!$J:$J, Collection!$A:$A, $A21, Collection!$B:$B, I$2)</f>
        <v>0</v>
      </c>
      <c r="J21" s="90">
        <f>SUMIFS(Collection!$J:$J, Collection!$A:$A, $A21, Collection!$B:$B, J$2)</f>
        <v>0</v>
      </c>
      <c r="K21" s="90">
        <f>SUMIFS(Collection!$J:$J, Collection!$A:$A, $A21, Collection!$B:$B, K$2)</f>
        <v>0</v>
      </c>
      <c r="L21" s="90">
        <f>SUMIFS(Collection!$J:$J, Collection!$A:$A, $A21, Collection!$B:$B, L$2)</f>
        <v>0</v>
      </c>
      <c r="M21" s="90">
        <f>SUMIFS(Collection!$J:$J, Collection!$A:$A, $A21, Collection!$B:$B, M$2)</f>
        <v>0</v>
      </c>
      <c r="N21" s="90">
        <f>SUMIFS(Collection!$J:$J, Collection!$A:$A, $A21, Collection!$B:$B, N$2)</f>
        <v>0</v>
      </c>
      <c r="O21" s="90">
        <f>SUMIFS(Collection!$J:$J, Collection!$A:$A, $A21, Collection!$B:$B, O$2)</f>
        <v>0</v>
      </c>
      <c r="P21" s="90">
        <f>SUMIFS(Collection!$J:$J, Collection!$A:$A, $A21, Collection!$B:$B, P$2)</f>
        <v>0</v>
      </c>
      <c r="Q21" s="90">
        <f>SUMIFS(Collection!$J:$J, Collection!$A:$A, $A21, Collection!$B:$B, Q$2)</f>
        <v>0</v>
      </c>
      <c r="R21" s="90">
        <f>SUMIFS(Collection!$J:$J, Collection!$A:$A, $A21, Collection!$B:$B, R$2)</f>
        <v>0</v>
      </c>
      <c r="S21" s="90">
        <f>SUMIFS(Collection!$J:$J, Collection!$A:$A, $A21, Collection!$B:$B, S$2)</f>
        <v>0</v>
      </c>
      <c r="T21" s="90">
        <f>SUMIFS(Collection!$J:$J, Collection!$A:$A, $A21, Collection!$B:$B, T$2)</f>
        <v>0</v>
      </c>
      <c r="U21" s="90">
        <f>SUMIFS(Collection!$J:$J, Collection!$A:$A, $A21, Collection!$B:$B, U$2)</f>
        <v>0</v>
      </c>
      <c r="V21" s="90">
        <f>SUMIFS(Collection!$J:$J, Collection!$A:$A, $A21, Collection!$B:$B, V$2)</f>
        <v>0</v>
      </c>
      <c r="W21" s="90">
        <f>SUMIFS(Collection!$J:$J, Collection!$A:$A, $A21, Collection!$B:$B, W$2)</f>
        <v>0</v>
      </c>
      <c r="X21" s="90">
        <f>SUMIFS(Collection!$J:$J, Collection!$A:$A, $A21, Collection!$B:$B, X$2)</f>
        <v>0</v>
      </c>
      <c r="Y21" s="90">
        <f>SUMIFS(Collection!$J:$J, Collection!$A:$A, $A21, Collection!$B:$B, Y$2)</f>
        <v>0</v>
      </c>
    </row>
    <row r="22" spans="1:25" s="55" customFormat="1" x14ac:dyDescent="0.2">
      <c r="A22" s="97">
        <f t="shared" si="0"/>
        <v>42886</v>
      </c>
      <c r="B22" s="90">
        <f>SUMIFS(Collection!$J:$J, Collection!$A:$A, $A22, Collection!$B:$B, B$2)</f>
        <v>0</v>
      </c>
      <c r="C22" s="90">
        <f>SUMIFS(Collection!$J:$J, Collection!$A:$A, $A22, Collection!$B:$B, C$2)</f>
        <v>0</v>
      </c>
      <c r="D22" s="90">
        <f>SUMIFS(Collection!$J:$J, Collection!$A:$A, $A22, Collection!$B:$B, D$2)</f>
        <v>0</v>
      </c>
      <c r="E22" s="90">
        <f>SUMIFS(Collection!$J:$J, Collection!$A:$A, $A22, Collection!$B:$B, E$2)</f>
        <v>0</v>
      </c>
      <c r="F22" s="90">
        <f>SUMIFS(Collection!$J:$J, Collection!$A:$A, $A22, Collection!$B:$B, F$2)</f>
        <v>0</v>
      </c>
      <c r="G22" s="90">
        <f>SUMIFS(Collection!$J:$J, Collection!$A:$A, $A22, Collection!$B:$B, G$2)</f>
        <v>0</v>
      </c>
      <c r="H22" s="90">
        <f>SUMIFS(Collection!$J:$J, Collection!$A:$A, $A22, Collection!$B:$B, H$2)</f>
        <v>0</v>
      </c>
      <c r="I22" s="90">
        <f>SUMIFS(Collection!$J:$J, Collection!$A:$A, $A22, Collection!$B:$B, I$2)</f>
        <v>0</v>
      </c>
      <c r="J22" s="90">
        <f>SUMIFS(Collection!$J:$J, Collection!$A:$A, $A22, Collection!$B:$B, J$2)</f>
        <v>0</v>
      </c>
      <c r="K22" s="90">
        <f>SUMIFS(Collection!$J:$J, Collection!$A:$A, $A22, Collection!$B:$B, K$2)</f>
        <v>0</v>
      </c>
      <c r="L22" s="90">
        <f>SUMIFS(Collection!$J:$J, Collection!$A:$A, $A22, Collection!$B:$B, L$2)</f>
        <v>0</v>
      </c>
      <c r="M22" s="90">
        <f>SUMIFS(Collection!$J:$J, Collection!$A:$A, $A22, Collection!$B:$B, M$2)</f>
        <v>0</v>
      </c>
      <c r="N22" s="90">
        <f>SUMIFS(Collection!$J:$J, Collection!$A:$A, $A22, Collection!$B:$B, N$2)</f>
        <v>0</v>
      </c>
      <c r="O22" s="90">
        <f>SUMIFS(Collection!$J:$J, Collection!$A:$A, $A22, Collection!$B:$B, O$2)</f>
        <v>0</v>
      </c>
      <c r="P22" s="90">
        <f>SUMIFS(Collection!$J:$J, Collection!$A:$A, $A22, Collection!$B:$B, P$2)</f>
        <v>0</v>
      </c>
      <c r="Q22" s="90">
        <f>SUMIFS(Collection!$J:$J, Collection!$A:$A, $A22, Collection!$B:$B, Q$2)</f>
        <v>0</v>
      </c>
      <c r="R22" s="90">
        <f>SUMIFS(Collection!$J:$J, Collection!$A:$A, $A22, Collection!$B:$B, R$2)</f>
        <v>0</v>
      </c>
      <c r="S22" s="90">
        <f>SUMIFS(Collection!$J:$J, Collection!$A:$A, $A22, Collection!$B:$B, S$2)</f>
        <v>0</v>
      </c>
      <c r="T22" s="90">
        <f>SUMIFS(Collection!$J:$J, Collection!$A:$A, $A22, Collection!$B:$B, T$2)</f>
        <v>0</v>
      </c>
      <c r="U22" s="90">
        <f>SUMIFS(Collection!$J:$J, Collection!$A:$A, $A22, Collection!$B:$B, U$2)</f>
        <v>0</v>
      </c>
      <c r="V22" s="90">
        <f>SUMIFS(Collection!$J:$J, Collection!$A:$A, $A22, Collection!$B:$B, V$2)</f>
        <v>0</v>
      </c>
      <c r="W22" s="90">
        <f>SUMIFS(Collection!$J:$J, Collection!$A:$A, $A22, Collection!$B:$B, W$2)</f>
        <v>0</v>
      </c>
      <c r="X22" s="90">
        <f>SUMIFS(Collection!$J:$J, Collection!$A:$A, $A22, Collection!$B:$B, X$2)</f>
        <v>0</v>
      </c>
      <c r="Y22" s="90">
        <f>SUMIFS(Collection!$J:$J, Collection!$A:$A, $A22, Collection!$B:$B, Y$2)</f>
        <v>0</v>
      </c>
    </row>
    <row r="23" spans="1:25" s="55" customFormat="1" x14ac:dyDescent="0.2">
      <c r="A23" s="97">
        <f t="shared" si="0"/>
        <v>42887</v>
      </c>
      <c r="B23" s="90">
        <f>SUMIFS(Collection!$J:$J, Collection!$A:$A, $A23, Collection!$B:$B, B$2)</f>
        <v>0</v>
      </c>
      <c r="C23" s="90">
        <f>SUMIFS(Collection!$J:$J, Collection!$A:$A, $A23, Collection!$B:$B, C$2)</f>
        <v>0</v>
      </c>
      <c r="D23" s="90">
        <f>SUMIFS(Collection!$J:$J, Collection!$A:$A, $A23, Collection!$B:$B, D$2)</f>
        <v>0</v>
      </c>
      <c r="E23" s="90">
        <f>SUMIFS(Collection!$J:$J, Collection!$A:$A, $A23, Collection!$B:$B, E$2)</f>
        <v>0</v>
      </c>
      <c r="F23" s="90">
        <f>SUMIFS(Collection!$J:$J, Collection!$A:$A, $A23, Collection!$B:$B, F$2)</f>
        <v>0</v>
      </c>
      <c r="G23" s="90">
        <f>SUMIFS(Collection!$J:$J, Collection!$A:$A, $A23, Collection!$B:$B, G$2)</f>
        <v>0</v>
      </c>
      <c r="H23" s="90">
        <f>SUMIFS(Collection!$J:$J, Collection!$A:$A, $A23, Collection!$B:$B, H$2)</f>
        <v>0</v>
      </c>
      <c r="I23" s="90">
        <f>SUMIFS(Collection!$J:$J, Collection!$A:$A, $A23, Collection!$B:$B, I$2)</f>
        <v>0</v>
      </c>
      <c r="J23" s="90">
        <f>SUMIFS(Collection!$J:$J, Collection!$A:$A, $A23, Collection!$B:$B, J$2)</f>
        <v>0</v>
      </c>
      <c r="K23" s="90">
        <f>SUMIFS(Collection!$J:$J, Collection!$A:$A, $A23, Collection!$B:$B, K$2)</f>
        <v>0</v>
      </c>
      <c r="L23" s="90">
        <f>SUMIFS(Collection!$J:$J, Collection!$A:$A, $A23, Collection!$B:$B, L$2)</f>
        <v>0</v>
      </c>
      <c r="M23" s="90">
        <f>SUMIFS(Collection!$J:$J, Collection!$A:$A, $A23, Collection!$B:$B, M$2)</f>
        <v>0</v>
      </c>
      <c r="N23" s="90">
        <f>SUMIFS(Collection!$J:$J, Collection!$A:$A, $A23, Collection!$B:$B, N$2)</f>
        <v>0</v>
      </c>
      <c r="O23" s="90">
        <f>SUMIFS(Collection!$J:$J, Collection!$A:$A, $A23, Collection!$B:$B, O$2)</f>
        <v>0</v>
      </c>
      <c r="P23" s="90">
        <f>SUMIFS(Collection!$J:$J, Collection!$A:$A, $A23, Collection!$B:$B, P$2)</f>
        <v>0</v>
      </c>
      <c r="Q23" s="90">
        <f>SUMIFS(Collection!$J:$J, Collection!$A:$A, $A23, Collection!$B:$B, Q$2)</f>
        <v>0</v>
      </c>
      <c r="R23" s="90">
        <f>SUMIFS(Collection!$J:$J, Collection!$A:$A, $A23, Collection!$B:$B, R$2)</f>
        <v>0</v>
      </c>
      <c r="S23" s="90">
        <f>SUMIFS(Collection!$J:$J, Collection!$A:$A, $A23, Collection!$B:$B, S$2)</f>
        <v>0</v>
      </c>
      <c r="T23" s="90">
        <f>SUMIFS(Collection!$J:$J, Collection!$A:$A, $A23, Collection!$B:$B, T$2)</f>
        <v>0</v>
      </c>
      <c r="U23" s="90">
        <f>SUMIFS(Collection!$J:$J, Collection!$A:$A, $A23, Collection!$B:$B, U$2)</f>
        <v>0</v>
      </c>
      <c r="V23" s="90">
        <f>SUMIFS(Collection!$J:$J, Collection!$A:$A, $A23, Collection!$B:$B, V$2)</f>
        <v>0</v>
      </c>
      <c r="W23" s="90">
        <f>SUMIFS(Collection!$J:$J, Collection!$A:$A, $A23, Collection!$B:$B, W$2)</f>
        <v>0</v>
      </c>
      <c r="X23" s="90">
        <f>SUMIFS(Collection!$J:$J, Collection!$A:$A, $A23, Collection!$B:$B, X$2)</f>
        <v>0</v>
      </c>
      <c r="Y23" s="90">
        <f>SUMIFS(Collection!$J:$J, Collection!$A:$A, $A23, Collection!$B:$B, Y$2)</f>
        <v>0</v>
      </c>
    </row>
    <row r="24" spans="1:25" s="56" customFormat="1" ht="17" thickBot="1" x14ac:dyDescent="0.25">
      <c r="A24" s="98">
        <f t="shared" si="0"/>
        <v>42888</v>
      </c>
      <c r="B24" s="91">
        <f>SUMIFS(Collection!$J:$J, Collection!$A:$A, $A24, Collection!$B:$B, B$2)</f>
        <v>0</v>
      </c>
      <c r="C24" s="91">
        <f>SUMIFS(Collection!$J:$J, Collection!$A:$A, $A24, Collection!$B:$B, C$2)</f>
        <v>0</v>
      </c>
      <c r="D24" s="91">
        <f>SUMIFS(Collection!$J:$J, Collection!$A:$A, $A24, Collection!$B:$B, D$2)</f>
        <v>0</v>
      </c>
      <c r="E24" s="91">
        <f>SUMIFS(Collection!$J:$J, Collection!$A:$A, $A24, Collection!$B:$B, E$2)</f>
        <v>0</v>
      </c>
      <c r="F24" s="91">
        <f>SUMIFS(Collection!$J:$J, Collection!$A:$A, $A24, Collection!$B:$B, F$2)</f>
        <v>0</v>
      </c>
      <c r="G24" s="91">
        <f>SUMIFS(Collection!$J:$J, Collection!$A:$A, $A24, Collection!$B:$B, G$2)</f>
        <v>0</v>
      </c>
      <c r="H24" s="91">
        <f>SUMIFS(Collection!$J:$J, Collection!$A:$A, $A24, Collection!$B:$B, H$2)</f>
        <v>0</v>
      </c>
      <c r="I24" s="91">
        <f>SUMIFS(Collection!$J:$J, Collection!$A:$A, $A24, Collection!$B:$B, I$2)</f>
        <v>0</v>
      </c>
      <c r="J24" s="91">
        <f>SUMIFS(Collection!$J:$J, Collection!$A:$A, $A24, Collection!$B:$B, J$2)</f>
        <v>0</v>
      </c>
      <c r="K24" s="91">
        <f>SUMIFS(Collection!$J:$J, Collection!$A:$A, $A24, Collection!$B:$B, K$2)</f>
        <v>0</v>
      </c>
      <c r="L24" s="91">
        <f>SUMIFS(Collection!$J:$J, Collection!$A:$A, $A24, Collection!$B:$B, L$2)</f>
        <v>0</v>
      </c>
      <c r="M24" s="91">
        <f>SUMIFS(Collection!$J:$J, Collection!$A:$A, $A24, Collection!$B:$B, M$2)</f>
        <v>0</v>
      </c>
      <c r="N24" s="91">
        <f>SUMIFS(Collection!$J:$J, Collection!$A:$A, $A24, Collection!$B:$B, N$2)</f>
        <v>0</v>
      </c>
      <c r="O24" s="91">
        <f>SUMIFS(Collection!$J:$J, Collection!$A:$A, $A24, Collection!$B:$B, O$2)</f>
        <v>0</v>
      </c>
      <c r="P24" s="91">
        <f>SUMIFS(Collection!$J:$J, Collection!$A:$A, $A24, Collection!$B:$B, P$2)</f>
        <v>0</v>
      </c>
      <c r="Q24" s="91">
        <f>SUMIFS(Collection!$J:$J, Collection!$A:$A, $A24, Collection!$B:$B, Q$2)</f>
        <v>0</v>
      </c>
      <c r="R24" s="91">
        <f>SUMIFS(Collection!$J:$J, Collection!$A:$A, $A24, Collection!$B:$B, R$2)</f>
        <v>0</v>
      </c>
      <c r="S24" s="91">
        <f>SUMIFS(Collection!$J:$J, Collection!$A:$A, $A24, Collection!$B:$B, S$2)</f>
        <v>0</v>
      </c>
      <c r="T24" s="91">
        <f>SUMIFS(Collection!$J:$J, Collection!$A:$A, $A24, Collection!$B:$B, T$2)</f>
        <v>0</v>
      </c>
      <c r="U24" s="91">
        <f>SUMIFS(Collection!$J:$J, Collection!$A:$A, $A24, Collection!$B:$B, U$2)</f>
        <v>0</v>
      </c>
      <c r="V24" s="91">
        <f>SUMIFS(Collection!$J:$J, Collection!$A:$A, $A24, Collection!$B:$B, V$2)</f>
        <v>0</v>
      </c>
      <c r="W24" s="91">
        <f>SUMIFS(Collection!$J:$J, Collection!$A:$A, $A24, Collection!$B:$B, W$2)</f>
        <v>0</v>
      </c>
      <c r="X24" s="91">
        <f>SUMIFS(Collection!$J:$J, Collection!$A:$A, $A24, Collection!$B:$B, X$2)</f>
        <v>0</v>
      </c>
      <c r="Y24" s="91">
        <f>SUMIFS(Collection!$J:$J, Collection!$A:$A, $A24, Collection!$B:$B, Y$2)</f>
        <v>0</v>
      </c>
    </row>
    <row r="25" spans="1:25" s="55" customFormat="1" x14ac:dyDescent="0.2">
      <c r="A25" s="97" t="s">
        <v>68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s="55" customFormat="1" x14ac:dyDescent="0.2">
      <c r="A26" s="97">
        <f>1+A24</f>
        <v>42889</v>
      </c>
      <c r="B26" s="90">
        <f>SUMIFS(Collection!$J:$J, Collection!$A:$A, $A26, Collection!$B:$B, B$2)</f>
        <v>0</v>
      </c>
      <c r="C26" s="90">
        <f>SUMIFS(Collection!$J:$J, Collection!$A:$A, $A26, Collection!$B:$B, C$2)</f>
        <v>0</v>
      </c>
      <c r="D26" s="90">
        <f>SUMIFS(Collection!$J:$J, Collection!$A:$A, $A26, Collection!$B:$B, D$2)</f>
        <v>0</v>
      </c>
      <c r="E26" s="90">
        <f>SUMIFS(Collection!$J:$J, Collection!$A:$A, $A26, Collection!$B:$B, E$2)</f>
        <v>0</v>
      </c>
      <c r="F26" s="90">
        <f>SUMIFS(Collection!$J:$J, Collection!$A:$A, $A26, Collection!$B:$B, F$2)</f>
        <v>0</v>
      </c>
      <c r="G26" s="90">
        <f>SUMIFS(Collection!$J:$J, Collection!$A:$A, $A26, Collection!$B:$B, G$2)</f>
        <v>0</v>
      </c>
      <c r="H26" s="90">
        <f>SUMIFS(Collection!$J:$J, Collection!$A:$A, $A26, Collection!$B:$B, H$2)</f>
        <v>0</v>
      </c>
      <c r="I26" s="90">
        <f>SUMIFS(Collection!$J:$J, Collection!$A:$A, $A26, Collection!$B:$B, I$2)</f>
        <v>0</v>
      </c>
      <c r="J26" s="90">
        <f>SUMIFS(Collection!$J:$J, Collection!$A:$A, $A26, Collection!$B:$B, J$2)</f>
        <v>0</v>
      </c>
      <c r="K26" s="90">
        <f>SUMIFS(Collection!$J:$J, Collection!$A:$A, $A26, Collection!$B:$B, K$2)</f>
        <v>0</v>
      </c>
      <c r="L26" s="90">
        <f>SUMIFS(Collection!$J:$J, Collection!$A:$A, $A26, Collection!$B:$B, L$2)</f>
        <v>0</v>
      </c>
      <c r="M26" s="90">
        <f>SUMIFS(Collection!$J:$J, Collection!$A:$A, $A26, Collection!$B:$B, M$2)</f>
        <v>0</v>
      </c>
      <c r="N26" s="90">
        <f>SUMIFS(Collection!$J:$J, Collection!$A:$A, $A26, Collection!$B:$B, N$2)</f>
        <v>0</v>
      </c>
      <c r="O26" s="90">
        <f>SUMIFS(Collection!$J:$J, Collection!$A:$A, $A26, Collection!$B:$B, O$2)</f>
        <v>0</v>
      </c>
      <c r="P26" s="90">
        <f>SUMIFS(Collection!$J:$J, Collection!$A:$A, $A26, Collection!$B:$B, P$2)</f>
        <v>0</v>
      </c>
      <c r="Q26" s="90">
        <f>SUMIFS(Collection!$J:$J, Collection!$A:$A, $A26, Collection!$B:$B, Q$2)</f>
        <v>0</v>
      </c>
      <c r="R26" s="90">
        <f>SUMIFS(Collection!$J:$J, Collection!$A:$A, $A26, Collection!$B:$B, R$2)</f>
        <v>0</v>
      </c>
      <c r="S26" s="90">
        <f>SUMIFS(Collection!$J:$J, Collection!$A:$A, $A26, Collection!$B:$B, S$2)</f>
        <v>0</v>
      </c>
      <c r="T26" s="90">
        <f>SUMIFS(Collection!$J:$J, Collection!$A:$A, $A26, Collection!$B:$B, T$2)</f>
        <v>0</v>
      </c>
      <c r="U26" s="90">
        <f>SUMIFS(Collection!$J:$J, Collection!$A:$A, $A26, Collection!$B:$B, U$2)</f>
        <v>0</v>
      </c>
      <c r="V26" s="90">
        <f>SUMIFS(Collection!$J:$J, Collection!$A:$A, $A26, Collection!$B:$B, V$2)</f>
        <v>0</v>
      </c>
      <c r="W26" s="90">
        <f>SUMIFS(Collection!$J:$J, Collection!$A:$A, $A26, Collection!$B:$B, W$2)</f>
        <v>0</v>
      </c>
      <c r="X26" s="90">
        <f>SUMIFS(Collection!$J:$J, Collection!$A:$A, $A26, Collection!$B:$B, X$2)</f>
        <v>0</v>
      </c>
      <c r="Y26" s="90">
        <f>SUMIFS(Collection!$J:$J, Collection!$A:$A, $A26, Collection!$B:$B, Y$2)</f>
        <v>0</v>
      </c>
    </row>
    <row r="27" spans="1:25" s="55" customFormat="1" x14ac:dyDescent="0.2">
      <c r="A27" s="97">
        <f t="shared" si="0"/>
        <v>42890</v>
      </c>
      <c r="B27" s="90">
        <f>SUMIFS(Collection!$J:$J, Collection!$A:$A, $A27, Collection!$B:$B, B$2)</f>
        <v>0</v>
      </c>
      <c r="C27" s="90">
        <f>SUMIFS(Collection!$J:$J, Collection!$A:$A, $A27, Collection!$B:$B, C$2)</f>
        <v>0</v>
      </c>
      <c r="D27" s="90">
        <f>SUMIFS(Collection!$J:$J, Collection!$A:$A, $A27, Collection!$B:$B, D$2)</f>
        <v>0</v>
      </c>
      <c r="E27" s="90">
        <f>SUMIFS(Collection!$J:$J, Collection!$A:$A, $A27, Collection!$B:$B, E$2)</f>
        <v>0</v>
      </c>
      <c r="F27" s="90">
        <f>SUMIFS(Collection!$J:$J, Collection!$A:$A, $A27, Collection!$B:$B, F$2)</f>
        <v>0</v>
      </c>
      <c r="G27" s="90">
        <f>SUMIFS(Collection!$J:$J, Collection!$A:$A, $A27, Collection!$B:$B, G$2)</f>
        <v>0</v>
      </c>
      <c r="H27" s="90">
        <f>SUMIFS(Collection!$J:$J, Collection!$A:$A, $A27, Collection!$B:$B, H$2)</f>
        <v>0</v>
      </c>
      <c r="I27" s="90">
        <f>SUMIFS(Collection!$J:$J, Collection!$A:$A, $A27, Collection!$B:$B, I$2)</f>
        <v>0</v>
      </c>
      <c r="J27" s="90">
        <f>SUMIFS(Collection!$J:$J, Collection!$A:$A, $A27, Collection!$B:$B, J$2)</f>
        <v>0</v>
      </c>
      <c r="K27" s="90">
        <f>SUMIFS(Collection!$J:$J, Collection!$A:$A, $A27, Collection!$B:$B, K$2)</f>
        <v>0</v>
      </c>
      <c r="L27" s="90">
        <f>SUMIFS(Collection!$J:$J, Collection!$A:$A, $A27, Collection!$B:$B, L$2)</f>
        <v>0</v>
      </c>
      <c r="M27" s="90">
        <f>SUMIFS(Collection!$J:$J, Collection!$A:$A, $A27, Collection!$B:$B, M$2)</f>
        <v>0</v>
      </c>
      <c r="N27" s="90">
        <f>SUMIFS(Collection!$J:$J, Collection!$A:$A, $A27, Collection!$B:$B, N$2)</f>
        <v>0</v>
      </c>
      <c r="O27" s="90">
        <f>SUMIFS(Collection!$J:$J, Collection!$A:$A, $A27, Collection!$B:$B, O$2)</f>
        <v>0</v>
      </c>
      <c r="P27" s="90">
        <f>SUMIFS(Collection!$J:$J, Collection!$A:$A, $A27, Collection!$B:$B, P$2)</f>
        <v>0</v>
      </c>
      <c r="Q27" s="90">
        <f>SUMIFS(Collection!$J:$J, Collection!$A:$A, $A27, Collection!$B:$B, Q$2)</f>
        <v>0</v>
      </c>
      <c r="R27" s="90">
        <f>SUMIFS(Collection!$J:$J, Collection!$A:$A, $A27, Collection!$B:$B, R$2)</f>
        <v>0</v>
      </c>
      <c r="S27" s="90">
        <f>SUMIFS(Collection!$J:$J, Collection!$A:$A, $A27, Collection!$B:$B, S$2)</f>
        <v>0</v>
      </c>
      <c r="T27" s="90">
        <f>SUMIFS(Collection!$J:$J, Collection!$A:$A, $A27, Collection!$B:$B, T$2)</f>
        <v>0</v>
      </c>
      <c r="U27" s="90">
        <f>SUMIFS(Collection!$J:$J, Collection!$A:$A, $A27, Collection!$B:$B, U$2)</f>
        <v>0</v>
      </c>
      <c r="V27" s="90">
        <f>SUMIFS(Collection!$J:$J, Collection!$A:$A, $A27, Collection!$B:$B, V$2)</f>
        <v>0</v>
      </c>
      <c r="W27" s="90">
        <f>SUMIFS(Collection!$J:$J, Collection!$A:$A, $A27, Collection!$B:$B, W$2)</f>
        <v>0</v>
      </c>
      <c r="X27" s="90">
        <f>SUMIFS(Collection!$J:$J, Collection!$A:$A, $A27, Collection!$B:$B, X$2)</f>
        <v>0</v>
      </c>
      <c r="Y27" s="90">
        <f>SUMIFS(Collection!$J:$J, Collection!$A:$A, $A27, Collection!$B:$B, Y$2)</f>
        <v>0</v>
      </c>
    </row>
    <row r="28" spans="1:25" s="56" customFormat="1" ht="17" thickBot="1" x14ac:dyDescent="0.25">
      <c r="A28" s="98">
        <f t="shared" si="0"/>
        <v>42891</v>
      </c>
      <c r="B28" s="91">
        <f>SUMIFS(Collection!$J:$J, Collection!$A:$A, $A28, Collection!$B:$B, B$2)</f>
        <v>0</v>
      </c>
      <c r="C28" s="91">
        <f>SUMIFS(Collection!$J:$J, Collection!$A:$A, $A28, Collection!$B:$B, C$2)</f>
        <v>0</v>
      </c>
      <c r="D28" s="91">
        <f>SUMIFS(Collection!$J:$J, Collection!$A:$A, $A28, Collection!$B:$B, D$2)</f>
        <v>0</v>
      </c>
      <c r="E28" s="91">
        <f>SUMIFS(Collection!$J:$J, Collection!$A:$A, $A28, Collection!$B:$B, E$2)</f>
        <v>0</v>
      </c>
      <c r="F28" s="91">
        <f>SUMIFS(Collection!$J:$J, Collection!$A:$A, $A28, Collection!$B:$B, F$2)</f>
        <v>0</v>
      </c>
      <c r="G28" s="91">
        <f>SUMIFS(Collection!$J:$J, Collection!$A:$A, $A28, Collection!$B:$B, G$2)</f>
        <v>0</v>
      </c>
      <c r="H28" s="91">
        <f>SUMIFS(Collection!$J:$J, Collection!$A:$A, $A28, Collection!$B:$B, H$2)</f>
        <v>0</v>
      </c>
      <c r="I28" s="91">
        <f>SUMIFS(Collection!$J:$J, Collection!$A:$A, $A28, Collection!$B:$B, I$2)</f>
        <v>0</v>
      </c>
      <c r="J28" s="91">
        <f>SUMIFS(Collection!$J:$J, Collection!$A:$A, $A28, Collection!$B:$B, J$2)</f>
        <v>0</v>
      </c>
      <c r="K28" s="91">
        <f>SUMIFS(Collection!$J:$J, Collection!$A:$A, $A28, Collection!$B:$B, K$2)</f>
        <v>0</v>
      </c>
      <c r="L28" s="91">
        <f>SUMIFS(Collection!$J:$J, Collection!$A:$A, $A28, Collection!$B:$B, L$2)</f>
        <v>0</v>
      </c>
      <c r="M28" s="91">
        <f>SUMIFS(Collection!$J:$J, Collection!$A:$A, $A28, Collection!$B:$B, M$2)</f>
        <v>0</v>
      </c>
      <c r="N28" s="91">
        <f>SUMIFS(Collection!$J:$J, Collection!$A:$A, $A28, Collection!$B:$B, N$2)</f>
        <v>0</v>
      </c>
      <c r="O28" s="91">
        <f>SUMIFS(Collection!$J:$J, Collection!$A:$A, $A28, Collection!$B:$B, O$2)</f>
        <v>0</v>
      </c>
      <c r="P28" s="91">
        <f>SUMIFS(Collection!$J:$J, Collection!$A:$A, $A28, Collection!$B:$B, P$2)</f>
        <v>0</v>
      </c>
      <c r="Q28" s="91">
        <f>SUMIFS(Collection!$J:$J, Collection!$A:$A, $A28, Collection!$B:$B, Q$2)</f>
        <v>0</v>
      </c>
      <c r="R28" s="91">
        <f>SUMIFS(Collection!$J:$J, Collection!$A:$A, $A28, Collection!$B:$B, R$2)</f>
        <v>0</v>
      </c>
      <c r="S28" s="91">
        <f>SUMIFS(Collection!$J:$J, Collection!$A:$A, $A28, Collection!$B:$B, S$2)</f>
        <v>0</v>
      </c>
      <c r="T28" s="91">
        <f>SUMIFS(Collection!$J:$J, Collection!$A:$A, $A28, Collection!$B:$B, T$2)</f>
        <v>0</v>
      </c>
      <c r="U28" s="91">
        <f>SUMIFS(Collection!$J:$J, Collection!$A:$A, $A28, Collection!$B:$B, U$2)</f>
        <v>0</v>
      </c>
      <c r="V28" s="91">
        <f>SUMIFS(Collection!$J:$J, Collection!$A:$A, $A28, Collection!$B:$B, V$2)</f>
        <v>0</v>
      </c>
      <c r="W28" s="91">
        <f>SUMIFS(Collection!$J:$J, Collection!$A:$A, $A28, Collection!$B:$B, W$2)</f>
        <v>0</v>
      </c>
      <c r="X28" s="91">
        <f>SUMIFS(Collection!$J:$J, Collection!$A:$A, $A28, Collection!$B:$B, X$2)</f>
        <v>0</v>
      </c>
      <c r="Y28" s="91">
        <f>SUMIFS(Collection!$J:$J, Collection!$A:$A, $A28, Collection!$B:$B, Y$2)</f>
        <v>0</v>
      </c>
    </row>
    <row r="29" spans="1:25" s="55" customFormat="1" x14ac:dyDescent="0.2">
      <c r="A29" s="97" t="s">
        <v>68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</row>
    <row r="30" spans="1:25" s="55" customFormat="1" x14ac:dyDescent="0.2">
      <c r="A30" s="97">
        <f>1+A28</f>
        <v>42892</v>
      </c>
      <c r="B30" s="90">
        <f>SUMIFS(Collection!$J:$J, Collection!$A:$A, $A30, Collection!$B:$B, B$2)</f>
        <v>0</v>
      </c>
      <c r="C30" s="90">
        <f>SUMIFS(Collection!$J:$J, Collection!$A:$A, $A30, Collection!$B:$B, C$2)</f>
        <v>0</v>
      </c>
      <c r="D30" s="90">
        <f>SUMIFS(Collection!$J:$J, Collection!$A:$A, $A30, Collection!$B:$B, D$2)</f>
        <v>0</v>
      </c>
      <c r="E30" s="90">
        <f>SUMIFS(Collection!$J:$J, Collection!$A:$A, $A30, Collection!$B:$B, E$2)</f>
        <v>0</v>
      </c>
      <c r="F30" s="90">
        <f>SUMIFS(Collection!$J:$J, Collection!$A:$A, $A30, Collection!$B:$B, F$2)</f>
        <v>0</v>
      </c>
      <c r="G30" s="90">
        <f>SUMIFS(Collection!$J:$J, Collection!$A:$A, $A30, Collection!$B:$B, G$2)</f>
        <v>0</v>
      </c>
      <c r="H30" s="90">
        <f>SUMIFS(Collection!$J:$J, Collection!$A:$A, $A30, Collection!$B:$B, H$2)</f>
        <v>0</v>
      </c>
      <c r="I30" s="90">
        <f>SUMIFS(Collection!$J:$J, Collection!$A:$A, $A30, Collection!$B:$B, I$2)</f>
        <v>0</v>
      </c>
      <c r="J30" s="90">
        <f>SUMIFS(Collection!$J:$J, Collection!$A:$A, $A30, Collection!$B:$B, J$2)</f>
        <v>0</v>
      </c>
      <c r="K30" s="90">
        <f>SUMIFS(Collection!$J:$J, Collection!$A:$A, $A30, Collection!$B:$B, K$2)</f>
        <v>0</v>
      </c>
      <c r="L30" s="90">
        <f>SUMIFS(Collection!$J:$J, Collection!$A:$A, $A30, Collection!$B:$B, L$2)</f>
        <v>0</v>
      </c>
      <c r="M30" s="90">
        <f>SUMIFS(Collection!$J:$J, Collection!$A:$A, $A30, Collection!$B:$B, M$2)</f>
        <v>0</v>
      </c>
      <c r="N30" s="90">
        <f>SUMIFS(Collection!$J:$J, Collection!$A:$A, $A30, Collection!$B:$B, N$2)</f>
        <v>0</v>
      </c>
      <c r="O30" s="90">
        <f>SUMIFS(Collection!$J:$J, Collection!$A:$A, $A30, Collection!$B:$B, O$2)</f>
        <v>0</v>
      </c>
      <c r="P30" s="90">
        <f>SUMIFS(Collection!$J:$J, Collection!$A:$A, $A30, Collection!$B:$B, P$2)</f>
        <v>0</v>
      </c>
      <c r="Q30" s="90">
        <f>SUMIFS(Collection!$J:$J, Collection!$A:$A, $A30, Collection!$B:$B, Q$2)</f>
        <v>0</v>
      </c>
      <c r="R30" s="90">
        <f>SUMIFS(Collection!$J:$J, Collection!$A:$A, $A30, Collection!$B:$B, R$2)</f>
        <v>0</v>
      </c>
      <c r="S30" s="90">
        <f>SUMIFS(Collection!$J:$J, Collection!$A:$A, $A30, Collection!$B:$B, S$2)</f>
        <v>0</v>
      </c>
      <c r="T30" s="90">
        <f>SUMIFS(Collection!$J:$J, Collection!$A:$A, $A30, Collection!$B:$B, T$2)</f>
        <v>0</v>
      </c>
      <c r="U30" s="90">
        <f>SUMIFS(Collection!$J:$J, Collection!$A:$A, $A30, Collection!$B:$B, U$2)</f>
        <v>0</v>
      </c>
      <c r="V30" s="90">
        <f>SUMIFS(Collection!$J:$J, Collection!$A:$A, $A30, Collection!$B:$B, V$2)</f>
        <v>0</v>
      </c>
      <c r="W30" s="90">
        <f>SUMIFS(Collection!$J:$J, Collection!$A:$A, $A30, Collection!$B:$B, W$2)</f>
        <v>0</v>
      </c>
      <c r="X30" s="90">
        <f>SUMIFS(Collection!$J:$J, Collection!$A:$A, $A30, Collection!$B:$B, X$2)</f>
        <v>0</v>
      </c>
      <c r="Y30" s="90">
        <f>SUMIFS(Collection!$J:$J, Collection!$A:$A, $A30, Collection!$B:$B, Y$2)</f>
        <v>0</v>
      </c>
    </row>
    <row r="31" spans="1:25" s="55" customFormat="1" x14ac:dyDescent="0.2">
      <c r="A31" s="97">
        <f t="shared" si="0"/>
        <v>42893</v>
      </c>
      <c r="B31" s="90">
        <f>SUMIFS(Collection!$J:$J, Collection!$A:$A, $A31, Collection!$B:$B, B$2)</f>
        <v>0</v>
      </c>
      <c r="C31" s="90">
        <f>SUMIFS(Collection!$J:$J, Collection!$A:$A, $A31, Collection!$B:$B, C$2)</f>
        <v>0</v>
      </c>
      <c r="D31" s="90">
        <f>SUMIFS(Collection!$J:$J, Collection!$A:$A, $A31, Collection!$B:$B, D$2)</f>
        <v>0</v>
      </c>
      <c r="E31" s="90">
        <f>SUMIFS(Collection!$J:$J, Collection!$A:$A, $A31, Collection!$B:$B, E$2)</f>
        <v>0</v>
      </c>
      <c r="F31" s="90">
        <f>SUMIFS(Collection!$J:$J, Collection!$A:$A, $A31, Collection!$B:$B, F$2)</f>
        <v>0</v>
      </c>
      <c r="G31" s="90">
        <f>SUMIFS(Collection!$J:$J, Collection!$A:$A, $A31, Collection!$B:$B, G$2)</f>
        <v>0</v>
      </c>
      <c r="H31" s="90">
        <f>SUMIFS(Collection!$J:$J, Collection!$A:$A, $A31, Collection!$B:$B, H$2)</f>
        <v>0</v>
      </c>
      <c r="I31" s="90">
        <f>SUMIFS(Collection!$J:$J, Collection!$A:$A, $A31, Collection!$B:$B, I$2)</f>
        <v>0</v>
      </c>
      <c r="J31" s="90">
        <f>SUMIFS(Collection!$J:$J, Collection!$A:$A, $A31, Collection!$B:$B, J$2)</f>
        <v>0</v>
      </c>
      <c r="K31" s="90">
        <f>SUMIFS(Collection!$J:$J, Collection!$A:$A, $A31, Collection!$B:$B, K$2)</f>
        <v>0</v>
      </c>
      <c r="L31" s="90">
        <f>SUMIFS(Collection!$J:$J, Collection!$A:$A, $A31, Collection!$B:$B, L$2)</f>
        <v>0</v>
      </c>
      <c r="M31" s="90">
        <f>SUMIFS(Collection!$J:$J, Collection!$A:$A, $A31, Collection!$B:$B, M$2)</f>
        <v>0</v>
      </c>
      <c r="N31" s="90">
        <f>SUMIFS(Collection!$J:$J, Collection!$A:$A, $A31, Collection!$B:$B, N$2)</f>
        <v>0</v>
      </c>
      <c r="O31" s="90">
        <f>SUMIFS(Collection!$J:$J, Collection!$A:$A, $A31, Collection!$B:$B, O$2)</f>
        <v>0</v>
      </c>
      <c r="P31" s="90">
        <f>SUMIFS(Collection!$J:$J, Collection!$A:$A, $A31, Collection!$B:$B, P$2)</f>
        <v>0</v>
      </c>
      <c r="Q31" s="90">
        <f>SUMIFS(Collection!$J:$J, Collection!$A:$A, $A31, Collection!$B:$B, Q$2)</f>
        <v>0</v>
      </c>
      <c r="R31" s="90">
        <f>SUMIFS(Collection!$J:$J, Collection!$A:$A, $A31, Collection!$B:$B, R$2)</f>
        <v>0</v>
      </c>
      <c r="S31" s="90">
        <f>SUMIFS(Collection!$J:$J, Collection!$A:$A, $A31, Collection!$B:$B, S$2)</f>
        <v>0</v>
      </c>
      <c r="T31" s="90">
        <f>SUMIFS(Collection!$J:$J, Collection!$A:$A, $A31, Collection!$B:$B, T$2)</f>
        <v>0</v>
      </c>
      <c r="U31" s="90">
        <f>SUMIFS(Collection!$J:$J, Collection!$A:$A, $A31, Collection!$B:$B, U$2)</f>
        <v>0</v>
      </c>
      <c r="V31" s="90">
        <f>SUMIFS(Collection!$J:$J, Collection!$A:$A, $A31, Collection!$B:$B, V$2)</f>
        <v>0</v>
      </c>
      <c r="W31" s="90">
        <f>SUMIFS(Collection!$J:$J, Collection!$A:$A, $A31, Collection!$B:$B, W$2)</f>
        <v>0</v>
      </c>
      <c r="X31" s="90">
        <f>SUMIFS(Collection!$J:$J, Collection!$A:$A, $A31, Collection!$B:$B, X$2)</f>
        <v>0</v>
      </c>
      <c r="Y31" s="90">
        <f>SUMIFS(Collection!$J:$J, Collection!$A:$A, $A31, Collection!$B:$B, Y$2)</f>
        <v>0</v>
      </c>
    </row>
    <row r="32" spans="1:25" s="56" customFormat="1" ht="17" thickBot="1" x14ac:dyDescent="0.25">
      <c r="A32" s="98">
        <f t="shared" si="0"/>
        <v>42894</v>
      </c>
      <c r="B32" s="91">
        <f>SUMIFS(Collection!$J:$J, Collection!$A:$A, $A32, Collection!$B:$B, B$2)</f>
        <v>0</v>
      </c>
      <c r="C32" s="91">
        <f>SUMIFS(Collection!$J:$J, Collection!$A:$A, $A32, Collection!$B:$B, C$2)</f>
        <v>0</v>
      </c>
      <c r="D32" s="91">
        <f>SUMIFS(Collection!$J:$J, Collection!$A:$A, $A32, Collection!$B:$B, D$2)</f>
        <v>0</v>
      </c>
      <c r="E32" s="91">
        <f>SUMIFS(Collection!$J:$J, Collection!$A:$A, $A32, Collection!$B:$B, E$2)</f>
        <v>0</v>
      </c>
      <c r="F32" s="91">
        <f>SUMIFS(Collection!$J:$J, Collection!$A:$A, $A32, Collection!$B:$B, F$2)</f>
        <v>0</v>
      </c>
      <c r="G32" s="91">
        <f>SUMIFS(Collection!$J:$J, Collection!$A:$A, $A32, Collection!$B:$B, G$2)</f>
        <v>0</v>
      </c>
      <c r="H32" s="91">
        <f>SUMIFS(Collection!$J:$J, Collection!$A:$A, $A32, Collection!$B:$B, H$2)</f>
        <v>0</v>
      </c>
      <c r="I32" s="91">
        <f>SUMIFS(Collection!$J:$J, Collection!$A:$A, $A32, Collection!$B:$B, I$2)</f>
        <v>0</v>
      </c>
      <c r="J32" s="91">
        <f>SUMIFS(Collection!$J:$J, Collection!$A:$A, $A32, Collection!$B:$B, J$2)</f>
        <v>0</v>
      </c>
      <c r="K32" s="91">
        <f>SUMIFS(Collection!$J:$J, Collection!$A:$A, $A32, Collection!$B:$B, K$2)</f>
        <v>0</v>
      </c>
      <c r="L32" s="91">
        <f>SUMIFS(Collection!$J:$J, Collection!$A:$A, $A32, Collection!$B:$B, L$2)</f>
        <v>0</v>
      </c>
      <c r="M32" s="91">
        <f>SUMIFS(Collection!$J:$J, Collection!$A:$A, $A32, Collection!$B:$B, M$2)</f>
        <v>0</v>
      </c>
      <c r="N32" s="91">
        <f>SUMIFS(Collection!$J:$J, Collection!$A:$A, $A32, Collection!$B:$B, N$2)</f>
        <v>0</v>
      </c>
      <c r="O32" s="91">
        <f>SUMIFS(Collection!$J:$J, Collection!$A:$A, $A32, Collection!$B:$B, O$2)</f>
        <v>0</v>
      </c>
      <c r="P32" s="91">
        <f>SUMIFS(Collection!$J:$J, Collection!$A:$A, $A32, Collection!$B:$B, P$2)</f>
        <v>0</v>
      </c>
      <c r="Q32" s="91">
        <f>SUMIFS(Collection!$J:$J, Collection!$A:$A, $A32, Collection!$B:$B, Q$2)</f>
        <v>0</v>
      </c>
      <c r="R32" s="91">
        <f>SUMIFS(Collection!$J:$J, Collection!$A:$A, $A32, Collection!$B:$B, R$2)</f>
        <v>0</v>
      </c>
      <c r="S32" s="91">
        <f>SUMIFS(Collection!$J:$J, Collection!$A:$A, $A32, Collection!$B:$B, S$2)</f>
        <v>0</v>
      </c>
      <c r="T32" s="91">
        <f>SUMIFS(Collection!$J:$J, Collection!$A:$A, $A32, Collection!$B:$B, T$2)</f>
        <v>0</v>
      </c>
      <c r="U32" s="91">
        <f>SUMIFS(Collection!$J:$J, Collection!$A:$A, $A32, Collection!$B:$B, U$2)</f>
        <v>0</v>
      </c>
      <c r="V32" s="91">
        <f>SUMIFS(Collection!$J:$J, Collection!$A:$A, $A32, Collection!$B:$B, V$2)</f>
        <v>0</v>
      </c>
      <c r="W32" s="91">
        <f>SUMIFS(Collection!$J:$J, Collection!$A:$A, $A32, Collection!$B:$B, W$2)</f>
        <v>0</v>
      </c>
      <c r="X32" s="91">
        <f>SUMIFS(Collection!$J:$J, Collection!$A:$A, $A32, Collection!$B:$B, X$2)</f>
        <v>0</v>
      </c>
      <c r="Y32" s="91">
        <f>SUMIFS(Collection!$J:$J, Collection!$A:$A, $A32, Collection!$B:$B, Y$2)</f>
        <v>0</v>
      </c>
    </row>
    <row r="33" spans="1:25" s="55" customFormat="1" x14ac:dyDescent="0.2">
      <c r="A33" s="97" t="s">
        <v>68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</row>
    <row r="34" spans="1:25" s="55" customFormat="1" x14ac:dyDescent="0.2">
      <c r="A34" s="97">
        <f>1+A32</f>
        <v>42895</v>
      </c>
      <c r="B34" s="90">
        <f>SUMIFS(Collection!$J:$J, Collection!$A:$A, $A34, Collection!$B:$B, B$2)</f>
        <v>0</v>
      </c>
      <c r="C34" s="90">
        <f>SUMIFS(Collection!$J:$J, Collection!$A:$A, $A34, Collection!$B:$B, C$2)</f>
        <v>0</v>
      </c>
      <c r="D34" s="90">
        <f>SUMIFS(Collection!$J:$J, Collection!$A:$A, $A34, Collection!$B:$B, D$2)</f>
        <v>0</v>
      </c>
      <c r="E34" s="90">
        <f>SUMIFS(Collection!$J:$J, Collection!$A:$A, $A34, Collection!$B:$B, E$2)</f>
        <v>0</v>
      </c>
      <c r="F34" s="90">
        <f>SUMIFS(Collection!$J:$J, Collection!$A:$A, $A34, Collection!$B:$B, F$2)</f>
        <v>0</v>
      </c>
      <c r="G34" s="90">
        <f>SUMIFS(Collection!$J:$J, Collection!$A:$A, $A34, Collection!$B:$B, G$2)</f>
        <v>0</v>
      </c>
      <c r="H34" s="90">
        <f>SUMIFS(Collection!$J:$J, Collection!$A:$A, $A34, Collection!$B:$B, H$2)</f>
        <v>0</v>
      </c>
      <c r="I34" s="90">
        <f>SUMIFS(Collection!$J:$J, Collection!$A:$A, $A34, Collection!$B:$B, I$2)</f>
        <v>0</v>
      </c>
      <c r="J34" s="90">
        <f>SUMIFS(Collection!$J:$J, Collection!$A:$A, $A34, Collection!$B:$B, J$2)</f>
        <v>0</v>
      </c>
      <c r="K34" s="90">
        <f>SUMIFS(Collection!$J:$J, Collection!$A:$A, $A34, Collection!$B:$B, K$2)</f>
        <v>0</v>
      </c>
      <c r="L34" s="90">
        <f>SUMIFS(Collection!$J:$J, Collection!$A:$A, $A34, Collection!$B:$B, L$2)</f>
        <v>0</v>
      </c>
      <c r="M34" s="90">
        <f>SUMIFS(Collection!$J:$J, Collection!$A:$A, $A34, Collection!$B:$B, M$2)</f>
        <v>0</v>
      </c>
      <c r="N34" s="90">
        <f>SUMIFS(Collection!$J:$J, Collection!$A:$A, $A34, Collection!$B:$B, N$2)</f>
        <v>0</v>
      </c>
      <c r="O34" s="90">
        <f>SUMIFS(Collection!$J:$J, Collection!$A:$A, $A34, Collection!$B:$B, O$2)</f>
        <v>0</v>
      </c>
      <c r="P34" s="90">
        <f>SUMIFS(Collection!$J:$J, Collection!$A:$A, $A34, Collection!$B:$B, P$2)</f>
        <v>0</v>
      </c>
      <c r="Q34" s="90">
        <f>SUMIFS(Collection!$J:$J, Collection!$A:$A, $A34, Collection!$B:$B, Q$2)</f>
        <v>0</v>
      </c>
      <c r="R34" s="90">
        <f>SUMIFS(Collection!$J:$J, Collection!$A:$A, $A34, Collection!$B:$B, R$2)</f>
        <v>0</v>
      </c>
      <c r="S34" s="90">
        <f>SUMIFS(Collection!$J:$J, Collection!$A:$A, $A34, Collection!$B:$B, S$2)</f>
        <v>0</v>
      </c>
      <c r="T34" s="90">
        <f>SUMIFS(Collection!$J:$J, Collection!$A:$A, $A34, Collection!$B:$B, T$2)</f>
        <v>0</v>
      </c>
      <c r="U34" s="90">
        <f>SUMIFS(Collection!$J:$J, Collection!$A:$A, $A34, Collection!$B:$B, U$2)</f>
        <v>0</v>
      </c>
      <c r="V34" s="90">
        <f>SUMIFS(Collection!$J:$J, Collection!$A:$A, $A34, Collection!$B:$B, V$2)</f>
        <v>0</v>
      </c>
      <c r="W34" s="90">
        <f>SUMIFS(Collection!$J:$J, Collection!$A:$A, $A34, Collection!$B:$B, W$2)</f>
        <v>0</v>
      </c>
      <c r="X34" s="90">
        <f>SUMIFS(Collection!$J:$J, Collection!$A:$A, $A34, Collection!$B:$B, X$2)</f>
        <v>0</v>
      </c>
      <c r="Y34" s="90">
        <f>SUMIFS(Collection!$J:$J, Collection!$A:$A, $A34, Collection!$B:$B, Y$2)</f>
        <v>0</v>
      </c>
    </row>
    <row r="35" spans="1:25" s="55" customFormat="1" x14ac:dyDescent="0.2">
      <c r="A35" s="97">
        <f t="shared" si="0"/>
        <v>42896</v>
      </c>
      <c r="B35" s="90">
        <f>SUMIFS(Collection!$J:$J, Collection!$A:$A, $A35, Collection!$B:$B, B$2)</f>
        <v>0</v>
      </c>
      <c r="C35" s="90">
        <f>SUMIFS(Collection!$J:$J, Collection!$A:$A, $A35, Collection!$B:$B, C$2)</f>
        <v>0</v>
      </c>
      <c r="D35" s="90">
        <f>SUMIFS(Collection!$J:$J, Collection!$A:$A, $A35, Collection!$B:$B, D$2)</f>
        <v>0</v>
      </c>
      <c r="E35" s="92">
        <f>SUMIFS(Collection!$J:$J, Collection!$A:$A, $A35, Collection!$B:$B, E$2)</f>
        <v>0</v>
      </c>
      <c r="F35" s="90">
        <f>SUMIFS(Collection!$J:$J, Collection!$A:$A, $A35, Collection!$B:$B, F$2)</f>
        <v>0</v>
      </c>
      <c r="G35" s="90">
        <f>SUMIFS(Collection!$J:$J, Collection!$A:$A, $A35, Collection!$B:$B, G$2)</f>
        <v>0</v>
      </c>
      <c r="H35" s="90">
        <f>SUMIFS(Collection!$J:$J, Collection!$A:$A, $A35, Collection!$B:$B, H$2)</f>
        <v>0</v>
      </c>
      <c r="I35" s="90">
        <f>SUMIFS(Collection!$J:$J, Collection!$A:$A, $A35, Collection!$B:$B, I$2)</f>
        <v>0</v>
      </c>
      <c r="J35" s="90">
        <f>SUMIFS(Collection!$J:$J, Collection!$A:$A, $A35, Collection!$B:$B, J$2)</f>
        <v>0</v>
      </c>
      <c r="K35" s="90">
        <f>SUMIFS(Collection!$J:$J, Collection!$A:$A, $A35, Collection!$B:$B, K$2)</f>
        <v>0</v>
      </c>
      <c r="L35" s="90">
        <f>SUMIFS(Collection!$J:$J, Collection!$A:$A, $A35, Collection!$B:$B, L$2)</f>
        <v>0</v>
      </c>
      <c r="M35" s="90">
        <f>SUMIFS(Collection!$J:$J, Collection!$A:$A, $A35, Collection!$B:$B, M$2)</f>
        <v>0</v>
      </c>
      <c r="N35" s="90">
        <f>SUMIFS(Collection!$J:$J, Collection!$A:$A, $A35, Collection!$B:$B, N$2)</f>
        <v>0</v>
      </c>
      <c r="O35" s="90">
        <f>SUMIFS(Collection!$J:$J, Collection!$A:$A, $A35, Collection!$B:$B, O$2)</f>
        <v>0</v>
      </c>
      <c r="P35" s="90">
        <f>SUMIFS(Collection!$J:$J, Collection!$A:$A, $A35, Collection!$B:$B, P$2)</f>
        <v>0</v>
      </c>
      <c r="Q35" s="90">
        <f>SUMIFS(Collection!$J:$J, Collection!$A:$A, $A35, Collection!$B:$B, Q$2)</f>
        <v>0</v>
      </c>
      <c r="R35" s="90">
        <f>SUMIFS(Collection!$J:$J, Collection!$A:$A, $A35, Collection!$B:$B, R$2)</f>
        <v>0</v>
      </c>
      <c r="S35" s="90">
        <f>SUMIFS(Collection!$J:$J, Collection!$A:$A, $A35, Collection!$B:$B, S$2)</f>
        <v>0</v>
      </c>
      <c r="T35" s="90">
        <f>SUMIFS(Collection!$J:$J, Collection!$A:$A, $A35, Collection!$B:$B, T$2)</f>
        <v>0</v>
      </c>
      <c r="U35" s="90">
        <f>SUMIFS(Collection!$J:$J, Collection!$A:$A, $A35, Collection!$B:$B, U$2)</f>
        <v>0</v>
      </c>
      <c r="V35" s="90">
        <f>SUMIFS(Collection!$J:$J, Collection!$A:$A, $A35, Collection!$B:$B, V$2)</f>
        <v>0</v>
      </c>
      <c r="W35" s="90">
        <f>SUMIFS(Collection!$J:$J, Collection!$A:$A, $A35, Collection!$B:$B, W$2)</f>
        <v>0</v>
      </c>
      <c r="X35" s="90">
        <f>SUMIFS(Collection!$J:$J, Collection!$A:$A, $A35, Collection!$B:$B, X$2)</f>
        <v>0</v>
      </c>
      <c r="Y35" s="90">
        <f>SUMIFS(Collection!$J:$J, Collection!$A:$A, $A35, Collection!$B:$B, Y$2)</f>
        <v>0</v>
      </c>
    </row>
    <row r="36" spans="1:25" s="55" customFormat="1" x14ac:dyDescent="0.2">
      <c r="A36" s="97">
        <f t="shared" si="0"/>
        <v>42897</v>
      </c>
      <c r="B36" s="90">
        <f>SUMIFS(Collection!$J:$J, Collection!$A:$A, $A36, Collection!$B:$B, B$2)</f>
        <v>0</v>
      </c>
      <c r="C36" s="90">
        <f>SUMIFS(Collection!$J:$J, Collection!$A:$A, $A36, Collection!$B:$B, C$2)</f>
        <v>0</v>
      </c>
      <c r="D36" s="90">
        <f>SUMIFS(Collection!$J:$J, Collection!$A:$A, $A36, Collection!$B:$B, D$2)</f>
        <v>0</v>
      </c>
      <c r="E36" s="90">
        <f>SUMIFS(Collection!$J:$J, Collection!$A:$A, $A36, Collection!$B:$B, E$2)</f>
        <v>0</v>
      </c>
      <c r="F36" s="90">
        <f>SUMIFS(Collection!$J:$J, Collection!$A:$A, $A36, Collection!$B:$B, F$2)</f>
        <v>0</v>
      </c>
      <c r="G36" s="90">
        <f>SUMIFS(Collection!$J:$J, Collection!$A:$A, $A36, Collection!$B:$B, G$2)</f>
        <v>0</v>
      </c>
      <c r="H36" s="90">
        <f>SUMIFS(Collection!$J:$J, Collection!$A:$A, $A36, Collection!$B:$B, H$2)</f>
        <v>0</v>
      </c>
      <c r="I36" s="90">
        <f>SUMIFS(Collection!$J:$J, Collection!$A:$A, $A36, Collection!$B:$B, I$2)</f>
        <v>0</v>
      </c>
      <c r="J36" s="90">
        <f>SUMIFS(Collection!$J:$J, Collection!$A:$A, $A36, Collection!$B:$B, J$2)</f>
        <v>0</v>
      </c>
      <c r="K36" s="90">
        <f>SUMIFS(Collection!$J:$J, Collection!$A:$A, $A36, Collection!$B:$B, K$2)</f>
        <v>0</v>
      </c>
      <c r="L36" s="90">
        <f>SUMIFS(Collection!$J:$J, Collection!$A:$A, $A36, Collection!$B:$B, L$2)</f>
        <v>0</v>
      </c>
      <c r="M36" s="90">
        <f>SUMIFS(Collection!$J:$J, Collection!$A:$A, $A36, Collection!$B:$B, M$2)</f>
        <v>0</v>
      </c>
      <c r="N36" s="90">
        <f>SUMIFS(Collection!$J:$J, Collection!$A:$A, $A36, Collection!$B:$B, N$2)</f>
        <v>0</v>
      </c>
      <c r="O36" s="90">
        <f>SUMIFS(Collection!$J:$J, Collection!$A:$A, $A36, Collection!$B:$B, O$2)</f>
        <v>0</v>
      </c>
      <c r="P36" s="90">
        <f>SUMIFS(Collection!$J:$J, Collection!$A:$A, $A36, Collection!$B:$B, P$2)</f>
        <v>0</v>
      </c>
      <c r="Q36" s="90">
        <f>SUMIFS(Collection!$J:$J, Collection!$A:$A, $A36, Collection!$B:$B, Q$2)</f>
        <v>0</v>
      </c>
      <c r="R36" s="90">
        <f>SUMIFS(Collection!$J:$J, Collection!$A:$A, $A36, Collection!$B:$B, R$2)</f>
        <v>0</v>
      </c>
      <c r="S36" s="90">
        <f>SUMIFS(Collection!$J:$J, Collection!$A:$A, $A36, Collection!$B:$B, S$2)</f>
        <v>0</v>
      </c>
      <c r="T36" s="90">
        <f>SUMIFS(Collection!$J:$J, Collection!$A:$A, $A36, Collection!$B:$B, T$2)</f>
        <v>0</v>
      </c>
      <c r="U36" s="90">
        <f>SUMIFS(Collection!$J:$J, Collection!$A:$A, $A36, Collection!$B:$B, U$2)</f>
        <v>0</v>
      </c>
      <c r="V36" s="90">
        <f>SUMIFS(Collection!$J:$J, Collection!$A:$A, $A36, Collection!$B:$B, V$2)</f>
        <v>0</v>
      </c>
      <c r="W36" s="90">
        <f>SUMIFS(Collection!$J:$J, Collection!$A:$A, $A36, Collection!$B:$B, W$2)</f>
        <v>0</v>
      </c>
      <c r="X36" s="90">
        <f>SUMIFS(Collection!$J:$J, Collection!$A:$A, $A36, Collection!$B:$B, X$2)</f>
        <v>0</v>
      </c>
      <c r="Y36" s="90">
        <f>SUMIFS(Collection!$J:$J, Collection!$A:$A, $A36, Collection!$B:$B, Y$2)</f>
        <v>0</v>
      </c>
    </row>
    <row r="37" spans="1:25" s="56" customFormat="1" ht="17" thickBot="1" x14ac:dyDescent="0.25">
      <c r="A37" s="98">
        <f t="shared" si="0"/>
        <v>42898</v>
      </c>
      <c r="B37" s="91">
        <f>SUMIFS(Collection!$J:$J, Collection!$A:$A, $A37, Collection!$B:$B, B$2)</f>
        <v>0</v>
      </c>
      <c r="C37" s="91">
        <f>SUMIFS(Collection!$J:$J, Collection!$A:$A, $A37, Collection!$B:$B, C$2)</f>
        <v>0</v>
      </c>
      <c r="D37" s="91">
        <f>SUMIFS(Collection!$J:$J, Collection!$A:$A, $A37, Collection!$B:$B, D$2)</f>
        <v>0</v>
      </c>
      <c r="E37" s="91">
        <f>SUMIFS(Collection!$J:$J, Collection!$A:$A, $A37, Collection!$B:$B, E$2)</f>
        <v>0</v>
      </c>
      <c r="F37" s="91">
        <f>SUMIFS(Collection!$J:$J, Collection!$A:$A, $A37, Collection!$B:$B, F$2)</f>
        <v>0</v>
      </c>
      <c r="G37" s="91">
        <f>SUMIFS(Collection!$J:$J, Collection!$A:$A, $A37, Collection!$B:$B, G$2)</f>
        <v>0</v>
      </c>
      <c r="H37" s="91">
        <f>SUMIFS(Collection!$J:$J, Collection!$A:$A, $A37, Collection!$B:$B, H$2)</f>
        <v>0</v>
      </c>
      <c r="I37" s="91">
        <f>SUMIFS(Collection!$J:$J, Collection!$A:$A, $A37, Collection!$B:$B, I$2)</f>
        <v>0</v>
      </c>
      <c r="J37" s="91">
        <f>SUMIFS(Collection!$J:$J, Collection!$A:$A, $A37, Collection!$B:$B, J$2)</f>
        <v>0</v>
      </c>
      <c r="K37" s="91">
        <f>SUMIFS(Collection!$J:$J, Collection!$A:$A, $A37, Collection!$B:$B, K$2)</f>
        <v>0</v>
      </c>
      <c r="L37" s="91">
        <f>SUMIFS(Collection!$J:$J, Collection!$A:$A, $A37, Collection!$B:$B, L$2)</f>
        <v>0</v>
      </c>
      <c r="M37" s="91">
        <f>SUMIFS(Collection!$J:$J, Collection!$A:$A, $A37, Collection!$B:$B, M$2)</f>
        <v>0</v>
      </c>
      <c r="N37" s="91">
        <f>SUMIFS(Collection!$J:$J, Collection!$A:$A, $A37, Collection!$B:$B, N$2)</f>
        <v>0</v>
      </c>
      <c r="O37" s="91">
        <f>SUMIFS(Collection!$J:$J, Collection!$A:$A, $A37, Collection!$B:$B, O$2)</f>
        <v>0</v>
      </c>
      <c r="P37" s="91">
        <f>SUMIFS(Collection!$J:$J, Collection!$A:$A, $A37, Collection!$B:$B, P$2)</f>
        <v>0</v>
      </c>
      <c r="Q37" s="91">
        <f>SUMIFS(Collection!$J:$J, Collection!$A:$A, $A37, Collection!$B:$B, Q$2)</f>
        <v>0</v>
      </c>
      <c r="R37" s="91">
        <f>SUMIFS(Collection!$J:$J, Collection!$A:$A, $A37, Collection!$B:$B, R$2)</f>
        <v>0</v>
      </c>
      <c r="S37" s="91">
        <f>SUMIFS(Collection!$J:$J, Collection!$A:$A, $A37, Collection!$B:$B, S$2)</f>
        <v>0</v>
      </c>
      <c r="T37" s="91">
        <f>SUMIFS(Collection!$J:$J, Collection!$A:$A, $A37, Collection!$B:$B, T$2)</f>
        <v>0</v>
      </c>
      <c r="U37" s="91">
        <f>SUMIFS(Collection!$J:$J, Collection!$A:$A, $A37, Collection!$B:$B, U$2)</f>
        <v>0</v>
      </c>
      <c r="V37" s="91">
        <f>SUMIFS(Collection!$J:$J, Collection!$A:$A, $A37, Collection!$B:$B, V$2)</f>
        <v>0</v>
      </c>
      <c r="W37" s="91">
        <f>SUMIFS(Collection!$J:$J, Collection!$A:$A, $A37, Collection!$B:$B, W$2)</f>
        <v>0</v>
      </c>
      <c r="X37" s="91">
        <f>SUMIFS(Collection!$J:$J, Collection!$A:$A, $A37, Collection!$B:$B, X$2)</f>
        <v>0</v>
      </c>
      <c r="Y37" s="91">
        <f>SUMIFS(Collection!$J:$J, Collection!$A:$A, $A37, Collection!$B:$B, Y$2)</f>
        <v>0</v>
      </c>
    </row>
    <row r="38" spans="1:25" s="54" customFormat="1" x14ac:dyDescent="0.2">
      <c r="A38" s="96" t="s">
        <v>1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s="55" customFormat="1" x14ac:dyDescent="0.2">
      <c r="A39" s="97" t="s">
        <v>68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</row>
    <row r="40" spans="1:25" s="55" customFormat="1" x14ac:dyDescent="0.2">
      <c r="A40" s="97">
        <f>1+A37</f>
        <v>42899</v>
      </c>
      <c r="B40" s="90">
        <f>SUMIFS(Collection!$J:$J, Collection!$A:$A, $A40, Collection!$B:$B, B$2)</f>
        <v>0</v>
      </c>
      <c r="C40" s="90">
        <f>SUMIFS(Collection!$J:$J, Collection!$A:$A, $A40, Collection!$B:$B, C$2)</f>
        <v>0</v>
      </c>
      <c r="D40" s="90">
        <f>SUMIFS(Collection!$J:$J, Collection!$A:$A, $A40, Collection!$B:$B, D$2)</f>
        <v>0</v>
      </c>
      <c r="E40" s="90">
        <f>SUMIFS(Collection!$J:$J, Collection!$A:$A, $A40, Collection!$B:$B, E$2)</f>
        <v>0</v>
      </c>
      <c r="F40" s="90">
        <f>SUMIFS(Collection!$J:$J, Collection!$A:$A, $A40, Collection!$B:$B, F$2)</f>
        <v>0</v>
      </c>
      <c r="G40" s="90">
        <f>SUMIFS(Collection!$J:$J, Collection!$A:$A, $A40, Collection!$B:$B, G$2)</f>
        <v>0</v>
      </c>
      <c r="H40" s="90">
        <f>SUMIFS(Collection!$J:$J, Collection!$A:$A, $A40, Collection!$B:$B, H$2)</f>
        <v>0</v>
      </c>
      <c r="I40" s="90">
        <f>SUMIFS(Collection!$J:$J, Collection!$A:$A, $A40, Collection!$B:$B, I$2)</f>
        <v>0</v>
      </c>
      <c r="J40" s="90">
        <f>SUMIFS(Collection!$J:$J, Collection!$A:$A, $A40, Collection!$B:$B, J$2)</f>
        <v>0</v>
      </c>
      <c r="K40" s="90">
        <f>SUMIFS(Collection!$J:$J, Collection!$A:$A, $A40, Collection!$B:$B, K$2)</f>
        <v>0</v>
      </c>
      <c r="L40" s="90">
        <f>SUMIFS(Collection!$J:$J, Collection!$A:$A, $A40, Collection!$B:$B, L$2)</f>
        <v>0</v>
      </c>
      <c r="M40" s="90">
        <f>SUMIFS(Collection!$J:$J, Collection!$A:$A, $A40, Collection!$B:$B, M$2)</f>
        <v>0</v>
      </c>
      <c r="N40" s="90">
        <f>SUMIFS(Collection!$J:$J, Collection!$A:$A, $A40, Collection!$B:$B, N$2)</f>
        <v>0</v>
      </c>
      <c r="O40" s="90">
        <f>SUMIFS(Collection!$J:$J, Collection!$A:$A, $A40, Collection!$B:$B, O$2)</f>
        <v>0</v>
      </c>
      <c r="P40" s="90">
        <f>SUMIFS(Collection!$J:$J, Collection!$A:$A, $A40, Collection!$B:$B, P$2)</f>
        <v>0</v>
      </c>
      <c r="Q40" s="90">
        <f>SUMIFS(Collection!$J:$J, Collection!$A:$A, $A40, Collection!$B:$B, Q$2)</f>
        <v>0</v>
      </c>
      <c r="R40" s="90">
        <f>SUMIFS(Collection!$J:$J, Collection!$A:$A, $A40, Collection!$B:$B, R$2)</f>
        <v>0</v>
      </c>
      <c r="S40" s="90">
        <f>SUMIFS(Collection!$J:$J, Collection!$A:$A, $A40, Collection!$B:$B, S$2)</f>
        <v>0</v>
      </c>
      <c r="T40" s="90">
        <f>SUMIFS(Collection!$J:$J, Collection!$A:$A, $A40, Collection!$B:$B, T$2)</f>
        <v>0</v>
      </c>
      <c r="U40" s="90">
        <f>SUMIFS(Collection!$J:$J, Collection!$A:$A, $A40, Collection!$B:$B, U$2)</f>
        <v>0</v>
      </c>
      <c r="V40" s="90">
        <f>SUMIFS(Collection!$J:$J, Collection!$A:$A, $A40, Collection!$B:$B, V$2)</f>
        <v>0</v>
      </c>
      <c r="W40" s="90">
        <f>SUMIFS(Collection!$J:$J, Collection!$A:$A, $A40, Collection!$B:$B, W$2)</f>
        <v>0</v>
      </c>
      <c r="X40" s="90">
        <f>SUMIFS(Collection!$J:$J, Collection!$A:$A, $A40, Collection!$B:$B, X$2)</f>
        <v>0</v>
      </c>
      <c r="Y40" s="90">
        <f>SUMIFS(Collection!$J:$J, Collection!$A:$A, $A40, Collection!$B:$B, Y$2)</f>
        <v>0</v>
      </c>
    </row>
    <row r="41" spans="1:25" s="55" customFormat="1" x14ac:dyDescent="0.2">
      <c r="A41" s="97">
        <f t="shared" si="0"/>
        <v>42900</v>
      </c>
      <c r="B41" s="90">
        <f>SUMIFS(Collection!$J:$J, Collection!$A:$A, $A41, Collection!$B:$B, B$2)</f>
        <v>0</v>
      </c>
      <c r="C41" s="90">
        <f>SUMIFS(Collection!$J:$J, Collection!$A:$A, $A41, Collection!$B:$B, C$2)</f>
        <v>0</v>
      </c>
      <c r="D41" s="90">
        <f>SUMIFS(Collection!$J:$J, Collection!$A:$A, $A41, Collection!$B:$B, D$2)</f>
        <v>0</v>
      </c>
      <c r="E41" s="90">
        <f>SUMIFS(Collection!$J:$J, Collection!$A:$A, $A41, Collection!$B:$B, E$2)</f>
        <v>0</v>
      </c>
      <c r="F41" s="90">
        <f>SUMIFS(Collection!$J:$J, Collection!$A:$A, $A41, Collection!$B:$B, F$2)</f>
        <v>0</v>
      </c>
      <c r="G41" s="90">
        <f>SUMIFS(Collection!$J:$J, Collection!$A:$A, $A41, Collection!$B:$B, G$2)</f>
        <v>0</v>
      </c>
      <c r="H41" s="90">
        <f>SUMIFS(Collection!$J:$J, Collection!$A:$A, $A41, Collection!$B:$B, H$2)</f>
        <v>0</v>
      </c>
      <c r="I41" s="90">
        <f>SUMIFS(Collection!$J:$J, Collection!$A:$A, $A41, Collection!$B:$B, I$2)</f>
        <v>0</v>
      </c>
      <c r="J41" s="90">
        <f>SUMIFS(Collection!$J:$J, Collection!$A:$A, $A41, Collection!$B:$B, J$2)</f>
        <v>0</v>
      </c>
      <c r="K41" s="90">
        <f>SUMIFS(Collection!$J:$J, Collection!$A:$A, $A41, Collection!$B:$B, K$2)</f>
        <v>0</v>
      </c>
      <c r="L41" s="90">
        <f>SUMIFS(Collection!$J:$J, Collection!$A:$A, $A41, Collection!$B:$B, L$2)</f>
        <v>0</v>
      </c>
      <c r="M41" s="90">
        <f>SUMIFS(Collection!$J:$J, Collection!$A:$A, $A41, Collection!$B:$B, M$2)</f>
        <v>0</v>
      </c>
      <c r="N41" s="90">
        <f>SUMIFS(Collection!$J:$J, Collection!$A:$A, $A41, Collection!$B:$B, N$2)</f>
        <v>0</v>
      </c>
      <c r="O41" s="90">
        <f>SUMIFS(Collection!$J:$J, Collection!$A:$A, $A41, Collection!$B:$B, O$2)</f>
        <v>0</v>
      </c>
      <c r="P41" s="90">
        <f>SUMIFS(Collection!$J:$J, Collection!$A:$A, $A41, Collection!$B:$B, P$2)</f>
        <v>0</v>
      </c>
      <c r="Q41" s="90">
        <f>SUMIFS(Collection!$J:$J, Collection!$A:$A, $A41, Collection!$B:$B, Q$2)</f>
        <v>0</v>
      </c>
      <c r="R41" s="90">
        <f>SUMIFS(Collection!$J:$J, Collection!$A:$A, $A41, Collection!$B:$B, R$2)</f>
        <v>0</v>
      </c>
      <c r="S41" s="90">
        <f>SUMIFS(Collection!$J:$J, Collection!$A:$A, $A41, Collection!$B:$B, S$2)</f>
        <v>0</v>
      </c>
      <c r="T41" s="90">
        <f>SUMIFS(Collection!$J:$J, Collection!$A:$A, $A41, Collection!$B:$B, T$2)</f>
        <v>0</v>
      </c>
      <c r="U41" s="90">
        <f>SUMIFS(Collection!$J:$J, Collection!$A:$A, $A41, Collection!$B:$B, U$2)</f>
        <v>0</v>
      </c>
      <c r="V41" s="90">
        <f>SUMIFS(Collection!$J:$J, Collection!$A:$A, $A41, Collection!$B:$B, V$2)</f>
        <v>0</v>
      </c>
      <c r="W41" s="90">
        <f>SUMIFS(Collection!$J:$J, Collection!$A:$A, $A41, Collection!$B:$B, W$2)</f>
        <v>0</v>
      </c>
      <c r="X41" s="90">
        <f>SUMIFS(Collection!$J:$J, Collection!$A:$A, $A41, Collection!$B:$B, X$2)</f>
        <v>0</v>
      </c>
      <c r="Y41" s="90">
        <f>SUMIFS(Collection!$J:$J, Collection!$A:$A, $A41, Collection!$B:$B, Y$2)</f>
        <v>0</v>
      </c>
    </row>
    <row r="42" spans="1:25" s="56" customFormat="1" ht="17" thickBot="1" x14ac:dyDescent="0.25">
      <c r="A42" s="98">
        <f t="shared" si="0"/>
        <v>42901</v>
      </c>
      <c r="B42" s="91">
        <f>SUMIFS(Collection!$J:$J, Collection!$A:$A, $A42, Collection!$B:$B, B$2)</f>
        <v>0</v>
      </c>
      <c r="C42" s="91">
        <f>SUMIFS(Collection!$J:$J, Collection!$A:$A, $A42, Collection!$B:$B, C$2)</f>
        <v>0</v>
      </c>
      <c r="D42" s="91">
        <f>SUMIFS(Collection!$J:$J, Collection!$A:$A, $A42, Collection!$B:$B, D$2)</f>
        <v>0</v>
      </c>
      <c r="E42" s="91">
        <f>SUMIFS(Collection!$J:$J, Collection!$A:$A, $A42, Collection!$B:$B, E$2)</f>
        <v>0</v>
      </c>
      <c r="F42" s="91">
        <f>SUMIFS(Collection!$J:$J, Collection!$A:$A, $A42, Collection!$B:$B, F$2)</f>
        <v>0</v>
      </c>
      <c r="G42" s="91">
        <f>SUMIFS(Collection!$J:$J, Collection!$A:$A, $A42, Collection!$B:$B, G$2)</f>
        <v>0</v>
      </c>
      <c r="H42" s="91">
        <f>SUMIFS(Collection!$J:$J, Collection!$A:$A, $A42, Collection!$B:$B, H$2)</f>
        <v>0</v>
      </c>
      <c r="I42" s="91">
        <f>SUMIFS(Collection!$J:$J, Collection!$A:$A, $A42, Collection!$B:$B, I$2)</f>
        <v>0</v>
      </c>
      <c r="J42" s="91">
        <f>SUMIFS(Collection!$J:$J, Collection!$A:$A, $A42, Collection!$B:$B, J$2)</f>
        <v>0</v>
      </c>
      <c r="K42" s="91">
        <f>SUMIFS(Collection!$J:$J, Collection!$A:$A, $A42, Collection!$B:$B, K$2)</f>
        <v>0</v>
      </c>
      <c r="L42" s="91">
        <f>SUMIFS(Collection!$J:$J, Collection!$A:$A, $A42, Collection!$B:$B, L$2)</f>
        <v>0</v>
      </c>
      <c r="M42" s="91">
        <f>SUMIFS(Collection!$J:$J, Collection!$A:$A, $A42, Collection!$B:$B, M$2)</f>
        <v>0</v>
      </c>
      <c r="N42" s="91">
        <f>SUMIFS(Collection!$J:$J, Collection!$A:$A, $A42, Collection!$B:$B, N$2)</f>
        <v>0</v>
      </c>
      <c r="O42" s="91">
        <f>SUMIFS(Collection!$J:$J, Collection!$A:$A, $A42, Collection!$B:$B, O$2)</f>
        <v>0</v>
      </c>
      <c r="P42" s="91">
        <f>SUMIFS(Collection!$J:$J, Collection!$A:$A, $A42, Collection!$B:$B, P$2)</f>
        <v>0</v>
      </c>
      <c r="Q42" s="91">
        <f>SUMIFS(Collection!$J:$J, Collection!$A:$A, $A42, Collection!$B:$B, Q$2)</f>
        <v>0</v>
      </c>
      <c r="R42" s="91">
        <f>SUMIFS(Collection!$J:$J, Collection!$A:$A, $A42, Collection!$B:$B, R$2)</f>
        <v>0</v>
      </c>
      <c r="S42" s="91">
        <f>SUMIFS(Collection!$J:$J, Collection!$A:$A, $A42, Collection!$B:$B, S$2)</f>
        <v>0</v>
      </c>
      <c r="T42" s="91">
        <f>SUMIFS(Collection!$J:$J, Collection!$A:$A, $A42, Collection!$B:$B, T$2)</f>
        <v>0</v>
      </c>
      <c r="U42" s="91">
        <f>SUMIFS(Collection!$J:$J, Collection!$A:$A, $A42, Collection!$B:$B, U$2)</f>
        <v>0</v>
      </c>
      <c r="V42" s="91">
        <f>SUMIFS(Collection!$J:$J, Collection!$A:$A, $A42, Collection!$B:$B, V$2)</f>
        <v>0</v>
      </c>
      <c r="W42" s="91">
        <f>SUMIFS(Collection!$J:$J, Collection!$A:$A, $A42, Collection!$B:$B, W$2)</f>
        <v>0</v>
      </c>
      <c r="X42" s="91">
        <f>SUMIFS(Collection!$J:$J, Collection!$A:$A, $A42, Collection!$B:$B, X$2)</f>
        <v>0</v>
      </c>
      <c r="Y42" s="91">
        <f>SUMIFS(Collection!$J:$J, Collection!$A:$A, $A42, Collection!$B:$B, Y$2)</f>
        <v>0</v>
      </c>
    </row>
    <row r="43" spans="1:25" s="55" customFormat="1" x14ac:dyDescent="0.2">
      <c r="A43" s="97" t="s">
        <v>68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s="55" customFormat="1" x14ac:dyDescent="0.2">
      <c r="A44" s="97">
        <f>1+A42</f>
        <v>42902</v>
      </c>
      <c r="B44" s="90">
        <f>SUMIFS(Collection!$J:$J, Collection!$A:$A, $A44, Collection!$B:$B, B$2)</f>
        <v>0</v>
      </c>
      <c r="C44" s="90">
        <f>SUMIFS(Collection!$J:$J, Collection!$A:$A, $A44, Collection!$B:$B, C$2)</f>
        <v>0</v>
      </c>
      <c r="D44" s="90">
        <f>SUMIFS(Collection!$J:$J, Collection!$A:$A, $A44, Collection!$B:$B, D$2)</f>
        <v>0</v>
      </c>
      <c r="E44" s="90">
        <f>SUMIFS(Collection!$J:$J, Collection!$A:$A, $A44, Collection!$B:$B, E$2)</f>
        <v>0</v>
      </c>
      <c r="F44" s="90">
        <f>SUMIFS(Collection!$J:$J, Collection!$A:$A, $A44, Collection!$B:$B, F$2)</f>
        <v>0</v>
      </c>
      <c r="G44" s="90">
        <f>SUMIFS(Collection!$J:$J, Collection!$A:$A, $A44, Collection!$B:$B, G$2)</f>
        <v>0</v>
      </c>
      <c r="H44" s="90">
        <f>SUMIFS(Collection!$J:$J, Collection!$A:$A, $A44, Collection!$B:$B, H$2)</f>
        <v>0</v>
      </c>
      <c r="I44" s="90">
        <f>SUMIFS(Collection!$J:$J, Collection!$A:$A, $A44, Collection!$B:$B, I$2)</f>
        <v>0</v>
      </c>
      <c r="J44" s="90">
        <f>SUMIFS(Collection!$J:$J, Collection!$A:$A, $A44, Collection!$B:$B, J$2)</f>
        <v>0</v>
      </c>
      <c r="K44" s="90">
        <f>SUMIFS(Collection!$J:$J, Collection!$A:$A, $A44, Collection!$B:$B, K$2)</f>
        <v>0</v>
      </c>
      <c r="L44" s="90">
        <f>SUMIFS(Collection!$J:$J, Collection!$A:$A, $A44, Collection!$B:$B, L$2)</f>
        <v>0</v>
      </c>
      <c r="M44" s="90">
        <f>SUMIFS(Collection!$J:$J, Collection!$A:$A, $A44, Collection!$B:$B, M$2)</f>
        <v>0</v>
      </c>
      <c r="N44" s="90">
        <f>SUMIFS(Collection!$J:$J, Collection!$A:$A, $A44, Collection!$B:$B, N$2)</f>
        <v>0</v>
      </c>
      <c r="O44" s="90">
        <f>SUMIFS(Collection!$J:$J, Collection!$A:$A, $A44, Collection!$B:$B, O$2)</f>
        <v>0</v>
      </c>
      <c r="P44" s="90">
        <f>SUMIFS(Collection!$J:$J, Collection!$A:$A, $A44, Collection!$B:$B, P$2)</f>
        <v>0</v>
      </c>
      <c r="Q44" s="90">
        <f>SUMIFS(Collection!$J:$J, Collection!$A:$A, $A44, Collection!$B:$B, Q$2)</f>
        <v>0</v>
      </c>
      <c r="R44" s="90">
        <f>SUMIFS(Collection!$J:$J, Collection!$A:$A, $A44, Collection!$B:$B, R$2)</f>
        <v>0</v>
      </c>
      <c r="S44" s="90">
        <f>SUMIFS(Collection!$J:$J, Collection!$A:$A, $A44, Collection!$B:$B, S$2)</f>
        <v>0</v>
      </c>
      <c r="T44" s="90">
        <f>SUMIFS(Collection!$J:$J, Collection!$A:$A, $A44, Collection!$B:$B, T$2)</f>
        <v>0</v>
      </c>
      <c r="U44" s="90">
        <f>SUMIFS(Collection!$J:$J, Collection!$A:$A, $A44, Collection!$B:$B, U$2)</f>
        <v>0</v>
      </c>
      <c r="V44" s="90">
        <f>SUMIFS(Collection!$J:$J, Collection!$A:$A, $A44, Collection!$B:$B, V$2)</f>
        <v>0</v>
      </c>
      <c r="W44" s="90">
        <f>SUMIFS(Collection!$J:$J, Collection!$A:$A, $A44, Collection!$B:$B, W$2)</f>
        <v>0</v>
      </c>
      <c r="X44" s="90">
        <f>SUMIFS(Collection!$J:$J, Collection!$A:$A, $A44, Collection!$B:$B, X$2)</f>
        <v>0</v>
      </c>
      <c r="Y44" s="90">
        <f>SUMIFS(Collection!$J:$J, Collection!$A:$A, $A44, Collection!$B:$B, Y$2)</f>
        <v>0</v>
      </c>
    </row>
    <row r="45" spans="1:25" s="55" customFormat="1" x14ac:dyDescent="0.2">
      <c r="A45" s="97">
        <f t="shared" si="0"/>
        <v>42903</v>
      </c>
      <c r="B45" s="90">
        <f>SUMIFS(Collection!$J:$J, Collection!$A:$A, $A45, Collection!$B:$B, B$2)</f>
        <v>0</v>
      </c>
      <c r="C45" s="90">
        <f>SUMIFS(Collection!$J:$J, Collection!$A:$A, $A45, Collection!$B:$B, C$2)</f>
        <v>0</v>
      </c>
      <c r="D45" s="90">
        <f>SUMIFS(Collection!$J:$J, Collection!$A:$A, $A45, Collection!$B:$B, D$2)</f>
        <v>0</v>
      </c>
      <c r="E45" s="90">
        <f>SUMIFS(Collection!$J:$J, Collection!$A:$A, $A45, Collection!$B:$B, E$2)</f>
        <v>0</v>
      </c>
      <c r="F45" s="90">
        <f>SUMIFS(Collection!$J:$J, Collection!$A:$A, $A45, Collection!$B:$B, F$2)</f>
        <v>0</v>
      </c>
      <c r="G45" s="90">
        <f>SUMIFS(Collection!$J:$J, Collection!$A:$A, $A45, Collection!$B:$B, G$2)</f>
        <v>0</v>
      </c>
      <c r="H45" s="90">
        <f>SUMIFS(Collection!$J:$J, Collection!$A:$A, $A45, Collection!$B:$B, H$2)</f>
        <v>0</v>
      </c>
      <c r="I45" s="90">
        <f>SUMIFS(Collection!$J:$J, Collection!$A:$A, $A45, Collection!$B:$B, I$2)</f>
        <v>0</v>
      </c>
      <c r="J45" s="90">
        <f>SUMIFS(Collection!$J:$J, Collection!$A:$A, $A45, Collection!$B:$B, J$2)</f>
        <v>0</v>
      </c>
      <c r="K45" s="90">
        <f>SUMIFS(Collection!$J:$J, Collection!$A:$A, $A45, Collection!$B:$B, K$2)</f>
        <v>0</v>
      </c>
      <c r="L45" s="90">
        <f>SUMIFS(Collection!$J:$J, Collection!$A:$A, $A45, Collection!$B:$B, L$2)</f>
        <v>0</v>
      </c>
      <c r="M45" s="90">
        <f>SUMIFS(Collection!$J:$J, Collection!$A:$A, $A45, Collection!$B:$B, M$2)</f>
        <v>0</v>
      </c>
      <c r="N45" s="90">
        <f>SUMIFS(Collection!$J:$J, Collection!$A:$A, $A45, Collection!$B:$B, N$2)</f>
        <v>0</v>
      </c>
      <c r="O45" s="90">
        <f>SUMIFS(Collection!$J:$J, Collection!$A:$A, $A45, Collection!$B:$B, O$2)</f>
        <v>0</v>
      </c>
      <c r="P45" s="90">
        <f>SUMIFS(Collection!$J:$J, Collection!$A:$A, $A45, Collection!$B:$B, P$2)</f>
        <v>0</v>
      </c>
      <c r="Q45" s="90">
        <f>SUMIFS(Collection!$J:$J, Collection!$A:$A, $A45, Collection!$B:$B, Q$2)</f>
        <v>0</v>
      </c>
      <c r="R45" s="90">
        <f>SUMIFS(Collection!$J:$J, Collection!$A:$A, $A45, Collection!$B:$B, R$2)</f>
        <v>0</v>
      </c>
      <c r="S45" s="90">
        <f>SUMIFS(Collection!$J:$J, Collection!$A:$A, $A45, Collection!$B:$B, S$2)</f>
        <v>0</v>
      </c>
      <c r="T45" s="90">
        <f>SUMIFS(Collection!$J:$J, Collection!$A:$A, $A45, Collection!$B:$B, T$2)</f>
        <v>0</v>
      </c>
      <c r="U45" s="90">
        <f>SUMIFS(Collection!$J:$J, Collection!$A:$A, $A45, Collection!$B:$B, U$2)</f>
        <v>0</v>
      </c>
      <c r="V45" s="90">
        <f>SUMIFS(Collection!$J:$J, Collection!$A:$A, $A45, Collection!$B:$B, V$2)</f>
        <v>0</v>
      </c>
      <c r="W45" s="90">
        <f>SUMIFS(Collection!$J:$J, Collection!$A:$A, $A45, Collection!$B:$B, W$2)</f>
        <v>0</v>
      </c>
      <c r="X45" s="90">
        <f>SUMIFS(Collection!$J:$J, Collection!$A:$A, $A45, Collection!$B:$B, X$2)</f>
        <v>0</v>
      </c>
      <c r="Y45" s="90">
        <f>SUMIFS(Collection!$J:$J, Collection!$A:$A, $A45, Collection!$B:$B, Y$2)</f>
        <v>0</v>
      </c>
    </row>
    <row r="46" spans="1:25" s="55" customFormat="1" x14ac:dyDescent="0.2">
      <c r="A46" s="97">
        <f t="shared" si="0"/>
        <v>42904</v>
      </c>
      <c r="B46" s="90">
        <f>SUMIFS(Collection!$J:$J, Collection!$A:$A, $A46, Collection!$B:$B, B$2)</f>
        <v>0</v>
      </c>
      <c r="C46" s="90">
        <f>SUMIFS(Collection!$J:$J, Collection!$A:$A, $A46, Collection!$B:$B, C$2)</f>
        <v>0</v>
      </c>
      <c r="D46" s="90">
        <f>SUMIFS(Collection!$J:$J, Collection!$A:$A, $A46, Collection!$B:$B, D$2)</f>
        <v>0</v>
      </c>
      <c r="E46" s="90">
        <f>SUMIFS(Collection!$J:$J, Collection!$A:$A, $A46, Collection!$B:$B, E$2)</f>
        <v>0</v>
      </c>
      <c r="F46" s="90">
        <f>SUMIFS(Collection!$J:$J, Collection!$A:$A, $A46, Collection!$B:$B, F$2)</f>
        <v>0</v>
      </c>
      <c r="G46" s="90">
        <f>SUMIFS(Collection!$J:$J, Collection!$A:$A, $A46, Collection!$B:$B, G$2)</f>
        <v>0</v>
      </c>
      <c r="H46" s="90">
        <f>SUMIFS(Collection!$J:$J, Collection!$A:$A, $A46, Collection!$B:$B, H$2)</f>
        <v>0</v>
      </c>
      <c r="I46" s="90">
        <f>SUMIFS(Collection!$J:$J, Collection!$A:$A, $A46, Collection!$B:$B, I$2)</f>
        <v>0</v>
      </c>
      <c r="J46" s="90">
        <f>SUMIFS(Collection!$J:$J, Collection!$A:$A, $A46, Collection!$B:$B, J$2)</f>
        <v>0</v>
      </c>
      <c r="K46" s="90">
        <f>SUMIFS(Collection!$J:$J, Collection!$A:$A, $A46, Collection!$B:$B, K$2)</f>
        <v>0</v>
      </c>
      <c r="L46" s="90">
        <f>SUMIFS(Collection!$J:$J, Collection!$A:$A, $A46, Collection!$B:$B, L$2)</f>
        <v>0</v>
      </c>
      <c r="M46" s="90">
        <f>SUMIFS(Collection!$J:$J, Collection!$A:$A, $A46, Collection!$B:$B, M$2)</f>
        <v>0</v>
      </c>
      <c r="N46" s="90">
        <f>SUMIFS(Collection!$J:$J, Collection!$A:$A, $A46, Collection!$B:$B, N$2)</f>
        <v>0</v>
      </c>
      <c r="O46" s="90">
        <f>SUMIFS(Collection!$J:$J, Collection!$A:$A, $A46, Collection!$B:$B, O$2)</f>
        <v>0</v>
      </c>
      <c r="P46" s="90">
        <f>SUMIFS(Collection!$J:$J, Collection!$A:$A, $A46, Collection!$B:$B, P$2)</f>
        <v>0</v>
      </c>
      <c r="Q46" s="90">
        <f>SUMIFS(Collection!$J:$J, Collection!$A:$A, $A46, Collection!$B:$B, Q$2)</f>
        <v>0</v>
      </c>
      <c r="R46" s="90">
        <f>SUMIFS(Collection!$J:$J, Collection!$A:$A, $A46, Collection!$B:$B, R$2)</f>
        <v>0</v>
      </c>
      <c r="S46" s="90">
        <f>SUMIFS(Collection!$J:$J, Collection!$A:$A, $A46, Collection!$B:$B, S$2)</f>
        <v>0</v>
      </c>
      <c r="T46" s="90">
        <f>SUMIFS(Collection!$J:$J, Collection!$A:$A, $A46, Collection!$B:$B, T$2)</f>
        <v>0</v>
      </c>
      <c r="U46" s="90">
        <f>SUMIFS(Collection!$J:$J, Collection!$A:$A, $A46, Collection!$B:$B, U$2)</f>
        <v>0</v>
      </c>
      <c r="V46" s="90">
        <f>SUMIFS(Collection!$J:$J, Collection!$A:$A, $A46, Collection!$B:$B, V$2)</f>
        <v>0</v>
      </c>
      <c r="W46" s="90">
        <f>SUMIFS(Collection!$J:$J, Collection!$A:$A, $A46, Collection!$B:$B, W$2)</f>
        <v>0</v>
      </c>
      <c r="X46" s="90">
        <f>SUMIFS(Collection!$J:$J, Collection!$A:$A, $A46, Collection!$B:$B, X$2)</f>
        <v>0</v>
      </c>
      <c r="Y46" s="90">
        <f>SUMIFS(Collection!$J:$J, Collection!$A:$A, $A46, Collection!$B:$B, Y$2)</f>
        <v>0</v>
      </c>
    </row>
    <row r="47" spans="1:25" s="56" customFormat="1" ht="17" thickBot="1" x14ac:dyDescent="0.25">
      <c r="A47" s="98">
        <f t="shared" si="0"/>
        <v>42905</v>
      </c>
      <c r="B47" s="91">
        <f>SUMIFS(Collection!$J:$J, Collection!$A:$A, $A47, Collection!$B:$B, B$2)</f>
        <v>0</v>
      </c>
      <c r="C47" s="91">
        <f>SUMIFS(Collection!$J:$J, Collection!$A:$A, $A47, Collection!$B:$B, C$2)</f>
        <v>0</v>
      </c>
      <c r="D47" s="91">
        <f>SUMIFS(Collection!$J:$J, Collection!$A:$A, $A47, Collection!$B:$B, D$2)</f>
        <v>0</v>
      </c>
      <c r="E47" s="91">
        <f>SUMIFS(Collection!$J:$J, Collection!$A:$A, $A47, Collection!$B:$B, E$2)</f>
        <v>0</v>
      </c>
      <c r="F47" s="91">
        <f>SUMIFS(Collection!$J:$J, Collection!$A:$A, $A47, Collection!$B:$B, F$2)</f>
        <v>0</v>
      </c>
      <c r="G47" s="91">
        <f>SUMIFS(Collection!$J:$J, Collection!$A:$A, $A47, Collection!$B:$B, G$2)</f>
        <v>0</v>
      </c>
      <c r="H47" s="91">
        <f>SUMIFS(Collection!$J:$J, Collection!$A:$A, $A47, Collection!$B:$B, H$2)</f>
        <v>0</v>
      </c>
      <c r="I47" s="91">
        <f>SUMIFS(Collection!$J:$J, Collection!$A:$A, $A47, Collection!$B:$B, I$2)</f>
        <v>0</v>
      </c>
      <c r="J47" s="91">
        <f>SUMIFS(Collection!$J:$J, Collection!$A:$A, $A47, Collection!$B:$B, J$2)</f>
        <v>0</v>
      </c>
      <c r="K47" s="91">
        <f>SUMIFS(Collection!$J:$J, Collection!$A:$A, $A47, Collection!$B:$B, K$2)</f>
        <v>0</v>
      </c>
      <c r="L47" s="91">
        <f>SUMIFS(Collection!$J:$J, Collection!$A:$A, $A47, Collection!$B:$B, L$2)</f>
        <v>0</v>
      </c>
      <c r="M47" s="91">
        <f>SUMIFS(Collection!$J:$J, Collection!$A:$A, $A47, Collection!$B:$B, M$2)</f>
        <v>0</v>
      </c>
      <c r="N47" s="91">
        <f>SUMIFS(Collection!$J:$J, Collection!$A:$A, $A47, Collection!$B:$B, N$2)</f>
        <v>0</v>
      </c>
      <c r="O47" s="91">
        <f>SUMIFS(Collection!$J:$J, Collection!$A:$A, $A47, Collection!$B:$B, O$2)</f>
        <v>0</v>
      </c>
      <c r="P47" s="91">
        <f>SUMIFS(Collection!$J:$J, Collection!$A:$A, $A47, Collection!$B:$B, P$2)</f>
        <v>0</v>
      </c>
      <c r="Q47" s="91">
        <f>SUMIFS(Collection!$J:$J, Collection!$A:$A, $A47, Collection!$B:$B, Q$2)</f>
        <v>0</v>
      </c>
      <c r="R47" s="91">
        <f>SUMIFS(Collection!$J:$J, Collection!$A:$A, $A47, Collection!$B:$B, R$2)</f>
        <v>0</v>
      </c>
      <c r="S47" s="91">
        <f>SUMIFS(Collection!$J:$J, Collection!$A:$A, $A47, Collection!$B:$B, S$2)</f>
        <v>0</v>
      </c>
      <c r="T47" s="91">
        <f>SUMIFS(Collection!$J:$J, Collection!$A:$A, $A47, Collection!$B:$B, T$2)</f>
        <v>0</v>
      </c>
      <c r="U47" s="91">
        <f>SUMIFS(Collection!$J:$J, Collection!$A:$A, $A47, Collection!$B:$B, U$2)</f>
        <v>0</v>
      </c>
      <c r="V47" s="91">
        <f>SUMIFS(Collection!$J:$J, Collection!$A:$A, $A47, Collection!$B:$B, V$2)</f>
        <v>0</v>
      </c>
      <c r="W47" s="91">
        <f>SUMIFS(Collection!$J:$J, Collection!$A:$A, $A47, Collection!$B:$B, W$2)</f>
        <v>0</v>
      </c>
      <c r="X47" s="91">
        <f>SUMIFS(Collection!$J:$J, Collection!$A:$A, $A47, Collection!$B:$B, X$2)</f>
        <v>0</v>
      </c>
      <c r="Y47" s="91">
        <f>SUMIFS(Collection!$J:$J, Collection!$A:$A, $A47, Collection!$B:$B, Y$2)</f>
        <v>0</v>
      </c>
    </row>
    <row r="48" spans="1:25" s="55" customFormat="1" x14ac:dyDescent="0.2">
      <c r="A48" s="97" t="s">
        <v>68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</row>
    <row r="49" spans="1:25" s="55" customFormat="1" x14ac:dyDescent="0.2">
      <c r="A49" s="97">
        <f>1+A47</f>
        <v>42906</v>
      </c>
      <c r="B49" s="90">
        <f>SUMIFS(Collection!$J:$J, Collection!$A:$A, $A49, Collection!$B:$B, B$2)</f>
        <v>0</v>
      </c>
      <c r="C49" s="90">
        <f>SUMIFS(Collection!$J:$J, Collection!$A:$A, $A49, Collection!$B:$B, C$2)</f>
        <v>0</v>
      </c>
      <c r="D49" s="90">
        <f>SUMIFS(Collection!$J:$J, Collection!$A:$A, $A49, Collection!$B:$B, D$2)</f>
        <v>0</v>
      </c>
      <c r="E49" s="90">
        <f>SUMIFS(Collection!$J:$J, Collection!$A:$A, $A49, Collection!$B:$B, E$2)</f>
        <v>0</v>
      </c>
      <c r="F49" s="90">
        <f>SUMIFS(Collection!$J:$J, Collection!$A:$A, $A49, Collection!$B:$B, F$2)</f>
        <v>0</v>
      </c>
      <c r="G49" s="90">
        <f>SUMIFS(Collection!$J:$J, Collection!$A:$A, $A49, Collection!$B:$B, G$2)</f>
        <v>0</v>
      </c>
      <c r="H49" s="90">
        <f>SUMIFS(Collection!$J:$J, Collection!$A:$A, $A49, Collection!$B:$B, H$2)</f>
        <v>0</v>
      </c>
      <c r="I49" s="90">
        <f>SUMIFS(Collection!$J:$J, Collection!$A:$A, $A49, Collection!$B:$B, I$2)</f>
        <v>0</v>
      </c>
      <c r="J49" s="90">
        <f>SUMIFS(Collection!$J:$J, Collection!$A:$A, $A49, Collection!$B:$B, J$2)</f>
        <v>0</v>
      </c>
      <c r="K49" s="90">
        <f>SUMIFS(Collection!$J:$J, Collection!$A:$A, $A49, Collection!$B:$B, K$2)</f>
        <v>0</v>
      </c>
      <c r="L49" s="90">
        <f>SUMIFS(Collection!$J:$J, Collection!$A:$A, $A49, Collection!$B:$B, L$2)</f>
        <v>0</v>
      </c>
      <c r="M49" s="90">
        <f>SUMIFS(Collection!$J:$J, Collection!$A:$A, $A49, Collection!$B:$B, M$2)</f>
        <v>0</v>
      </c>
      <c r="N49" s="90">
        <f>SUMIFS(Collection!$J:$J, Collection!$A:$A, $A49, Collection!$B:$B, N$2)</f>
        <v>0</v>
      </c>
      <c r="O49" s="90">
        <f>SUMIFS(Collection!$J:$J, Collection!$A:$A, $A49, Collection!$B:$B, O$2)</f>
        <v>0</v>
      </c>
      <c r="P49" s="90">
        <f>SUMIFS(Collection!$J:$J, Collection!$A:$A, $A49, Collection!$B:$B, P$2)</f>
        <v>0</v>
      </c>
      <c r="Q49" s="90">
        <f>SUMIFS(Collection!$J:$J, Collection!$A:$A, $A49, Collection!$B:$B, Q$2)</f>
        <v>0</v>
      </c>
      <c r="R49" s="90">
        <f>SUMIFS(Collection!$J:$J, Collection!$A:$A, $A49, Collection!$B:$B, R$2)</f>
        <v>0</v>
      </c>
      <c r="S49" s="90">
        <f>SUMIFS(Collection!$J:$J, Collection!$A:$A, $A49, Collection!$B:$B, S$2)</f>
        <v>0</v>
      </c>
      <c r="T49" s="90">
        <f>SUMIFS(Collection!$J:$J, Collection!$A:$A, $A49, Collection!$B:$B, T$2)</f>
        <v>0</v>
      </c>
      <c r="U49" s="90">
        <f>SUMIFS(Collection!$J:$J, Collection!$A:$A, $A49, Collection!$B:$B, U$2)</f>
        <v>0</v>
      </c>
      <c r="V49" s="90">
        <f>SUMIFS(Collection!$J:$J, Collection!$A:$A, $A49, Collection!$B:$B, V$2)</f>
        <v>0</v>
      </c>
      <c r="W49" s="90">
        <f>SUMIFS(Collection!$J:$J, Collection!$A:$A, $A49, Collection!$B:$B, W$2)</f>
        <v>0</v>
      </c>
      <c r="X49" s="90">
        <f>SUMIFS(Collection!$J:$J, Collection!$A:$A, $A49, Collection!$B:$B, X$2)</f>
        <v>0</v>
      </c>
      <c r="Y49" s="90">
        <f>SUMIFS(Collection!$J:$J, Collection!$A:$A, $A49, Collection!$B:$B, Y$2)</f>
        <v>0</v>
      </c>
    </row>
    <row r="50" spans="1:25" s="55" customFormat="1" x14ac:dyDescent="0.2">
      <c r="A50" s="97">
        <f t="shared" si="0"/>
        <v>42907</v>
      </c>
      <c r="B50" s="90">
        <f>SUMIFS(Collection!$J:$J, Collection!$A:$A, $A50, Collection!$B:$B, B$2)</f>
        <v>0</v>
      </c>
      <c r="C50" s="90">
        <f>SUMIFS(Collection!$J:$J, Collection!$A:$A, $A50, Collection!$B:$B, C$2)</f>
        <v>0</v>
      </c>
      <c r="D50" s="90">
        <f>SUMIFS(Collection!$J:$J, Collection!$A:$A, $A50, Collection!$B:$B, D$2)</f>
        <v>0</v>
      </c>
      <c r="E50" s="90">
        <f>SUMIFS(Collection!$J:$J, Collection!$A:$A, $A50, Collection!$B:$B, E$2)</f>
        <v>0</v>
      </c>
      <c r="F50" s="90">
        <f>SUMIFS(Collection!$J:$J, Collection!$A:$A, $A50, Collection!$B:$B, F$2)</f>
        <v>0</v>
      </c>
      <c r="G50" s="90">
        <f>SUMIFS(Collection!$J:$J, Collection!$A:$A, $A50, Collection!$B:$B, G$2)</f>
        <v>0</v>
      </c>
      <c r="H50" s="90">
        <f>SUMIFS(Collection!$J:$J, Collection!$A:$A, $A50, Collection!$B:$B, H$2)</f>
        <v>0</v>
      </c>
      <c r="I50" s="90">
        <f>SUMIFS(Collection!$J:$J, Collection!$A:$A, $A50, Collection!$B:$B, I$2)</f>
        <v>0</v>
      </c>
      <c r="J50" s="90">
        <f>SUMIFS(Collection!$J:$J, Collection!$A:$A, $A50, Collection!$B:$B, J$2)</f>
        <v>0</v>
      </c>
      <c r="K50" s="90">
        <f>SUMIFS(Collection!$J:$J, Collection!$A:$A, $A50, Collection!$B:$B, K$2)</f>
        <v>0</v>
      </c>
      <c r="L50" s="90">
        <f>SUMIFS(Collection!$J:$J, Collection!$A:$A, $A50, Collection!$B:$B, L$2)</f>
        <v>0</v>
      </c>
      <c r="M50" s="90">
        <f>SUMIFS(Collection!$J:$J, Collection!$A:$A, $A50, Collection!$B:$B, M$2)</f>
        <v>0</v>
      </c>
      <c r="N50" s="90">
        <f>SUMIFS(Collection!$J:$J, Collection!$A:$A, $A50, Collection!$B:$B, N$2)</f>
        <v>0</v>
      </c>
      <c r="O50" s="90">
        <f>SUMIFS(Collection!$J:$J, Collection!$A:$A, $A50, Collection!$B:$B, O$2)</f>
        <v>0</v>
      </c>
      <c r="P50" s="90">
        <f>SUMIFS(Collection!$J:$J, Collection!$A:$A, $A50, Collection!$B:$B, P$2)</f>
        <v>0</v>
      </c>
      <c r="Q50" s="90">
        <f>SUMIFS(Collection!$J:$J, Collection!$A:$A, $A50, Collection!$B:$B, Q$2)</f>
        <v>0</v>
      </c>
      <c r="R50" s="90">
        <f>SUMIFS(Collection!$J:$J, Collection!$A:$A, $A50, Collection!$B:$B, R$2)</f>
        <v>0</v>
      </c>
      <c r="S50" s="90">
        <f>SUMIFS(Collection!$J:$J, Collection!$A:$A, $A50, Collection!$B:$B, S$2)</f>
        <v>0</v>
      </c>
      <c r="T50" s="90">
        <f>SUMIFS(Collection!$J:$J, Collection!$A:$A, $A50, Collection!$B:$B, T$2)</f>
        <v>0</v>
      </c>
      <c r="U50" s="90">
        <f>SUMIFS(Collection!$J:$J, Collection!$A:$A, $A50, Collection!$B:$B, U$2)</f>
        <v>0</v>
      </c>
      <c r="V50" s="90">
        <f>SUMIFS(Collection!$J:$J, Collection!$A:$A, $A50, Collection!$B:$B, V$2)</f>
        <v>0</v>
      </c>
      <c r="W50" s="90">
        <f>SUMIFS(Collection!$J:$J, Collection!$A:$A, $A50, Collection!$B:$B, W$2)</f>
        <v>0</v>
      </c>
      <c r="X50" s="90">
        <f>SUMIFS(Collection!$J:$J, Collection!$A:$A, $A50, Collection!$B:$B, X$2)</f>
        <v>0</v>
      </c>
      <c r="Y50" s="90">
        <f>SUMIFS(Collection!$J:$J, Collection!$A:$A, $A50, Collection!$B:$B, Y$2)</f>
        <v>0</v>
      </c>
    </row>
    <row r="51" spans="1:25" s="56" customFormat="1" ht="17" thickBot="1" x14ac:dyDescent="0.25">
      <c r="A51" s="98">
        <f t="shared" si="0"/>
        <v>42908</v>
      </c>
      <c r="B51" s="91">
        <f>SUMIFS(Collection!$J:$J, Collection!$A:$A, $A51, Collection!$B:$B, B$2)</f>
        <v>0</v>
      </c>
      <c r="C51" s="91">
        <f>SUMIFS(Collection!$J:$J, Collection!$A:$A, $A51, Collection!$B:$B, C$2)</f>
        <v>0</v>
      </c>
      <c r="D51" s="91">
        <f>SUMIFS(Collection!$J:$J, Collection!$A:$A, $A51, Collection!$B:$B, D$2)</f>
        <v>0</v>
      </c>
      <c r="E51" s="91">
        <f>SUMIFS(Collection!$J:$J, Collection!$A:$A, $A51, Collection!$B:$B, E$2)</f>
        <v>0</v>
      </c>
      <c r="F51" s="91">
        <f>SUMIFS(Collection!$J:$J, Collection!$A:$A, $A51, Collection!$B:$B, F$2)</f>
        <v>0</v>
      </c>
      <c r="G51" s="91">
        <f>SUMIFS(Collection!$J:$J, Collection!$A:$A, $A51, Collection!$B:$B, G$2)</f>
        <v>0</v>
      </c>
      <c r="H51" s="91">
        <f>SUMIFS(Collection!$J:$J, Collection!$A:$A, $A51, Collection!$B:$B, H$2)</f>
        <v>0</v>
      </c>
      <c r="I51" s="91">
        <f>SUMIFS(Collection!$J:$J, Collection!$A:$A, $A51, Collection!$B:$B, I$2)</f>
        <v>0</v>
      </c>
      <c r="J51" s="91">
        <f>SUMIFS(Collection!$J:$J, Collection!$A:$A, $A51, Collection!$B:$B, J$2)</f>
        <v>0</v>
      </c>
      <c r="K51" s="91">
        <f>SUMIFS(Collection!$J:$J, Collection!$A:$A, $A51, Collection!$B:$B, K$2)</f>
        <v>0</v>
      </c>
      <c r="L51" s="91">
        <f>SUMIFS(Collection!$J:$J, Collection!$A:$A, $A51, Collection!$B:$B, L$2)</f>
        <v>0</v>
      </c>
      <c r="M51" s="91">
        <f>SUMIFS(Collection!$J:$J, Collection!$A:$A, $A51, Collection!$B:$B, M$2)</f>
        <v>0</v>
      </c>
      <c r="N51" s="91">
        <f>SUMIFS(Collection!$J:$J, Collection!$A:$A, $A51, Collection!$B:$B, N$2)</f>
        <v>0</v>
      </c>
      <c r="O51" s="91">
        <f>SUMIFS(Collection!$J:$J, Collection!$A:$A, $A51, Collection!$B:$B, O$2)</f>
        <v>0</v>
      </c>
      <c r="P51" s="91">
        <f>SUMIFS(Collection!$J:$J, Collection!$A:$A, $A51, Collection!$B:$B, P$2)</f>
        <v>0</v>
      </c>
      <c r="Q51" s="91">
        <f>SUMIFS(Collection!$J:$J, Collection!$A:$A, $A51, Collection!$B:$B, Q$2)</f>
        <v>0</v>
      </c>
      <c r="R51" s="91">
        <f>SUMIFS(Collection!$J:$J, Collection!$A:$A, $A51, Collection!$B:$B, R$2)</f>
        <v>0</v>
      </c>
      <c r="S51" s="91">
        <f>SUMIFS(Collection!$J:$J, Collection!$A:$A, $A51, Collection!$B:$B, S$2)</f>
        <v>0</v>
      </c>
      <c r="T51" s="91">
        <f>SUMIFS(Collection!$J:$J, Collection!$A:$A, $A51, Collection!$B:$B, T$2)</f>
        <v>0</v>
      </c>
      <c r="U51" s="91">
        <f>SUMIFS(Collection!$J:$J, Collection!$A:$A, $A51, Collection!$B:$B, U$2)</f>
        <v>0</v>
      </c>
      <c r="V51" s="91">
        <f>SUMIFS(Collection!$J:$J, Collection!$A:$A, $A51, Collection!$B:$B, V$2)</f>
        <v>0</v>
      </c>
      <c r="W51" s="91">
        <f>SUMIFS(Collection!$J:$J, Collection!$A:$A, $A51, Collection!$B:$B, W$2)</f>
        <v>0</v>
      </c>
      <c r="X51" s="91">
        <f>SUMIFS(Collection!$J:$J, Collection!$A:$A, $A51, Collection!$B:$B, X$2)</f>
        <v>0</v>
      </c>
      <c r="Y51" s="91">
        <f>SUMIFS(Collection!$J:$J, Collection!$A:$A, $A51, Collection!$B:$B, Y$2)</f>
        <v>0</v>
      </c>
    </row>
    <row r="52" spans="1:25" s="55" customFormat="1" x14ac:dyDescent="0.2">
      <c r="A52" s="97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</row>
    <row r="53" spans="1:25" s="55" customFormat="1" x14ac:dyDescent="0.2">
      <c r="A53" s="97">
        <f>1+A51</f>
        <v>42909</v>
      </c>
      <c r="B53" s="90">
        <f>SUMIFS(Collection!$J:$J, Collection!$A:$A, $A53, Collection!$B:$B, B$2)</f>
        <v>0</v>
      </c>
      <c r="C53" s="90">
        <f>SUMIFS(Collection!$J:$J, Collection!$A:$A, $A53, Collection!$B:$B, C$2)</f>
        <v>0</v>
      </c>
      <c r="D53" s="90">
        <f>SUMIFS(Collection!$J:$J, Collection!$A:$A, $A53, Collection!$B:$B, D$2)</f>
        <v>0</v>
      </c>
      <c r="E53" s="90">
        <f>SUMIFS(Collection!$J:$J, Collection!$A:$A, $A53, Collection!$B:$B, E$2)</f>
        <v>0</v>
      </c>
      <c r="F53" s="90">
        <f>SUMIFS(Collection!$J:$J, Collection!$A:$A, $A53, Collection!$B:$B, F$2)</f>
        <v>0</v>
      </c>
      <c r="G53" s="90">
        <f>SUMIFS(Collection!$J:$J, Collection!$A:$A, $A53, Collection!$B:$B, G$2)</f>
        <v>0</v>
      </c>
      <c r="H53" s="90">
        <f>SUMIFS(Collection!$J:$J, Collection!$A:$A, $A53, Collection!$B:$B, H$2)</f>
        <v>0</v>
      </c>
      <c r="I53" s="90">
        <f>SUMIFS(Collection!$J:$J, Collection!$A:$A, $A53, Collection!$B:$B, I$2)</f>
        <v>0</v>
      </c>
      <c r="J53" s="90">
        <f>SUMIFS(Collection!$J:$J, Collection!$A:$A, $A53, Collection!$B:$B, J$2)</f>
        <v>0</v>
      </c>
      <c r="K53" s="90">
        <f>SUMIFS(Collection!$J:$J, Collection!$A:$A, $A53, Collection!$B:$B, K$2)</f>
        <v>0</v>
      </c>
      <c r="L53" s="90">
        <f>SUMIFS(Collection!$J:$J, Collection!$A:$A, $A53, Collection!$B:$B, L$2)</f>
        <v>0</v>
      </c>
      <c r="M53" s="90">
        <f>SUMIFS(Collection!$J:$J, Collection!$A:$A, $A53, Collection!$B:$B, M$2)</f>
        <v>0</v>
      </c>
      <c r="N53" s="90">
        <f>SUMIFS(Collection!$J:$J, Collection!$A:$A, $A53, Collection!$B:$B, N$2)</f>
        <v>0</v>
      </c>
      <c r="O53" s="90">
        <f>SUMIFS(Collection!$J:$J, Collection!$A:$A, $A53, Collection!$B:$B, O$2)</f>
        <v>0</v>
      </c>
      <c r="P53" s="90">
        <f>SUMIFS(Collection!$J:$J, Collection!$A:$A, $A53, Collection!$B:$B, P$2)</f>
        <v>0</v>
      </c>
      <c r="Q53" s="90">
        <f>SUMIFS(Collection!$J:$J, Collection!$A:$A, $A53, Collection!$B:$B, Q$2)</f>
        <v>0</v>
      </c>
      <c r="R53" s="90">
        <f>SUMIFS(Collection!$J:$J, Collection!$A:$A, $A53, Collection!$B:$B, R$2)</f>
        <v>0</v>
      </c>
      <c r="S53" s="90">
        <f>SUMIFS(Collection!$J:$J, Collection!$A:$A, $A53, Collection!$B:$B, S$2)</f>
        <v>0</v>
      </c>
      <c r="T53" s="90">
        <f>SUMIFS(Collection!$J:$J, Collection!$A:$A, $A53, Collection!$B:$B, T$2)</f>
        <v>0</v>
      </c>
      <c r="U53" s="90">
        <f>SUMIFS(Collection!$J:$J, Collection!$A:$A, $A53, Collection!$B:$B, U$2)</f>
        <v>0</v>
      </c>
      <c r="V53" s="90">
        <f>SUMIFS(Collection!$J:$J, Collection!$A:$A, $A53, Collection!$B:$B, V$2)</f>
        <v>0</v>
      </c>
      <c r="W53" s="90">
        <f>SUMIFS(Collection!$J:$J, Collection!$A:$A, $A53, Collection!$B:$B, W$2)</f>
        <v>0</v>
      </c>
      <c r="X53" s="90">
        <f>SUMIFS(Collection!$J:$J, Collection!$A:$A, $A53, Collection!$B:$B, X$2)</f>
        <v>0</v>
      </c>
      <c r="Y53" s="90">
        <f>SUMIFS(Collection!$J:$J, Collection!$A:$A, $A53, Collection!$B:$B, Y$2)</f>
        <v>0</v>
      </c>
    </row>
    <row r="54" spans="1:25" s="55" customFormat="1" x14ac:dyDescent="0.2">
      <c r="A54" s="97">
        <f t="shared" si="0"/>
        <v>42910</v>
      </c>
      <c r="B54" s="90">
        <f>SUMIFS(Collection!$J:$J, Collection!$A:$A, $A54, Collection!$B:$B, B$2)</f>
        <v>0</v>
      </c>
      <c r="C54" s="90">
        <f>SUMIFS(Collection!$J:$J, Collection!$A:$A, $A54, Collection!$B:$B, C$2)</f>
        <v>0</v>
      </c>
      <c r="D54" s="90">
        <f>SUMIFS(Collection!$J:$J, Collection!$A:$A, $A54, Collection!$B:$B, D$2)</f>
        <v>0</v>
      </c>
      <c r="E54" s="90">
        <f>SUMIFS(Collection!$J:$J, Collection!$A:$A, $A54, Collection!$B:$B, E$2)</f>
        <v>0</v>
      </c>
      <c r="F54" s="90">
        <f>SUMIFS(Collection!$J:$J, Collection!$A:$A, $A54, Collection!$B:$B, F$2)</f>
        <v>0</v>
      </c>
      <c r="G54" s="90">
        <f>SUMIFS(Collection!$J:$J, Collection!$A:$A, $A54, Collection!$B:$B, G$2)</f>
        <v>0</v>
      </c>
      <c r="H54" s="90">
        <f>SUMIFS(Collection!$J:$J, Collection!$A:$A, $A54, Collection!$B:$B, H$2)</f>
        <v>0</v>
      </c>
      <c r="I54" s="90">
        <f>SUMIFS(Collection!$J:$J, Collection!$A:$A, $A54, Collection!$B:$B, I$2)</f>
        <v>0</v>
      </c>
      <c r="J54" s="90">
        <f>SUMIFS(Collection!$J:$J, Collection!$A:$A, $A54, Collection!$B:$B, J$2)</f>
        <v>0</v>
      </c>
      <c r="K54" s="90">
        <f>SUMIFS(Collection!$J:$J, Collection!$A:$A, $A54, Collection!$B:$B, K$2)</f>
        <v>0</v>
      </c>
      <c r="L54" s="90">
        <f>SUMIFS(Collection!$J:$J, Collection!$A:$A, $A54, Collection!$B:$B, L$2)</f>
        <v>0</v>
      </c>
      <c r="M54" s="90">
        <f>SUMIFS(Collection!$J:$J, Collection!$A:$A, $A54, Collection!$B:$B, M$2)</f>
        <v>0</v>
      </c>
      <c r="N54" s="90">
        <f>SUMIFS(Collection!$J:$J, Collection!$A:$A, $A54, Collection!$B:$B, N$2)</f>
        <v>0</v>
      </c>
      <c r="O54" s="90">
        <f>SUMIFS(Collection!$J:$J, Collection!$A:$A, $A54, Collection!$B:$B, O$2)</f>
        <v>0</v>
      </c>
      <c r="P54" s="90">
        <f>SUMIFS(Collection!$J:$J, Collection!$A:$A, $A54, Collection!$B:$B, P$2)</f>
        <v>0</v>
      </c>
      <c r="Q54" s="90">
        <f>SUMIFS(Collection!$J:$J, Collection!$A:$A, $A54, Collection!$B:$B, Q$2)</f>
        <v>0</v>
      </c>
      <c r="R54" s="90">
        <f>SUMIFS(Collection!$J:$J, Collection!$A:$A, $A54, Collection!$B:$B, R$2)</f>
        <v>0</v>
      </c>
      <c r="S54" s="90">
        <f>SUMIFS(Collection!$J:$J, Collection!$A:$A, $A54, Collection!$B:$B, S$2)</f>
        <v>0</v>
      </c>
      <c r="T54" s="90">
        <f>SUMIFS(Collection!$J:$J, Collection!$A:$A, $A54, Collection!$B:$B, T$2)</f>
        <v>0</v>
      </c>
      <c r="U54" s="90">
        <f>SUMIFS(Collection!$J:$J, Collection!$A:$A, $A54, Collection!$B:$B, U$2)</f>
        <v>0</v>
      </c>
      <c r="V54" s="90">
        <f>SUMIFS(Collection!$J:$J, Collection!$A:$A, $A54, Collection!$B:$B, V$2)</f>
        <v>0</v>
      </c>
      <c r="W54" s="90">
        <f>SUMIFS(Collection!$J:$J, Collection!$A:$A, $A54, Collection!$B:$B, W$2)</f>
        <v>0</v>
      </c>
      <c r="X54" s="90">
        <f>SUMIFS(Collection!$J:$J, Collection!$A:$A, $A54, Collection!$B:$B, X$2)</f>
        <v>0</v>
      </c>
      <c r="Y54" s="90">
        <f>SUMIFS(Collection!$J:$J, Collection!$A:$A, $A54, Collection!$B:$B, Y$2)</f>
        <v>0</v>
      </c>
    </row>
    <row r="55" spans="1:25" s="55" customFormat="1" x14ac:dyDescent="0.2">
      <c r="A55" s="97">
        <f t="shared" si="0"/>
        <v>42911</v>
      </c>
      <c r="B55" s="90">
        <f>SUMIFS(Collection!$J:$J, Collection!$A:$A, $A55, Collection!$B:$B, B$2)</f>
        <v>0</v>
      </c>
      <c r="C55" s="90">
        <f>SUMIFS(Collection!$J:$J, Collection!$A:$A, $A55, Collection!$B:$B, C$2)</f>
        <v>0</v>
      </c>
      <c r="D55" s="90">
        <f>SUMIFS(Collection!$J:$J, Collection!$A:$A, $A55, Collection!$B:$B, D$2)</f>
        <v>0</v>
      </c>
      <c r="E55" s="90">
        <f>SUMIFS(Collection!$J:$J, Collection!$A:$A, $A55, Collection!$B:$B, E$2)</f>
        <v>0</v>
      </c>
      <c r="F55" s="90">
        <f>SUMIFS(Collection!$J:$J, Collection!$A:$A, $A55, Collection!$B:$B, F$2)</f>
        <v>0</v>
      </c>
      <c r="G55" s="90">
        <f>SUMIFS(Collection!$J:$J, Collection!$A:$A, $A55, Collection!$B:$B, G$2)</f>
        <v>0</v>
      </c>
      <c r="H55" s="90">
        <f>SUMIFS(Collection!$J:$J, Collection!$A:$A, $A55, Collection!$B:$B, H$2)</f>
        <v>0</v>
      </c>
      <c r="I55" s="90">
        <f>SUMIFS(Collection!$J:$J, Collection!$A:$A, $A55, Collection!$B:$B, I$2)</f>
        <v>0</v>
      </c>
      <c r="J55" s="90">
        <f>SUMIFS(Collection!$J:$J, Collection!$A:$A, $A55, Collection!$B:$B, J$2)</f>
        <v>0</v>
      </c>
      <c r="K55" s="90">
        <f>SUMIFS(Collection!$J:$J, Collection!$A:$A, $A55, Collection!$B:$B, K$2)</f>
        <v>0</v>
      </c>
      <c r="L55" s="90">
        <f>SUMIFS(Collection!$J:$J, Collection!$A:$A, $A55, Collection!$B:$B, L$2)</f>
        <v>0</v>
      </c>
      <c r="M55" s="90">
        <f>SUMIFS(Collection!$J:$J, Collection!$A:$A, $A55, Collection!$B:$B, M$2)</f>
        <v>0</v>
      </c>
      <c r="N55" s="90">
        <f>SUMIFS(Collection!$J:$J, Collection!$A:$A, $A55, Collection!$B:$B, N$2)</f>
        <v>0</v>
      </c>
      <c r="O55" s="90">
        <f>SUMIFS(Collection!$J:$J, Collection!$A:$A, $A55, Collection!$B:$B, O$2)</f>
        <v>0</v>
      </c>
      <c r="P55" s="90">
        <f>SUMIFS(Collection!$J:$J, Collection!$A:$A, $A55, Collection!$B:$B, P$2)</f>
        <v>0</v>
      </c>
      <c r="Q55" s="90">
        <f>SUMIFS(Collection!$J:$J, Collection!$A:$A, $A55, Collection!$B:$B, Q$2)</f>
        <v>0</v>
      </c>
      <c r="R55" s="90">
        <f>SUMIFS(Collection!$J:$J, Collection!$A:$A, $A55, Collection!$B:$B, R$2)</f>
        <v>0</v>
      </c>
      <c r="S55" s="90">
        <f>SUMIFS(Collection!$J:$J, Collection!$A:$A, $A55, Collection!$B:$B, S$2)</f>
        <v>0</v>
      </c>
      <c r="T55" s="90">
        <f>SUMIFS(Collection!$J:$J, Collection!$A:$A, $A55, Collection!$B:$B, T$2)</f>
        <v>0</v>
      </c>
      <c r="U55" s="90">
        <f>SUMIFS(Collection!$J:$J, Collection!$A:$A, $A55, Collection!$B:$B, U$2)</f>
        <v>0</v>
      </c>
      <c r="V55" s="90">
        <f>SUMIFS(Collection!$J:$J, Collection!$A:$A, $A55, Collection!$B:$B, V$2)</f>
        <v>0</v>
      </c>
      <c r="W55" s="90">
        <f>SUMIFS(Collection!$J:$J, Collection!$A:$A, $A55, Collection!$B:$B, W$2)</f>
        <v>0</v>
      </c>
      <c r="X55" s="90">
        <f>SUMIFS(Collection!$J:$J, Collection!$A:$A, $A55, Collection!$B:$B, X$2)</f>
        <v>0</v>
      </c>
      <c r="Y55" s="90">
        <f>SUMIFS(Collection!$J:$J, Collection!$A:$A, $A55, Collection!$B:$B, Y$2)</f>
        <v>0</v>
      </c>
    </row>
    <row r="56" spans="1:25" s="56" customFormat="1" ht="17" thickBot="1" x14ac:dyDescent="0.25">
      <c r="A56" s="98">
        <f t="shared" si="0"/>
        <v>42912</v>
      </c>
      <c r="B56" s="91">
        <f>SUMIFS(Collection!$J:$J, Collection!$A:$A, $A56, Collection!$B:$B, B$2)</f>
        <v>0</v>
      </c>
      <c r="C56" s="91">
        <f>SUMIFS(Collection!$J:$J, Collection!$A:$A, $A56, Collection!$B:$B, C$2)</f>
        <v>0</v>
      </c>
      <c r="D56" s="91">
        <f>SUMIFS(Collection!$J:$J, Collection!$A:$A, $A56, Collection!$B:$B, D$2)</f>
        <v>0</v>
      </c>
      <c r="E56" s="91">
        <f>SUMIFS(Collection!$J:$J, Collection!$A:$A, $A56, Collection!$B:$B, E$2)</f>
        <v>0</v>
      </c>
      <c r="F56" s="91">
        <f>SUMIFS(Collection!$J:$J, Collection!$A:$A, $A56, Collection!$B:$B, F$2)</f>
        <v>0</v>
      </c>
      <c r="G56" s="91">
        <f>SUMIFS(Collection!$J:$J, Collection!$A:$A, $A56, Collection!$B:$B, G$2)</f>
        <v>0</v>
      </c>
      <c r="H56" s="91">
        <f>SUMIFS(Collection!$J:$J, Collection!$A:$A, $A56, Collection!$B:$B, H$2)</f>
        <v>0</v>
      </c>
      <c r="I56" s="91">
        <f>SUMIFS(Collection!$J:$J, Collection!$A:$A, $A56, Collection!$B:$B, I$2)</f>
        <v>0</v>
      </c>
      <c r="J56" s="91">
        <f>SUMIFS(Collection!$J:$J, Collection!$A:$A, $A56, Collection!$B:$B, J$2)</f>
        <v>0</v>
      </c>
      <c r="K56" s="91">
        <f>SUMIFS(Collection!$J:$J, Collection!$A:$A, $A56, Collection!$B:$B, K$2)</f>
        <v>0</v>
      </c>
      <c r="L56" s="91">
        <f>SUMIFS(Collection!$J:$J, Collection!$A:$A, $A56, Collection!$B:$B, L$2)</f>
        <v>0</v>
      </c>
      <c r="M56" s="91">
        <f>SUMIFS(Collection!$J:$J, Collection!$A:$A, $A56, Collection!$B:$B, M$2)</f>
        <v>0</v>
      </c>
      <c r="N56" s="91">
        <f>SUMIFS(Collection!$J:$J, Collection!$A:$A, $A56, Collection!$B:$B, N$2)</f>
        <v>0</v>
      </c>
      <c r="O56" s="91">
        <f>SUMIFS(Collection!$J:$J, Collection!$A:$A, $A56, Collection!$B:$B, O$2)</f>
        <v>0</v>
      </c>
      <c r="P56" s="91">
        <f>SUMIFS(Collection!$J:$J, Collection!$A:$A, $A56, Collection!$B:$B, P$2)</f>
        <v>0</v>
      </c>
      <c r="Q56" s="91">
        <f>SUMIFS(Collection!$J:$J, Collection!$A:$A, $A56, Collection!$B:$B, Q$2)</f>
        <v>0</v>
      </c>
      <c r="R56" s="91">
        <f>SUMIFS(Collection!$J:$J, Collection!$A:$A, $A56, Collection!$B:$B, R$2)</f>
        <v>0</v>
      </c>
      <c r="S56" s="91">
        <f>SUMIFS(Collection!$J:$J, Collection!$A:$A, $A56, Collection!$B:$B, S$2)</f>
        <v>0</v>
      </c>
      <c r="T56" s="91">
        <f>SUMIFS(Collection!$J:$J, Collection!$A:$A, $A56, Collection!$B:$B, T$2)</f>
        <v>0</v>
      </c>
      <c r="U56" s="91">
        <f>SUMIFS(Collection!$J:$J, Collection!$A:$A, $A56, Collection!$B:$B, U$2)</f>
        <v>0</v>
      </c>
      <c r="V56" s="91">
        <f>SUMIFS(Collection!$J:$J, Collection!$A:$A, $A56, Collection!$B:$B, V$2)</f>
        <v>0</v>
      </c>
      <c r="W56" s="91">
        <f>SUMIFS(Collection!$J:$J, Collection!$A:$A, $A56, Collection!$B:$B, W$2)</f>
        <v>0</v>
      </c>
      <c r="X56" s="91">
        <f>SUMIFS(Collection!$J:$J, Collection!$A:$A, $A56, Collection!$B:$B, X$2)</f>
        <v>0</v>
      </c>
      <c r="Y56" s="91">
        <f>SUMIFS(Collection!$J:$J, Collection!$A:$A, $A56, Collection!$B:$B, Y$2)</f>
        <v>0</v>
      </c>
    </row>
    <row r="57" spans="1:25" s="55" customFormat="1" x14ac:dyDescent="0.2">
      <c r="A57" s="97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</row>
    <row r="58" spans="1:25" s="55" customFormat="1" x14ac:dyDescent="0.2">
      <c r="A58" s="97">
        <f>1+A56</f>
        <v>42913</v>
      </c>
      <c r="B58" s="90">
        <f>SUMIFS(Collection!$J:$J, Collection!$A:$A, $A58, Collection!$B:$B, B$2)</f>
        <v>0</v>
      </c>
      <c r="C58" s="90">
        <f>SUMIFS(Collection!$J:$J, Collection!$A:$A, $A58, Collection!$B:$B, C$2)</f>
        <v>0</v>
      </c>
      <c r="D58" s="90">
        <f>SUMIFS(Collection!$J:$J, Collection!$A:$A, $A58, Collection!$B:$B, D$2)</f>
        <v>0</v>
      </c>
      <c r="E58" s="90">
        <f>SUMIFS(Collection!$J:$J, Collection!$A:$A, $A58, Collection!$B:$B, E$2)</f>
        <v>0</v>
      </c>
      <c r="F58" s="90">
        <f>SUMIFS(Collection!$J:$J, Collection!$A:$A, $A58, Collection!$B:$B, F$2)</f>
        <v>0</v>
      </c>
      <c r="G58" s="90">
        <f>SUMIFS(Collection!$J:$J, Collection!$A:$A, $A58, Collection!$B:$B, G$2)</f>
        <v>0</v>
      </c>
      <c r="H58" s="90">
        <f>SUMIFS(Collection!$J:$J, Collection!$A:$A, $A58, Collection!$B:$B, H$2)</f>
        <v>0</v>
      </c>
      <c r="I58" s="90">
        <f>SUMIFS(Collection!$J:$J, Collection!$A:$A, $A58, Collection!$B:$B, I$2)</f>
        <v>0</v>
      </c>
      <c r="J58" s="90">
        <f>SUMIFS(Collection!$J:$J, Collection!$A:$A, $A58, Collection!$B:$B, J$2)</f>
        <v>0</v>
      </c>
      <c r="K58" s="90">
        <f>SUMIFS(Collection!$J:$J, Collection!$A:$A, $A58, Collection!$B:$B, K$2)</f>
        <v>0</v>
      </c>
      <c r="L58" s="90">
        <f>SUMIFS(Collection!$J:$J, Collection!$A:$A, $A58, Collection!$B:$B, L$2)</f>
        <v>0</v>
      </c>
      <c r="M58" s="90">
        <f>SUMIFS(Collection!$J:$J, Collection!$A:$A, $A58, Collection!$B:$B, M$2)</f>
        <v>0</v>
      </c>
      <c r="N58" s="90">
        <f>SUMIFS(Collection!$J:$J, Collection!$A:$A, $A58, Collection!$B:$B, N$2)</f>
        <v>0</v>
      </c>
      <c r="O58" s="90">
        <f>SUMIFS(Collection!$J:$J, Collection!$A:$A, $A58, Collection!$B:$B, O$2)</f>
        <v>0</v>
      </c>
      <c r="P58" s="90">
        <f>SUMIFS(Collection!$J:$J, Collection!$A:$A, $A58, Collection!$B:$B, P$2)</f>
        <v>0</v>
      </c>
      <c r="Q58" s="90">
        <f>SUMIFS(Collection!$J:$J, Collection!$A:$A, $A58, Collection!$B:$B, Q$2)</f>
        <v>0</v>
      </c>
      <c r="R58" s="90">
        <f>SUMIFS(Collection!$J:$J, Collection!$A:$A, $A58, Collection!$B:$B, R$2)</f>
        <v>0</v>
      </c>
      <c r="S58" s="90">
        <f>SUMIFS(Collection!$J:$J, Collection!$A:$A, $A58, Collection!$B:$B, S$2)</f>
        <v>0</v>
      </c>
      <c r="T58" s="90">
        <f>SUMIFS(Collection!$J:$J, Collection!$A:$A, $A58, Collection!$B:$B, T$2)</f>
        <v>0</v>
      </c>
      <c r="U58" s="90">
        <f>SUMIFS(Collection!$J:$J, Collection!$A:$A, $A58, Collection!$B:$B, U$2)</f>
        <v>0</v>
      </c>
      <c r="V58" s="90">
        <f>SUMIFS(Collection!$J:$J, Collection!$A:$A, $A58, Collection!$B:$B, V$2)</f>
        <v>0</v>
      </c>
      <c r="W58" s="90">
        <f>SUMIFS(Collection!$J:$J, Collection!$A:$A, $A58, Collection!$B:$B, W$2)</f>
        <v>0</v>
      </c>
      <c r="X58" s="90">
        <f>SUMIFS(Collection!$J:$J, Collection!$A:$A, $A58, Collection!$B:$B, X$2)</f>
        <v>0</v>
      </c>
      <c r="Y58" s="90">
        <f>SUMIFS(Collection!$J:$J, Collection!$A:$A, $A58, Collection!$B:$B, Y$2)</f>
        <v>0</v>
      </c>
    </row>
    <row r="59" spans="1:25" s="55" customFormat="1" x14ac:dyDescent="0.2">
      <c r="A59" s="97">
        <f t="shared" si="0"/>
        <v>42914</v>
      </c>
      <c r="B59" s="90">
        <f>SUMIFS(Collection!$J:$J, Collection!$A:$A, $A59, Collection!$B:$B, B$2)</f>
        <v>0</v>
      </c>
      <c r="C59" s="90">
        <f>SUMIFS(Collection!$J:$J, Collection!$A:$A, $A59, Collection!$B:$B, C$2)</f>
        <v>0</v>
      </c>
      <c r="D59" s="90">
        <f>SUMIFS(Collection!$J:$J, Collection!$A:$A, $A59, Collection!$B:$B, D$2)</f>
        <v>0</v>
      </c>
      <c r="E59" s="90">
        <f>SUMIFS(Collection!$J:$J, Collection!$A:$A, $A59, Collection!$B:$B, E$2)</f>
        <v>0</v>
      </c>
      <c r="F59" s="90">
        <f>SUMIFS(Collection!$J:$J, Collection!$A:$A, $A59, Collection!$B:$B, F$2)</f>
        <v>0</v>
      </c>
      <c r="G59" s="90">
        <f>SUMIFS(Collection!$J:$J, Collection!$A:$A, $A59, Collection!$B:$B, G$2)</f>
        <v>0</v>
      </c>
      <c r="H59" s="90">
        <f>SUMIFS(Collection!$J:$J, Collection!$A:$A, $A59, Collection!$B:$B, H$2)</f>
        <v>0</v>
      </c>
      <c r="I59" s="90">
        <f>SUMIFS(Collection!$J:$J, Collection!$A:$A, $A59, Collection!$B:$B, I$2)</f>
        <v>0</v>
      </c>
      <c r="J59" s="90">
        <f>SUMIFS(Collection!$J:$J, Collection!$A:$A, $A59, Collection!$B:$B, J$2)</f>
        <v>0</v>
      </c>
      <c r="K59" s="90">
        <f>SUMIFS(Collection!$J:$J, Collection!$A:$A, $A59, Collection!$B:$B, K$2)</f>
        <v>0</v>
      </c>
      <c r="L59" s="90">
        <f>SUMIFS(Collection!$J:$J, Collection!$A:$A, $A59, Collection!$B:$B, L$2)</f>
        <v>0</v>
      </c>
      <c r="M59" s="90">
        <f>SUMIFS(Collection!$J:$J, Collection!$A:$A, $A59, Collection!$B:$B, M$2)</f>
        <v>0</v>
      </c>
      <c r="N59" s="90">
        <f>SUMIFS(Collection!$J:$J, Collection!$A:$A, $A59, Collection!$B:$B, N$2)</f>
        <v>0</v>
      </c>
      <c r="O59" s="90">
        <f>SUMIFS(Collection!$J:$J, Collection!$A:$A, $A59, Collection!$B:$B, O$2)</f>
        <v>0</v>
      </c>
      <c r="P59" s="90">
        <f>SUMIFS(Collection!$J:$J, Collection!$A:$A, $A59, Collection!$B:$B, P$2)</f>
        <v>0</v>
      </c>
      <c r="Q59" s="90">
        <f>SUMIFS(Collection!$J:$J, Collection!$A:$A, $A59, Collection!$B:$B, Q$2)</f>
        <v>0</v>
      </c>
      <c r="R59" s="90">
        <f>SUMIFS(Collection!$J:$J, Collection!$A:$A, $A59, Collection!$B:$B, R$2)</f>
        <v>0</v>
      </c>
      <c r="S59" s="90">
        <f>SUMIFS(Collection!$J:$J, Collection!$A:$A, $A59, Collection!$B:$B, S$2)</f>
        <v>0</v>
      </c>
      <c r="T59" s="90">
        <f>SUMIFS(Collection!$J:$J, Collection!$A:$A, $A59, Collection!$B:$B, T$2)</f>
        <v>0</v>
      </c>
      <c r="U59" s="90">
        <f>SUMIFS(Collection!$J:$J, Collection!$A:$A, $A59, Collection!$B:$B, U$2)</f>
        <v>0</v>
      </c>
      <c r="V59" s="90">
        <f>SUMIFS(Collection!$J:$J, Collection!$A:$A, $A59, Collection!$B:$B, V$2)</f>
        <v>0</v>
      </c>
      <c r="W59" s="90">
        <f>SUMIFS(Collection!$J:$J, Collection!$A:$A, $A59, Collection!$B:$B, W$2)</f>
        <v>0</v>
      </c>
      <c r="X59" s="90">
        <f>SUMIFS(Collection!$J:$J, Collection!$A:$A, $A59, Collection!$B:$B, X$2)</f>
        <v>0</v>
      </c>
      <c r="Y59" s="90">
        <f>SUMIFS(Collection!$J:$J, Collection!$A:$A, $A59, Collection!$B:$B, Y$2)</f>
        <v>0</v>
      </c>
    </row>
    <row r="60" spans="1:25" s="56" customFormat="1" ht="17" thickBot="1" x14ac:dyDescent="0.25">
      <c r="A60" s="98">
        <f t="shared" si="0"/>
        <v>42915</v>
      </c>
      <c r="B60" s="91">
        <f>SUMIFS(Collection!$J:$J, Collection!$A:$A, $A60, Collection!$B:$B, B$2)</f>
        <v>0</v>
      </c>
      <c r="C60" s="91">
        <f>SUMIFS(Collection!$J:$J, Collection!$A:$A, $A60, Collection!$B:$B, C$2)</f>
        <v>0</v>
      </c>
      <c r="D60" s="91">
        <f>SUMIFS(Collection!$J:$J, Collection!$A:$A, $A60, Collection!$B:$B, D$2)</f>
        <v>0</v>
      </c>
      <c r="E60" s="91">
        <f>SUMIFS(Collection!$J:$J, Collection!$A:$A, $A60, Collection!$B:$B, E$2)</f>
        <v>0</v>
      </c>
      <c r="F60" s="91">
        <f>SUMIFS(Collection!$J:$J, Collection!$A:$A, $A60, Collection!$B:$B, F$2)</f>
        <v>0</v>
      </c>
      <c r="G60" s="91">
        <f>SUMIFS(Collection!$J:$J, Collection!$A:$A, $A60, Collection!$B:$B, G$2)</f>
        <v>0</v>
      </c>
      <c r="H60" s="91">
        <f>SUMIFS(Collection!$J:$J, Collection!$A:$A, $A60, Collection!$B:$B, H$2)</f>
        <v>0</v>
      </c>
      <c r="I60" s="91">
        <f>SUMIFS(Collection!$J:$J, Collection!$A:$A, $A60, Collection!$B:$B, I$2)</f>
        <v>0</v>
      </c>
      <c r="J60" s="91">
        <f>SUMIFS(Collection!$J:$J, Collection!$A:$A, $A60, Collection!$B:$B, J$2)</f>
        <v>0</v>
      </c>
      <c r="K60" s="91">
        <f>SUMIFS(Collection!$J:$J, Collection!$A:$A, $A60, Collection!$B:$B, K$2)</f>
        <v>0</v>
      </c>
      <c r="L60" s="91">
        <f>SUMIFS(Collection!$J:$J, Collection!$A:$A, $A60, Collection!$B:$B, L$2)</f>
        <v>0</v>
      </c>
      <c r="M60" s="91">
        <f>SUMIFS(Collection!$J:$J, Collection!$A:$A, $A60, Collection!$B:$B, M$2)</f>
        <v>0</v>
      </c>
      <c r="N60" s="91">
        <f>SUMIFS(Collection!$J:$J, Collection!$A:$A, $A60, Collection!$B:$B, N$2)</f>
        <v>0</v>
      </c>
      <c r="O60" s="91">
        <f>SUMIFS(Collection!$J:$J, Collection!$A:$A, $A60, Collection!$B:$B, O$2)</f>
        <v>0</v>
      </c>
      <c r="P60" s="91">
        <f>SUMIFS(Collection!$J:$J, Collection!$A:$A, $A60, Collection!$B:$B, P$2)</f>
        <v>0</v>
      </c>
      <c r="Q60" s="91">
        <f>SUMIFS(Collection!$J:$J, Collection!$A:$A, $A60, Collection!$B:$B, Q$2)</f>
        <v>0</v>
      </c>
      <c r="R60" s="91">
        <f>SUMIFS(Collection!$J:$J, Collection!$A:$A, $A60, Collection!$B:$B, R$2)</f>
        <v>0</v>
      </c>
      <c r="S60" s="91">
        <f>SUMIFS(Collection!$J:$J, Collection!$A:$A, $A60, Collection!$B:$B, S$2)</f>
        <v>0</v>
      </c>
      <c r="T60" s="91">
        <f>SUMIFS(Collection!$J:$J, Collection!$A:$A, $A60, Collection!$B:$B, T$2)</f>
        <v>0</v>
      </c>
      <c r="U60" s="91">
        <f>SUMIFS(Collection!$J:$J, Collection!$A:$A, $A60, Collection!$B:$B, U$2)</f>
        <v>0</v>
      </c>
      <c r="V60" s="91">
        <f>SUMIFS(Collection!$J:$J, Collection!$A:$A, $A60, Collection!$B:$B, V$2)</f>
        <v>0</v>
      </c>
      <c r="W60" s="91">
        <f>SUMIFS(Collection!$J:$J, Collection!$A:$A, $A60, Collection!$B:$B, W$2)</f>
        <v>0</v>
      </c>
      <c r="X60" s="91">
        <f>SUMIFS(Collection!$J:$J, Collection!$A:$A, $A60, Collection!$B:$B, X$2)</f>
        <v>0</v>
      </c>
      <c r="Y60" s="91">
        <f>SUMIFS(Collection!$J:$J, Collection!$A:$A, $A60, Collection!$B:$B, Y$2)</f>
        <v>0</v>
      </c>
    </row>
    <row r="61" spans="1:25" s="55" customFormat="1" x14ac:dyDescent="0.2">
      <c r="A61" s="97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</row>
    <row r="62" spans="1:25" s="55" customFormat="1" x14ac:dyDescent="0.2">
      <c r="A62" s="97">
        <f>1+A60</f>
        <v>42916</v>
      </c>
      <c r="B62" s="90">
        <f>SUMIFS(Collection!$J:$J, Collection!$A:$A, $A62, Collection!$B:$B, B$2)</f>
        <v>0</v>
      </c>
      <c r="C62" s="90">
        <f>SUMIFS(Collection!$J:$J, Collection!$A:$A, $A62, Collection!$B:$B, C$2)</f>
        <v>0</v>
      </c>
      <c r="D62" s="90">
        <f>SUMIFS(Collection!$J:$J, Collection!$A:$A, $A62, Collection!$B:$B, D$2)</f>
        <v>0</v>
      </c>
      <c r="E62" s="90">
        <f>SUMIFS(Collection!$J:$J, Collection!$A:$A, $A62, Collection!$B:$B, E$2)</f>
        <v>0</v>
      </c>
      <c r="F62" s="90">
        <f>SUMIFS(Collection!$J:$J, Collection!$A:$A, $A62, Collection!$B:$B, F$2)</f>
        <v>0</v>
      </c>
      <c r="G62" s="90">
        <f>SUMIFS(Collection!$J:$J, Collection!$A:$A, $A62, Collection!$B:$B, G$2)</f>
        <v>0</v>
      </c>
      <c r="H62" s="90">
        <f>SUMIFS(Collection!$J:$J, Collection!$A:$A, $A62, Collection!$B:$B, H$2)</f>
        <v>0</v>
      </c>
      <c r="I62" s="90">
        <f>SUMIFS(Collection!$J:$J, Collection!$A:$A, $A62, Collection!$B:$B, I$2)</f>
        <v>0</v>
      </c>
      <c r="J62" s="90">
        <f>SUMIFS(Collection!$J:$J, Collection!$A:$A, $A62, Collection!$B:$B, J$2)</f>
        <v>0</v>
      </c>
      <c r="K62" s="90">
        <f>SUMIFS(Collection!$J:$J, Collection!$A:$A, $A62, Collection!$B:$B, K$2)</f>
        <v>0</v>
      </c>
      <c r="L62" s="90">
        <f>SUMIFS(Collection!$J:$J, Collection!$A:$A, $A62, Collection!$B:$B, L$2)</f>
        <v>0</v>
      </c>
      <c r="M62" s="90">
        <f>SUMIFS(Collection!$J:$J, Collection!$A:$A, $A62, Collection!$B:$B, M$2)</f>
        <v>0</v>
      </c>
      <c r="N62" s="90">
        <f>SUMIFS(Collection!$J:$J, Collection!$A:$A, $A62, Collection!$B:$B, N$2)</f>
        <v>0</v>
      </c>
      <c r="O62" s="90">
        <f>SUMIFS(Collection!$J:$J, Collection!$A:$A, $A62, Collection!$B:$B, O$2)</f>
        <v>0</v>
      </c>
      <c r="P62" s="90">
        <f>SUMIFS(Collection!$J:$J, Collection!$A:$A, $A62, Collection!$B:$B, P$2)</f>
        <v>0</v>
      </c>
      <c r="Q62" s="90">
        <f>SUMIFS(Collection!$J:$J, Collection!$A:$A, $A62, Collection!$B:$B, Q$2)</f>
        <v>0</v>
      </c>
      <c r="R62" s="90">
        <f>SUMIFS(Collection!$J:$J, Collection!$A:$A, $A62, Collection!$B:$B, R$2)</f>
        <v>0</v>
      </c>
      <c r="S62" s="90">
        <f>SUMIFS(Collection!$J:$J, Collection!$A:$A, $A62, Collection!$B:$B, S$2)</f>
        <v>0</v>
      </c>
      <c r="T62" s="90">
        <f>SUMIFS(Collection!$J:$J, Collection!$A:$A, $A62, Collection!$B:$B, T$2)</f>
        <v>0</v>
      </c>
      <c r="U62" s="90">
        <f>SUMIFS(Collection!$J:$J, Collection!$A:$A, $A62, Collection!$B:$B, U$2)</f>
        <v>0</v>
      </c>
      <c r="V62" s="90">
        <f>SUMIFS(Collection!$J:$J, Collection!$A:$A, $A62, Collection!$B:$B, V$2)</f>
        <v>0</v>
      </c>
      <c r="W62" s="90">
        <f>SUMIFS(Collection!$J:$J, Collection!$A:$A, $A62, Collection!$B:$B, W$2)</f>
        <v>0</v>
      </c>
      <c r="X62" s="90">
        <f>SUMIFS(Collection!$J:$J, Collection!$A:$A, $A62, Collection!$B:$B, X$2)</f>
        <v>0</v>
      </c>
      <c r="Y62" s="90">
        <f>SUMIFS(Collection!$J:$J, Collection!$A:$A, $A62, Collection!$B:$B, Y$2)</f>
        <v>0</v>
      </c>
    </row>
    <row r="63" spans="1:25" s="55" customFormat="1" x14ac:dyDescent="0.2">
      <c r="A63" s="97">
        <f t="shared" si="0"/>
        <v>42917</v>
      </c>
      <c r="B63" s="90">
        <f>SUMIFS(Collection!$J:$J, Collection!$A:$A, $A63, Collection!$B:$B, B$2)</f>
        <v>0</v>
      </c>
      <c r="C63" s="90">
        <f>SUMIFS(Collection!$J:$J, Collection!$A:$A, $A63, Collection!$B:$B, C$2)</f>
        <v>0</v>
      </c>
      <c r="D63" s="90">
        <f>SUMIFS(Collection!$J:$J, Collection!$A:$A, $A63, Collection!$B:$B, D$2)</f>
        <v>0</v>
      </c>
      <c r="E63" s="90">
        <f>SUMIFS(Collection!$J:$J, Collection!$A:$A, $A63, Collection!$B:$B, E$2)</f>
        <v>0</v>
      </c>
      <c r="F63" s="90">
        <f>SUMIFS(Collection!$J:$J, Collection!$A:$A, $A63, Collection!$B:$B, F$2)</f>
        <v>0</v>
      </c>
      <c r="G63" s="90">
        <f>SUMIFS(Collection!$J:$J, Collection!$A:$A, $A63, Collection!$B:$B, G$2)</f>
        <v>0</v>
      </c>
      <c r="H63" s="90">
        <f>SUMIFS(Collection!$J:$J, Collection!$A:$A, $A63, Collection!$B:$B, H$2)</f>
        <v>0</v>
      </c>
      <c r="I63" s="90">
        <f>SUMIFS(Collection!$J:$J, Collection!$A:$A, $A63, Collection!$B:$B, I$2)</f>
        <v>0</v>
      </c>
      <c r="J63" s="90">
        <f>SUMIFS(Collection!$J:$J, Collection!$A:$A, $A63, Collection!$B:$B, J$2)</f>
        <v>0</v>
      </c>
      <c r="K63" s="90">
        <f>SUMIFS(Collection!$J:$J, Collection!$A:$A, $A63, Collection!$B:$B, K$2)</f>
        <v>0</v>
      </c>
      <c r="L63" s="90">
        <f>SUMIFS(Collection!$J:$J, Collection!$A:$A, $A63, Collection!$B:$B, L$2)</f>
        <v>0</v>
      </c>
      <c r="M63" s="90">
        <f>SUMIFS(Collection!$J:$J, Collection!$A:$A, $A63, Collection!$B:$B, M$2)</f>
        <v>0</v>
      </c>
      <c r="N63" s="90">
        <f>SUMIFS(Collection!$J:$J, Collection!$A:$A, $A63, Collection!$B:$B, N$2)</f>
        <v>0</v>
      </c>
      <c r="O63" s="90">
        <f>SUMIFS(Collection!$J:$J, Collection!$A:$A, $A63, Collection!$B:$B, O$2)</f>
        <v>0</v>
      </c>
      <c r="P63" s="90">
        <f>SUMIFS(Collection!$J:$J, Collection!$A:$A, $A63, Collection!$B:$B, P$2)</f>
        <v>0</v>
      </c>
      <c r="Q63" s="90">
        <f>SUMIFS(Collection!$J:$J, Collection!$A:$A, $A63, Collection!$B:$B, Q$2)</f>
        <v>0</v>
      </c>
      <c r="R63" s="90">
        <f>SUMIFS(Collection!$J:$J, Collection!$A:$A, $A63, Collection!$B:$B, R$2)</f>
        <v>0</v>
      </c>
      <c r="S63" s="90">
        <f>SUMIFS(Collection!$J:$J, Collection!$A:$A, $A63, Collection!$B:$B, S$2)</f>
        <v>0</v>
      </c>
      <c r="T63" s="90">
        <f>SUMIFS(Collection!$J:$J, Collection!$A:$A, $A63, Collection!$B:$B, T$2)</f>
        <v>0</v>
      </c>
      <c r="U63" s="90">
        <f>SUMIFS(Collection!$J:$J, Collection!$A:$A, $A63, Collection!$B:$B, U$2)</f>
        <v>0</v>
      </c>
      <c r="V63" s="90">
        <f>SUMIFS(Collection!$J:$J, Collection!$A:$A, $A63, Collection!$B:$B, V$2)</f>
        <v>0</v>
      </c>
      <c r="W63" s="90">
        <f>SUMIFS(Collection!$J:$J, Collection!$A:$A, $A63, Collection!$B:$B, W$2)</f>
        <v>0</v>
      </c>
      <c r="X63" s="90">
        <f>SUMIFS(Collection!$J:$J, Collection!$A:$A, $A63, Collection!$B:$B, X$2)</f>
        <v>0</v>
      </c>
      <c r="Y63" s="90">
        <f>SUMIFS(Collection!$J:$J, Collection!$A:$A, $A63, Collection!$B:$B, Y$2)</f>
        <v>0</v>
      </c>
    </row>
    <row r="64" spans="1:25" s="56" customFormat="1" ht="17" thickBot="1" x14ac:dyDescent="0.25">
      <c r="A64" s="98">
        <f t="shared" si="0"/>
        <v>42918</v>
      </c>
      <c r="B64" s="91">
        <f>SUMIFS(Collection!$J:$J, Collection!$A:$A, $A64, Collection!$B:$B, B$2)</f>
        <v>0</v>
      </c>
      <c r="C64" s="91">
        <f>SUMIFS(Collection!$J:$J, Collection!$A:$A, $A64, Collection!$B:$B, C$2)</f>
        <v>0</v>
      </c>
      <c r="D64" s="91">
        <f>SUMIFS(Collection!$J:$J, Collection!$A:$A, $A64, Collection!$B:$B, D$2)</f>
        <v>0</v>
      </c>
      <c r="E64" s="91">
        <f>SUMIFS(Collection!$J:$J, Collection!$A:$A, $A64, Collection!$B:$B, E$2)</f>
        <v>0</v>
      </c>
      <c r="F64" s="91">
        <f>SUMIFS(Collection!$J:$J, Collection!$A:$A, $A64, Collection!$B:$B, F$2)</f>
        <v>0</v>
      </c>
      <c r="G64" s="91">
        <f>SUMIFS(Collection!$J:$J, Collection!$A:$A, $A64, Collection!$B:$B, G$2)</f>
        <v>0</v>
      </c>
      <c r="H64" s="91">
        <f>SUMIFS(Collection!$J:$J, Collection!$A:$A, $A64, Collection!$B:$B, H$2)</f>
        <v>0</v>
      </c>
      <c r="I64" s="91">
        <f>SUMIFS(Collection!$J:$J, Collection!$A:$A, $A64, Collection!$B:$B, I$2)</f>
        <v>0</v>
      </c>
      <c r="J64" s="91">
        <f>SUMIFS(Collection!$J:$J, Collection!$A:$A, $A64, Collection!$B:$B, J$2)</f>
        <v>0</v>
      </c>
      <c r="K64" s="91">
        <f>SUMIFS(Collection!$J:$J, Collection!$A:$A, $A64, Collection!$B:$B, K$2)</f>
        <v>0</v>
      </c>
      <c r="L64" s="91">
        <f>SUMIFS(Collection!$J:$J, Collection!$A:$A, $A64, Collection!$B:$B, L$2)</f>
        <v>0</v>
      </c>
      <c r="M64" s="91">
        <f>SUMIFS(Collection!$J:$J, Collection!$A:$A, $A64, Collection!$B:$B, M$2)</f>
        <v>0</v>
      </c>
      <c r="N64" s="91">
        <f>SUMIFS(Collection!$J:$J, Collection!$A:$A, $A64, Collection!$B:$B, N$2)</f>
        <v>0</v>
      </c>
      <c r="O64" s="91">
        <f>SUMIFS(Collection!$J:$J, Collection!$A:$A, $A64, Collection!$B:$B, O$2)</f>
        <v>0</v>
      </c>
      <c r="P64" s="91">
        <f>SUMIFS(Collection!$J:$J, Collection!$A:$A, $A64, Collection!$B:$B, P$2)</f>
        <v>0</v>
      </c>
      <c r="Q64" s="91">
        <f>SUMIFS(Collection!$J:$J, Collection!$A:$A, $A64, Collection!$B:$B, Q$2)</f>
        <v>0</v>
      </c>
      <c r="R64" s="91">
        <f>SUMIFS(Collection!$J:$J, Collection!$A:$A, $A64, Collection!$B:$B, R$2)</f>
        <v>0</v>
      </c>
      <c r="S64" s="91">
        <f>SUMIFS(Collection!$J:$J, Collection!$A:$A, $A64, Collection!$B:$B, S$2)</f>
        <v>0</v>
      </c>
      <c r="T64" s="91">
        <f>SUMIFS(Collection!$J:$J, Collection!$A:$A, $A64, Collection!$B:$B, T$2)</f>
        <v>0</v>
      </c>
      <c r="U64" s="91">
        <f>SUMIFS(Collection!$J:$J, Collection!$A:$A, $A64, Collection!$B:$B, U$2)</f>
        <v>0</v>
      </c>
      <c r="V64" s="91">
        <f>SUMIFS(Collection!$J:$J, Collection!$A:$A, $A64, Collection!$B:$B, V$2)</f>
        <v>0</v>
      </c>
      <c r="W64" s="91">
        <f>SUMIFS(Collection!$J:$J, Collection!$A:$A, $A64, Collection!$B:$B, W$2)</f>
        <v>0</v>
      </c>
      <c r="X64" s="91">
        <f>SUMIFS(Collection!$J:$J, Collection!$A:$A, $A64, Collection!$B:$B, X$2)</f>
        <v>0</v>
      </c>
      <c r="Y64" s="91">
        <f>SUMIFS(Collection!$J:$J, Collection!$A:$A, $A64, Collection!$B:$B, Y$2)</f>
        <v>0</v>
      </c>
    </row>
    <row r="65" spans="1:25" s="55" customFormat="1" x14ac:dyDescent="0.2">
      <c r="A65" s="97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</row>
    <row r="66" spans="1:25" s="55" customFormat="1" x14ac:dyDescent="0.2">
      <c r="A66" s="97">
        <f>1+A64</f>
        <v>42919</v>
      </c>
      <c r="B66" s="90">
        <f>SUMIFS(Collection!$J:$J, Collection!$A:$A, $A66, Collection!$B:$B, B$2)</f>
        <v>0</v>
      </c>
      <c r="C66" s="90">
        <f>SUMIFS(Collection!$J:$J, Collection!$A:$A, $A66, Collection!$B:$B, C$2)</f>
        <v>0</v>
      </c>
      <c r="D66" s="90">
        <f>SUMIFS(Collection!$J:$J, Collection!$A:$A, $A66, Collection!$B:$B, D$2)</f>
        <v>0</v>
      </c>
      <c r="E66" s="90">
        <f>SUMIFS(Collection!$J:$J, Collection!$A:$A, $A66, Collection!$B:$B, E$2)</f>
        <v>0</v>
      </c>
      <c r="F66" s="90">
        <f>SUMIFS(Collection!$J:$J, Collection!$A:$A, $A66, Collection!$B:$B, F$2)</f>
        <v>0</v>
      </c>
      <c r="G66" s="90">
        <f>SUMIFS(Collection!$J:$J, Collection!$A:$A, $A66, Collection!$B:$B, G$2)</f>
        <v>0</v>
      </c>
      <c r="H66" s="90">
        <f>SUMIFS(Collection!$J:$J, Collection!$A:$A, $A66, Collection!$B:$B, H$2)</f>
        <v>0</v>
      </c>
      <c r="I66" s="90">
        <f>SUMIFS(Collection!$J:$J, Collection!$A:$A, $A66, Collection!$B:$B, I$2)</f>
        <v>0</v>
      </c>
      <c r="J66" s="90">
        <f>SUMIFS(Collection!$J:$J, Collection!$A:$A, $A66, Collection!$B:$B, J$2)</f>
        <v>0</v>
      </c>
      <c r="K66" s="90">
        <f>SUMIFS(Collection!$J:$J, Collection!$A:$A, $A66, Collection!$B:$B, K$2)</f>
        <v>0</v>
      </c>
      <c r="L66" s="90">
        <f>SUMIFS(Collection!$J:$J, Collection!$A:$A, $A66, Collection!$B:$B, L$2)</f>
        <v>0</v>
      </c>
      <c r="M66" s="90">
        <f>SUMIFS(Collection!$J:$J, Collection!$A:$A, $A66, Collection!$B:$B, M$2)</f>
        <v>0</v>
      </c>
      <c r="N66" s="90">
        <f>SUMIFS(Collection!$J:$J, Collection!$A:$A, $A66, Collection!$B:$B, N$2)</f>
        <v>0</v>
      </c>
      <c r="O66" s="90">
        <f>SUMIFS(Collection!$J:$J, Collection!$A:$A, $A66, Collection!$B:$B, O$2)</f>
        <v>0</v>
      </c>
      <c r="P66" s="90">
        <f>SUMIFS(Collection!$J:$J, Collection!$A:$A, $A66, Collection!$B:$B, P$2)</f>
        <v>0</v>
      </c>
      <c r="Q66" s="90">
        <f>SUMIFS(Collection!$J:$J, Collection!$A:$A, $A66, Collection!$B:$B, Q$2)</f>
        <v>0</v>
      </c>
      <c r="R66" s="90">
        <f>SUMIFS(Collection!$J:$J, Collection!$A:$A, $A66, Collection!$B:$B, R$2)</f>
        <v>0</v>
      </c>
      <c r="S66" s="90">
        <f>SUMIFS(Collection!$J:$J, Collection!$A:$A, $A66, Collection!$B:$B, S$2)</f>
        <v>0</v>
      </c>
      <c r="T66" s="90">
        <f>SUMIFS(Collection!$J:$J, Collection!$A:$A, $A66, Collection!$B:$B, T$2)</f>
        <v>0</v>
      </c>
      <c r="U66" s="90">
        <f>SUMIFS(Collection!$J:$J, Collection!$A:$A, $A66, Collection!$B:$B, U$2)</f>
        <v>0</v>
      </c>
      <c r="V66" s="90">
        <f>SUMIFS(Collection!$J:$J, Collection!$A:$A, $A66, Collection!$B:$B, V$2)</f>
        <v>0</v>
      </c>
      <c r="W66" s="90">
        <f>SUMIFS(Collection!$J:$J, Collection!$A:$A, $A66, Collection!$B:$B, W$2)</f>
        <v>0</v>
      </c>
      <c r="X66" s="90">
        <f>SUMIFS(Collection!$J:$J, Collection!$A:$A, $A66, Collection!$B:$B, X$2)</f>
        <v>0</v>
      </c>
      <c r="Y66" s="90">
        <f>SUMIFS(Collection!$J:$J, Collection!$A:$A, $A66, Collection!$B:$B, Y$2)</f>
        <v>0</v>
      </c>
    </row>
    <row r="67" spans="1:25" s="55" customFormat="1" x14ac:dyDescent="0.2">
      <c r="A67" s="97">
        <f t="shared" si="0"/>
        <v>42920</v>
      </c>
      <c r="B67" s="90">
        <f>SUMIFS(Collection!$J:$J, Collection!$A:$A, $A67, Collection!$B:$B, B$2)</f>
        <v>0</v>
      </c>
      <c r="C67" s="90">
        <f>SUMIFS(Collection!$J:$J, Collection!$A:$A, $A67, Collection!$B:$B, C$2)</f>
        <v>0</v>
      </c>
      <c r="D67" s="90">
        <f>SUMIFS(Collection!$J:$J, Collection!$A:$A, $A67, Collection!$B:$B, D$2)</f>
        <v>0</v>
      </c>
      <c r="E67" s="90">
        <f>SUMIFS(Collection!$J:$J, Collection!$A:$A, $A67, Collection!$B:$B, E$2)</f>
        <v>0</v>
      </c>
      <c r="F67" s="90">
        <f>SUMIFS(Collection!$J:$J, Collection!$A:$A, $A67, Collection!$B:$B, F$2)</f>
        <v>0</v>
      </c>
      <c r="G67" s="90">
        <f>SUMIFS(Collection!$J:$J, Collection!$A:$A, $A67, Collection!$B:$B, G$2)</f>
        <v>0</v>
      </c>
      <c r="H67" s="90">
        <f>SUMIFS(Collection!$J:$J, Collection!$A:$A, $A67, Collection!$B:$B, H$2)</f>
        <v>0</v>
      </c>
      <c r="I67" s="90">
        <f>SUMIFS(Collection!$J:$J, Collection!$A:$A, $A67, Collection!$B:$B, I$2)</f>
        <v>0</v>
      </c>
      <c r="J67" s="90">
        <f>SUMIFS(Collection!$J:$J, Collection!$A:$A, $A67, Collection!$B:$B, J$2)</f>
        <v>0</v>
      </c>
      <c r="K67" s="90">
        <f>SUMIFS(Collection!$J:$J, Collection!$A:$A, $A67, Collection!$B:$B, K$2)</f>
        <v>0</v>
      </c>
      <c r="L67" s="90">
        <f>SUMIFS(Collection!$J:$J, Collection!$A:$A, $A67, Collection!$B:$B, L$2)</f>
        <v>0</v>
      </c>
      <c r="M67" s="90">
        <f>SUMIFS(Collection!$J:$J, Collection!$A:$A, $A67, Collection!$B:$B, M$2)</f>
        <v>0</v>
      </c>
      <c r="N67" s="90">
        <f>SUMIFS(Collection!$J:$J, Collection!$A:$A, $A67, Collection!$B:$B, N$2)</f>
        <v>0</v>
      </c>
      <c r="O67" s="90">
        <f>SUMIFS(Collection!$J:$J, Collection!$A:$A, $A67, Collection!$B:$B, O$2)</f>
        <v>0</v>
      </c>
      <c r="P67" s="90">
        <f>SUMIFS(Collection!$J:$J, Collection!$A:$A, $A67, Collection!$B:$B, P$2)</f>
        <v>0</v>
      </c>
      <c r="Q67" s="90">
        <f>SUMIFS(Collection!$J:$J, Collection!$A:$A, $A67, Collection!$B:$B, Q$2)</f>
        <v>0</v>
      </c>
      <c r="R67" s="90">
        <f>SUMIFS(Collection!$J:$J, Collection!$A:$A, $A67, Collection!$B:$B, R$2)</f>
        <v>0</v>
      </c>
      <c r="S67" s="90">
        <f>SUMIFS(Collection!$J:$J, Collection!$A:$A, $A67, Collection!$B:$B, S$2)</f>
        <v>0</v>
      </c>
      <c r="T67" s="90">
        <f>SUMIFS(Collection!$J:$J, Collection!$A:$A, $A67, Collection!$B:$B, T$2)</f>
        <v>0</v>
      </c>
      <c r="U67" s="90">
        <f>SUMIFS(Collection!$J:$J, Collection!$A:$A, $A67, Collection!$B:$B, U$2)</f>
        <v>0</v>
      </c>
      <c r="V67" s="90">
        <f>SUMIFS(Collection!$J:$J, Collection!$A:$A, $A67, Collection!$B:$B, V$2)</f>
        <v>0</v>
      </c>
      <c r="W67" s="90">
        <f>SUMIFS(Collection!$J:$J, Collection!$A:$A, $A67, Collection!$B:$B, W$2)</f>
        <v>0</v>
      </c>
      <c r="X67" s="90">
        <f>SUMIFS(Collection!$J:$J, Collection!$A:$A, $A67, Collection!$B:$B, X$2)</f>
        <v>0</v>
      </c>
      <c r="Y67" s="90">
        <f>SUMIFS(Collection!$J:$J, Collection!$A:$A, $A67, Collection!$B:$B, Y$2)</f>
        <v>0</v>
      </c>
    </row>
    <row r="68" spans="1:25" s="55" customFormat="1" x14ac:dyDescent="0.2">
      <c r="A68" s="97">
        <f t="shared" si="0"/>
        <v>42921</v>
      </c>
      <c r="B68" s="90">
        <f>SUMIFS(Collection!$J:$J, Collection!$A:$A, $A68, Collection!$B:$B, B$2)</f>
        <v>0</v>
      </c>
      <c r="C68" s="90">
        <f>SUMIFS(Collection!$J:$J, Collection!$A:$A, $A68, Collection!$B:$B, C$2)</f>
        <v>0</v>
      </c>
      <c r="D68" s="90">
        <f>SUMIFS(Collection!$J:$J, Collection!$A:$A, $A68, Collection!$B:$B, D$2)</f>
        <v>0</v>
      </c>
      <c r="E68" s="90">
        <f>SUMIFS(Collection!$J:$J, Collection!$A:$A, $A68, Collection!$B:$B, E$2)</f>
        <v>0</v>
      </c>
      <c r="F68" s="90">
        <f>SUMIFS(Collection!$J:$J, Collection!$A:$A, $A68, Collection!$B:$B, F$2)</f>
        <v>0</v>
      </c>
      <c r="G68" s="90">
        <f>SUMIFS(Collection!$J:$J, Collection!$A:$A, $A68, Collection!$B:$B, G$2)</f>
        <v>0</v>
      </c>
      <c r="H68" s="90">
        <f>SUMIFS(Collection!$J:$J, Collection!$A:$A, $A68, Collection!$B:$B, H$2)</f>
        <v>0</v>
      </c>
      <c r="I68" s="90">
        <f>SUMIFS(Collection!$J:$J, Collection!$A:$A, $A68, Collection!$B:$B, I$2)</f>
        <v>0</v>
      </c>
      <c r="J68" s="90">
        <f>SUMIFS(Collection!$J:$J, Collection!$A:$A, $A68, Collection!$B:$B, J$2)</f>
        <v>0</v>
      </c>
      <c r="K68" s="90">
        <f>SUMIFS(Collection!$J:$J, Collection!$A:$A, $A68, Collection!$B:$B, K$2)</f>
        <v>0</v>
      </c>
      <c r="L68" s="90">
        <f>SUMIFS(Collection!$J:$J, Collection!$A:$A, $A68, Collection!$B:$B, L$2)</f>
        <v>0</v>
      </c>
      <c r="M68" s="90">
        <f>SUMIFS(Collection!$J:$J, Collection!$A:$A, $A68, Collection!$B:$B, M$2)</f>
        <v>0</v>
      </c>
      <c r="N68" s="90">
        <f>SUMIFS(Collection!$J:$J, Collection!$A:$A, $A68, Collection!$B:$B, N$2)</f>
        <v>0</v>
      </c>
      <c r="O68" s="90">
        <f>SUMIFS(Collection!$J:$J, Collection!$A:$A, $A68, Collection!$B:$B, O$2)</f>
        <v>0</v>
      </c>
      <c r="P68" s="90">
        <f>SUMIFS(Collection!$J:$J, Collection!$A:$A, $A68, Collection!$B:$B, P$2)</f>
        <v>0</v>
      </c>
      <c r="Q68" s="90">
        <f>SUMIFS(Collection!$J:$J, Collection!$A:$A, $A68, Collection!$B:$B, Q$2)</f>
        <v>0</v>
      </c>
      <c r="R68" s="90">
        <f>SUMIFS(Collection!$J:$J, Collection!$A:$A, $A68, Collection!$B:$B, R$2)</f>
        <v>0</v>
      </c>
      <c r="S68" s="90">
        <f>SUMIFS(Collection!$J:$J, Collection!$A:$A, $A68, Collection!$B:$B, S$2)</f>
        <v>0</v>
      </c>
      <c r="T68" s="90">
        <f>SUMIFS(Collection!$J:$J, Collection!$A:$A, $A68, Collection!$B:$B, T$2)</f>
        <v>0</v>
      </c>
      <c r="U68" s="90">
        <f>SUMIFS(Collection!$J:$J, Collection!$A:$A, $A68, Collection!$B:$B, U$2)</f>
        <v>0</v>
      </c>
      <c r="V68" s="90">
        <f>SUMIFS(Collection!$J:$J, Collection!$A:$A, $A68, Collection!$B:$B, V$2)</f>
        <v>0</v>
      </c>
      <c r="W68" s="90">
        <f>SUMIFS(Collection!$J:$J, Collection!$A:$A, $A68, Collection!$B:$B, W$2)</f>
        <v>0</v>
      </c>
      <c r="X68" s="90">
        <f>SUMIFS(Collection!$J:$J, Collection!$A:$A, $A68, Collection!$B:$B, X$2)</f>
        <v>0</v>
      </c>
      <c r="Y68" s="90">
        <f>SUMIFS(Collection!$J:$J, Collection!$A:$A, $A68, Collection!$B:$B, Y$2)</f>
        <v>0</v>
      </c>
    </row>
    <row r="69" spans="1:25" s="56" customFormat="1" ht="17" thickBot="1" x14ac:dyDescent="0.25">
      <c r="A69" s="98">
        <f t="shared" si="0"/>
        <v>42922</v>
      </c>
      <c r="B69" s="91">
        <f>SUMIFS(Collection!$J:$J, Collection!$A:$A, $A69, Collection!$B:$B, B$2)</f>
        <v>0</v>
      </c>
      <c r="C69" s="91">
        <f>SUMIFS(Collection!$J:$J, Collection!$A:$A, $A69, Collection!$B:$B, C$2)</f>
        <v>0</v>
      </c>
      <c r="D69" s="91">
        <f>SUMIFS(Collection!$J:$J, Collection!$A:$A, $A69, Collection!$B:$B, D$2)</f>
        <v>0</v>
      </c>
      <c r="E69" s="91">
        <f>SUMIFS(Collection!$J:$J, Collection!$A:$A, $A69, Collection!$B:$B, E$2)</f>
        <v>0</v>
      </c>
      <c r="F69" s="91">
        <f>SUMIFS(Collection!$J:$J, Collection!$A:$A, $A69, Collection!$B:$B, F$2)</f>
        <v>0</v>
      </c>
      <c r="G69" s="91">
        <f>SUMIFS(Collection!$J:$J, Collection!$A:$A, $A69, Collection!$B:$B, G$2)</f>
        <v>0</v>
      </c>
      <c r="H69" s="91">
        <f>SUMIFS(Collection!$J:$J, Collection!$A:$A, $A69, Collection!$B:$B, H$2)</f>
        <v>0</v>
      </c>
      <c r="I69" s="91">
        <f>SUMIFS(Collection!$J:$J, Collection!$A:$A, $A69, Collection!$B:$B, I$2)</f>
        <v>0</v>
      </c>
      <c r="J69" s="91">
        <f>SUMIFS(Collection!$J:$J, Collection!$A:$A, $A69, Collection!$B:$B, J$2)</f>
        <v>0</v>
      </c>
      <c r="K69" s="91">
        <f>SUMIFS(Collection!$J:$J, Collection!$A:$A, $A69, Collection!$B:$B, K$2)</f>
        <v>0</v>
      </c>
      <c r="L69" s="91">
        <f>SUMIFS(Collection!$J:$J, Collection!$A:$A, $A69, Collection!$B:$B, L$2)</f>
        <v>0</v>
      </c>
      <c r="M69" s="91">
        <f>SUMIFS(Collection!$J:$J, Collection!$A:$A, $A69, Collection!$B:$B, M$2)</f>
        <v>0</v>
      </c>
      <c r="N69" s="91">
        <f>SUMIFS(Collection!$J:$J, Collection!$A:$A, $A69, Collection!$B:$B, N$2)</f>
        <v>0</v>
      </c>
      <c r="O69" s="91">
        <f>SUMIFS(Collection!$J:$J, Collection!$A:$A, $A69, Collection!$B:$B, O$2)</f>
        <v>0</v>
      </c>
      <c r="P69" s="91">
        <f>SUMIFS(Collection!$J:$J, Collection!$A:$A, $A69, Collection!$B:$B, P$2)</f>
        <v>0</v>
      </c>
      <c r="Q69" s="91">
        <f>SUMIFS(Collection!$J:$J, Collection!$A:$A, $A69, Collection!$B:$B, Q$2)</f>
        <v>0</v>
      </c>
      <c r="R69" s="91">
        <f>SUMIFS(Collection!$J:$J, Collection!$A:$A, $A69, Collection!$B:$B, R$2)</f>
        <v>0</v>
      </c>
      <c r="S69" s="91">
        <f>SUMIFS(Collection!$J:$J, Collection!$A:$A, $A69, Collection!$B:$B, S$2)</f>
        <v>0</v>
      </c>
      <c r="T69" s="91">
        <f>SUMIFS(Collection!$J:$J, Collection!$A:$A, $A69, Collection!$B:$B, T$2)</f>
        <v>0</v>
      </c>
      <c r="U69" s="91">
        <f>SUMIFS(Collection!$J:$J, Collection!$A:$A, $A69, Collection!$B:$B, U$2)</f>
        <v>0</v>
      </c>
      <c r="V69" s="91">
        <f>SUMIFS(Collection!$J:$J, Collection!$A:$A, $A69, Collection!$B:$B, V$2)</f>
        <v>0</v>
      </c>
      <c r="W69" s="91">
        <f>SUMIFS(Collection!$J:$J, Collection!$A:$A, $A69, Collection!$B:$B, W$2)</f>
        <v>0</v>
      </c>
      <c r="X69" s="91">
        <f>SUMIFS(Collection!$J:$J, Collection!$A:$A, $A69, Collection!$B:$B, X$2)</f>
        <v>0</v>
      </c>
      <c r="Y69" s="91">
        <f>SUMIFS(Collection!$J:$J, Collection!$A:$A, $A69, Collection!$B:$B, Y$2)</f>
        <v>0</v>
      </c>
    </row>
    <row r="70" spans="1:25" s="55" customFormat="1" x14ac:dyDescent="0.2">
      <c r="A70" s="97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</row>
    <row r="71" spans="1:25" s="55" customFormat="1" x14ac:dyDescent="0.2">
      <c r="A71" s="97">
        <f>1+A69</f>
        <v>42923</v>
      </c>
      <c r="B71" s="90">
        <f>SUMIFS(Collection!$J:$J, Collection!$A:$A, $A71, Collection!$B:$B, B$2)</f>
        <v>0</v>
      </c>
      <c r="C71" s="90">
        <f>SUMIFS(Collection!$J:$J, Collection!$A:$A, $A71, Collection!$B:$B, C$2)</f>
        <v>0</v>
      </c>
      <c r="D71" s="90">
        <f>SUMIFS(Collection!$J:$J, Collection!$A:$A, $A71, Collection!$B:$B, D$2)</f>
        <v>0</v>
      </c>
      <c r="E71" s="90">
        <f>SUMIFS(Collection!$J:$J, Collection!$A:$A, $A71, Collection!$B:$B, E$2)</f>
        <v>0</v>
      </c>
      <c r="F71" s="90">
        <f>SUMIFS(Collection!$J:$J, Collection!$A:$A, $A71, Collection!$B:$B, F$2)</f>
        <v>0</v>
      </c>
      <c r="G71" s="90">
        <f>SUMIFS(Collection!$J:$J, Collection!$A:$A, $A71, Collection!$B:$B, G$2)</f>
        <v>0</v>
      </c>
      <c r="H71" s="90">
        <f>SUMIFS(Collection!$J:$J, Collection!$A:$A, $A71, Collection!$B:$B, H$2)</f>
        <v>0</v>
      </c>
      <c r="I71" s="90">
        <f>SUMIFS(Collection!$J:$J, Collection!$A:$A, $A71, Collection!$B:$B, I$2)</f>
        <v>0</v>
      </c>
      <c r="J71" s="90">
        <f>SUMIFS(Collection!$J:$J, Collection!$A:$A, $A71, Collection!$B:$B, J$2)</f>
        <v>0</v>
      </c>
      <c r="K71" s="90">
        <f>SUMIFS(Collection!$J:$J, Collection!$A:$A, $A71, Collection!$B:$B, K$2)</f>
        <v>0</v>
      </c>
      <c r="L71" s="90">
        <f>SUMIFS(Collection!$J:$J, Collection!$A:$A, $A71, Collection!$B:$B, L$2)</f>
        <v>0</v>
      </c>
      <c r="M71" s="90">
        <f>SUMIFS(Collection!$J:$J, Collection!$A:$A, $A71, Collection!$B:$B, M$2)</f>
        <v>0</v>
      </c>
      <c r="N71" s="90">
        <f>SUMIFS(Collection!$J:$J, Collection!$A:$A, $A71, Collection!$B:$B, N$2)</f>
        <v>0</v>
      </c>
      <c r="O71" s="90">
        <f>SUMIFS(Collection!$J:$J, Collection!$A:$A, $A71, Collection!$B:$B, O$2)</f>
        <v>0</v>
      </c>
      <c r="P71" s="90">
        <f>SUMIFS(Collection!$J:$J, Collection!$A:$A, $A71, Collection!$B:$B, P$2)</f>
        <v>0</v>
      </c>
      <c r="Q71" s="90">
        <f>SUMIFS(Collection!$J:$J, Collection!$A:$A, $A71, Collection!$B:$B, Q$2)</f>
        <v>0</v>
      </c>
      <c r="R71" s="90">
        <f>SUMIFS(Collection!$J:$J, Collection!$A:$A, $A71, Collection!$B:$B, R$2)</f>
        <v>0</v>
      </c>
      <c r="S71" s="90">
        <f>SUMIFS(Collection!$J:$J, Collection!$A:$A, $A71, Collection!$B:$B, S$2)</f>
        <v>0</v>
      </c>
      <c r="T71" s="90">
        <f>SUMIFS(Collection!$J:$J, Collection!$A:$A, $A71, Collection!$B:$B, T$2)</f>
        <v>0</v>
      </c>
      <c r="U71" s="90">
        <f>SUMIFS(Collection!$J:$J, Collection!$A:$A, $A71, Collection!$B:$B, U$2)</f>
        <v>0</v>
      </c>
      <c r="V71" s="90">
        <f>SUMIFS(Collection!$J:$J, Collection!$A:$A, $A71, Collection!$B:$B, V$2)</f>
        <v>0</v>
      </c>
      <c r="W71" s="90">
        <f>SUMIFS(Collection!$J:$J, Collection!$A:$A, $A71, Collection!$B:$B, W$2)</f>
        <v>0</v>
      </c>
      <c r="X71" s="90">
        <f>SUMIFS(Collection!$J:$J, Collection!$A:$A, $A71, Collection!$B:$B, X$2)</f>
        <v>0</v>
      </c>
      <c r="Y71" s="90">
        <f>SUMIFS(Collection!$J:$J, Collection!$A:$A, $A71, Collection!$B:$B, Y$2)</f>
        <v>0</v>
      </c>
    </row>
    <row r="72" spans="1:25" s="55" customFormat="1" x14ac:dyDescent="0.2">
      <c r="A72" s="97">
        <f t="shared" si="0"/>
        <v>42924</v>
      </c>
      <c r="B72" s="90">
        <f>SUMIFS(Collection!$J:$J, Collection!$A:$A, $A72, Collection!$B:$B, B$2)</f>
        <v>0</v>
      </c>
      <c r="C72" s="90">
        <f>SUMIFS(Collection!$J:$J, Collection!$A:$A, $A72, Collection!$B:$B, C$2)</f>
        <v>0</v>
      </c>
      <c r="D72" s="90">
        <f>SUMIFS(Collection!$J:$J, Collection!$A:$A, $A72, Collection!$B:$B, D$2)</f>
        <v>0</v>
      </c>
      <c r="E72" s="90">
        <f>SUMIFS(Collection!$J:$J, Collection!$A:$A, $A72, Collection!$B:$B, E$2)</f>
        <v>0</v>
      </c>
      <c r="F72" s="90">
        <f>SUMIFS(Collection!$J:$J, Collection!$A:$A, $A72, Collection!$B:$B, F$2)</f>
        <v>0</v>
      </c>
      <c r="G72" s="90">
        <f>SUMIFS(Collection!$J:$J, Collection!$A:$A, $A72, Collection!$B:$B, G$2)</f>
        <v>0</v>
      </c>
      <c r="H72" s="90">
        <f>SUMIFS(Collection!$J:$J, Collection!$A:$A, $A72, Collection!$B:$B, H$2)</f>
        <v>0</v>
      </c>
      <c r="I72" s="90">
        <f>SUMIFS(Collection!$J:$J, Collection!$A:$A, $A72, Collection!$B:$B, I$2)</f>
        <v>0</v>
      </c>
      <c r="J72" s="90">
        <f>SUMIFS(Collection!$J:$J, Collection!$A:$A, $A72, Collection!$B:$B, J$2)</f>
        <v>0</v>
      </c>
      <c r="K72" s="90">
        <f>SUMIFS(Collection!$J:$J, Collection!$A:$A, $A72, Collection!$B:$B, K$2)</f>
        <v>0</v>
      </c>
      <c r="L72" s="90">
        <f>SUMIFS(Collection!$J:$J, Collection!$A:$A, $A72, Collection!$B:$B, L$2)</f>
        <v>0</v>
      </c>
      <c r="M72" s="90">
        <f>SUMIFS(Collection!$J:$J, Collection!$A:$A, $A72, Collection!$B:$B, M$2)</f>
        <v>0</v>
      </c>
      <c r="N72" s="90">
        <f>SUMIFS(Collection!$J:$J, Collection!$A:$A, $A72, Collection!$B:$B, N$2)</f>
        <v>0</v>
      </c>
      <c r="O72" s="90">
        <f>SUMIFS(Collection!$J:$J, Collection!$A:$A, $A72, Collection!$B:$B, O$2)</f>
        <v>0</v>
      </c>
      <c r="P72" s="90">
        <f>SUMIFS(Collection!$J:$J, Collection!$A:$A, $A72, Collection!$B:$B, P$2)</f>
        <v>0</v>
      </c>
      <c r="Q72" s="90">
        <f>SUMIFS(Collection!$J:$J, Collection!$A:$A, $A72, Collection!$B:$B, Q$2)</f>
        <v>0</v>
      </c>
      <c r="R72" s="90">
        <f>SUMIFS(Collection!$J:$J, Collection!$A:$A, $A72, Collection!$B:$B, R$2)</f>
        <v>0</v>
      </c>
      <c r="S72" s="90">
        <f>SUMIFS(Collection!$J:$J, Collection!$A:$A, $A72, Collection!$B:$B, S$2)</f>
        <v>0</v>
      </c>
      <c r="T72" s="90">
        <f>SUMIFS(Collection!$J:$J, Collection!$A:$A, $A72, Collection!$B:$B, T$2)</f>
        <v>0</v>
      </c>
      <c r="U72" s="90">
        <f>SUMIFS(Collection!$J:$J, Collection!$A:$A, $A72, Collection!$B:$B, U$2)</f>
        <v>0</v>
      </c>
      <c r="V72" s="90">
        <f>SUMIFS(Collection!$J:$J, Collection!$A:$A, $A72, Collection!$B:$B, V$2)</f>
        <v>0</v>
      </c>
      <c r="W72" s="90">
        <f>SUMIFS(Collection!$J:$J, Collection!$A:$A, $A72, Collection!$B:$B, W$2)</f>
        <v>0</v>
      </c>
      <c r="X72" s="90">
        <f>SUMIFS(Collection!$J:$J, Collection!$A:$A, $A72, Collection!$B:$B, X$2)</f>
        <v>0</v>
      </c>
      <c r="Y72" s="90">
        <f>SUMIFS(Collection!$J:$J, Collection!$A:$A, $A72, Collection!$B:$B, Y$2)</f>
        <v>0</v>
      </c>
    </row>
    <row r="73" spans="1:25" s="55" customFormat="1" x14ac:dyDescent="0.2">
      <c r="A73" s="97">
        <f t="shared" si="0"/>
        <v>42925</v>
      </c>
      <c r="B73" s="90">
        <f>SUMIFS(Collection!$J:$J, Collection!$A:$A, $A73, Collection!$B:$B, B$2)</f>
        <v>0</v>
      </c>
      <c r="C73" s="90">
        <f>SUMIFS(Collection!$J:$J, Collection!$A:$A, $A73, Collection!$B:$B, C$2)</f>
        <v>0</v>
      </c>
      <c r="D73" s="90">
        <f>SUMIFS(Collection!$J:$J, Collection!$A:$A, $A73, Collection!$B:$B, D$2)</f>
        <v>0</v>
      </c>
      <c r="E73" s="90">
        <f>SUMIFS(Collection!$J:$J, Collection!$A:$A, $A73, Collection!$B:$B, E$2)</f>
        <v>0</v>
      </c>
      <c r="F73" s="90">
        <f>SUMIFS(Collection!$J:$J, Collection!$A:$A, $A73, Collection!$B:$B, F$2)</f>
        <v>0</v>
      </c>
      <c r="G73" s="90">
        <f>SUMIFS(Collection!$J:$J, Collection!$A:$A, $A73, Collection!$B:$B, G$2)</f>
        <v>0</v>
      </c>
      <c r="H73" s="90">
        <f>SUMIFS(Collection!$J:$J, Collection!$A:$A, $A73, Collection!$B:$B, H$2)</f>
        <v>0</v>
      </c>
      <c r="I73" s="90">
        <f>SUMIFS(Collection!$J:$J, Collection!$A:$A, $A73, Collection!$B:$B, I$2)</f>
        <v>0</v>
      </c>
      <c r="J73" s="90">
        <f>SUMIFS(Collection!$J:$J, Collection!$A:$A, $A73, Collection!$B:$B, J$2)</f>
        <v>0</v>
      </c>
      <c r="K73" s="90">
        <f>SUMIFS(Collection!$J:$J, Collection!$A:$A, $A73, Collection!$B:$B, K$2)</f>
        <v>0</v>
      </c>
      <c r="L73" s="90">
        <f>SUMIFS(Collection!$J:$J, Collection!$A:$A, $A73, Collection!$B:$B, L$2)</f>
        <v>0</v>
      </c>
      <c r="M73" s="90">
        <f>SUMIFS(Collection!$J:$J, Collection!$A:$A, $A73, Collection!$B:$B, M$2)</f>
        <v>0</v>
      </c>
      <c r="N73" s="90">
        <f>SUMIFS(Collection!$J:$J, Collection!$A:$A, $A73, Collection!$B:$B, N$2)</f>
        <v>0</v>
      </c>
      <c r="O73" s="90">
        <f>SUMIFS(Collection!$J:$J, Collection!$A:$A, $A73, Collection!$B:$B, O$2)</f>
        <v>0</v>
      </c>
      <c r="P73" s="90">
        <f>SUMIFS(Collection!$J:$J, Collection!$A:$A, $A73, Collection!$B:$B, P$2)</f>
        <v>0</v>
      </c>
      <c r="Q73" s="90">
        <f>SUMIFS(Collection!$J:$J, Collection!$A:$A, $A73, Collection!$B:$B, Q$2)</f>
        <v>0</v>
      </c>
      <c r="R73" s="90">
        <f>SUMIFS(Collection!$J:$J, Collection!$A:$A, $A73, Collection!$B:$B, R$2)</f>
        <v>0</v>
      </c>
      <c r="S73" s="90">
        <f>SUMIFS(Collection!$J:$J, Collection!$A:$A, $A73, Collection!$B:$B, S$2)</f>
        <v>0</v>
      </c>
      <c r="T73" s="90">
        <f>SUMIFS(Collection!$J:$J, Collection!$A:$A, $A73, Collection!$B:$B, T$2)</f>
        <v>0</v>
      </c>
      <c r="U73" s="90">
        <f>SUMIFS(Collection!$J:$J, Collection!$A:$A, $A73, Collection!$B:$B, U$2)</f>
        <v>0</v>
      </c>
      <c r="V73" s="90">
        <f>SUMIFS(Collection!$J:$J, Collection!$A:$A, $A73, Collection!$B:$B, V$2)</f>
        <v>0</v>
      </c>
      <c r="W73" s="90">
        <f>SUMIFS(Collection!$J:$J, Collection!$A:$A, $A73, Collection!$B:$B, W$2)</f>
        <v>0</v>
      </c>
      <c r="X73" s="90">
        <f>SUMIFS(Collection!$J:$J, Collection!$A:$A, $A73, Collection!$B:$B, X$2)</f>
        <v>0</v>
      </c>
      <c r="Y73" s="90">
        <f>SUMIFS(Collection!$J:$J, Collection!$A:$A, $A73, Collection!$B:$B, Y$2)</f>
        <v>0</v>
      </c>
    </row>
    <row r="74" spans="1:25" s="56" customFormat="1" ht="17" thickBot="1" x14ac:dyDescent="0.25">
      <c r="A74" s="98">
        <f t="shared" si="0"/>
        <v>42926</v>
      </c>
      <c r="B74" s="91">
        <f>SUMIFS(Collection!$J:$J, Collection!$A:$A, $A74, Collection!$B:$B, B$2)</f>
        <v>0</v>
      </c>
      <c r="C74" s="91">
        <f>SUMIFS(Collection!$J:$J, Collection!$A:$A, $A74, Collection!$B:$B, C$2)</f>
        <v>0</v>
      </c>
      <c r="D74" s="91">
        <f>SUMIFS(Collection!$J:$J, Collection!$A:$A, $A74, Collection!$B:$B, D$2)</f>
        <v>0</v>
      </c>
      <c r="E74" s="91">
        <f>SUMIFS(Collection!$J:$J, Collection!$A:$A, $A74, Collection!$B:$B, E$2)</f>
        <v>0</v>
      </c>
      <c r="F74" s="91">
        <f>SUMIFS(Collection!$J:$J, Collection!$A:$A, $A74, Collection!$B:$B, F$2)</f>
        <v>0</v>
      </c>
      <c r="G74" s="91">
        <f>SUMIFS(Collection!$J:$J, Collection!$A:$A, $A74, Collection!$B:$B, G$2)</f>
        <v>0</v>
      </c>
      <c r="H74" s="91">
        <f>SUMIFS(Collection!$J:$J, Collection!$A:$A, $A74, Collection!$B:$B, H$2)</f>
        <v>0</v>
      </c>
      <c r="I74" s="91">
        <f>SUMIFS(Collection!$J:$J, Collection!$A:$A, $A74, Collection!$B:$B, I$2)</f>
        <v>0</v>
      </c>
      <c r="J74" s="91">
        <f>SUMIFS(Collection!$J:$J, Collection!$A:$A, $A74, Collection!$B:$B, J$2)</f>
        <v>0</v>
      </c>
      <c r="K74" s="91">
        <f>SUMIFS(Collection!$J:$J, Collection!$A:$A, $A74, Collection!$B:$B, K$2)</f>
        <v>0</v>
      </c>
      <c r="L74" s="91">
        <f>SUMIFS(Collection!$J:$J, Collection!$A:$A, $A74, Collection!$B:$B, L$2)</f>
        <v>0</v>
      </c>
      <c r="M74" s="91">
        <f>SUMIFS(Collection!$J:$J, Collection!$A:$A, $A74, Collection!$B:$B, M$2)</f>
        <v>0</v>
      </c>
      <c r="N74" s="91">
        <f>SUMIFS(Collection!$J:$J, Collection!$A:$A, $A74, Collection!$B:$B, N$2)</f>
        <v>0</v>
      </c>
      <c r="O74" s="91">
        <f>SUMIFS(Collection!$J:$J, Collection!$A:$A, $A74, Collection!$B:$B, O$2)</f>
        <v>0</v>
      </c>
      <c r="P74" s="91">
        <f>SUMIFS(Collection!$J:$J, Collection!$A:$A, $A74, Collection!$B:$B, P$2)</f>
        <v>0</v>
      </c>
      <c r="Q74" s="91">
        <f>SUMIFS(Collection!$J:$J, Collection!$A:$A, $A74, Collection!$B:$B, Q$2)</f>
        <v>0</v>
      </c>
      <c r="R74" s="91">
        <f>SUMIFS(Collection!$J:$J, Collection!$A:$A, $A74, Collection!$B:$B, R$2)</f>
        <v>0</v>
      </c>
      <c r="S74" s="91">
        <f>SUMIFS(Collection!$J:$J, Collection!$A:$A, $A74, Collection!$B:$B, S$2)</f>
        <v>0</v>
      </c>
      <c r="T74" s="91">
        <f>SUMIFS(Collection!$J:$J, Collection!$A:$A, $A74, Collection!$B:$B, T$2)</f>
        <v>0</v>
      </c>
      <c r="U74" s="91">
        <f>SUMIFS(Collection!$J:$J, Collection!$A:$A, $A74, Collection!$B:$B, U$2)</f>
        <v>0</v>
      </c>
      <c r="V74" s="91">
        <f>SUMIFS(Collection!$J:$J, Collection!$A:$A, $A74, Collection!$B:$B, V$2)</f>
        <v>0</v>
      </c>
      <c r="W74" s="91">
        <f>SUMIFS(Collection!$J:$J, Collection!$A:$A, $A74, Collection!$B:$B, W$2)</f>
        <v>0</v>
      </c>
      <c r="X74" s="91">
        <f>SUMIFS(Collection!$J:$J, Collection!$A:$A, $A74, Collection!$B:$B, X$2)</f>
        <v>0</v>
      </c>
      <c r="Y74" s="91">
        <f>SUMIFS(Collection!$J:$J, Collection!$A:$A, $A74, Collection!$B:$B, Y$2)</f>
        <v>0</v>
      </c>
    </row>
    <row r="75" spans="1:25" s="55" customFormat="1" x14ac:dyDescent="0.2">
      <c r="A75" s="97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</row>
    <row r="76" spans="1:25" s="55" customFormat="1" x14ac:dyDescent="0.2">
      <c r="A76" s="97">
        <f>1+A74</f>
        <v>42927</v>
      </c>
      <c r="B76" s="90">
        <f>SUMIFS(Collection!$J:$J, Collection!$A:$A, $A76, Collection!$B:$B, B$2)</f>
        <v>0</v>
      </c>
      <c r="C76" s="90">
        <f>SUMIFS(Collection!$J:$J, Collection!$A:$A, $A76, Collection!$B:$B, C$2)</f>
        <v>0</v>
      </c>
      <c r="D76" s="90">
        <f>SUMIFS(Collection!$J:$J, Collection!$A:$A, $A76, Collection!$B:$B, D$2)</f>
        <v>0</v>
      </c>
      <c r="E76" s="90">
        <f>SUMIFS(Collection!$J:$J, Collection!$A:$A, $A76, Collection!$B:$B, E$2)</f>
        <v>0</v>
      </c>
      <c r="F76" s="90">
        <f>SUMIFS(Collection!$J:$J, Collection!$A:$A, $A76, Collection!$B:$B, F$2)</f>
        <v>0</v>
      </c>
      <c r="G76" s="90">
        <f>SUMIFS(Collection!$J:$J, Collection!$A:$A, $A76, Collection!$B:$B, G$2)</f>
        <v>0</v>
      </c>
      <c r="H76" s="90">
        <f>SUMIFS(Collection!$J:$J, Collection!$A:$A, $A76, Collection!$B:$B, H$2)</f>
        <v>0</v>
      </c>
      <c r="I76" s="90">
        <f>SUMIFS(Collection!$J:$J, Collection!$A:$A, $A76, Collection!$B:$B, I$2)</f>
        <v>0</v>
      </c>
      <c r="J76" s="90">
        <f>SUMIFS(Collection!$J:$J, Collection!$A:$A, $A76, Collection!$B:$B, J$2)</f>
        <v>0</v>
      </c>
      <c r="K76" s="90">
        <f>SUMIFS(Collection!$J:$J, Collection!$A:$A, $A76, Collection!$B:$B, K$2)</f>
        <v>0</v>
      </c>
      <c r="L76" s="90">
        <f>SUMIFS(Collection!$J:$J, Collection!$A:$A, $A76, Collection!$B:$B, L$2)</f>
        <v>0</v>
      </c>
      <c r="M76" s="90">
        <f>SUMIFS(Collection!$J:$J, Collection!$A:$A, $A76, Collection!$B:$B, M$2)</f>
        <v>0</v>
      </c>
      <c r="N76" s="90">
        <f>SUMIFS(Collection!$J:$J, Collection!$A:$A, $A76, Collection!$B:$B, N$2)</f>
        <v>0</v>
      </c>
      <c r="O76" s="90">
        <f>SUMIFS(Collection!$J:$J, Collection!$A:$A, $A76, Collection!$B:$B, O$2)</f>
        <v>0</v>
      </c>
      <c r="P76" s="90">
        <f>SUMIFS(Collection!$J:$J, Collection!$A:$A, $A76, Collection!$B:$B, P$2)</f>
        <v>0</v>
      </c>
      <c r="Q76" s="90">
        <f>SUMIFS(Collection!$J:$J, Collection!$A:$A, $A76, Collection!$B:$B, Q$2)</f>
        <v>0</v>
      </c>
      <c r="R76" s="90">
        <f>SUMIFS(Collection!$J:$J, Collection!$A:$A, $A76, Collection!$B:$B, R$2)</f>
        <v>0</v>
      </c>
      <c r="S76" s="90">
        <f>SUMIFS(Collection!$J:$J, Collection!$A:$A, $A76, Collection!$B:$B, S$2)</f>
        <v>0</v>
      </c>
      <c r="T76" s="90">
        <f>SUMIFS(Collection!$J:$J, Collection!$A:$A, $A76, Collection!$B:$B, T$2)</f>
        <v>0</v>
      </c>
      <c r="U76" s="90">
        <f>SUMIFS(Collection!$J:$J, Collection!$A:$A, $A76, Collection!$B:$B, U$2)</f>
        <v>0</v>
      </c>
      <c r="V76" s="90">
        <f>SUMIFS(Collection!$J:$J, Collection!$A:$A, $A76, Collection!$B:$B, V$2)</f>
        <v>0</v>
      </c>
      <c r="W76" s="90">
        <f>SUMIFS(Collection!$J:$J, Collection!$A:$A, $A76, Collection!$B:$B, W$2)</f>
        <v>0</v>
      </c>
      <c r="X76" s="90">
        <f>SUMIFS(Collection!$J:$J, Collection!$A:$A, $A76, Collection!$B:$B, X$2)</f>
        <v>0</v>
      </c>
      <c r="Y76" s="90">
        <f>SUMIFS(Collection!$J:$J, Collection!$A:$A, $A76, Collection!$B:$B, Y$2)</f>
        <v>0</v>
      </c>
    </row>
    <row r="77" spans="1:25" s="55" customFormat="1" x14ac:dyDescent="0.2">
      <c r="A77" s="97">
        <f t="shared" si="0"/>
        <v>42928</v>
      </c>
      <c r="B77" s="90">
        <f>SUMIFS(Collection!$J:$J, Collection!$A:$A, $A77, Collection!$B:$B, B$2)</f>
        <v>0</v>
      </c>
      <c r="C77" s="90">
        <f>SUMIFS(Collection!$J:$J, Collection!$A:$A, $A77, Collection!$B:$B, C$2)</f>
        <v>0</v>
      </c>
      <c r="D77" s="90">
        <f>SUMIFS(Collection!$J:$J, Collection!$A:$A, $A77, Collection!$B:$B, D$2)</f>
        <v>0</v>
      </c>
      <c r="E77" s="90">
        <f>SUMIFS(Collection!$J:$J, Collection!$A:$A, $A77, Collection!$B:$B, E$2)</f>
        <v>0</v>
      </c>
      <c r="F77" s="90">
        <f>SUMIFS(Collection!$J:$J, Collection!$A:$A, $A77, Collection!$B:$B, F$2)</f>
        <v>0</v>
      </c>
      <c r="G77" s="90">
        <f>SUMIFS(Collection!$J:$J, Collection!$A:$A, $A77, Collection!$B:$B, G$2)</f>
        <v>0</v>
      </c>
      <c r="H77" s="90">
        <f>SUMIFS(Collection!$J:$J, Collection!$A:$A, $A77, Collection!$B:$B, H$2)</f>
        <v>0</v>
      </c>
      <c r="I77" s="90">
        <f>SUMIFS(Collection!$J:$J, Collection!$A:$A, $A77, Collection!$B:$B, I$2)</f>
        <v>0</v>
      </c>
      <c r="J77" s="90">
        <f>SUMIFS(Collection!$J:$J, Collection!$A:$A, $A77, Collection!$B:$B, J$2)</f>
        <v>0</v>
      </c>
      <c r="K77" s="90">
        <f>SUMIFS(Collection!$J:$J, Collection!$A:$A, $A77, Collection!$B:$B, K$2)</f>
        <v>0</v>
      </c>
      <c r="L77" s="90">
        <f>SUMIFS(Collection!$J:$J, Collection!$A:$A, $A77, Collection!$B:$B, L$2)</f>
        <v>0</v>
      </c>
      <c r="M77" s="90">
        <f>SUMIFS(Collection!$J:$J, Collection!$A:$A, $A77, Collection!$B:$B, M$2)</f>
        <v>0</v>
      </c>
      <c r="N77" s="90">
        <f>SUMIFS(Collection!$J:$J, Collection!$A:$A, $A77, Collection!$B:$B, N$2)</f>
        <v>0</v>
      </c>
      <c r="O77" s="90">
        <f>SUMIFS(Collection!$J:$J, Collection!$A:$A, $A77, Collection!$B:$B, O$2)</f>
        <v>0</v>
      </c>
      <c r="P77" s="90">
        <f>SUMIFS(Collection!$J:$J, Collection!$A:$A, $A77, Collection!$B:$B, P$2)</f>
        <v>0</v>
      </c>
      <c r="Q77" s="90">
        <f>SUMIFS(Collection!$J:$J, Collection!$A:$A, $A77, Collection!$B:$B, Q$2)</f>
        <v>0</v>
      </c>
      <c r="R77" s="90">
        <f>SUMIFS(Collection!$J:$J, Collection!$A:$A, $A77, Collection!$B:$B, R$2)</f>
        <v>0</v>
      </c>
      <c r="S77" s="90">
        <f>SUMIFS(Collection!$J:$J, Collection!$A:$A, $A77, Collection!$B:$B, S$2)</f>
        <v>0</v>
      </c>
      <c r="T77" s="90">
        <f>SUMIFS(Collection!$J:$J, Collection!$A:$A, $A77, Collection!$B:$B, T$2)</f>
        <v>0</v>
      </c>
      <c r="U77" s="90">
        <f>SUMIFS(Collection!$J:$J, Collection!$A:$A, $A77, Collection!$B:$B, U$2)</f>
        <v>0</v>
      </c>
      <c r="V77" s="90">
        <f>SUMIFS(Collection!$J:$J, Collection!$A:$A, $A77, Collection!$B:$B, V$2)</f>
        <v>0</v>
      </c>
      <c r="W77" s="90">
        <f>SUMIFS(Collection!$J:$J, Collection!$A:$A, $A77, Collection!$B:$B, W$2)</f>
        <v>0</v>
      </c>
      <c r="X77" s="90">
        <f>SUMIFS(Collection!$J:$J, Collection!$A:$A, $A77, Collection!$B:$B, X$2)</f>
        <v>0</v>
      </c>
      <c r="Y77" s="90">
        <f>SUMIFS(Collection!$J:$J, Collection!$A:$A, $A77, Collection!$B:$B, Y$2)</f>
        <v>0</v>
      </c>
    </row>
    <row r="78" spans="1:25" s="56" customFormat="1" ht="17" thickBot="1" x14ac:dyDescent="0.25">
      <c r="A78" s="98">
        <f t="shared" si="0"/>
        <v>42929</v>
      </c>
      <c r="B78" s="91">
        <f>SUMIFS(Collection!$J:$J, Collection!$A:$A, $A78, Collection!$B:$B, B$2)</f>
        <v>0</v>
      </c>
      <c r="C78" s="91">
        <f>SUMIFS(Collection!$J:$J, Collection!$A:$A, $A78, Collection!$B:$B, C$2)</f>
        <v>0</v>
      </c>
      <c r="D78" s="91">
        <f>SUMIFS(Collection!$J:$J, Collection!$A:$A, $A78, Collection!$B:$B, D$2)</f>
        <v>0</v>
      </c>
      <c r="E78" s="91">
        <f>SUMIFS(Collection!$J:$J, Collection!$A:$A, $A78, Collection!$B:$B, E$2)</f>
        <v>0</v>
      </c>
      <c r="F78" s="91">
        <f>SUMIFS(Collection!$J:$J, Collection!$A:$A, $A78, Collection!$B:$B, F$2)</f>
        <v>0</v>
      </c>
      <c r="G78" s="91">
        <f>SUMIFS(Collection!$J:$J, Collection!$A:$A, $A78, Collection!$B:$B, G$2)</f>
        <v>0</v>
      </c>
      <c r="H78" s="91">
        <f>SUMIFS(Collection!$J:$J, Collection!$A:$A, $A78, Collection!$B:$B, H$2)</f>
        <v>0</v>
      </c>
      <c r="I78" s="91">
        <f>SUMIFS(Collection!$J:$J, Collection!$A:$A, $A78, Collection!$B:$B, I$2)</f>
        <v>0</v>
      </c>
      <c r="J78" s="91">
        <f>SUMIFS(Collection!$J:$J, Collection!$A:$A, $A78, Collection!$B:$B, J$2)</f>
        <v>0</v>
      </c>
      <c r="K78" s="91">
        <f>SUMIFS(Collection!$J:$J, Collection!$A:$A, $A78, Collection!$B:$B, K$2)</f>
        <v>0</v>
      </c>
      <c r="L78" s="91">
        <f>SUMIFS(Collection!$J:$J, Collection!$A:$A, $A78, Collection!$B:$B, L$2)</f>
        <v>0</v>
      </c>
      <c r="M78" s="91">
        <f>SUMIFS(Collection!$J:$J, Collection!$A:$A, $A78, Collection!$B:$B, M$2)</f>
        <v>0</v>
      </c>
      <c r="N78" s="91">
        <f>SUMIFS(Collection!$J:$J, Collection!$A:$A, $A78, Collection!$B:$B, N$2)</f>
        <v>0</v>
      </c>
      <c r="O78" s="91">
        <f>SUMIFS(Collection!$J:$J, Collection!$A:$A, $A78, Collection!$B:$B, O$2)</f>
        <v>0</v>
      </c>
      <c r="P78" s="91">
        <f>SUMIFS(Collection!$J:$J, Collection!$A:$A, $A78, Collection!$B:$B, P$2)</f>
        <v>0</v>
      </c>
      <c r="Q78" s="91">
        <f>SUMIFS(Collection!$J:$J, Collection!$A:$A, $A78, Collection!$B:$B, Q$2)</f>
        <v>0</v>
      </c>
      <c r="R78" s="91">
        <f>SUMIFS(Collection!$J:$J, Collection!$A:$A, $A78, Collection!$B:$B, R$2)</f>
        <v>0</v>
      </c>
      <c r="S78" s="91">
        <f>SUMIFS(Collection!$J:$J, Collection!$A:$A, $A78, Collection!$B:$B, S$2)</f>
        <v>0</v>
      </c>
      <c r="T78" s="91">
        <f>SUMIFS(Collection!$J:$J, Collection!$A:$A, $A78, Collection!$B:$B, T$2)</f>
        <v>0</v>
      </c>
      <c r="U78" s="91">
        <f>SUMIFS(Collection!$J:$J, Collection!$A:$A, $A78, Collection!$B:$B, U$2)</f>
        <v>0</v>
      </c>
      <c r="V78" s="91">
        <f>SUMIFS(Collection!$J:$J, Collection!$A:$A, $A78, Collection!$B:$B, V$2)</f>
        <v>0</v>
      </c>
      <c r="W78" s="91">
        <f>SUMIFS(Collection!$J:$J, Collection!$A:$A, $A78, Collection!$B:$B, W$2)</f>
        <v>0</v>
      </c>
      <c r="X78" s="91">
        <f>SUMIFS(Collection!$J:$J, Collection!$A:$A, $A78, Collection!$B:$B, X$2)</f>
        <v>0</v>
      </c>
      <c r="Y78" s="91">
        <f>SUMIFS(Collection!$J:$J, Collection!$A:$A, $A78, Collection!$B:$B, Y$2)</f>
        <v>0</v>
      </c>
    </row>
    <row r="79" spans="1:25" s="55" customFormat="1" x14ac:dyDescent="0.2">
      <c r="A79" s="97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</row>
    <row r="80" spans="1:25" s="55" customFormat="1" x14ac:dyDescent="0.2">
      <c r="A80" s="97">
        <f>1+A78</f>
        <v>42930</v>
      </c>
      <c r="B80" s="90">
        <f>SUMIFS(Collection!$J:$J, Collection!$A:$A, $A80, Collection!$B:$B, B$2)</f>
        <v>0</v>
      </c>
      <c r="C80" s="90">
        <f>SUMIFS(Collection!$J:$J, Collection!$A:$A, $A80, Collection!$B:$B, C$2)</f>
        <v>0</v>
      </c>
      <c r="D80" s="90">
        <f>SUMIFS(Collection!$J:$J, Collection!$A:$A, $A80, Collection!$B:$B, D$2)</f>
        <v>0</v>
      </c>
      <c r="E80" s="90">
        <f>SUMIFS(Collection!$J:$J, Collection!$A:$A, $A80, Collection!$B:$B, E$2)</f>
        <v>0</v>
      </c>
      <c r="F80" s="90">
        <f>SUMIFS(Collection!$J:$J, Collection!$A:$A, $A80, Collection!$B:$B, F$2)</f>
        <v>0</v>
      </c>
      <c r="G80" s="90">
        <f>SUMIFS(Collection!$J:$J, Collection!$A:$A, $A80, Collection!$B:$B, G$2)</f>
        <v>0</v>
      </c>
      <c r="H80" s="90">
        <f>SUMIFS(Collection!$J:$J, Collection!$A:$A, $A80, Collection!$B:$B, H$2)</f>
        <v>0</v>
      </c>
      <c r="I80" s="90">
        <f>SUMIFS(Collection!$J:$J, Collection!$A:$A, $A80, Collection!$B:$B, I$2)</f>
        <v>0</v>
      </c>
      <c r="J80" s="90">
        <f>SUMIFS(Collection!$J:$J, Collection!$A:$A, $A80, Collection!$B:$B, J$2)</f>
        <v>0</v>
      </c>
      <c r="K80" s="90">
        <f>SUMIFS(Collection!$J:$J, Collection!$A:$A, $A80, Collection!$B:$B, K$2)</f>
        <v>0</v>
      </c>
      <c r="L80" s="90">
        <f>SUMIFS(Collection!$J:$J, Collection!$A:$A, $A80, Collection!$B:$B, L$2)</f>
        <v>0</v>
      </c>
      <c r="M80" s="90">
        <f>SUMIFS(Collection!$J:$J, Collection!$A:$A, $A80, Collection!$B:$B, M$2)</f>
        <v>0</v>
      </c>
      <c r="N80" s="90">
        <f>SUMIFS(Collection!$J:$J, Collection!$A:$A, $A80, Collection!$B:$B, N$2)</f>
        <v>0</v>
      </c>
      <c r="O80" s="90">
        <f>SUMIFS(Collection!$J:$J, Collection!$A:$A, $A80, Collection!$B:$B, O$2)</f>
        <v>0</v>
      </c>
      <c r="P80" s="90">
        <f>SUMIFS(Collection!$J:$J, Collection!$A:$A, $A80, Collection!$B:$B, P$2)</f>
        <v>0</v>
      </c>
      <c r="Q80" s="90">
        <f>SUMIFS(Collection!$J:$J, Collection!$A:$A, $A80, Collection!$B:$B, Q$2)</f>
        <v>0</v>
      </c>
      <c r="R80" s="90">
        <f>SUMIFS(Collection!$J:$J, Collection!$A:$A, $A80, Collection!$B:$B, R$2)</f>
        <v>0</v>
      </c>
      <c r="S80" s="90">
        <f>SUMIFS(Collection!$J:$J, Collection!$A:$A, $A80, Collection!$B:$B, S$2)</f>
        <v>0</v>
      </c>
      <c r="T80" s="90">
        <f>SUMIFS(Collection!$J:$J, Collection!$A:$A, $A80, Collection!$B:$B, T$2)</f>
        <v>0</v>
      </c>
      <c r="U80" s="90">
        <f>SUMIFS(Collection!$J:$J, Collection!$A:$A, $A80, Collection!$B:$B, U$2)</f>
        <v>0</v>
      </c>
      <c r="V80" s="90">
        <f>SUMIFS(Collection!$J:$J, Collection!$A:$A, $A80, Collection!$B:$B, V$2)</f>
        <v>0</v>
      </c>
      <c r="W80" s="90">
        <f>SUMIFS(Collection!$J:$J, Collection!$A:$A, $A80, Collection!$B:$B, W$2)</f>
        <v>0</v>
      </c>
      <c r="X80" s="90">
        <f>SUMIFS(Collection!$J:$J, Collection!$A:$A, $A80, Collection!$B:$B, X$2)</f>
        <v>0</v>
      </c>
      <c r="Y80" s="90">
        <f>SUMIFS(Collection!$J:$J, Collection!$A:$A, $A80, Collection!$B:$B, Y$2)</f>
        <v>0</v>
      </c>
    </row>
    <row r="81" spans="1:25" s="55" customFormat="1" x14ac:dyDescent="0.2">
      <c r="A81" s="97">
        <f t="shared" si="0"/>
        <v>42931</v>
      </c>
      <c r="B81" s="90">
        <f>SUMIFS(Collection!$J:$J, Collection!$A:$A, $A81, Collection!$B:$B, B$2)</f>
        <v>0</v>
      </c>
      <c r="C81" s="90">
        <f>SUMIFS(Collection!$J:$J, Collection!$A:$A, $A81, Collection!$B:$B, C$2)</f>
        <v>0</v>
      </c>
      <c r="D81" s="90">
        <f>SUMIFS(Collection!$J:$J, Collection!$A:$A, $A81, Collection!$B:$B, D$2)</f>
        <v>0</v>
      </c>
      <c r="E81" s="90">
        <f>SUMIFS(Collection!$J:$J, Collection!$A:$A, $A81, Collection!$B:$B, E$2)</f>
        <v>0</v>
      </c>
      <c r="F81" s="90">
        <f>SUMIFS(Collection!$J:$J, Collection!$A:$A, $A81, Collection!$B:$B, F$2)</f>
        <v>0</v>
      </c>
      <c r="G81" s="90">
        <f>SUMIFS(Collection!$J:$J, Collection!$A:$A, $A81, Collection!$B:$B, G$2)</f>
        <v>0</v>
      </c>
      <c r="H81" s="90">
        <f>SUMIFS(Collection!$J:$J, Collection!$A:$A, $A81, Collection!$B:$B, H$2)</f>
        <v>0</v>
      </c>
      <c r="I81" s="90">
        <f>SUMIFS(Collection!$J:$J, Collection!$A:$A, $A81, Collection!$B:$B, I$2)</f>
        <v>0</v>
      </c>
      <c r="J81" s="90">
        <f>SUMIFS(Collection!$J:$J, Collection!$A:$A, $A81, Collection!$B:$B, J$2)</f>
        <v>0</v>
      </c>
      <c r="K81" s="90">
        <f>SUMIFS(Collection!$J:$J, Collection!$A:$A, $A81, Collection!$B:$B, K$2)</f>
        <v>0</v>
      </c>
      <c r="L81" s="90">
        <f>SUMIFS(Collection!$J:$J, Collection!$A:$A, $A81, Collection!$B:$B, L$2)</f>
        <v>0</v>
      </c>
      <c r="M81" s="90">
        <f>SUMIFS(Collection!$J:$J, Collection!$A:$A, $A81, Collection!$B:$B, M$2)</f>
        <v>0</v>
      </c>
      <c r="N81" s="90">
        <f>SUMIFS(Collection!$J:$J, Collection!$A:$A, $A81, Collection!$B:$B, N$2)</f>
        <v>0</v>
      </c>
      <c r="O81" s="90">
        <f>SUMIFS(Collection!$J:$J, Collection!$A:$A, $A81, Collection!$B:$B, O$2)</f>
        <v>0</v>
      </c>
      <c r="P81" s="90">
        <f>SUMIFS(Collection!$J:$J, Collection!$A:$A, $A81, Collection!$B:$B, P$2)</f>
        <v>0</v>
      </c>
      <c r="Q81" s="90">
        <f>SUMIFS(Collection!$J:$J, Collection!$A:$A, $A81, Collection!$B:$B, Q$2)</f>
        <v>0</v>
      </c>
      <c r="R81" s="90">
        <f>SUMIFS(Collection!$J:$J, Collection!$A:$A, $A81, Collection!$B:$B, R$2)</f>
        <v>0</v>
      </c>
      <c r="S81" s="90">
        <f>SUMIFS(Collection!$J:$J, Collection!$A:$A, $A81, Collection!$B:$B, S$2)</f>
        <v>0</v>
      </c>
      <c r="T81" s="90">
        <f>SUMIFS(Collection!$J:$J, Collection!$A:$A, $A81, Collection!$B:$B, T$2)</f>
        <v>0</v>
      </c>
      <c r="U81" s="90">
        <f>SUMIFS(Collection!$J:$J, Collection!$A:$A, $A81, Collection!$B:$B, U$2)</f>
        <v>0</v>
      </c>
      <c r="V81" s="90">
        <f>SUMIFS(Collection!$J:$J, Collection!$A:$A, $A81, Collection!$B:$B, V$2)</f>
        <v>0</v>
      </c>
      <c r="W81" s="90">
        <f>SUMIFS(Collection!$J:$J, Collection!$A:$A, $A81, Collection!$B:$B, W$2)</f>
        <v>0</v>
      </c>
      <c r="X81" s="90">
        <f>SUMIFS(Collection!$J:$J, Collection!$A:$A, $A81, Collection!$B:$B, X$2)</f>
        <v>0</v>
      </c>
      <c r="Y81" s="90">
        <f>SUMIFS(Collection!$J:$J, Collection!$A:$A, $A81, Collection!$B:$B, Y$2)</f>
        <v>0</v>
      </c>
    </row>
    <row r="82" spans="1:25" s="55" customFormat="1" x14ac:dyDescent="0.2">
      <c r="A82" s="97">
        <f>1+A81</f>
        <v>42932</v>
      </c>
      <c r="B82" s="90">
        <f>SUMIFS(Collection!$J:$J, Collection!$A:$A, $A82, Collection!$B:$B, B$2)</f>
        <v>0</v>
      </c>
      <c r="C82" s="90">
        <f>SUMIFS(Collection!$J:$J, Collection!$A:$A, $A82, Collection!$B:$B, C$2)</f>
        <v>0</v>
      </c>
      <c r="D82" s="90">
        <f>SUMIFS(Collection!$J:$J, Collection!$A:$A, $A82, Collection!$B:$B, D$2)</f>
        <v>0</v>
      </c>
      <c r="E82" s="90">
        <f>SUMIFS(Collection!$J:$J, Collection!$A:$A, $A82, Collection!$B:$B, E$2)</f>
        <v>0</v>
      </c>
      <c r="F82" s="90">
        <f>SUMIFS(Collection!$J:$J, Collection!$A:$A, $A82, Collection!$B:$B, F$2)</f>
        <v>0</v>
      </c>
      <c r="G82" s="90">
        <f>SUMIFS(Collection!$J:$J, Collection!$A:$A, $A82, Collection!$B:$B, G$2)</f>
        <v>0</v>
      </c>
      <c r="H82" s="90">
        <f>SUMIFS(Collection!$J:$J, Collection!$A:$A, $A82, Collection!$B:$B, H$2)</f>
        <v>0</v>
      </c>
      <c r="I82" s="90">
        <f>SUMIFS(Collection!$J:$J, Collection!$A:$A, $A82, Collection!$B:$B, I$2)</f>
        <v>0</v>
      </c>
      <c r="J82" s="90">
        <f>SUMIFS(Collection!$J:$J, Collection!$A:$A, $A82, Collection!$B:$B, J$2)</f>
        <v>0</v>
      </c>
      <c r="K82" s="90">
        <f>SUMIFS(Collection!$J:$J, Collection!$A:$A, $A82, Collection!$B:$B, K$2)</f>
        <v>0</v>
      </c>
      <c r="L82" s="90">
        <f>SUMIFS(Collection!$J:$J, Collection!$A:$A, $A82, Collection!$B:$B, L$2)</f>
        <v>0</v>
      </c>
      <c r="M82" s="90">
        <f>SUMIFS(Collection!$J:$J, Collection!$A:$A, $A82, Collection!$B:$B, M$2)</f>
        <v>0</v>
      </c>
      <c r="N82" s="90">
        <f>SUMIFS(Collection!$J:$J, Collection!$A:$A, $A82, Collection!$B:$B, N$2)</f>
        <v>0</v>
      </c>
      <c r="O82" s="90">
        <f>SUMIFS(Collection!$J:$J, Collection!$A:$A, $A82, Collection!$B:$B, O$2)</f>
        <v>0</v>
      </c>
      <c r="P82" s="90">
        <f>SUMIFS(Collection!$J:$J, Collection!$A:$A, $A82, Collection!$B:$B, P$2)</f>
        <v>0</v>
      </c>
      <c r="Q82" s="90">
        <f>SUMIFS(Collection!$J:$J, Collection!$A:$A, $A82, Collection!$B:$B, Q$2)</f>
        <v>0</v>
      </c>
      <c r="R82" s="90">
        <f>SUMIFS(Collection!$J:$J, Collection!$A:$A, $A82, Collection!$B:$B, R$2)</f>
        <v>0</v>
      </c>
      <c r="S82" s="90">
        <f>SUMIFS(Collection!$J:$J, Collection!$A:$A, $A82, Collection!$B:$B, S$2)</f>
        <v>0</v>
      </c>
      <c r="T82" s="90">
        <f>SUMIFS(Collection!$J:$J, Collection!$A:$A, $A82, Collection!$B:$B, T$2)</f>
        <v>0</v>
      </c>
      <c r="U82" s="90">
        <f>SUMIFS(Collection!$J:$J, Collection!$A:$A, $A82, Collection!$B:$B, U$2)</f>
        <v>0</v>
      </c>
      <c r="V82" s="90">
        <f>SUMIFS(Collection!$J:$J, Collection!$A:$A, $A82, Collection!$B:$B, V$2)</f>
        <v>0</v>
      </c>
      <c r="W82" s="90">
        <f>SUMIFS(Collection!$J:$J, Collection!$A:$A, $A82, Collection!$B:$B, W$2)</f>
        <v>0</v>
      </c>
      <c r="X82" s="90">
        <f>SUMIFS(Collection!$J:$J, Collection!$A:$A, $A82, Collection!$B:$B, X$2)</f>
        <v>0</v>
      </c>
      <c r="Y82" s="90">
        <f>SUMIFS(Collection!$J:$J, Collection!$A:$A, $A82, Collection!$B:$B, Y$2)</f>
        <v>0</v>
      </c>
    </row>
    <row r="83" spans="1:25" s="56" customFormat="1" ht="17" thickBot="1" x14ac:dyDescent="0.25">
      <c r="A83" s="98">
        <f>1+A82</f>
        <v>42933</v>
      </c>
      <c r="B83" s="91">
        <f>SUMIFS(Collection!$J:$J, Collection!$A:$A, $A83, Collection!$B:$B, B$2)</f>
        <v>0</v>
      </c>
      <c r="C83" s="91">
        <f>SUMIFS(Collection!$J:$J, Collection!$A:$A, $A83, Collection!$B:$B, C$2)</f>
        <v>0</v>
      </c>
      <c r="D83" s="91">
        <f>SUMIFS(Collection!$J:$J, Collection!$A:$A, $A83, Collection!$B:$B, D$2)</f>
        <v>0</v>
      </c>
      <c r="E83" s="91">
        <f>SUMIFS(Collection!$J:$J, Collection!$A:$A, $A83, Collection!$B:$B, E$2)</f>
        <v>0</v>
      </c>
      <c r="F83" s="91">
        <f>SUMIFS(Collection!$J:$J, Collection!$A:$A, $A83, Collection!$B:$B, F$2)</f>
        <v>0</v>
      </c>
      <c r="G83" s="91">
        <f>SUMIFS(Collection!$J:$J, Collection!$A:$A, $A83, Collection!$B:$B, G$2)</f>
        <v>0</v>
      </c>
      <c r="H83" s="91">
        <f>SUMIFS(Collection!$J:$J, Collection!$A:$A, $A83, Collection!$B:$B, H$2)</f>
        <v>0</v>
      </c>
      <c r="I83" s="91">
        <f>SUMIFS(Collection!$J:$J, Collection!$A:$A, $A83, Collection!$B:$B, I$2)</f>
        <v>0</v>
      </c>
      <c r="J83" s="91">
        <f>SUMIFS(Collection!$J:$J, Collection!$A:$A, $A83, Collection!$B:$B, J$2)</f>
        <v>0</v>
      </c>
      <c r="K83" s="91">
        <f>SUMIFS(Collection!$J:$J, Collection!$A:$A, $A83, Collection!$B:$B, K$2)</f>
        <v>0</v>
      </c>
      <c r="L83" s="91">
        <f>SUMIFS(Collection!$J:$J, Collection!$A:$A, $A83, Collection!$B:$B, L$2)</f>
        <v>0</v>
      </c>
      <c r="M83" s="91">
        <f>SUMIFS(Collection!$J:$J, Collection!$A:$A, $A83, Collection!$B:$B, M$2)</f>
        <v>0</v>
      </c>
      <c r="N83" s="91">
        <f>SUMIFS(Collection!$J:$J, Collection!$A:$A, $A83, Collection!$B:$B, N$2)</f>
        <v>0</v>
      </c>
      <c r="O83" s="91">
        <f>SUMIFS(Collection!$J:$J, Collection!$A:$A, $A83, Collection!$B:$B, O$2)</f>
        <v>0</v>
      </c>
      <c r="P83" s="91">
        <f>SUMIFS(Collection!$J:$J, Collection!$A:$A, $A83, Collection!$B:$B, P$2)</f>
        <v>0</v>
      </c>
      <c r="Q83" s="91">
        <f>SUMIFS(Collection!$J:$J, Collection!$A:$A, $A83, Collection!$B:$B, Q$2)</f>
        <v>0</v>
      </c>
      <c r="R83" s="91">
        <f>SUMIFS(Collection!$J:$J, Collection!$A:$A, $A83, Collection!$B:$B, R$2)</f>
        <v>0</v>
      </c>
      <c r="S83" s="91">
        <f>SUMIFS(Collection!$J:$J, Collection!$A:$A, $A83, Collection!$B:$B, S$2)</f>
        <v>0</v>
      </c>
      <c r="T83" s="91">
        <f>SUMIFS(Collection!$J:$J, Collection!$A:$A, $A83, Collection!$B:$B, T$2)</f>
        <v>0</v>
      </c>
      <c r="U83" s="91">
        <f>SUMIFS(Collection!$J:$J, Collection!$A:$A, $A83, Collection!$B:$B, U$2)</f>
        <v>0</v>
      </c>
      <c r="V83" s="91">
        <f>SUMIFS(Collection!$J:$J, Collection!$A:$A, $A83, Collection!$B:$B, V$2)</f>
        <v>0</v>
      </c>
      <c r="W83" s="91">
        <f>SUMIFS(Collection!$J:$J, Collection!$A:$A, $A83, Collection!$B:$B, W$2)</f>
        <v>0</v>
      </c>
      <c r="X83" s="91">
        <f>SUMIFS(Collection!$J:$J, Collection!$A:$A, $A83, Collection!$B:$B, X$2)</f>
        <v>0</v>
      </c>
      <c r="Y83" s="91">
        <f>SUMIFS(Collection!$J:$J, Collection!$A:$A, $A83, Collection!$B:$B, Y$2)</f>
        <v>0</v>
      </c>
    </row>
    <row r="84" spans="1:25" x14ac:dyDescent="0.2">
      <c r="A84" s="95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showRuler="0" workbookViewId="0">
      <selection activeCell="A17" sqref="A17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L81"/>
  <sheetViews>
    <sheetView showRuler="0" workbookViewId="0">
      <selection activeCell="B22" sqref="B22"/>
    </sheetView>
  </sheetViews>
  <sheetFormatPr baseColWidth="10" defaultRowHeight="16" x14ac:dyDescent="0.2"/>
  <cols>
    <col min="1" max="2" width="12.1640625" customWidth="1"/>
    <col min="3" max="3" width="13.5" style="371" bestFit="1" customWidth="1"/>
    <col min="4" max="8" width="13.5" style="23" customWidth="1"/>
    <col min="9" max="9" width="13.5" style="374" customWidth="1"/>
    <col min="10" max="10" width="10.33203125" style="371" bestFit="1" customWidth="1"/>
    <col min="11" max="15" width="10.33203125" style="23" customWidth="1"/>
    <col min="16" max="16" width="13.5" style="374" customWidth="1"/>
    <col min="17" max="17" width="12.5" style="371" bestFit="1" customWidth="1"/>
    <col min="18" max="22" width="12.5" style="23" customWidth="1"/>
    <col min="23" max="23" width="13.5" style="374" customWidth="1"/>
    <col min="24" max="24" width="8.83203125" bestFit="1" customWidth="1"/>
    <col min="25" max="28" width="10.83203125" customWidth="1"/>
    <col min="29" max="29" width="11.5" bestFit="1" customWidth="1"/>
    <col min="30" max="30" width="13.5" style="374" customWidth="1"/>
    <col min="31" max="31" width="13.5" bestFit="1" customWidth="1"/>
    <col min="32" max="36" width="13.5" customWidth="1"/>
    <col min="37" max="37" width="13.5" style="374" customWidth="1"/>
    <col min="38" max="38" width="10.33203125" bestFit="1" customWidth="1"/>
    <col min="39" max="42" width="10.33203125" customWidth="1"/>
    <col min="43" max="43" width="11.5" bestFit="1" customWidth="1"/>
    <col min="44" max="44" width="13.5" style="374" customWidth="1"/>
    <col min="45" max="45" width="12.5" bestFit="1" customWidth="1"/>
    <col min="46" max="50" width="12.5" customWidth="1"/>
    <col min="51" max="51" width="13.5" style="374" customWidth="1"/>
    <col min="52" max="52" width="8.83203125" bestFit="1" customWidth="1"/>
    <col min="53" max="57" width="13.6640625" customWidth="1"/>
    <col min="58" max="58" width="13.5" style="374" customWidth="1"/>
    <col min="59" max="59" width="13.33203125" bestFit="1" customWidth="1"/>
    <col min="60" max="64" width="13.33203125" customWidth="1"/>
    <col min="65" max="65" width="13.5" style="374" customWidth="1"/>
    <col min="66" max="66" width="10.1640625" bestFit="1" customWidth="1"/>
    <col min="67" max="71" width="13.33203125" customWidth="1"/>
    <col min="72" max="72" width="13.5" style="374" customWidth="1"/>
    <col min="73" max="73" width="12.33203125" bestFit="1" customWidth="1"/>
    <col min="74" max="78" width="12.33203125" customWidth="1"/>
    <col min="79" max="79" width="13.5" style="374" customWidth="1"/>
    <col min="80" max="80" width="8.83203125" bestFit="1" customWidth="1"/>
    <col min="81" max="85" width="10.83203125" customWidth="1"/>
    <col min="86" max="86" width="13.5" style="374" customWidth="1"/>
    <col min="87" max="87" width="12.33203125" bestFit="1" customWidth="1"/>
    <col min="88" max="92" width="12.33203125" customWidth="1"/>
    <col min="93" max="93" width="13.5" style="374" customWidth="1"/>
    <col min="94" max="94" width="9.1640625" bestFit="1" customWidth="1"/>
    <col min="95" max="99" width="12.33203125" customWidth="1"/>
    <col min="100" max="100" width="13.5" style="374" customWidth="1"/>
    <col min="101" max="101" width="11.33203125" bestFit="1" customWidth="1"/>
    <col min="102" max="106" width="11.33203125" customWidth="1"/>
    <col min="107" max="107" width="13.5" style="374" customWidth="1"/>
    <col min="108" max="108" width="13.6640625" customWidth="1"/>
    <col min="109" max="109" width="11.5" bestFit="1" customWidth="1"/>
    <col min="110" max="113" width="11.5" customWidth="1"/>
    <col min="114" max="114" width="13.5" style="374" customWidth="1"/>
    <col min="115" max="115" width="13.6640625" customWidth="1"/>
    <col min="116" max="116" width="11.5" bestFit="1" customWidth="1"/>
    <col min="117" max="120" width="11.5" customWidth="1"/>
    <col min="121" max="121" width="13.5" style="374" customWidth="1"/>
    <col min="122" max="122" width="13.6640625" customWidth="1"/>
    <col min="123" max="123" width="11.5" bestFit="1" customWidth="1"/>
    <col min="124" max="127" width="11.5" customWidth="1"/>
    <col min="128" max="128" width="13.5" style="374" customWidth="1"/>
    <col min="129" max="129" width="13.6640625" customWidth="1"/>
    <col min="130" max="130" width="11.5" bestFit="1" customWidth="1"/>
    <col min="131" max="134" width="11.5" customWidth="1"/>
    <col min="135" max="135" width="13.5" style="374" customWidth="1"/>
    <col min="136" max="136" width="13.6640625" customWidth="1"/>
    <col min="137" max="137" width="11.5" bestFit="1" customWidth="1"/>
    <col min="138" max="141" width="11.5" customWidth="1"/>
    <col min="142" max="142" width="13.5" style="374" customWidth="1"/>
  </cols>
  <sheetData>
    <row r="2" spans="1:142" x14ac:dyDescent="0.2">
      <c r="A2" t="s">
        <v>10</v>
      </c>
      <c r="C2" s="371">
        <v>3</v>
      </c>
      <c r="D2" s="23">
        <v>3</v>
      </c>
      <c r="E2" s="23">
        <v>3</v>
      </c>
      <c r="F2" s="23">
        <v>3</v>
      </c>
      <c r="G2" s="23">
        <v>3</v>
      </c>
      <c r="H2" s="23">
        <v>3</v>
      </c>
      <c r="I2" s="374">
        <v>3</v>
      </c>
      <c r="J2" s="371">
        <v>12</v>
      </c>
      <c r="K2" s="254">
        <v>12</v>
      </c>
      <c r="L2" s="254">
        <v>12</v>
      </c>
      <c r="M2" s="254">
        <v>12</v>
      </c>
      <c r="N2" s="254">
        <v>12</v>
      </c>
      <c r="O2" s="254">
        <v>12</v>
      </c>
      <c r="P2" s="374">
        <v>12</v>
      </c>
      <c r="Q2" s="371">
        <v>8</v>
      </c>
      <c r="R2" s="254">
        <v>8</v>
      </c>
      <c r="S2" s="254">
        <v>8</v>
      </c>
      <c r="T2" s="254">
        <v>8</v>
      </c>
      <c r="U2" s="254">
        <v>8</v>
      </c>
      <c r="V2" s="254">
        <v>8</v>
      </c>
      <c r="W2" s="374">
        <v>8</v>
      </c>
      <c r="X2" s="254">
        <v>10</v>
      </c>
      <c r="Y2" s="254">
        <v>10</v>
      </c>
      <c r="Z2" s="254">
        <v>10</v>
      </c>
      <c r="AA2" s="254">
        <v>10</v>
      </c>
      <c r="AB2" s="254">
        <v>10</v>
      </c>
      <c r="AC2" s="254">
        <v>10</v>
      </c>
      <c r="AD2" s="254">
        <v>10</v>
      </c>
      <c r="AE2" s="254">
        <v>5</v>
      </c>
      <c r="AF2" s="254">
        <v>5</v>
      </c>
      <c r="AG2" s="254">
        <v>5</v>
      </c>
      <c r="AH2" s="254">
        <v>5</v>
      </c>
      <c r="AI2" s="254">
        <v>5</v>
      </c>
      <c r="AJ2" s="254">
        <v>5</v>
      </c>
      <c r="AK2" s="374">
        <v>5</v>
      </c>
      <c r="AL2" s="254">
        <v>7</v>
      </c>
      <c r="AM2" s="254">
        <v>7</v>
      </c>
      <c r="AN2" s="254">
        <v>7</v>
      </c>
      <c r="AO2" s="254">
        <v>7</v>
      </c>
      <c r="AP2" s="254">
        <v>7</v>
      </c>
      <c r="AQ2" s="254">
        <v>7</v>
      </c>
      <c r="AR2" s="374">
        <v>7</v>
      </c>
      <c r="AS2" s="254">
        <v>16</v>
      </c>
      <c r="AT2" s="254">
        <v>16</v>
      </c>
      <c r="AU2" s="254">
        <v>16</v>
      </c>
      <c r="AV2" s="254">
        <v>16</v>
      </c>
      <c r="AW2" s="254">
        <v>16</v>
      </c>
      <c r="AX2" s="254">
        <v>16</v>
      </c>
      <c r="AY2" s="374">
        <v>16</v>
      </c>
      <c r="AZ2" s="254">
        <v>13</v>
      </c>
      <c r="BA2" s="254">
        <v>13</v>
      </c>
      <c r="BB2" s="254">
        <v>13</v>
      </c>
      <c r="BC2" s="254">
        <v>13</v>
      </c>
      <c r="BD2" s="254">
        <v>13</v>
      </c>
      <c r="BE2" s="254">
        <v>13</v>
      </c>
      <c r="BF2" s="374">
        <v>13</v>
      </c>
      <c r="BG2" s="254">
        <v>19</v>
      </c>
      <c r="BH2" s="254">
        <v>19</v>
      </c>
      <c r="BI2" s="254">
        <v>19</v>
      </c>
      <c r="BJ2" s="254">
        <v>19</v>
      </c>
      <c r="BK2" s="254">
        <v>19</v>
      </c>
      <c r="BL2" s="254">
        <v>19</v>
      </c>
      <c r="BM2" s="374">
        <v>19</v>
      </c>
      <c r="BN2" s="254">
        <v>21</v>
      </c>
      <c r="BO2" s="254">
        <v>21</v>
      </c>
      <c r="BP2" s="254">
        <v>21</v>
      </c>
      <c r="BQ2" s="254">
        <v>21</v>
      </c>
      <c r="BR2" s="254">
        <v>21</v>
      </c>
      <c r="BS2" s="254">
        <v>21</v>
      </c>
      <c r="BT2" s="374">
        <v>21</v>
      </c>
      <c r="BU2" s="254">
        <v>24</v>
      </c>
      <c r="BV2" s="254">
        <v>24</v>
      </c>
      <c r="BW2" s="254">
        <v>24</v>
      </c>
      <c r="BX2" s="254">
        <v>24</v>
      </c>
      <c r="BY2" s="254">
        <v>24</v>
      </c>
      <c r="BZ2" s="254">
        <v>24</v>
      </c>
      <c r="CA2" s="374">
        <v>24</v>
      </c>
      <c r="CB2" s="254">
        <v>23</v>
      </c>
      <c r="CC2" s="254">
        <v>23</v>
      </c>
      <c r="CD2" s="254">
        <v>23</v>
      </c>
      <c r="CE2" s="254">
        <v>23</v>
      </c>
      <c r="CF2" s="254">
        <v>23</v>
      </c>
      <c r="CG2" s="254">
        <v>23</v>
      </c>
      <c r="CH2" s="374">
        <v>23</v>
      </c>
      <c r="CI2" s="254">
        <v>22</v>
      </c>
      <c r="CJ2" s="254">
        <v>22</v>
      </c>
      <c r="CK2" s="254">
        <v>22</v>
      </c>
      <c r="CL2" s="254">
        <v>22</v>
      </c>
      <c r="CM2" s="254">
        <v>22</v>
      </c>
      <c r="CN2" s="254">
        <v>22</v>
      </c>
      <c r="CO2" s="374">
        <v>22</v>
      </c>
      <c r="CP2" s="254">
        <v>18</v>
      </c>
      <c r="CQ2" s="254">
        <v>18</v>
      </c>
      <c r="CR2" s="254">
        <v>18</v>
      </c>
      <c r="CS2" s="254">
        <v>18</v>
      </c>
      <c r="CT2" s="254">
        <v>18</v>
      </c>
      <c r="CU2" s="254">
        <v>18</v>
      </c>
      <c r="CV2" s="374">
        <v>18</v>
      </c>
      <c r="CW2" s="254">
        <v>17</v>
      </c>
      <c r="CX2" s="254">
        <v>17</v>
      </c>
      <c r="CY2" s="254">
        <v>17</v>
      </c>
      <c r="CZ2" s="254">
        <v>17</v>
      </c>
      <c r="DA2" s="254">
        <v>17</v>
      </c>
      <c r="DB2" s="254">
        <v>17</v>
      </c>
      <c r="DC2" s="374">
        <v>17</v>
      </c>
      <c r="DD2" s="254">
        <v>20</v>
      </c>
      <c r="DE2" s="254">
        <v>20</v>
      </c>
      <c r="DF2" s="254">
        <v>20</v>
      </c>
      <c r="DG2" s="254">
        <v>20</v>
      </c>
      <c r="DH2" s="254">
        <v>20</v>
      </c>
      <c r="DI2" s="254">
        <v>20</v>
      </c>
      <c r="DJ2" s="374">
        <v>20</v>
      </c>
      <c r="DK2" s="254">
        <v>1</v>
      </c>
      <c r="DL2" s="254">
        <v>1</v>
      </c>
      <c r="DM2" s="254">
        <v>1</v>
      </c>
      <c r="DN2" s="254">
        <v>1</v>
      </c>
      <c r="DO2" s="254">
        <v>1</v>
      </c>
      <c r="DP2" s="254">
        <v>1</v>
      </c>
      <c r="DQ2" s="374">
        <v>1</v>
      </c>
      <c r="DR2" s="254">
        <v>9</v>
      </c>
      <c r="DS2" s="254">
        <v>9</v>
      </c>
      <c r="DT2" s="254">
        <v>9</v>
      </c>
      <c r="DU2" s="254">
        <v>9</v>
      </c>
      <c r="DV2" s="254">
        <v>9</v>
      </c>
      <c r="DW2" s="254">
        <v>9</v>
      </c>
      <c r="DX2" s="374">
        <v>9</v>
      </c>
      <c r="DY2" s="254">
        <v>11</v>
      </c>
      <c r="DZ2" s="254">
        <v>11</v>
      </c>
      <c r="EA2" s="254">
        <v>11</v>
      </c>
      <c r="EB2" s="254">
        <v>11</v>
      </c>
      <c r="EC2" s="254">
        <v>11</v>
      </c>
      <c r="ED2" s="254">
        <v>11</v>
      </c>
      <c r="EE2" s="374">
        <v>11</v>
      </c>
      <c r="EF2" s="254">
        <v>4</v>
      </c>
      <c r="EG2" s="254">
        <v>4</v>
      </c>
      <c r="EH2" s="254">
        <v>4</v>
      </c>
      <c r="EI2" s="254">
        <v>4</v>
      </c>
      <c r="EJ2" s="254">
        <v>4</v>
      </c>
      <c r="EK2" s="254">
        <v>4</v>
      </c>
      <c r="EL2" s="374">
        <v>4</v>
      </c>
    </row>
    <row r="3" spans="1:142" s="362" customFormat="1" x14ac:dyDescent="0.2">
      <c r="A3" s="362" t="s">
        <v>1</v>
      </c>
      <c r="B3" s="362" t="s">
        <v>483</v>
      </c>
      <c r="C3" s="367" t="s">
        <v>84</v>
      </c>
      <c r="D3" s="363" t="s">
        <v>84</v>
      </c>
      <c r="E3" s="363" t="s">
        <v>84</v>
      </c>
      <c r="F3" s="363" t="s">
        <v>84</v>
      </c>
      <c r="G3" s="363" t="s">
        <v>84</v>
      </c>
      <c r="H3" s="363" t="s">
        <v>84</v>
      </c>
      <c r="I3" s="363" t="s">
        <v>84</v>
      </c>
      <c r="J3" s="367" t="s">
        <v>76</v>
      </c>
      <c r="K3" s="363" t="s">
        <v>76</v>
      </c>
      <c r="L3" s="363" t="s">
        <v>76</v>
      </c>
      <c r="M3" s="363" t="s">
        <v>76</v>
      </c>
      <c r="N3" s="363" t="s">
        <v>76</v>
      </c>
      <c r="O3" s="363" t="s">
        <v>76</v>
      </c>
      <c r="P3" s="363" t="s">
        <v>76</v>
      </c>
      <c r="Q3" s="367" t="s">
        <v>85</v>
      </c>
      <c r="R3" s="363" t="s">
        <v>85</v>
      </c>
      <c r="S3" s="363" t="s">
        <v>85</v>
      </c>
      <c r="T3" s="363" t="s">
        <v>85</v>
      </c>
      <c r="U3" s="363" t="s">
        <v>85</v>
      </c>
      <c r="V3" s="363" t="s">
        <v>85</v>
      </c>
      <c r="W3" s="363" t="s">
        <v>85</v>
      </c>
      <c r="X3" s="363" t="s">
        <v>104</v>
      </c>
      <c r="Y3" s="363" t="s">
        <v>104</v>
      </c>
      <c r="Z3" s="363" t="s">
        <v>104</v>
      </c>
      <c r="AA3" s="363" t="s">
        <v>104</v>
      </c>
      <c r="AB3" s="363" t="s">
        <v>104</v>
      </c>
      <c r="AC3" s="363" t="s">
        <v>104</v>
      </c>
      <c r="AD3" s="368" t="s">
        <v>104</v>
      </c>
      <c r="AE3" s="363" t="s">
        <v>86</v>
      </c>
      <c r="AF3" s="363" t="s">
        <v>86</v>
      </c>
      <c r="AG3" s="363" t="s">
        <v>86</v>
      </c>
      <c r="AH3" s="363" t="s">
        <v>86</v>
      </c>
      <c r="AI3" s="363" t="s">
        <v>86</v>
      </c>
      <c r="AJ3" s="363" t="s">
        <v>86</v>
      </c>
      <c r="AK3" s="363" t="s">
        <v>86</v>
      </c>
      <c r="AL3" s="364" t="s">
        <v>134</v>
      </c>
      <c r="AM3" s="364" t="s">
        <v>134</v>
      </c>
      <c r="AN3" s="364" t="s">
        <v>134</v>
      </c>
      <c r="AO3" s="364" t="s">
        <v>134</v>
      </c>
      <c r="AP3" s="364" t="s">
        <v>134</v>
      </c>
      <c r="AQ3" s="364" t="s">
        <v>134</v>
      </c>
      <c r="AR3" s="364" t="s">
        <v>134</v>
      </c>
      <c r="AS3" s="363" t="s">
        <v>87</v>
      </c>
      <c r="AT3" s="363" t="s">
        <v>87</v>
      </c>
      <c r="AU3" s="363" t="s">
        <v>87</v>
      </c>
      <c r="AV3" s="363" t="s">
        <v>87</v>
      </c>
      <c r="AW3" s="363" t="s">
        <v>87</v>
      </c>
      <c r="AX3" s="363" t="s">
        <v>87</v>
      </c>
      <c r="AY3" s="363" t="s">
        <v>87</v>
      </c>
      <c r="AZ3" s="363" t="s">
        <v>77</v>
      </c>
      <c r="BA3" s="363" t="s">
        <v>77</v>
      </c>
      <c r="BB3" s="363" t="s">
        <v>77</v>
      </c>
      <c r="BC3" s="363" t="s">
        <v>77</v>
      </c>
      <c r="BD3" s="363" t="s">
        <v>77</v>
      </c>
      <c r="BE3" s="363" t="s">
        <v>77</v>
      </c>
      <c r="BF3" s="363" t="s">
        <v>77</v>
      </c>
      <c r="BG3" s="363" t="s">
        <v>88</v>
      </c>
      <c r="BH3" s="363" t="s">
        <v>88</v>
      </c>
      <c r="BI3" s="363" t="s">
        <v>88</v>
      </c>
      <c r="BJ3" s="363" t="s">
        <v>88</v>
      </c>
      <c r="BK3" s="363" t="s">
        <v>88</v>
      </c>
      <c r="BL3" s="363" t="s">
        <v>88</v>
      </c>
      <c r="BM3" s="363" t="s">
        <v>88</v>
      </c>
      <c r="BN3" s="364" t="s">
        <v>108</v>
      </c>
      <c r="BO3" s="364" t="s">
        <v>108</v>
      </c>
      <c r="BP3" s="364" t="s">
        <v>108</v>
      </c>
      <c r="BQ3" s="364" t="s">
        <v>108</v>
      </c>
      <c r="BR3" s="364" t="s">
        <v>108</v>
      </c>
      <c r="BS3" s="364" t="s">
        <v>108</v>
      </c>
      <c r="BT3" s="364" t="s">
        <v>108</v>
      </c>
      <c r="BU3" s="363" t="s">
        <v>118</v>
      </c>
      <c r="BV3" s="363" t="s">
        <v>118</v>
      </c>
      <c r="BW3" s="363" t="s">
        <v>118</v>
      </c>
      <c r="BX3" s="363" t="s">
        <v>118</v>
      </c>
      <c r="BY3" s="363" t="s">
        <v>118</v>
      </c>
      <c r="BZ3" s="363" t="s">
        <v>118</v>
      </c>
      <c r="CA3" s="363" t="s">
        <v>118</v>
      </c>
      <c r="CB3" s="363" t="s">
        <v>21</v>
      </c>
      <c r="CC3" s="363" t="s">
        <v>21</v>
      </c>
      <c r="CD3" s="363" t="s">
        <v>21</v>
      </c>
      <c r="CE3" s="363" t="s">
        <v>21</v>
      </c>
      <c r="CF3" s="363" t="s">
        <v>21</v>
      </c>
      <c r="CG3" s="363" t="s">
        <v>21</v>
      </c>
      <c r="CH3" s="363" t="s">
        <v>21</v>
      </c>
      <c r="CI3" s="363" t="s">
        <v>17</v>
      </c>
      <c r="CJ3" s="363" t="s">
        <v>17</v>
      </c>
      <c r="CK3" s="363" t="s">
        <v>17</v>
      </c>
      <c r="CL3" s="363" t="s">
        <v>17</v>
      </c>
      <c r="CM3" s="363" t="s">
        <v>17</v>
      </c>
      <c r="CN3" s="363" t="s">
        <v>17</v>
      </c>
      <c r="CO3" s="363" t="s">
        <v>17</v>
      </c>
      <c r="CP3" s="363" t="s">
        <v>37</v>
      </c>
      <c r="CQ3" s="363" t="s">
        <v>37</v>
      </c>
      <c r="CR3" s="363" t="s">
        <v>37</v>
      </c>
      <c r="CS3" s="363" t="s">
        <v>37</v>
      </c>
      <c r="CT3" s="363" t="s">
        <v>37</v>
      </c>
      <c r="CU3" s="363" t="s">
        <v>37</v>
      </c>
      <c r="CV3" s="363" t="s">
        <v>37</v>
      </c>
      <c r="CW3" s="363" t="s">
        <v>38</v>
      </c>
      <c r="CX3" s="363" t="s">
        <v>38</v>
      </c>
      <c r="CY3" s="363" t="s">
        <v>38</v>
      </c>
      <c r="CZ3" s="363" t="s">
        <v>38</v>
      </c>
      <c r="DA3" s="363" t="s">
        <v>38</v>
      </c>
      <c r="DB3" s="363" t="s">
        <v>38</v>
      </c>
      <c r="DC3" s="363" t="s">
        <v>38</v>
      </c>
      <c r="DD3" s="363" t="s">
        <v>46</v>
      </c>
      <c r="DE3" s="363" t="s">
        <v>46</v>
      </c>
      <c r="DF3" s="363" t="s">
        <v>46</v>
      </c>
      <c r="DG3" s="363" t="s">
        <v>46</v>
      </c>
      <c r="DH3" s="363" t="s">
        <v>46</v>
      </c>
      <c r="DI3" s="363" t="s">
        <v>46</v>
      </c>
      <c r="DJ3" s="363" t="s">
        <v>46</v>
      </c>
      <c r="DK3" s="363" t="s">
        <v>77</v>
      </c>
      <c r="DL3" s="363" t="s">
        <v>77</v>
      </c>
      <c r="DM3" s="363" t="s">
        <v>77</v>
      </c>
      <c r="DN3" s="363" t="s">
        <v>77</v>
      </c>
      <c r="DO3" s="363" t="s">
        <v>77</v>
      </c>
      <c r="DP3" s="363" t="s">
        <v>77</v>
      </c>
      <c r="DQ3" s="363" t="s">
        <v>46</v>
      </c>
      <c r="DR3" s="363" t="s">
        <v>74</v>
      </c>
      <c r="DS3" s="363" t="s">
        <v>74</v>
      </c>
      <c r="DT3" s="363" t="s">
        <v>74</v>
      </c>
      <c r="DU3" s="363" t="s">
        <v>74</v>
      </c>
      <c r="DV3" s="363" t="s">
        <v>74</v>
      </c>
      <c r="DW3" s="363" t="s">
        <v>74</v>
      </c>
      <c r="DX3" s="363" t="s">
        <v>74</v>
      </c>
      <c r="DY3" s="363" t="s">
        <v>86</v>
      </c>
      <c r="DZ3" s="363" t="s">
        <v>86</v>
      </c>
      <c r="EA3" s="363" t="s">
        <v>86</v>
      </c>
      <c r="EB3" s="363" t="s">
        <v>86</v>
      </c>
      <c r="EC3" s="363" t="s">
        <v>86</v>
      </c>
      <c r="ED3" s="363" t="s">
        <v>86</v>
      </c>
      <c r="EE3" s="363" t="s">
        <v>86</v>
      </c>
      <c r="EF3" s="363" t="s">
        <v>83</v>
      </c>
      <c r="EG3" s="363" t="s">
        <v>83</v>
      </c>
      <c r="EH3" s="363" t="s">
        <v>83</v>
      </c>
      <c r="EI3" s="363" t="s">
        <v>83</v>
      </c>
      <c r="EJ3" s="363" t="s">
        <v>83</v>
      </c>
      <c r="EK3" s="363" t="s">
        <v>83</v>
      </c>
      <c r="EL3" s="363" t="s">
        <v>83</v>
      </c>
    </row>
    <row r="4" spans="1:142" s="362" customFormat="1" x14ac:dyDescent="0.2">
      <c r="C4" s="367" t="s">
        <v>490</v>
      </c>
      <c r="D4" s="363" t="s">
        <v>493</v>
      </c>
      <c r="E4" s="363" t="s">
        <v>484</v>
      </c>
      <c r="F4" s="363" t="s">
        <v>485</v>
      </c>
      <c r="G4" s="363" t="s">
        <v>492</v>
      </c>
      <c r="H4" s="363" t="s">
        <v>494</v>
      </c>
      <c r="I4" s="368" t="s">
        <v>491</v>
      </c>
      <c r="J4" s="367" t="s">
        <v>490</v>
      </c>
      <c r="K4" s="363" t="s">
        <v>493</v>
      </c>
      <c r="L4" s="363" t="s">
        <v>484</v>
      </c>
      <c r="M4" s="363" t="s">
        <v>485</v>
      </c>
      <c r="N4" s="363" t="s">
        <v>492</v>
      </c>
      <c r="O4" s="363" t="s">
        <v>494</v>
      </c>
      <c r="P4" s="368" t="s">
        <v>491</v>
      </c>
      <c r="Q4" s="367" t="s">
        <v>490</v>
      </c>
      <c r="R4" s="363" t="s">
        <v>493</v>
      </c>
      <c r="S4" s="363" t="s">
        <v>484</v>
      </c>
      <c r="T4" s="363" t="s">
        <v>485</v>
      </c>
      <c r="U4" s="363" t="s">
        <v>492</v>
      </c>
      <c r="V4" s="363" t="s">
        <v>494</v>
      </c>
      <c r="W4" s="368" t="s">
        <v>491</v>
      </c>
      <c r="X4" s="367" t="s">
        <v>490</v>
      </c>
      <c r="Y4" s="363" t="s">
        <v>493</v>
      </c>
      <c r="Z4" s="363" t="s">
        <v>484</v>
      </c>
      <c r="AA4" s="363" t="s">
        <v>485</v>
      </c>
      <c r="AB4" s="363" t="s">
        <v>492</v>
      </c>
      <c r="AC4" s="363" t="s">
        <v>494</v>
      </c>
      <c r="AD4" s="368" t="s">
        <v>491</v>
      </c>
      <c r="AE4" s="367" t="s">
        <v>490</v>
      </c>
      <c r="AF4" s="363" t="s">
        <v>493</v>
      </c>
      <c r="AG4" s="363" t="s">
        <v>484</v>
      </c>
      <c r="AH4" s="363" t="s">
        <v>485</v>
      </c>
      <c r="AI4" s="363" t="s">
        <v>492</v>
      </c>
      <c r="AJ4" s="363" t="s">
        <v>494</v>
      </c>
      <c r="AK4" s="368" t="s">
        <v>491</v>
      </c>
      <c r="AL4" s="367" t="s">
        <v>490</v>
      </c>
      <c r="AM4" s="363" t="s">
        <v>493</v>
      </c>
      <c r="AN4" s="363" t="s">
        <v>484</v>
      </c>
      <c r="AO4" s="363" t="s">
        <v>485</v>
      </c>
      <c r="AP4" s="363" t="s">
        <v>492</v>
      </c>
      <c r="AQ4" s="363" t="s">
        <v>494</v>
      </c>
      <c r="AR4" s="368" t="s">
        <v>491</v>
      </c>
      <c r="AS4" s="367" t="s">
        <v>490</v>
      </c>
      <c r="AT4" s="363" t="s">
        <v>493</v>
      </c>
      <c r="AU4" s="363" t="s">
        <v>484</v>
      </c>
      <c r="AV4" s="363" t="s">
        <v>485</v>
      </c>
      <c r="AW4" s="363" t="s">
        <v>492</v>
      </c>
      <c r="AX4" s="363" t="s">
        <v>494</v>
      </c>
      <c r="AY4" s="368" t="s">
        <v>491</v>
      </c>
      <c r="AZ4" s="367" t="s">
        <v>490</v>
      </c>
      <c r="BA4" s="363" t="s">
        <v>493</v>
      </c>
      <c r="BB4" s="363" t="s">
        <v>484</v>
      </c>
      <c r="BC4" s="363" t="s">
        <v>485</v>
      </c>
      <c r="BD4" s="363" t="s">
        <v>492</v>
      </c>
      <c r="BE4" s="363" t="s">
        <v>494</v>
      </c>
      <c r="BF4" s="368" t="s">
        <v>491</v>
      </c>
      <c r="BG4" s="367" t="s">
        <v>490</v>
      </c>
      <c r="BH4" s="363" t="s">
        <v>493</v>
      </c>
      <c r="BI4" s="363" t="s">
        <v>484</v>
      </c>
      <c r="BJ4" s="363" t="s">
        <v>485</v>
      </c>
      <c r="BK4" s="363" t="s">
        <v>492</v>
      </c>
      <c r="BL4" s="363" t="s">
        <v>494</v>
      </c>
      <c r="BM4" s="368" t="s">
        <v>491</v>
      </c>
      <c r="BN4" s="367" t="s">
        <v>490</v>
      </c>
      <c r="BO4" s="363" t="s">
        <v>493</v>
      </c>
      <c r="BP4" s="363" t="s">
        <v>484</v>
      </c>
      <c r="BQ4" s="363" t="s">
        <v>485</v>
      </c>
      <c r="BR4" s="363" t="s">
        <v>492</v>
      </c>
      <c r="BS4" s="363" t="s">
        <v>494</v>
      </c>
      <c r="BT4" s="368" t="s">
        <v>491</v>
      </c>
      <c r="BU4" s="367" t="s">
        <v>490</v>
      </c>
      <c r="BV4" s="363" t="s">
        <v>493</v>
      </c>
      <c r="BW4" s="363" t="s">
        <v>484</v>
      </c>
      <c r="BX4" s="363" t="s">
        <v>485</v>
      </c>
      <c r="BY4" s="363" t="s">
        <v>492</v>
      </c>
      <c r="BZ4" s="363" t="s">
        <v>494</v>
      </c>
      <c r="CA4" s="368" t="s">
        <v>491</v>
      </c>
      <c r="CB4" s="367" t="s">
        <v>490</v>
      </c>
      <c r="CC4" s="363" t="s">
        <v>493</v>
      </c>
      <c r="CD4" s="363" t="s">
        <v>484</v>
      </c>
      <c r="CE4" s="363" t="s">
        <v>485</v>
      </c>
      <c r="CF4" s="363" t="s">
        <v>492</v>
      </c>
      <c r="CG4" s="363" t="s">
        <v>494</v>
      </c>
      <c r="CH4" s="368" t="s">
        <v>491</v>
      </c>
      <c r="CI4" s="367" t="s">
        <v>490</v>
      </c>
      <c r="CJ4" s="363" t="s">
        <v>493</v>
      </c>
      <c r="CK4" s="363" t="s">
        <v>484</v>
      </c>
      <c r="CL4" s="363" t="s">
        <v>485</v>
      </c>
      <c r="CM4" s="363" t="s">
        <v>492</v>
      </c>
      <c r="CN4" s="363" t="s">
        <v>494</v>
      </c>
      <c r="CO4" s="368" t="s">
        <v>491</v>
      </c>
      <c r="CP4" s="367" t="s">
        <v>490</v>
      </c>
      <c r="CQ4" s="363" t="s">
        <v>493</v>
      </c>
      <c r="CR4" s="363" t="s">
        <v>484</v>
      </c>
      <c r="CS4" s="363" t="s">
        <v>485</v>
      </c>
      <c r="CT4" s="363" t="s">
        <v>492</v>
      </c>
      <c r="CU4" s="363" t="s">
        <v>494</v>
      </c>
      <c r="CV4" s="368" t="s">
        <v>491</v>
      </c>
      <c r="CW4" s="367" t="s">
        <v>490</v>
      </c>
      <c r="CX4" s="363" t="s">
        <v>493</v>
      </c>
      <c r="CY4" s="363" t="s">
        <v>484</v>
      </c>
      <c r="CZ4" s="363" t="s">
        <v>485</v>
      </c>
      <c r="DA4" s="363" t="s">
        <v>492</v>
      </c>
      <c r="DB4" s="363" t="s">
        <v>494</v>
      </c>
      <c r="DC4" s="368" t="s">
        <v>491</v>
      </c>
      <c r="DD4" s="367" t="s">
        <v>490</v>
      </c>
      <c r="DE4" s="363" t="s">
        <v>493</v>
      </c>
      <c r="DF4" s="363" t="s">
        <v>484</v>
      </c>
      <c r="DG4" s="363" t="s">
        <v>485</v>
      </c>
      <c r="DH4" s="363" t="s">
        <v>492</v>
      </c>
      <c r="DI4" s="363" t="s">
        <v>494</v>
      </c>
      <c r="DJ4" s="368" t="s">
        <v>491</v>
      </c>
      <c r="DK4" s="367" t="s">
        <v>490</v>
      </c>
      <c r="DL4" s="363" t="s">
        <v>493</v>
      </c>
      <c r="DM4" s="363" t="s">
        <v>484</v>
      </c>
      <c r="DN4" s="363" t="s">
        <v>485</v>
      </c>
      <c r="DO4" s="363" t="s">
        <v>492</v>
      </c>
      <c r="DP4" s="363" t="s">
        <v>494</v>
      </c>
      <c r="DQ4" s="368" t="s">
        <v>491</v>
      </c>
      <c r="DR4" s="363" t="s">
        <v>319</v>
      </c>
      <c r="DS4" s="363" t="s">
        <v>474</v>
      </c>
      <c r="DT4" s="363" t="s">
        <v>484</v>
      </c>
      <c r="DU4" s="363" t="s">
        <v>485</v>
      </c>
      <c r="DV4" s="363" t="s">
        <v>489</v>
      </c>
      <c r="DW4" s="363" t="s">
        <v>488</v>
      </c>
      <c r="DX4" s="368" t="s">
        <v>390</v>
      </c>
      <c r="DY4" s="367" t="s">
        <v>490</v>
      </c>
      <c r="DZ4" s="363" t="s">
        <v>493</v>
      </c>
      <c r="EA4" s="363" t="s">
        <v>484</v>
      </c>
      <c r="EB4" s="363" t="s">
        <v>485</v>
      </c>
      <c r="EC4" s="363" t="s">
        <v>492</v>
      </c>
      <c r="ED4" s="363" t="s">
        <v>494</v>
      </c>
      <c r="EE4" s="368" t="s">
        <v>491</v>
      </c>
      <c r="EF4" s="367" t="s">
        <v>490</v>
      </c>
      <c r="EG4" s="363" t="s">
        <v>493</v>
      </c>
      <c r="EH4" s="363" t="s">
        <v>484</v>
      </c>
      <c r="EI4" s="363" t="s">
        <v>485</v>
      </c>
      <c r="EJ4" s="363" t="s">
        <v>492</v>
      </c>
      <c r="EK4" s="363" t="s">
        <v>494</v>
      </c>
      <c r="EL4" s="368" t="s">
        <v>491</v>
      </c>
    </row>
    <row r="5" spans="1:142" s="362" customFormat="1" x14ac:dyDescent="0.2">
      <c r="A5" s="16">
        <v>42874</v>
      </c>
      <c r="B5" s="16" t="s">
        <v>487</v>
      </c>
      <c r="C5" s="369">
        <f>SUMIFS(Collection!$O:$O, Collection!$K:$K, C$2, Collection!$A:$A, "="&amp;$A5)</f>
        <v>0</v>
      </c>
      <c r="D5" s="116">
        <f>(SUMIFS('Bucket Counts'!$P:$P, 'Bucket Counts'!$B:$B, D$2, 'Bucket Counts'!$A:$A, "="&amp;$A5,  'Bucket Counts'!$F:$F, "&lt;&gt;100 Morts",  'Bucket Counts'!$F:$F, "&lt;&gt;224"))</f>
        <v>0</v>
      </c>
      <c r="E5" s="116">
        <f>(SUMIFS('Bucket Counts'!$P:$P, 'Bucket Counts'!$B:$B, E$2, 'Bucket Counts'!$A:$A, "="&amp;$A5,  'Bucket Counts'!$F:$F, "100 Morts"))</f>
        <v>0</v>
      </c>
      <c r="F5" s="116">
        <f>(SUMIFS('Bucket Counts'!$P:$P, 'Bucket Counts'!$B:$B, F$2, 'Bucket Counts'!$A:$A, "="&amp;$A5,  'Bucket Counts'!$F:$F, "224"))</f>
        <v>0</v>
      </c>
      <c r="G5" s="116" t="s">
        <v>453</v>
      </c>
      <c r="H5" s="427" t="s">
        <v>453</v>
      </c>
      <c r="I5" s="370">
        <f>C5</f>
        <v>0</v>
      </c>
      <c r="J5" s="369">
        <f>SUMIFS(Collection!$O:$O, Collection!$K:$K, J$2, Collection!$A:$A, "="&amp;$A5)</f>
        <v>0</v>
      </c>
      <c r="K5" s="116">
        <f>(SUMIFS('Bucket Counts'!$P:$P, 'Bucket Counts'!$B:$B, K$2, 'Bucket Counts'!$A:$A, "="&amp;$A5,  'Bucket Counts'!$F:$F, "&lt;&gt;100 Morts",  'Bucket Counts'!$F:$F, "&lt;&gt;224"))</f>
        <v>0</v>
      </c>
      <c r="L5" s="116">
        <f>(SUMIFS('Bucket Counts'!$P:$P, 'Bucket Counts'!$B:$B, L$2, 'Bucket Counts'!$A:$A, "="&amp;$A5,  'Bucket Counts'!$F:$F, "100 Morts"))</f>
        <v>0</v>
      </c>
      <c r="M5" s="116">
        <f>(SUMIFS('Bucket Counts'!$P:$P, 'Bucket Counts'!$B:$B, M$2, 'Bucket Counts'!$A:$A, "="&amp;$A5,  'Bucket Counts'!$F:$F, "224"))</f>
        <v>0</v>
      </c>
      <c r="N5" s="116" t="s">
        <v>453</v>
      </c>
      <c r="O5" s="427" t="s">
        <v>453</v>
      </c>
      <c r="P5" s="370">
        <f>J5</f>
        <v>0</v>
      </c>
      <c r="Q5" s="369">
        <f>SUMIFS(Collection!$O:$O, Collection!$K:$K, Q$2, Collection!$A:$A, "="&amp;$A5)</f>
        <v>350</v>
      </c>
      <c r="R5" s="116">
        <f>(SUMIFS('Bucket Counts'!$P:$P, 'Bucket Counts'!$B:$B, R$2, 'Bucket Counts'!$A:$A, "="&amp;$A5,  'Bucket Counts'!$F:$F, "&lt;&gt;100 Morts",  'Bucket Counts'!$F:$F, "&lt;&gt;224"))</f>
        <v>0</v>
      </c>
      <c r="S5" s="116">
        <f>(SUMIFS('Bucket Counts'!$P:$P, 'Bucket Counts'!$B:$B, S$2, 'Bucket Counts'!$A:$A, "="&amp;$A5,  'Bucket Counts'!$F:$F, "100 Morts"))</f>
        <v>0</v>
      </c>
      <c r="T5" s="116">
        <f>(SUMIFS('Bucket Counts'!$P:$P, 'Bucket Counts'!$B:$B, T$2, 'Bucket Counts'!$A:$A, "="&amp;$A5,  'Bucket Counts'!$F:$F, "224"))</f>
        <v>0</v>
      </c>
      <c r="U5" s="116" t="s">
        <v>453</v>
      </c>
      <c r="V5" s="427" t="s">
        <v>453</v>
      </c>
      <c r="W5" s="370">
        <f>Q5</f>
        <v>350</v>
      </c>
      <c r="X5" s="369">
        <f>SUMIFS(Collection!$O:$O, Collection!$K:$K, X$2, Collection!$A:$A, "="&amp;$A5)</f>
        <v>0</v>
      </c>
      <c r="Y5" s="116">
        <f>(SUMIFS('Bucket Counts'!$P:$P, 'Bucket Counts'!$B:$B, Y$2, 'Bucket Counts'!$A:$A, "="&amp;$A5,  'Bucket Counts'!$F:$F, "&lt;&gt;100 Morts",  'Bucket Counts'!$F:$F, "&lt;&gt;224"))</f>
        <v>0</v>
      </c>
      <c r="Z5" s="116">
        <f>(SUMIFS('Bucket Counts'!$P:$P, 'Bucket Counts'!$B:$B, Z$2, 'Bucket Counts'!$A:$A, "="&amp;$A5,  'Bucket Counts'!$F:$F, "100 Morts"))</f>
        <v>0</v>
      </c>
      <c r="AA5" s="116">
        <f>(SUMIFS('Bucket Counts'!$P:$P, 'Bucket Counts'!$B:$B, AA$2, 'Bucket Counts'!$A:$A, "="&amp;$A5,  'Bucket Counts'!$F:$F, "224"))</f>
        <v>0</v>
      </c>
      <c r="AB5" s="116" t="s">
        <v>453</v>
      </c>
      <c r="AC5" s="427" t="s">
        <v>453</v>
      </c>
      <c r="AD5" s="370">
        <f>X5</f>
        <v>0</v>
      </c>
      <c r="AE5" s="369">
        <f>SUMIFS(Collection!$O:$O, Collection!$K:$K, AE$2, Collection!$A:$A, "="&amp;$A5)</f>
        <v>80640</v>
      </c>
      <c r="AF5" s="116">
        <f>(SUMIFS('Bucket Counts'!$P:$P, 'Bucket Counts'!$B:$B, AF$2, 'Bucket Counts'!$A:$A, "="&amp;$A5,  'Bucket Counts'!$F:$F, "&lt;&gt;100 Morts",  'Bucket Counts'!$F:$F, "&lt;&gt;224"))</f>
        <v>0</v>
      </c>
      <c r="AG5" s="116">
        <f>(SUMIFS('Bucket Counts'!$P:$P, 'Bucket Counts'!$B:$B, AG$2, 'Bucket Counts'!$A:$A, "="&amp;$A5,  'Bucket Counts'!$F:$F, "100 Morts"))</f>
        <v>0</v>
      </c>
      <c r="AH5" s="116">
        <f>(SUMIFS('Bucket Counts'!$P:$P, 'Bucket Counts'!$B:$B, AH$2, 'Bucket Counts'!$A:$A, "="&amp;$A5,  'Bucket Counts'!$F:$F, "224"))</f>
        <v>0</v>
      </c>
      <c r="AI5" s="116" t="s">
        <v>453</v>
      </c>
      <c r="AJ5" s="427" t="s">
        <v>453</v>
      </c>
      <c r="AK5" s="370">
        <f>AE5</f>
        <v>80640</v>
      </c>
      <c r="AL5" s="369">
        <f>SUMIFS(Collection!$O:$O, Collection!$K:$K, AL$2, Collection!$A:$A, "="&amp;$A5)</f>
        <v>0</v>
      </c>
      <c r="AM5" s="116">
        <f>(SUMIFS('Bucket Counts'!$P:$P, 'Bucket Counts'!$B:$B, AM$2, 'Bucket Counts'!$A:$A, "="&amp;$A5,  'Bucket Counts'!$F:$F, "&lt;&gt;100 Morts",  'Bucket Counts'!$F:$F, "&lt;&gt;224"))</f>
        <v>0</v>
      </c>
      <c r="AN5" s="116">
        <f>(SUMIFS('Bucket Counts'!$P:$P, 'Bucket Counts'!$B:$B, AN$2, 'Bucket Counts'!$A:$A, "="&amp;$A5,  'Bucket Counts'!$F:$F, "100 Morts"))</f>
        <v>0</v>
      </c>
      <c r="AO5" s="116">
        <f>(SUMIFS('Bucket Counts'!$P:$P, 'Bucket Counts'!$B:$B, AO$2, 'Bucket Counts'!$A:$A, "="&amp;$A5,  'Bucket Counts'!$F:$F, "224"))</f>
        <v>0</v>
      </c>
      <c r="AP5" s="116" t="s">
        <v>453</v>
      </c>
      <c r="AQ5" s="427" t="s">
        <v>453</v>
      </c>
      <c r="AR5" s="370">
        <f>AL5</f>
        <v>0</v>
      </c>
      <c r="AS5" s="369">
        <f>SUMIFS(Collection!$O:$O, Collection!$K:$K, AS$2, Collection!$A:$A, "="&amp;$A5)</f>
        <v>0</v>
      </c>
      <c r="AT5" s="116">
        <f>(SUMIFS('Bucket Counts'!$P:$P, 'Bucket Counts'!$B:$B, AT$2, 'Bucket Counts'!$A:$A, "="&amp;$A5,  'Bucket Counts'!$F:$F, "&lt;&gt;100 Morts",  'Bucket Counts'!$F:$F, "&lt;&gt;224"))</f>
        <v>0</v>
      </c>
      <c r="AU5" s="116">
        <f>(SUMIFS('Bucket Counts'!$P:$P, 'Bucket Counts'!$B:$B, AU$2, 'Bucket Counts'!$A:$A, "="&amp;$A5,  'Bucket Counts'!$F:$F, "100 Morts"))</f>
        <v>0</v>
      </c>
      <c r="AV5" s="116">
        <f>(SUMIFS('Bucket Counts'!$P:$P, 'Bucket Counts'!$B:$B, AV$2, 'Bucket Counts'!$A:$A, "="&amp;$A5,  'Bucket Counts'!$F:$F, "224"))</f>
        <v>0</v>
      </c>
      <c r="AW5" s="116" t="s">
        <v>453</v>
      </c>
      <c r="AX5" s="427" t="s">
        <v>453</v>
      </c>
      <c r="AY5" s="370">
        <f>AS5</f>
        <v>0</v>
      </c>
      <c r="AZ5" s="369">
        <f>SUMIFS(Collection!$O:$O, Collection!$K:$K, AZ$2, Collection!$A:$A, "="&amp;$A5)</f>
        <v>0</v>
      </c>
      <c r="BA5" s="116">
        <f>(SUMIFS('Bucket Counts'!$P:$P, 'Bucket Counts'!$B:$B, BA$2, 'Bucket Counts'!$A:$A, "="&amp;$A5,  'Bucket Counts'!$F:$F, "&lt;&gt;100 Morts",  'Bucket Counts'!$F:$F, "&lt;&gt;224"))</f>
        <v>0</v>
      </c>
      <c r="BB5" s="116">
        <f>(SUMIFS('Bucket Counts'!$P:$P, 'Bucket Counts'!$B:$B, BB$2, 'Bucket Counts'!$A:$A, "="&amp;$A5,  'Bucket Counts'!$F:$F, "100 Morts"))</f>
        <v>0</v>
      </c>
      <c r="BC5" s="116">
        <f>(SUMIFS('Bucket Counts'!$P:$P, 'Bucket Counts'!$B:$B, BC$2, 'Bucket Counts'!$A:$A, "="&amp;$A5,  'Bucket Counts'!$F:$F, "224"))</f>
        <v>0</v>
      </c>
      <c r="BD5" s="116" t="s">
        <v>453</v>
      </c>
      <c r="BE5" s="427" t="s">
        <v>453</v>
      </c>
      <c r="BF5" s="370">
        <f>AZ5</f>
        <v>0</v>
      </c>
      <c r="BG5" s="369">
        <f>SUMIFS(Collection!$O:$O, Collection!$K:$K, BG$2, Collection!$A:$A, "="&amp;$A5)</f>
        <v>0</v>
      </c>
      <c r="BH5" s="116">
        <f>(SUMIFS('Bucket Counts'!$P:$P, 'Bucket Counts'!$B:$B, BH$2, 'Bucket Counts'!$A:$A, "="&amp;$A5,  'Bucket Counts'!$F:$F, "&lt;&gt;100 Morts",  'Bucket Counts'!$F:$F, "&lt;&gt;224"))</f>
        <v>0</v>
      </c>
      <c r="BI5" s="116">
        <f>(SUMIFS('Bucket Counts'!$P:$P, 'Bucket Counts'!$B:$B, BI$2, 'Bucket Counts'!$A:$A, "="&amp;$A5,  'Bucket Counts'!$F:$F, "100 Morts"))</f>
        <v>0</v>
      </c>
      <c r="BJ5" s="116">
        <f>(SUMIFS('Bucket Counts'!$P:$P, 'Bucket Counts'!$B:$B, BJ$2, 'Bucket Counts'!$A:$A, "="&amp;$A5,  'Bucket Counts'!$F:$F, "224"))</f>
        <v>0</v>
      </c>
      <c r="BK5" s="116" t="s">
        <v>453</v>
      </c>
      <c r="BL5" s="427" t="s">
        <v>453</v>
      </c>
      <c r="BM5" s="370">
        <f>BG5</f>
        <v>0</v>
      </c>
      <c r="BN5" s="369">
        <f>SUMIFS(Collection!$O:$O, Collection!$K:$K, BN$2, Collection!$A:$A, "="&amp;$A5)</f>
        <v>0</v>
      </c>
      <c r="BO5" s="116">
        <f>(SUMIFS('Bucket Counts'!$P:$P, 'Bucket Counts'!$B:$B, BO$2, 'Bucket Counts'!$A:$A, "="&amp;$A5,  'Bucket Counts'!$F:$F, "&lt;&gt;100 Morts",  'Bucket Counts'!$F:$F, "&lt;&gt;224"))</f>
        <v>0</v>
      </c>
      <c r="BP5" s="116">
        <f>(SUMIFS('Bucket Counts'!$P:$P, 'Bucket Counts'!$B:$B, BP$2, 'Bucket Counts'!$A:$A, "="&amp;$A5,  'Bucket Counts'!$F:$F, "100 Morts"))</f>
        <v>0</v>
      </c>
      <c r="BQ5" s="116">
        <f>(SUMIFS('Bucket Counts'!$P:$P, 'Bucket Counts'!$B:$B, BQ$2, 'Bucket Counts'!$A:$A, "="&amp;$A5,  'Bucket Counts'!$F:$F, "224"))</f>
        <v>0</v>
      </c>
      <c r="BR5" s="116" t="s">
        <v>453</v>
      </c>
      <c r="BS5" s="427" t="s">
        <v>453</v>
      </c>
      <c r="BT5" s="370">
        <f>BN5</f>
        <v>0</v>
      </c>
      <c r="BU5" s="369">
        <f>SUMIFS(Collection!$O:$O, Collection!$K:$K, BU$2, Collection!$A:$A, "="&amp;$A5)</f>
        <v>0</v>
      </c>
      <c r="BV5" s="116">
        <f>(SUMIFS('Bucket Counts'!$P:$P, 'Bucket Counts'!$B:$B, BV$2, 'Bucket Counts'!$A:$A, "="&amp;$A5,  'Bucket Counts'!$F:$F, "&lt;&gt;100 Morts",  'Bucket Counts'!$F:$F, "&lt;&gt;224"))</f>
        <v>0</v>
      </c>
      <c r="BW5" s="116">
        <f>(SUMIFS('Bucket Counts'!$P:$P, 'Bucket Counts'!$B:$B, BW$2, 'Bucket Counts'!$A:$A, "="&amp;$A5,  'Bucket Counts'!$F:$F, "100 Morts"))</f>
        <v>0</v>
      </c>
      <c r="BX5" s="116">
        <f>(SUMIFS('Bucket Counts'!$P:$P, 'Bucket Counts'!$B:$B, BX$2, 'Bucket Counts'!$A:$A, "="&amp;$A5,  'Bucket Counts'!$F:$F, "224"))</f>
        <v>0</v>
      </c>
      <c r="BY5" s="116" t="s">
        <v>453</v>
      </c>
      <c r="BZ5" s="427" t="s">
        <v>453</v>
      </c>
      <c r="CA5" s="370">
        <f>BU5</f>
        <v>0</v>
      </c>
      <c r="CB5" s="369">
        <f>SUMIFS(Collection!$O:$O, Collection!$K:$K, CB$2, Collection!$A:$A, "="&amp;$A5)</f>
        <v>0</v>
      </c>
      <c r="CC5" s="116">
        <f>(SUMIFS('Bucket Counts'!$P:$P, 'Bucket Counts'!$B:$B, CC$2, 'Bucket Counts'!$A:$A, "="&amp;$A5,  'Bucket Counts'!$F:$F, "&lt;&gt;100 Morts",  'Bucket Counts'!$F:$F, "&lt;&gt;224"))</f>
        <v>0</v>
      </c>
      <c r="CD5" s="116">
        <f>(SUMIFS('Bucket Counts'!$P:$P, 'Bucket Counts'!$B:$B, CD$2, 'Bucket Counts'!$A:$A, "="&amp;$A5,  'Bucket Counts'!$F:$F, "100 Morts"))</f>
        <v>0</v>
      </c>
      <c r="CE5" s="116">
        <f>(SUMIFS('Bucket Counts'!$P:$P, 'Bucket Counts'!$B:$B, CE$2, 'Bucket Counts'!$A:$A, "="&amp;$A5,  'Bucket Counts'!$F:$F, "224"))</f>
        <v>0</v>
      </c>
      <c r="CF5" s="116" t="s">
        <v>453</v>
      </c>
      <c r="CG5" s="427" t="s">
        <v>453</v>
      </c>
      <c r="CH5" s="370">
        <f>CB5</f>
        <v>0</v>
      </c>
      <c r="CI5" s="369">
        <f>SUMIFS(Collection!$O:$O, Collection!$K:$K, CI$2, Collection!$A:$A, "="&amp;$A5)</f>
        <v>0</v>
      </c>
      <c r="CJ5" s="116">
        <f>(SUMIFS('Bucket Counts'!$P:$P, 'Bucket Counts'!$B:$B, CJ$2, 'Bucket Counts'!$A:$A, "="&amp;$A5,  'Bucket Counts'!$F:$F, "&lt;&gt;100 Morts",  'Bucket Counts'!$F:$F, "&lt;&gt;224"))</f>
        <v>0</v>
      </c>
      <c r="CK5" s="116">
        <f>(SUMIFS('Bucket Counts'!$P:$P, 'Bucket Counts'!$B:$B, CK$2, 'Bucket Counts'!$A:$A, "="&amp;$A5,  'Bucket Counts'!$F:$F, "100 Morts"))</f>
        <v>0</v>
      </c>
      <c r="CL5" s="116">
        <f>(SUMIFS('Bucket Counts'!$P:$P, 'Bucket Counts'!$B:$B, CL$2, 'Bucket Counts'!$A:$A, "="&amp;$A5,  'Bucket Counts'!$F:$F, "224"))</f>
        <v>0</v>
      </c>
      <c r="CM5" s="116" t="s">
        <v>453</v>
      </c>
      <c r="CN5" s="427" t="s">
        <v>453</v>
      </c>
      <c r="CO5" s="370">
        <f>CI5</f>
        <v>0</v>
      </c>
      <c r="CP5" s="369">
        <f>SUMIFS(Collection!$O:$O, Collection!$K:$K, CP$2, Collection!$A:$A, "="&amp;$A5)</f>
        <v>11916.666666666666</v>
      </c>
      <c r="CQ5" s="116">
        <f>(SUMIFS('Bucket Counts'!$P:$P, 'Bucket Counts'!$B:$B, CQ$2, 'Bucket Counts'!$A:$A, "="&amp;$A5,  'Bucket Counts'!$F:$F, "&lt;&gt;100 Morts",  'Bucket Counts'!$F:$F, "&lt;&gt;224"))</f>
        <v>0</v>
      </c>
      <c r="CR5" s="116">
        <f>(SUMIFS('Bucket Counts'!$P:$P, 'Bucket Counts'!$B:$B, CR$2, 'Bucket Counts'!$A:$A, "="&amp;$A5,  'Bucket Counts'!$F:$F, "100 Morts"))</f>
        <v>0</v>
      </c>
      <c r="CS5" s="116">
        <f>(SUMIFS('Bucket Counts'!$P:$P, 'Bucket Counts'!$B:$B, CS$2, 'Bucket Counts'!$A:$A, "="&amp;$A5,  'Bucket Counts'!$F:$F, "224"))</f>
        <v>0</v>
      </c>
      <c r="CT5" s="116" t="s">
        <v>453</v>
      </c>
      <c r="CU5" s="427" t="s">
        <v>453</v>
      </c>
      <c r="CV5" s="370">
        <f>CP5</f>
        <v>11916.666666666666</v>
      </c>
      <c r="CW5" s="369">
        <f>SUMIFS(Collection!$O:$O, Collection!$K:$K, CW$2, Collection!$A:$A, "="&amp;$A5)</f>
        <v>2041.6666666666665</v>
      </c>
      <c r="CX5" s="116">
        <f>(SUMIFS('Bucket Counts'!$P:$P, 'Bucket Counts'!$B:$B, CX$2, 'Bucket Counts'!$A:$A, "="&amp;$A5,  'Bucket Counts'!$F:$F, "&lt;&gt;100 Morts",  'Bucket Counts'!$F:$F, "&lt;&gt;224"))</f>
        <v>0</v>
      </c>
      <c r="CY5" s="116">
        <f>(SUMIFS('Bucket Counts'!$P:$P, 'Bucket Counts'!$B:$B, CY$2, 'Bucket Counts'!$A:$A, "="&amp;$A5,  'Bucket Counts'!$F:$F, "100 Morts"))</f>
        <v>0</v>
      </c>
      <c r="CZ5" s="116">
        <f>(SUMIFS('Bucket Counts'!$P:$P, 'Bucket Counts'!$B:$B, CZ$2, 'Bucket Counts'!$A:$A, "="&amp;$A5,  'Bucket Counts'!$F:$F, "224"))</f>
        <v>0</v>
      </c>
      <c r="DA5" s="116" t="s">
        <v>453</v>
      </c>
      <c r="DB5" s="427" t="s">
        <v>453</v>
      </c>
      <c r="DC5" s="370">
        <f>CW5</f>
        <v>2041.6666666666665</v>
      </c>
      <c r="DD5" s="369">
        <f>SUMIFS(Collection!$O:$O, Collection!$K:$K, DD$2, Collection!$A:$A, "="&amp;$A5)</f>
        <v>0</v>
      </c>
      <c r="DE5" s="116">
        <f>(SUMIFS('Bucket Counts'!$P:$P, 'Bucket Counts'!$B:$B, DE$2, 'Bucket Counts'!$A:$A, "="&amp;$A5,  'Bucket Counts'!$F:$F, "&lt;&gt;100 Morts",  'Bucket Counts'!$F:$F, "&lt;&gt;224"))</f>
        <v>0</v>
      </c>
      <c r="DF5" s="116">
        <f>(SUMIFS('Bucket Counts'!$P:$P, 'Bucket Counts'!$B:$B, DF$2, 'Bucket Counts'!$A:$A, "="&amp;$A5,  'Bucket Counts'!$F:$F, "100 Morts"))</f>
        <v>0</v>
      </c>
      <c r="DG5" s="116">
        <f>(SUMIFS('Bucket Counts'!$P:$P, 'Bucket Counts'!$B:$B, DG$2, 'Bucket Counts'!$A:$A, "="&amp;$A5,  'Bucket Counts'!$F:$F, "224"))</f>
        <v>0</v>
      </c>
      <c r="DH5" s="116" t="s">
        <v>453</v>
      </c>
      <c r="DI5" s="427" t="s">
        <v>453</v>
      </c>
      <c r="DJ5" s="370">
        <f>DD5</f>
        <v>0</v>
      </c>
      <c r="DK5" s="369">
        <f>SUMIFS(Collection!$O:$O, Collection!$K:$K, DK$2, Collection!$A:$A, "="&amp;$A5)</f>
        <v>0</v>
      </c>
      <c r="DL5" s="116">
        <f>(SUMIFS('Bucket Counts'!$P:$P, 'Bucket Counts'!$B:$B, DL$2, 'Bucket Counts'!$A:$A, "="&amp;$A5,  'Bucket Counts'!$F:$F, "&lt;&gt;100 Morts",  'Bucket Counts'!$F:$F, "&lt;&gt;224"))</f>
        <v>0</v>
      </c>
      <c r="DM5" s="116">
        <f>(SUMIFS('Bucket Counts'!$P:$P, 'Bucket Counts'!$B:$B, DM$2, 'Bucket Counts'!$A:$A, "="&amp;$A5,  'Bucket Counts'!$F:$F, "100 Morts"))</f>
        <v>0</v>
      </c>
      <c r="DN5" s="116">
        <f>(SUMIFS('Bucket Counts'!$P:$P, 'Bucket Counts'!$B:$B, DN$2, 'Bucket Counts'!$A:$A, "="&amp;$A5,  'Bucket Counts'!$F:$F, "224"))</f>
        <v>0</v>
      </c>
      <c r="DO5" s="116" t="s">
        <v>453</v>
      </c>
      <c r="DP5" s="427" t="s">
        <v>453</v>
      </c>
      <c r="DQ5" s="370">
        <f>DK5</f>
        <v>0</v>
      </c>
      <c r="DR5" s="369">
        <f>SUMIFS(Collection!$O:$O, Collection!$K:$K, DR$2, Collection!$A:$A, "="&amp;$A5)</f>
        <v>0</v>
      </c>
      <c r="DS5" s="116">
        <f>(SUMIFS('Bucket Counts'!$P:$P, 'Bucket Counts'!$B:$B, DS$2, 'Bucket Counts'!$A:$A, "="&amp;$A5,  'Bucket Counts'!$F:$F, "&lt;&gt;100 Morts",  'Bucket Counts'!$F:$F, "&lt;&gt;224"))</f>
        <v>0</v>
      </c>
      <c r="DT5" s="116">
        <f>(SUMIFS('Bucket Counts'!$P:$P, 'Bucket Counts'!$B:$B, DT$2, 'Bucket Counts'!$A:$A, "="&amp;$A5,  'Bucket Counts'!$F:$F, "100 Morts"))</f>
        <v>0</v>
      </c>
      <c r="DU5" s="116">
        <f>(SUMIFS('Bucket Counts'!$P:$P, 'Bucket Counts'!$B:$B, DU$2, 'Bucket Counts'!$A:$A, "="&amp;$A5,  'Bucket Counts'!$F:$F, "224"))</f>
        <v>0</v>
      </c>
      <c r="DV5" s="116" t="s">
        <v>453</v>
      </c>
      <c r="DW5" s="427" t="s">
        <v>453</v>
      </c>
      <c r="DX5" s="370">
        <f>DR5</f>
        <v>0</v>
      </c>
      <c r="DY5" s="369">
        <f>SUMIFS(Collection!$O:$O, Collection!$K:$K, DY$2, Collection!$A:$A, "="&amp;$A5)</f>
        <v>0</v>
      </c>
      <c r="DZ5" s="116">
        <f>(SUMIFS('Bucket Counts'!$P:$P, 'Bucket Counts'!$B:$B, DZ$2, 'Bucket Counts'!$A:$A, "="&amp;$A5,  'Bucket Counts'!$F:$F, "&lt;&gt;100 Morts",  'Bucket Counts'!$F:$F, "&lt;&gt;224"))</f>
        <v>0</v>
      </c>
      <c r="EA5" s="116">
        <f>(SUMIFS('Bucket Counts'!$P:$P, 'Bucket Counts'!$B:$B, EA$2, 'Bucket Counts'!$A:$A, "="&amp;$A5,  'Bucket Counts'!$F:$F, "100 Morts"))</f>
        <v>0</v>
      </c>
      <c r="EB5" s="116">
        <f>(SUMIFS('Bucket Counts'!$P:$P, 'Bucket Counts'!$B:$B, EB$2, 'Bucket Counts'!$A:$A, "="&amp;$A5,  'Bucket Counts'!$F:$F, "224"))</f>
        <v>0</v>
      </c>
      <c r="EC5" s="116" t="s">
        <v>453</v>
      </c>
      <c r="ED5" s="427" t="s">
        <v>453</v>
      </c>
      <c r="EE5" s="370">
        <f>DY5</f>
        <v>0</v>
      </c>
      <c r="EF5" s="369">
        <f>SUMIFS(Collection!$O:$O, Collection!$K:$K, EF$2, Collection!$A:$A, "="&amp;$A5)</f>
        <v>0</v>
      </c>
      <c r="EG5" s="116">
        <f>(SUMIFS('Bucket Counts'!$P:$P, 'Bucket Counts'!$B:$B, EG$2, 'Bucket Counts'!$A:$A, "="&amp;$A5,  'Bucket Counts'!$F:$F, "&lt;&gt;100 Morts",  'Bucket Counts'!$F:$F, "&lt;&gt;224"))</f>
        <v>0</v>
      </c>
      <c r="EH5" s="116">
        <f>(SUMIFS('Bucket Counts'!$P:$P, 'Bucket Counts'!$B:$B, EH$2, 'Bucket Counts'!$A:$A, "="&amp;$A5,  'Bucket Counts'!$F:$F, "100 Morts"))</f>
        <v>0</v>
      </c>
      <c r="EI5" s="116">
        <f>(SUMIFS('Bucket Counts'!$P:$P, 'Bucket Counts'!$B:$B, EI$2, 'Bucket Counts'!$A:$A, "="&amp;$A5,  'Bucket Counts'!$F:$F, "224"))</f>
        <v>0</v>
      </c>
      <c r="EJ5" s="116" t="s">
        <v>453</v>
      </c>
      <c r="EK5" s="427" t="s">
        <v>453</v>
      </c>
      <c r="EL5" s="370">
        <f>EF5</f>
        <v>0</v>
      </c>
    </row>
    <row r="6" spans="1:142" s="362" customFormat="1" x14ac:dyDescent="0.2">
      <c r="A6" s="16">
        <v>42875</v>
      </c>
      <c r="B6" s="16" t="s">
        <v>487</v>
      </c>
      <c r="C6" s="369">
        <f>SUMIFS(Collection!$O:$O, Collection!$K:$K, C$2, Collection!$A:$A, "="&amp;$A6)</f>
        <v>0</v>
      </c>
      <c r="D6" s="116">
        <f>(SUMIFS('Bucket Counts'!$P:$P, 'Bucket Counts'!$B:$B, D$2, 'Bucket Counts'!$A:$A, "="&amp;$A6,  'Bucket Counts'!$F:$F, "&lt;&gt;100 Morts",  'Bucket Counts'!$F:$F, "&lt;&gt;224"))</f>
        <v>0</v>
      </c>
      <c r="E6" s="116">
        <f>(SUMIFS('Bucket Counts'!$P:$P, 'Bucket Counts'!$B:$B, E$2, 'Bucket Counts'!$A:$A, "="&amp;$A6,  'Bucket Counts'!$F:$F, "100 Morts"))</f>
        <v>0</v>
      </c>
      <c r="F6" s="116">
        <f>(SUMIFS('Bucket Counts'!$P:$P, 'Bucket Counts'!$B:$B, F$2, 'Bucket Counts'!$A:$A, "="&amp;$A6,  'Bucket Counts'!$F:$F, "224"))</f>
        <v>0</v>
      </c>
      <c r="G6" s="116" t="s">
        <v>453</v>
      </c>
      <c r="H6" s="427" t="s">
        <v>453</v>
      </c>
      <c r="I6" s="370">
        <f>SUM(C5:C6)</f>
        <v>0</v>
      </c>
      <c r="J6" s="369">
        <f>SUMIFS(Collection!$O:$O, Collection!$K:$K, J$2, Collection!$A:$A, "="&amp;$A6)</f>
        <v>0</v>
      </c>
      <c r="K6" s="116">
        <f>(SUMIFS('Bucket Counts'!$P:$P, 'Bucket Counts'!$B:$B, K$2, 'Bucket Counts'!$A:$A, "="&amp;$A6,  'Bucket Counts'!$F:$F, "&lt;&gt;100 Morts",  'Bucket Counts'!$F:$F, "&lt;&gt;224"))</f>
        <v>0</v>
      </c>
      <c r="L6" s="116">
        <f>(SUMIFS('Bucket Counts'!$P:$P, 'Bucket Counts'!$B:$B, L$2, 'Bucket Counts'!$A:$A, "="&amp;$A6,  'Bucket Counts'!$F:$F, "100 Morts"))</f>
        <v>0</v>
      </c>
      <c r="M6" s="116">
        <f>(SUMIFS('Bucket Counts'!$P:$P, 'Bucket Counts'!$B:$B, M$2, 'Bucket Counts'!$A:$A, "="&amp;$A6,  'Bucket Counts'!$F:$F, "224"))</f>
        <v>0</v>
      </c>
      <c r="N6" s="116" t="s">
        <v>453</v>
      </c>
      <c r="O6" s="427" t="s">
        <v>453</v>
      </c>
      <c r="P6" s="370">
        <f>SUM(J5:J6)</f>
        <v>0</v>
      </c>
      <c r="Q6" s="369">
        <f>SUMIFS(Collection!$O:$O, Collection!$K:$K, Q$2, Collection!$A:$A, "="&amp;$A6)</f>
        <v>0</v>
      </c>
      <c r="R6" s="116">
        <f>(SUMIFS('Bucket Counts'!$P:$P, 'Bucket Counts'!$B:$B, R$2, 'Bucket Counts'!$A:$A, "="&amp;$A6,  'Bucket Counts'!$F:$F, "&lt;&gt;100 Morts",  'Bucket Counts'!$F:$F, "&lt;&gt;224"))</f>
        <v>0</v>
      </c>
      <c r="S6" s="116">
        <f>(SUMIFS('Bucket Counts'!$P:$P, 'Bucket Counts'!$B:$B, S$2, 'Bucket Counts'!$A:$A, "="&amp;$A6,  'Bucket Counts'!$F:$F, "100 Morts"))</f>
        <v>0</v>
      </c>
      <c r="T6" s="116">
        <f>(SUMIFS('Bucket Counts'!$P:$P, 'Bucket Counts'!$B:$B, T$2, 'Bucket Counts'!$A:$A, "="&amp;$A6,  'Bucket Counts'!$F:$F, "224"))</f>
        <v>0</v>
      </c>
      <c r="U6" s="116" t="s">
        <v>453</v>
      </c>
      <c r="V6" s="427" t="s">
        <v>453</v>
      </c>
      <c r="W6" s="370">
        <f>SUM(Q5:Q6)</f>
        <v>350</v>
      </c>
      <c r="X6" s="369">
        <f>SUMIFS(Collection!$O:$O, Collection!$K:$K, X$2, Collection!$A:$A, "="&amp;$A6)</f>
        <v>0</v>
      </c>
      <c r="Y6" s="116">
        <f>(SUMIFS('Bucket Counts'!$P:$P, 'Bucket Counts'!$B:$B, Y$2, 'Bucket Counts'!$A:$A, "="&amp;$A6,  'Bucket Counts'!$F:$F, "&lt;&gt;100 Morts",  'Bucket Counts'!$F:$F, "&lt;&gt;224"))</f>
        <v>0</v>
      </c>
      <c r="Z6" s="116">
        <f>(SUMIFS('Bucket Counts'!$P:$P, 'Bucket Counts'!$B:$B, Z$2, 'Bucket Counts'!$A:$A, "="&amp;$A6,  'Bucket Counts'!$F:$F, "100 Morts"))</f>
        <v>0</v>
      </c>
      <c r="AA6" s="116">
        <f>(SUMIFS('Bucket Counts'!$P:$P, 'Bucket Counts'!$B:$B, AA$2, 'Bucket Counts'!$A:$A, "="&amp;$A6,  'Bucket Counts'!$F:$F, "224"))</f>
        <v>0</v>
      </c>
      <c r="AB6" s="116" t="s">
        <v>453</v>
      </c>
      <c r="AC6" s="427" t="s">
        <v>453</v>
      </c>
      <c r="AD6" s="370">
        <f>SUM(X5:X6)</f>
        <v>0</v>
      </c>
      <c r="AE6" s="369">
        <f>SUMIFS(Collection!$O:$O, Collection!$K:$K, AE$2, Collection!$A:$A, "="&amp;$A6)</f>
        <v>124960</v>
      </c>
      <c r="AF6" s="116">
        <f>(SUMIFS('Bucket Counts'!$P:$P, 'Bucket Counts'!$B:$B, AF$2, 'Bucket Counts'!$A:$A, "="&amp;$A6,  'Bucket Counts'!$F:$F, "&lt;&gt;100 Morts",  'Bucket Counts'!$F:$F, "&lt;&gt;224"))</f>
        <v>0</v>
      </c>
      <c r="AG6" s="116">
        <f>(SUMIFS('Bucket Counts'!$P:$P, 'Bucket Counts'!$B:$B, AG$2, 'Bucket Counts'!$A:$A, "="&amp;$A6,  'Bucket Counts'!$F:$F, "100 Morts"))</f>
        <v>0</v>
      </c>
      <c r="AH6" s="116">
        <f>(SUMIFS('Bucket Counts'!$P:$P, 'Bucket Counts'!$B:$B, AH$2, 'Bucket Counts'!$A:$A, "="&amp;$A6,  'Bucket Counts'!$F:$F, "224"))</f>
        <v>0</v>
      </c>
      <c r="AI6" s="116" t="s">
        <v>453</v>
      </c>
      <c r="AJ6" s="427" t="s">
        <v>453</v>
      </c>
      <c r="AK6" s="370">
        <f>SUM(AE5:AE6)</f>
        <v>205600</v>
      </c>
      <c r="AL6" s="369">
        <f>SUMIFS(Collection!$O:$O, Collection!$K:$K, AL$2, Collection!$A:$A, "="&amp;$A6)</f>
        <v>187333.33333333334</v>
      </c>
      <c r="AM6" s="116">
        <f>(SUMIFS('Bucket Counts'!$P:$P, 'Bucket Counts'!$B:$B, AM$2, 'Bucket Counts'!$A:$A, "="&amp;$A6,  'Bucket Counts'!$F:$F, "&lt;&gt;100 Morts",  'Bucket Counts'!$F:$F, "&lt;&gt;224"))</f>
        <v>0</v>
      </c>
      <c r="AN6" s="116">
        <f>(SUMIFS('Bucket Counts'!$P:$P, 'Bucket Counts'!$B:$B, AN$2, 'Bucket Counts'!$A:$A, "="&amp;$A6,  'Bucket Counts'!$F:$F, "100 Morts"))</f>
        <v>0</v>
      </c>
      <c r="AO6" s="116">
        <f>(SUMIFS('Bucket Counts'!$P:$P, 'Bucket Counts'!$B:$B, AO$2, 'Bucket Counts'!$A:$A, "="&amp;$A6,  'Bucket Counts'!$F:$F, "224"))</f>
        <v>0</v>
      </c>
      <c r="AP6" s="116" t="s">
        <v>453</v>
      </c>
      <c r="AQ6" s="427" t="s">
        <v>453</v>
      </c>
      <c r="AR6" s="370">
        <f>SUM(AL5:AL6)</f>
        <v>187333.33333333334</v>
      </c>
      <c r="AS6" s="369">
        <f>SUMIFS(Collection!$O:$O, Collection!$K:$K, AS$2, Collection!$A:$A, "="&amp;$A6)</f>
        <v>0</v>
      </c>
      <c r="AT6" s="116">
        <f>(SUMIFS('Bucket Counts'!$P:$P, 'Bucket Counts'!$B:$B, AT$2, 'Bucket Counts'!$A:$A, "="&amp;$A6,  'Bucket Counts'!$F:$F, "&lt;&gt;100 Morts",  'Bucket Counts'!$F:$F, "&lt;&gt;224"))</f>
        <v>0</v>
      </c>
      <c r="AU6" s="116">
        <f>(SUMIFS('Bucket Counts'!$P:$P, 'Bucket Counts'!$B:$B, AU$2, 'Bucket Counts'!$A:$A, "="&amp;$A6,  'Bucket Counts'!$F:$F, "100 Morts"))</f>
        <v>0</v>
      </c>
      <c r="AV6" s="116">
        <f>(SUMIFS('Bucket Counts'!$P:$P, 'Bucket Counts'!$B:$B, AV$2, 'Bucket Counts'!$A:$A, "="&amp;$A6,  'Bucket Counts'!$F:$F, "224"))</f>
        <v>0</v>
      </c>
      <c r="AW6" s="116" t="s">
        <v>453</v>
      </c>
      <c r="AX6" s="427" t="s">
        <v>453</v>
      </c>
      <c r="AY6" s="370">
        <f>SUM(AS5:AS6)</f>
        <v>0</v>
      </c>
      <c r="AZ6" s="369">
        <f>SUMIFS(Collection!$O:$O, Collection!$K:$K, AZ$2, Collection!$A:$A, "="&amp;$A6)</f>
        <v>0</v>
      </c>
      <c r="BA6" s="116">
        <f>(SUMIFS('Bucket Counts'!$P:$P, 'Bucket Counts'!$B:$B, BA$2, 'Bucket Counts'!$A:$A, "="&amp;$A6,  'Bucket Counts'!$F:$F, "&lt;&gt;100 Morts",  'Bucket Counts'!$F:$F, "&lt;&gt;224"))</f>
        <v>0</v>
      </c>
      <c r="BB6" s="116">
        <f>(SUMIFS('Bucket Counts'!$P:$P, 'Bucket Counts'!$B:$B, BB$2, 'Bucket Counts'!$A:$A, "="&amp;$A6,  'Bucket Counts'!$F:$F, "100 Morts"))</f>
        <v>0</v>
      </c>
      <c r="BC6" s="116">
        <f>(SUMIFS('Bucket Counts'!$P:$P, 'Bucket Counts'!$B:$B, BC$2, 'Bucket Counts'!$A:$A, "="&amp;$A6,  'Bucket Counts'!$F:$F, "224"))</f>
        <v>0</v>
      </c>
      <c r="BD6" s="116" t="s">
        <v>453</v>
      </c>
      <c r="BE6" s="427" t="s">
        <v>453</v>
      </c>
      <c r="BF6" s="370">
        <f>SUM(AZ5:AZ6)</f>
        <v>0</v>
      </c>
      <c r="BG6" s="369">
        <f>SUMIFS(Collection!$O:$O, Collection!$K:$K, BG$2, Collection!$A:$A, "="&amp;$A6)</f>
        <v>0</v>
      </c>
      <c r="BH6" s="116">
        <f>(SUMIFS('Bucket Counts'!$P:$P, 'Bucket Counts'!$B:$B, BH$2, 'Bucket Counts'!$A:$A, "="&amp;$A6,  'Bucket Counts'!$F:$F, "&lt;&gt;100 Morts",  'Bucket Counts'!$F:$F, "&lt;&gt;224"))</f>
        <v>0</v>
      </c>
      <c r="BI6" s="116">
        <f>(SUMIFS('Bucket Counts'!$P:$P, 'Bucket Counts'!$B:$B, BI$2, 'Bucket Counts'!$A:$A, "="&amp;$A6,  'Bucket Counts'!$F:$F, "100 Morts"))</f>
        <v>0</v>
      </c>
      <c r="BJ6" s="116">
        <f>(SUMIFS('Bucket Counts'!$P:$P, 'Bucket Counts'!$B:$B, BJ$2, 'Bucket Counts'!$A:$A, "="&amp;$A6,  'Bucket Counts'!$F:$F, "224"))</f>
        <v>0</v>
      </c>
      <c r="BK6" s="116" t="s">
        <v>453</v>
      </c>
      <c r="BL6" s="427" t="s">
        <v>453</v>
      </c>
      <c r="BM6" s="370">
        <f>SUM(BG5:BG6)</f>
        <v>0</v>
      </c>
      <c r="BN6" s="369">
        <f>SUMIFS(Collection!$O:$O, Collection!$K:$K, BN$2, Collection!$A:$A, "="&amp;$A6)</f>
        <v>0</v>
      </c>
      <c r="BO6" s="116">
        <f>(SUMIFS('Bucket Counts'!$P:$P, 'Bucket Counts'!$B:$B, BO$2, 'Bucket Counts'!$A:$A, "="&amp;$A6,  'Bucket Counts'!$F:$F, "&lt;&gt;100 Morts",  'Bucket Counts'!$F:$F, "&lt;&gt;224"))</f>
        <v>0</v>
      </c>
      <c r="BP6" s="116">
        <f>(SUMIFS('Bucket Counts'!$P:$P, 'Bucket Counts'!$B:$B, BP$2, 'Bucket Counts'!$A:$A, "="&amp;$A6,  'Bucket Counts'!$F:$F, "100 Morts"))</f>
        <v>0</v>
      </c>
      <c r="BQ6" s="116">
        <f>(SUMIFS('Bucket Counts'!$P:$P, 'Bucket Counts'!$B:$B, BQ$2, 'Bucket Counts'!$A:$A, "="&amp;$A6,  'Bucket Counts'!$F:$F, "224"))</f>
        <v>0</v>
      </c>
      <c r="BR6" s="116" t="s">
        <v>453</v>
      </c>
      <c r="BS6" s="427" t="s">
        <v>453</v>
      </c>
      <c r="BT6" s="370">
        <f>SUM(BN5:BN6)</f>
        <v>0</v>
      </c>
      <c r="BU6" s="369">
        <f>SUMIFS(Collection!$O:$O, Collection!$K:$K, BU$2, Collection!$A:$A, "="&amp;$A6)</f>
        <v>0</v>
      </c>
      <c r="BV6" s="116">
        <f>(SUMIFS('Bucket Counts'!$P:$P, 'Bucket Counts'!$B:$B, BV$2, 'Bucket Counts'!$A:$A, "="&amp;$A6,  'Bucket Counts'!$F:$F, "&lt;&gt;100 Morts",  'Bucket Counts'!$F:$F, "&lt;&gt;224"))</f>
        <v>0</v>
      </c>
      <c r="BW6" s="116">
        <f>(SUMIFS('Bucket Counts'!$P:$P, 'Bucket Counts'!$B:$B, BW$2, 'Bucket Counts'!$A:$A, "="&amp;$A6,  'Bucket Counts'!$F:$F, "100 Morts"))</f>
        <v>0</v>
      </c>
      <c r="BX6" s="116">
        <f>(SUMIFS('Bucket Counts'!$P:$P, 'Bucket Counts'!$B:$B, BX$2, 'Bucket Counts'!$A:$A, "="&amp;$A6,  'Bucket Counts'!$F:$F, "224"))</f>
        <v>0</v>
      </c>
      <c r="BY6" s="116" t="s">
        <v>453</v>
      </c>
      <c r="BZ6" s="427" t="s">
        <v>453</v>
      </c>
      <c r="CA6" s="370">
        <f>SUM(BU5:BU6)</f>
        <v>0</v>
      </c>
      <c r="CB6" s="369">
        <f>SUMIFS(Collection!$O:$O, Collection!$K:$K, CB$2, Collection!$A:$A, "="&amp;$A6)</f>
        <v>0</v>
      </c>
      <c r="CC6" s="116">
        <f>(SUMIFS('Bucket Counts'!$P:$P, 'Bucket Counts'!$B:$B, CC$2, 'Bucket Counts'!$A:$A, "="&amp;$A6,  'Bucket Counts'!$F:$F, "&lt;&gt;100 Morts",  'Bucket Counts'!$F:$F, "&lt;&gt;224"))</f>
        <v>0</v>
      </c>
      <c r="CD6" s="116">
        <f>(SUMIFS('Bucket Counts'!$P:$P, 'Bucket Counts'!$B:$B, CD$2, 'Bucket Counts'!$A:$A, "="&amp;$A6,  'Bucket Counts'!$F:$F, "100 Morts"))</f>
        <v>0</v>
      </c>
      <c r="CE6" s="116">
        <f>(SUMIFS('Bucket Counts'!$P:$P, 'Bucket Counts'!$B:$B, CE$2, 'Bucket Counts'!$A:$A, "="&amp;$A6,  'Bucket Counts'!$F:$F, "224"))</f>
        <v>0</v>
      </c>
      <c r="CF6" s="116" t="s">
        <v>453</v>
      </c>
      <c r="CG6" s="427" t="s">
        <v>453</v>
      </c>
      <c r="CH6" s="370">
        <f>SUM(CB5:CB6)</f>
        <v>0</v>
      </c>
      <c r="CI6" s="369">
        <f>SUMIFS(Collection!$O:$O, Collection!$K:$K, CI$2, Collection!$A:$A, "="&amp;$A6)</f>
        <v>108000</v>
      </c>
      <c r="CJ6" s="116">
        <f>(SUMIFS('Bucket Counts'!$P:$P, 'Bucket Counts'!$B:$B, CJ$2, 'Bucket Counts'!$A:$A, "="&amp;$A6,  'Bucket Counts'!$F:$F, "&lt;&gt;100 Morts",  'Bucket Counts'!$F:$F, "&lt;&gt;224"))</f>
        <v>0</v>
      </c>
      <c r="CK6" s="116">
        <f>(SUMIFS('Bucket Counts'!$P:$P, 'Bucket Counts'!$B:$B, CK$2, 'Bucket Counts'!$A:$A, "="&amp;$A6,  'Bucket Counts'!$F:$F, "100 Morts"))</f>
        <v>0</v>
      </c>
      <c r="CL6" s="116">
        <f>(SUMIFS('Bucket Counts'!$P:$P, 'Bucket Counts'!$B:$B, CL$2, 'Bucket Counts'!$A:$A, "="&amp;$A6,  'Bucket Counts'!$F:$F, "224"))</f>
        <v>0</v>
      </c>
      <c r="CM6" s="116" t="s">
        <v>453</v>
      </c>
      <c r="CN6" s="427" t="s">
        <v>453</v>
      </c>
      <c r="CO6" s="370">
        <f>SUM(CI5:CI6)</f>
        <v>108000</v>
      </c>
      <c r="CP6" s="369">
        <f>SUMIFS(Collection!$O:$O, Collection!$K:$K, CP$2, Collection!$A:$A, "="&amp;$A6)</f>
        <v>0</v>
      </c>
      <c r="CQ6" s="116">
        <f>(SUMIFS('Bucket Counts'!$P:$P, 'Bucket Counts'!$B:$B, CQ$2, 'Bucket Counts'!$A:$A, "="&amp;$A6,  'Bucket Counts'!$F:$F, "&lt;&gt;100 Morts",  'Bucket Counts'!$F:$F, "&lt;&gt;224"))</f>
        <v>0</v>
      </c>
      <c r="CR6" s="116">
        <f>(SUMIFS('Bucket Counts'!$P:$P, 'Bucket Counts'!$B:$B, CR$2, 'Bucket Counts'!$A:$A, "="&amp;$A6,  'Bucket Counts'!$F:$F, "100 Morts"))</f>
        <v>0</v>
      </c>
      <c r="CS6" s="116">
        <f>(SUMIFS('Bucket Counts'!$P:$P, 'Bucket Counts'!$B:$B, CS$2, 'Bucket Counts'!$A:$A, "="&amp;$A6,  'Bucket Counts'!$F:$F, "224"))</f>
        <v>0</v>
      </c>
      <c r="CT6" s="116" t="s">
        <v>453</v>
      </c>
      <c r="CU6" s="427" t="s">
        <v>453</v>
      </c>
      <c r="CV6" s="370">
        <f>SUM(CP5:CP6)</f>
        <v>11916.666666666666</v>
      </c>
      <c r="CW6" s="369">
        <f>SUMIFS(Collection!$O:$O, Collection!$K:$K, CW$2, Collection!$A:$A, "="&amp;$A6)</f>
        <v>89666.666666666672</v>
      </c>
      <c r="CX6" s="116">
        <f>(SUMIFS('Bucket Counts'!$P:$P, 'Bucket Counts'!$B:$B, CX$2, 'Bucket Counts'!$A:$A, "="&amp;$A6,  'Bucket Counts'!$F:$F, "&lt;&gt;100 Morts",  'Bucket Counts'!$F:$F, "&lt;&gt;224"))</f>
        <v>0</v>
      </c>
      <c r="CY6" s="116">
        <f>(SUMIFS('Bucket Counts'!$P:$P, 'Bucket Counts'!$B:$B, CY$2, 'Bucket Counts'!$A:$A, "="&amp;$A6,  'Bucket Counts'!$F:$F, "100 Morts"))</f>
        <v>0</v>
      </c>
      <c r="CZ6" s="116">
        <f>(SUMIFS('Bucket Counts'!$P:$P, 'Bucket Counts'!$B:$B, CZ$2, 'Bucket Counts'!$A:$A, "="&amp;$A6,  'Bucket Counts'!$F:$F, "224"))</f>
        <v>0</v>
      </c>
      <c r="DA6" s="116" t="s">
        <v>453</v>
      </c>
      <c r="DB6" s="427" t="s">
        <v>453</v>
      </c>
      <c r="DC6" s="370">
        <f>SUM(CW5:CW6)</f>
        <v>91708.333333333343</v>
      </c>
      <c r="DD6" s="369">
        <f>SUMIFS(Collection!$O:$O, Collection!$K:$K, DD$2, Collection!$A:$A, "="&amp;$A6)</f>
        <v>0</v>
      </c>
      <c r="DE6" s="116">
        <f>(SUMIFS('Bucket Counts'!$P:$P, 'Bucket Counts'!$B:$B, DE$2, 'Bucket Counts'!$A:$A, "="&amp;$A6,  'Bucket Counts'!$F:$F, "&lt;&gt;100 Morts",  'Bucket Counts'!$F:$F, "&lt;&gt;224"))</f>
        <v>0</v>
      </c>
      <c r="DF6" s="116">
        <f>(SUMIFS('Bucket Counts'!$P:$P, 'Bucket Counts'!$B:$B, DF$2, 'Bucket Counts'!$A:$A, "="&amp;$A6,  'Bucket Counts'!$F:$F, "100 Morts"))</f>
        <v>0</v>
      </c>
      <c r="DG6" s="116">
        <f>(SUMIFS('Bucket Counts'!$P:$P, 'Bucket Counts'!$B:$B, DG$2, 'Bucket Counts'!$A:$A, "="&amp;$A6,  'Bucket Counts'!$F:$F, "224"))</f>
        <v>0</v>
      </c>
      <c r="DH6" s="116" t="s">
        <v>453</v>
      </c>
      <c r="DI6" s="427" t="s">
        <v>453</v>
      </c>
      <c r="DJ6" s="370">
        <f>SUM(DD5:DD6)</f>
        <v>0</v>
      </c>
      <c r="DK6" s="369">
        <f>SUMIFS(Collection!$O:$O, Collection!$K:$K, DK$2, Collection!$A:$A, "="&amp;$A6)</f>
        <v>11866.666666666668</v>
      </c>
      <c r="DL6" s="116">
        <f>(SUMIFS('Bucket Counts'!$P:$P, 'Bucket Counts'!$B:$B, DL$2, 'Bucket Counts'!$A:$A, "="&amp;$A6,  'Bucket Counts'!$F:$F, "&lt;&gt;100 Morts",  'Bucket Counts'!$F:$F, "&lt;&gt;224"))</f>
        <v>0</v>
      </c>
      <c r="DM6" s="116">
        <f>(SUMIFS('Bucket Counts'!$P:$P, 'Bucket Counts'!$B:$B, DM$2, 'Bucket Counts'!$A:$A, "="&amp;$A6,  'Bucket Counts'!$F:$F, "100 Morts"))</f>
        <v>0</v>
      </c>
      <c r="DN6" s="116">
        <f>(SUMIFS('Bucket Counts'!$P:$P, 'Bucket Counts'!$B:$B, DN$2, 'Bucket Counts'!$A:$A, "="&amp;$A6,  'Bucket Counts'!$F:$F, "224"))</f>
        <v>0</v>
      </c>
      <c r="DO6" s="116" t="s">
        <v>453</v>
      </c>
      <c r="DP6" s="427" t="s">
        <v>453</v>
      </c>
      <c r="DQ6" s="370">
        <f>SUM(DK5:DK6)</f>
        <v>11866.666666666668</v>
      </c>
      <c r="DR6" s="369">
        <f>SUMIFS(Collection!$O:$O, Collection!$K:$K, DR$2, Collection!$A:$A, "="&amp;$A6)</f>
        <v>0</v>
      </c>
      <c r="DS6" s="116">
        <f>(SUMIFS('Bucket Counts'!$P:$P, 'Bucket Counts'!$B:$B, DS$2, 'Bucket Counts'!$A:$A, "="&amp;$A6,  'Bucket Counts'!$F:$F, "&lt;&gt;100 Morts",  'Bucket Counts'!$F:$F, "&lt;&gt;224"))</f>
        <v>0</v>
      </c>
      <c r="DT6" s="116">
        <f>(SUMIFS('Bucket Counts'!$P:$P, 'Bucket Counts'!$B:$B, DT$2, 'Bucket Counts'!$A:$A, "="&amp;$A6,  'Bucket Counts'!$F:$F, "100 Morts"))</f>
        <v>0</v>
      </c>
      <c r="DU6" s="116">
        <f>(SUMIFS('Bucket Counts'!$P:$P, 'Bucket Counts'!$B:$B, DU$2, 'Bucket Counts'!$A:$A, "="&amp;$A6,  'Bucket Counts'!$F:$F, "224"))</f>
        <v>0</v>
      </c>
      <c r="DV6" s="116" t="s">
        <v>453</v>
      </c>
      <c r="DW6" s="427" t="s">
        <v>453</v>
      </c>
      <c r="DX6" s="370">
        <f>SUM(DR5:DR6)</f>
        <v>0</v>
      </c>
      <c r="DY6" s="369">
        <f>SUMIFS(Collection!$O:$O, Collection!$K:$K, DY$2, Collection!$A:$A, "="&amp;$A6)</f>
        <v>0</v>
      </c>
      <c r="DZ6" s="116">
        <f>(SUMIFS('Bucket Counts'!$P:$P, 'Bucket Counts'!$B:$B, DZ$2, 'Bucket Counts'!$A:$A, "="&amp;$A6,  'Bucket Counts'!$F:$F, "&lt;&gt;100 Morts",  'Bucket Counts'!$F:$F, "&lt;&gt;224"))</f>
        <v>0</v>
      </c>
      <c r="EA6" s="116">
        <f>(SUMIFS('Bucket Counts'!$P:$P, 'Bucket Counts'!$B:$B, EA$2, 'Bucket Counts'!$A:$A, "="&amp;$A6,  'Bucket Counts'!$F:$F, "100 Morts"))</f>
        <v>0</v>
      </c>
      <c r="EB6" s="116">
        <f>(SUMIFS('Bucket Counts'!$P:$P, 'Bucket Counts'!$B:$B, EB$2, 'Bucket Counts'!$A:$A, "="&amp;$A6,  'Bucket Counts'!$F:$F, "224"))</f>
        <v>0</v>
      </c>
      <c r="EC6" s="116" t="s">
        <v>453</v>
      </c>
      <c r="ED6" s="427" t="s">
        <v>453</v>
      </c>
      <c r="EE6" s="370">
        <f>SUM(DY5:DY6)</f>
        <v>0</v>
      </c>
      <c r="EF6" s="369">
        <f>SUMIFS(Collection!$O:$O, Collection!$K:$K, EF$2, Collection!$A:$A, "="&amp;$A6)</f>
        <v>0</v>
      </c>
      <c r="EG6" s="116">
        <f>(SUMIFS('Bucket Counts'!$P:$P, 'Bucket Counts'!$B:$B, EG$2, 'Bucket Counts'!$A:$A, "="&amp;$A6,  'Bucket Counts'!$F:$F, "&lt;&gt;100 Morts",  'Bucket Counts'!$F:$F, "&lt;&gt;224"))</f>
        <v>0</v>
      </c>
      <c r="EH6" s="116">
        <f>(SUMIFS('Bucket Counts'!$P:$P, 'Bucket Counts'!$B:$B, EH$2, 'Bucket Counts'!$A:$A, "="&amp;$A6,  'Bucket Counts'!$F:$F, "100 Morts"))</f>
        <v>0</v>
      </c>
      <c r="EI6" s="116">
        <f>(SUMIFS('Bucket Counts'!$P:$P, 'Bucket Counts'!$B:$B, EI$2, 'Bucket Counts'!$A:$A, "="&amp;$A6,  'Bucket Counts'!$F:$F, "224"))</f>
        <v>0</v>
      </c>
      <c r="EJ6" s="116" t="s">
        <v>453</v>
      </c>
      <c r="EK6" s="427" t="s">
        <v>453</v>
      </c>
      <c r="EL6" s="370">
        <f>SUM(EF5:EF6)</f>
        <v>0</v>
      </c>
    </row>
    <row r="7" spans="1:142" s="362" customFormat="1" x14ac:dyDescent="0.2">
      <c r="A7" s="16">
        <v>42876</v>
      </c>
      <c r="B7" s="16" t="s">
        <v>487</v>
      </c>
      <c r="C7" s="369">
        <f>SUMIFS(Collection!$O:$O, Collection!$K:$K, C$2, Collection!$A:$A, "="&amp;$A7)</f>
        <v>0</v>
      </c>
      <c r="D7" s="116">
        <f>(SUMIFS('Bucket Counts'!$P:$P, 'Bucket Counts'!$B:$B, D$2, 'Bucket Counts'!$A:$A, "="&amp;$A7,  'Bucket Counts'!$F:$F, "&lt;&gt;100 Morts",  'Bucket Counts'!$F:$F, "&lt;&gt;224"))</f>
        <v>0</v>
      </c>
      <c r="E7" s="116">
        <f>(SUMIFS('Bucket Counts'!$P:$P, 'Bucket Counts'!$B:$B, E$2, 'Bucket Counts'!$A:$A, "="&amp;$A7,  'Bucket Counts'!$F:$F, "100 Morts"))</f>
        <v>0</v>
      </c>
      <c r="F7" s="116">
        <f>(SUMIFS('Bucket Counts'!$P:$P, 'Bucket Counts'!$B:$B, F$2, 'Bucket Counts'!$A:$A, "="&amp;$A7,  'Bucket Counts'!$F:$F, "224"))</f>
        <v>0</v>
      </c>
      <c r="G7" s="116" t="s">
        <v>453</v>
      </c>
      <c r="H7" s="427" t="s">
        <v>453</v>
      </c>
      <c r="I7" s="370">
        <f>SUM(C5:C7)</f>
        <v>0</v>
      </c>
      <c r="J7" s="369">
        <f>SUMIFS(Collection!$O:$O, Collection!$K:$K, J$2, Collection!$A:$A, "="&amp;$A7)</f>
        <v>55300</v>
      </c>
      <c r="K7" s="116">
        <f>(SUMIFS('Bucket Counts'!$P:$P, 'Bucket Counts'!$B:$B, K$2, 'Bucket Counts'!$A:$A, "="&amp;$A7,  'Bucket Counts'!$F:$F, "&lt;&gt;100 Morts",  'Bucket Counts'!$F:$F, "&lt;&gt;224"))</f>
        <v>0</v>
      </c>
      <c r="L7" s="116">
        <f>(SUMIFS('Bucket Counts'!$P:$P, 'Bucket Counts'!$B:$B, L$2, 'Bucket Counts'!$A:$A, "="&amp;$A7,  'Bucket Counts'!$F:$F, "100 Morts"))</f>
        <v>0</v>
      </c>
      <c r="M7" s="116">
        <f>(SUMIFS('Bucket Counts'!$P:$P, 'Bucket Counts'!$B:$B, M$2, 'Bucket Counts'!$A:$A, "="&amp;$A7,  'Bucket Counts'!$F:$F, "224"))</f>
        <v>0</v>
      </c>
      <c r="N7" s="116" t="s">
        <v>453</v>
      </c>
      <c r="O7" s="427" t="s">
        <v>453</v>
      </c>
      <c r="P7" s="370">
        <f>SUM(J5:J7)</f>
        <v>55300</v>
      </c>
      <c r="Q7" s="369">
        <f>SUMIFS(Collection!$O:$O, Collection!$K:$K, Q$2, Collection!$A:$A, "="&amp;$A7)</f>
        <v>0</v>
      </c>
      <c r="R7" s="116">
        <f>(SUMIFS('Bucket Counts'!$P:$P, 'Bucket Counts'!$B:$B, R$2, 'Bucket Counts'!$A:$A, "="&amp;$A7,  'Bucket Counts'!$F:$F, "&lt;&gt;100 Morts",  'Bucket Counts'!$F:$F, "&lt;&gt;224"))</f>
        <v>0</v>
      </c>
      <c r="S7" s="116">
        <f>(SUMIFS('Bucket Counts'!$P:$P, 'Bucket Counts'!$B:$B, S$2, 'Bucket Counts'!$A:$A, "="&amp;$A7,  'Bucket Counts'!$F:$F, "100 Morts"))</f>
        <v>0</v>
      </c>
      <c r="T7" s="116">
        <f>(SUMIFS('Bucket Counts'!$P:$P, 'Bucket Counts'!$B:$B, T$2, 'Bucket Counts'!$A:$A, "="&amp;$A7,  'Bucket Counts'!$F:$F, "224"))</f>
        <v>0</v>
      </c>
      <c r="U7" s="116" t="s">
        <v>453</v>
      </c>
      <c r="V7" s="427" t="s">
        <v>453</v>
      </c>
      <c r="W7" s="370">
        <f>SUM(Q5:Q7)</f>
        <v>350</v>
      </c>
      <c r="X7" s="369">
        <f>SUMIFS(Collection!$O:$O, Collection!$K:$K, X$2, Collection!$A:$A, "="&amp;$A7)</f>
        <v>0</v>
      </c>
      <c r="Y7" s="116">
        <f>(SUMIFS('Bucket Counts'!$P:$P, 'Bucket Counts'!$B:$B, Y$2, 'Bucket Counts'!$A:$A, "="&amp;$A7,  'Bucket Counts'!$F:$F, "&lt;&gt;100 Morts",  'Bucket Counts'!$F:$F, "&lt;&gt;224"))</f>
        <v>0</v>
      </c>
      <c r="Z7" s="116">
        <f>(SUMIFS('Bucket Counts'!$P:$P, 'Bucket Counts'!$B:$B, Z$2, 'Bucket Counts'!$A:$A, "="&amp;$A7,  'Bucket Counts'!$F:$F, "100 Morts"))</f>
        <v>0</v>
      </c>
      <c r="AA7" s="116">
        <f>(SUMIFS('Bucket Counts'!$P:$P, 'Bucket Counts'!$B:$B, AA$2, 'Bucket Counts'!$A:$A, "="&amp;$A7,  'Bucket Counts'!$F:$F, "224"))</f>
        <v>0</v>
      </c>
      <c r="AB7" s="116" t="s">
        <v>453</v>
      </c>
      <c r="AC7" s="427" t="s">
        <v>453</v>
      </c>
      <c r="AD7" s="370">
        <f>SUM(X5:X7)</f>
        <v>0</v>
      </c>
      <c r="AE7" s="369">
        <f>SUMIFS(Collection!$O:$O, Collection!$K:$K, AE$2, Collection!$A:$A, "="&amp;$A7)</f>
        <v>0</v>
      </c>
      <c r="AF7" s="116">
        <f>(SUMIFS('Bucket Counts'!$P:$P, 'Bucket Counts'!$B:$B, AF$2, 'Bucket Counts'!$A:$A, "="&amp;$A7,  'Bucket Counts'!$F:$F, "&lt;&gt;100 Morts",  'Bucket Counts'!$F:$F, "&lt;&gt;224"))</f>
        <v>0</v>
      </c>
      <c r="AG7" s="116">
        <f>(SUMIFS('Bucket Counts'!$P:$P, 'Bucket Counts'!$B:$B, AG$2, 'Bucket Counts'!$A:$A, "="&amp;$A7,  'Bucket Counts'!$F:$F, "100 Morts"))</f>
        <v>0</v>
      </c>
      <c r="AH7" s="116">
        <f>(SUMIFS('Bucket Counts'!$P:$P, 'Bucket Counts'!$B:$B, AH$2, 'Bucket Counts'!$A:$A, "="&amp;$A7,  'Bucket Counts'!$F:$F, "224"))</f>
        <v>0</v>
      </c>
      <c r="AI7" s="116" t="s">
        <v>453</v>
      </c>
      <c r="AJ7" s="427" t="s">
        <v>453</v>
      </c>
      <c r="AK7" s="370">
        <f>SUM(AE5:AE7)</f>
        <v>205600</v>
      </c>
      <c r="AL7" s="369">
        <f>SUMIFS(Collection!$O:$O, Collection!$K:$K, AL$2, Collection!$A:$A, "="&amp;$A7)</f>
        <v>53833.333333333336</v>
      </c>
      <c r="AM7" s="116">
        <f>(SUMIFS('Bucket Counts'!$P:$P, 'Bucket Counts'!$B:$B, AM$2, 'Bucket Counts'!$A:$A, "="&amp;$A7,  'Bucket Counts'!$F:$F, "&lt;&gt;100 Morts",  'Bucket Counts'!$F:$F, "&lt;&gt;224"))</f>
        <v>0</v>
      </c>
      <c r="AN7" s="116">
        <f>(SUMIFS('Bucket Counts'!$P:$P, 'Bucket Counts'!$B:$B, AN$2, 'Bucket Counts'!$A:$A, "="&amp;$A7,  'Bucket Counts'!$F:$F, "100 Morts"))</f>
        <v>0</v>
      </c>
      <c r="AO7" s="116">
        <f>(SUMIFS('Bucket Counts'!$P:$P, 'Bucket Counts'!$B:$B, AO$2, 'Bucket Counts'!$A:$A, "="&amp;$A7,  'Bucket Counts'!$F:$F, "224"))</f>
        <v>0</v>
      </c>
      <c r="AP7" s="116" t="s">
        <v>453</v>
      </c>
      <c r="AQ7" s="427" t="s">
        <v>453</v>
      </c>
      <c r="AR7" s="370">
        <f>SUM(AL5:AL7)</f>
        <v>241166.66666666669</v>
      </c>
      <c r="AS7" s="369">
        <f>SUMIFS(Collection!$O:$O, Collection!$K:$K, AS$2, Collection!$A:$A, "="&amp;$A7)</f>
        <v>8166.6666666666661</v>
      </c>
      <c r="AT7" s="116">
        <f>(SUMIFS('Bucket Counts'!$P:$P, 'Bucket Counts'!$B:$B, AT$2, 'Bucket Counts'!$A:$A, "="&amp;$A7,  'Bucket Counts'!$F:$F, "&lt;&gt;100 Morts",  'Bucket Counts'!$F:$F, "&lt;&gt;224"))</f>
        <v>0</v>
      </c>
      <c r="AU7" s="116">
        <f>(SUMIFS('Bucket Counts'!$P:$P, 'Bucket Counts'!$B:$B, AU$2, 'Bucket Counts'!$A:$A, "="&amp;$A7,  'Bucket Counts'!$F:$F, "100 Morts"))</f>
        <v>0</v>
      </c>
      <c r="AV7" s="116">
        <f>(SUMIFS('Bucket Counts'!$P:$P, 'Bucket Counts'!$B:$B, AV$2, 'Bucket Counts'!$A:$A, "="&amp;$A7,  'Bucket Counts'!$F:$F, "224"))</f>
        <v>0</v>
      </c>
      <c r="AW7" s="116" t="s">
        <v>453</v>
      </c>
      <c r="AX7" s="427" t="s">
        <v>453</v>
      </c>
      <c r="AY7" s="370">
        <f>SUM(AS5:AS7)</f>
        <v>8166.6666666666661</v>
      </c>
      <c r="AZ7" s="369">
        <f>SUMIFS(Collection!$O:$O, Collection!$K:$K, AZ$2, Collection!$A:$A, "="&amp;$A7)</f>
        <v>99433.333333333343</v>
      </c>
      <c r="BA7" s="116">
        <f>(SUMIFS('Bucket Counts'!$P:$P, 'Bucket Counts'!$B:$B, BA$2, 'Bucket Counts'!$A:$A, "="&amp;$A7,  'Bucket Counts'!$F:$F, "&lt;&gt;100 Morts",  'Bucket Counts'!$F:$F, "&lt;&gt;224"))</f>
        <v>0</v>
      </c>
      <c r="BB7" s="116">
        <f>(SUMIFS('Bucket Counts'!$P:$P, 'Bucket Counts'!$B:$B, BB$2, 'Bucket Counts'!$A:$A, "="&amp;$A7,  'Bucket Counts'!$F:$F, "100 Morts"))</f>
        <v>0</v>
      </c>
      <c r="BC7" s="116">
        <f>(SUMIFS('Bucket Counts'!$P:$P, 'Bucket Counts'!$B:$B, BC$2, 'Bucket Counts'!$A:$A, "="&amp;$A7,  'Bucket Counts'!$F:$F, "224"))</f>
        <v>0</v>
      </c>
      <c r="BD7" s="116" t="s">
        <v>453</v>
      </c>
      <c r="BE7" s="427" t="s">
        <v>453</v>
      </c>
      <c r="BF7" s="370">
        <f>SUM(AZ5:AZ7)</f>
        <v>99433.333333333343</v>
      </c>
      <c r="BG7" s="369">
        <f>SUMIFS(Collection!$O:$O, Collection!$K:$K, BG$2, Collection!$A:$A, "="&amp;$A7)</f>
        <v>0</v>
      </c>
      <c r="BH7" s="116">
        <f>(SUMIFS('Bucket Counts'!$P:$P, 'Bucket Counts'!$B:$B, BH$2, 'Bucket Counts'!$A:$A, "="&amp;$A7,  'Bucket Counts'!$F:$F, "&lt;&gt;100 Morts",  'Bucket Counts'!$F:$F, "&lt;&gt;224"))</f>
        <v>0</v>
      </c>
      <c r="BI7" s="116">
        <f>(SUMIFS('Bucket Counts'!$P:$P, 'Bucket Counts'!$B:$B, BI$2, 'Bucket Counts'!$A:$A, "="&amp;$A7,  'Bucket Counts'!$F:$F, "100 Morts"))</f>
        <v>0</v>
      </c>
      <c r="BJ7" s="116">
        <f>(SUMIFS('Bucket Counts'!$P:$P, 'Bucket Counts'!$B:$B, BJ$2, 'Bucket Counts'!$A:$A, "="&amp;$A7,  'Bucket Counts'!$F:$F, "224"))</f>
        <v>0</v>
      </c>
      <c r="BK7" s="116" t="s">
        <v>453</v>
      </c>
      <c r="BL7" s="427" t="s">
        <v>453</v>
      </c>
      <c r="BM7" s="370">
        <f>SUM(BG5:BG7)</f>
        <v>0</v>
      </c>
      <c r="BN7" s="369">
        <f>SUMIFS(Collection!$O:$O, Collection!$K:$K, BN$2, Collection!$A:$A, "="&amp;$A7)</f>
        <v>0</v>
      </c>
      <c r="BO7" s="116">
        <f>(SUMIFS('Bucket Counts'!$P:$P, 'Bucket Counts'!$B:$B, BO$2, 'Bucket Counts'!$A:$A, "="&amp;$A7,  'Bucket Counts'!$F:$F, "&lt;&gt;100 Morts",  'Bucket Counts'!$F:$F, "&lt;&gt;224"))</f>
        <v>0</v>
      </c>
      <c r="BP7" s="116">
        <f>(SUMIFS('Bucket Counts'!$P:$P, 'Bucket Counts'!$B:$B, BP$2, 'Bucket Counts'!$A:$A, "="&amp;$A7,  'Bucket Counts'!$F:$F, "100 Morts"))</f>
        <v>0</v>
      </c>
      <c r="BQ7" s="116">
        <f>(SUMIFS('Bucket Counts'!$P:$P, 'Bucket Counts'!$B:$B, BQ$2, 'Bucket Counts'!$A:$A, "="&amp;$A7,  'Bucket Counts'!$F:$F, "224"))</f>
        <v>0</v>
      </c>
      <c r="BR7" s="116" t="s">
        <v>453</v>
      </c>
      <c r="BS7" s="427" t="s">
        <v>453</v>
      </c>
      <c r="BT7" s="370">
        <f>SUM(BN5:BN7)</f>
        <v>0</v>
      </c>
      <c r="BU7" s="369">
        <f>SUMIFS(Collection!$O:$O, Collection!$K:$K, BU$2, Collection!$A:$A, "="&amp;$A7)</f>
        <v>0</v>
      </c>
      <c r="BV7" s="116">
        <f>(SUMIFS('Bucket Counts'!$P:$P, 'Bucket Counts'!$B:$B, BV$2, 'Bucket Counts'!$A:$A, "="&amp;$A7,  'Bucket Counts'!$F:$F, "&lt;&gt;100 Morts",  'Bucket Counts'!$F:$F, "&lt;&gt;224"))</f>
        <v>0</v>
      </c>
      <c r="BW7" s="116">
        <f>(SUMIFS('Bucket Counts'!$P:$P, 'Bucket Counts'!$B:$B, BW$2, 'Bucket Counts'!$A:$A, "="&amp;$A7,  'Bucket Counts'!$F:$F, "100 Morts"))</f>
        <v>0</v>
      </c>
      <c r="BX7" s="116">
        <f>(SUMIFS('Bucket Counts'!$P:$P, 'Bucket Counts'!$B:$B, BX$2, 'Bucket Counts'!$A:$A, "="&amp;$A7,  'Bucket Counts'!$F:$F, "224"))</f>
        <v>0</v>
      </c>
      <c r="BY7" s="116" t="s">
        <v>453</v>
      </c>
      <c r="BZ7" s="427" t="s">
        <v>453</v>
      </c>
      <c r="CA7" s="370">
        <f>SUM(BU5:BU7)</f>
        <v>0</v>
      </c>
      <c r="CB7" s="369">
        <f>SUMIFS(Collection!$O:$O, Collection!$K:$K, CB$2, Collection!$A:$A, "="&amp;$A7)</f>
        <v>0</v>
      </c>
      <c r="CC7" s="116">
        <f>(SUMIFS('Bucket Counts'!$P:$P, 'Bucket Counts'!$B:$B, CC$2, 'Bucket Counts'!$A:$A, "="&amp;$A7,  'Bucket Counts'!$F:$F, "&lt;&gt;100 Morts",  'Bucket Counts'!$F:$F, "&lt;&gt;224"))</f>
        <v>0</v>
      </c>
      <c r="CD7" s="116">
        <f>(SUMIFS('Bucket Counts'!$P:$P, 'Bucket Counts'!$B:$B, CD$2, 'Bucket Counts'!$A:$A, "="&amp;$A7,  'Bucket Counts'!$F:$F, "100 Morts"))</f>
        <v>0</v>
      </c>
      <c r="CE7" s="116">
        <f>(SUMIFS('Bucket Counts'!$P:$P, 'Bucket Counts'!$B:$B, CE$2, 'Bucket Counts'!$A:$A, "="&amp;$A7,  'Bucket Counts'!$F:$F, "224"))</f>
        <v>0</v>
      </c>
      <c r="CF7" s="116" t="s">
        <v>453</v>
      </c>
      <c r="CG7" s="427" t="s">
        <v>453</v>
      </c>
      <c r="CH7" s="370">
        <f>SUM(CB5:CB7)</f>
        <v>0</v>
      </c>
      <c r="CI7" s="369">
        <f>SUMIFS(Collection!$O:$O, Collection!$K:$K, CI$2, Collection!$A:$A, "="&amp;$A7)</f>
        <v>13250</v>
      </c>
      <c r="CJ7" s="116">
        <f>(SUMIFS('Bucket Counts'!$P:$P, 'Bucket Counts'!$B:$B, CJ$2, 'Bucket Counts'!$A:$A, "="&amp;$A7,  'Bucket Counts'!$F:$F, "&lt;&gt;100 Morts",  'Bucket Counts'!$F:$F, "&lt;&gt;224"))</f>
        <v>0</v>
      </c>
      <c r="CK7" s="116">
        <f>(SUMIFS('Bucket Counts'!$P:$P, 'Bucket Counts'!$B:$B, CK$2, 'Bucket Counts'!$A:$A, "="&amp;$A7,  'Bucket Counts'!$F:$F, "100 Morts"))</f>
        <v>0</v>
      </c>
      <c r="CL7" s="116">
        <f>(SUMIFS('Bucket Counts'!$P:$P, 'Bucket Counts'!$B:$B, CL$2, 'Bucket Counts'!$A:$A, "="&amp;$A7,  'Bucket Counts'!$F:$F, "224"))</f>
        <v>0</v>
      </c>
      <c r="CM7" s="116" t="s">
        <v>453</v>
      </c>
      <c r="CN7" s="427" t="s">
        <v>453</v>
      </c>
      <c r="CO7" s="370">
        <f>SUM(CI5:CI7)</f>
        <v>121250</v>
      </c>
      <c r="CP7" s="369">
        <f>SUMIFS(Collection!$O:$O, Collection!$K:$K, CP$2, Collection!$A:$A, "="&amp;$A7)</f>
        <v>0</v>
      </c>
      <c r="CQ7" s="116">
        <f>(SUMIFS('Bucket Counts'!$P:$P, 'Bucket Counts'!$B:$B, CQ$2, 'Bucket Counts'!$A:$A, "="&amp;$A7,  'Bucket Counts'!$F:$F, "&lt;&gt;100 Morts",  'Bucket Counts'!$F:$F, "&lt;&gt;224"))</f>
        <v>0</v>
      </c>
      <c r="CR7" s="116">
        <f>(SUMIFS('Bucket Counts'!$P:$P, 'Bucket Counts'!$B:$B, CR$2, 'Bucket Counts'!$A:$A, "="&amp;$A7,  'Bucket Counts'!$F:$F, "100 Morts"))</f>
        <v>0</v>
      </c>
      <c r="CS7" s="116">
        <f>(SUMIFS('Bucket Counts'!$P:$P, 'Bucket Counts'!$B:$B, CS$2, 'Bucket Counts'!$A:$A, "="&amp;$A7,  'Bucket Counts'!$F:$F, "224"))</f>
        <v>0</v>
      </c>
      <c r="CT7" s="116" t="s">
        <v>453</v>
      </c>
      <c r="CU7" s="427" t="s">
        <v>453</v>
      </c>
      <c r="CV7" s="370">
        <f>SUM(CP5:CP7)</f>
        <v>11916.666666666666</v>
      </c>
      <c r="CW7" s="369">
        <f>SUMIFS(Collection!$O:$O, Collection!$K:$K, CW$2, Collection!$A:$A, "="&amp;$A7)</f>
        <v>0</v>
      </c>
      <c r="CX7" s="116">
        <f>(SUMIFS('Bucket Counts'!$P:$P, 'Bucket Counts'!$B:$B, CX$2, 'Bucket Counts'!$A:$A, "="&amp;$A7,  'Bucket Counts'!$F:$F, "&lt;&gt;100 Morts",  'Bucket Counts'!$F:$F, "&lt;&gt;224"))</f>
        <v>0</v>
      </c>
      <c r="CY7" s="116">
        <f>(SUMIFS('Bucket Counts'!$P:$P, 'Bucket Counts'!$B:$B, CY$2, 'Bucket Counts'!$A:$A, "="&amp;$A7,  'Bucket Counts'!$F:$F, "100 Morts"))</f>
        <v>0</v>
      </c>
      <c r="CZ7" s="116">
        <f>(SUMIFS('Bucket Counts'!$P:$P, 'Bucket Counts'!$B:$B, CZ$2, 'Bucket Counts'!$A:$A, "="&amp;$A7,  'Bucket Counts'!$F:$F, "224"))</f>
        <v>0</v>
      </c>
      <c r="DA7" s="116" t="s">
        <v>453</v>
      </c>
      <c r="DB7" s="427" t="s">
        <v>453</v>
      </c>
      <c r="DC7" s="370">
        <f>SUM(CW5:CW7)</f>
        <v>91708.333333333343</v>
      </c>
      <c r="DD7" s="369">
        <f>SUMIFS(Collection!$O:$O, Collection!$K:$K, DD$2, Collection!$A:$A, "="&amp;$A7)</f>
        <v>53900</v>
      </c>
      <c r="DE7" s="116">
        <f>(SUMIFS('Bucket Counts'!$P:$P, 'Bucket Counts'!$B:$B, DE$2, 'Bucket Counts'!$A:$A, "="&amp;$A7,  'Bucket Counts'!$F:$F, "&lt;&gt;100 Morts",  'Bucket Counts'!$F:$F, "&lt;&gt;224"))</f>
        <v>0</v>
      </c>
      <c r="DF7" s="116">
        <f>(SUMIFS('Bucket Counts'!$P:$P, 'Bucket Counts'!$B:$B, DF$2, 'Bucket Counts'!$A:$A, "="&amp;$A7,  'Bucket Counts'!$F:$F, "100 Morts"))</f>
        <v>0</v>
      </c>
      <c r="DG7" s="116">
        <f>(SUMIFS('Bucket Counts'!$P:$P, 'Bucket Counts'!$B:$B, DG$2, 'Bucket Counts'!$A:$A, "="&amp;$A7,  'Bucket Counts'!$F:$F, "224"))</f>
        <v>0</v>
      </c>
      <c r="DH7" s="116" t="s">
        <v>453</v>
      </c>
      <c r="DI7" s="427" t="s">
        <v>453</v>
      </c>
      <c r="DJ7" s="370">
        <f>SUM(DD5:DD7)</f>
        <v>53900</v>
      </c>
      <c r="DK7" s="369">
        <f>SUMIFS(Collection!$O:$O, Collection!$K:$K, DK$2, Collection!$A:$A, "="&amp;$A7)</f>
        <v>0</v>
      </c>
      <c r="DL7" s="116">
        <f>(SUMIFS('Bucket Counts'!$P:$P, 'Bucket Counts'!$B:$B, DL$2, 'Bucket Counts'!$A:$A, "="&amp;$A7,  'Bucket Counts'!$F:$F, "&lt;&gt;100 Morts",  'Bucket Counts'!$F:$F, "&lt;&gt;224"))</f>
        <v>0</v>
      </c>
      <c r="DM7" s="116">
        <f>(SUMIFS('Bucket Counts'!$P:$P, 'Bucket Counts'!$B:$B, DM$2, 'Bucket Counts'!$A:$A, "="&amp;$A7,  'Bucket Counts'!$F:$F, "100 Morts"))</f>
        <v>0</v>
      </c>
      <c r="DN7" s="116">
        <f>(SUMIFS('Bucket Counts'!$P:$P, 'Bucket Counts'!$B:$B, DN$2, 'Bucket Counts'!$A:$A, "="&amp;$A7,  'Bucket Counts'!$F:$F, "224"))</f>
        <v>0</v>
      </c>
      <c r="DO7" s="116" t="s">
        <v>453</v>
      </c>
      <c r="DP7" s="427" t="s">
        <v>453</v>
      </c>
      <c r="DQ7" s="370">
        <f>SUM(DK5:DK7)</f>
        <v>11866.666666666668</v>
      </c>
      <c r="DR7" s="369">
        <f>SUMIFS(Collection!$O:$O, Collection!$K:$K, DR$2, Collection!$A:$A, "="&amp;$A7)</f>
        <v>0</v>
      </c>
      <c r="DS7" s="116">
        <f>(SUMIFS('Bucket Counts'!$P:$P, 'Bucket Counts'!$B:$B, DS$2, 'Bucket Counts'!$A:$A, "="&amp;$A7,  'Bucket Counts'!$F:$F, "&lt;&gt;100 Morts",  'Bucket Counts'!$F:$F, "&lt;&gt;224"))</f>
        <v>0</v>
      </c>
      <c r="DT7" s="116">
        <f>(SUMIFS('Bucket Counts'!$P:$P, 'Bucket Counts'!$B:$B, DT$2, 'Bucket Counts'!$A:$A, "="&amp;$A7,  'Bucket Counts'!$F:$F, "100 Morts"))</f>
        <v>0</v>
      </c>
      <c r="DU7" s="116">
        <f>(SUMIFS('Bucket Counts'!$P:$P, 'Bucket Counts'!$B:$B, DU$2, 'Bucket Counts'!$A:$A, "="&amp;$A7,  'Bucket Counts'!$F:$F, "224"))</f>
        <v>0</v>
      </c>
      <c r="DV7" s="116" t="s">
        <v>453</v>
      </c>
      <c r="DW7" s="427" t="s">
        <v>453</v>
      </c>
      <c r="DX7" s="370">
        <f>SUM(DR5:DR7)</f>
        <v>0</v>
      </c>
      <c r="DY7" s="369">
        <f>SUMIFS(Collection!$O:$O, Collection!$K:$K, DY$2, Collection!$A:$A, "="&amp;$A7)</f>
        <v>144733.33333333334</v>
      </c>
      <c r="DZ7" s="116">
        <f>(SUMIFS('Bucket Counts'!$P:$P, 'Bucket Counts'!$B:$B, DZ$2, 'Bucket Counts'!$A:$A, "="&amp;$A7,  'Bucket Counts'!$F:$F, "&lt;&gt;100 Morts",  'Bucket Counts'!$F:$F, "&lt;&gt;224"))</f>
        <v>0</v>
      </c>
      <c r="EA7" s="116">
        <f>(SUMIFS('Bucket Counts'!$P:$P, 'Bucket Counts'!$B:$B, EA$2, 'Bucket Counts'!$A:$A, "="&amp;$A7,  'Bucket Counts'!$F:$F, "100 Morts"))</f>
        <v>0</v>
      </c>
      <c r="EB7" s="116">
        <f>(SUMIFS('Bucket Counts'!$P:$P, 'Bucket Counts'!$B:$B, EB$2, 'Bucket Counts'!$A:$A, "="&amp;$A7,  'Bucket Counts'!$F:$F, "224"))</f>
        <v>0</v>
      </c>
      <c r="EC7" s="116" t="s">
        <v>453</v>
      </c>
      <c r="ED7" s="427" t="s">
        <v>453</v>
      </c>
      <c r="EE7" s="370">
        <f>SUM(DY5:DY7)</f>
        <v>144733.33333333334</v>
      </c>
      <c r="EF7" s="369">
        <f>SUMIFS(Collection!$O:$O, Collection!$K:$K, EF$2, Collection!$A:$A, "="&amp;$A7)</f>
        <v>0</v>
      </c>
      <c r="EG7" s="116">
        <f>(SUMIFS('Bucket Counts'!$P:$P, 'Bucket Counts'!$B:$B, EG$2, 'Bucket Counts'!$A:$A, "="&amp;$A7,  'Bucket Counts'!$F:$F, "&lt;&gt;100 Morts",  'Bucket Counts'!$F:$F, "&lt;&gt;224"))</f>
        <v>0</v>
      </c>
      <c r="EH7" s="116">
        <f>(SUMIFS('Bucket Counts'!$P:$P, 'Bucket Counts'!$B:$B, EH$2, 'Bucket Counts'!$A:$A, "="&amp;$A7,  'Bucket Counts'!$F:$F, "100 Morts"))</f>
        <v>0</v>
      </c>
      <c r="EI7" s="116">
        <f>(SUMIFS('Bucket Counts'!$P:$P, 'Bucket Counts'!$B:$B, EI$2, 'Bucket Counts'!$A:$A, "="&amp;$A7,  'Bucket Counts'!$F:$F, "224"))</f>
        <v>0</v>
      </c>
      <c r="EJ7" s="116" t="s">
        <v>453</v>
      </c>
      <c r="EK7" s="427" t="s">
        <v>453</v>
      </c>
      <c r="EL7" s="370">
        <f>SUM(EF5:EF7)</f>
        <v>0</v>
      </c>
    </row>
    <row r="8" spans="1:142" s="362" customFormat="1" x14ac:dyDescent="0.2">
      <c r="A8" s="16">
        <v>42877</v>
      </c>
      <c r="B8" s="16" t="s">
        <v>487</v>
      </c>
      <c r="C8" s="369">
        <f>SUMIFS(Collection!$O:$O, Collection!$K:$K, C$2, Collection!$A:$A, "="&amp;$A8)</f>
        <v>0</v>
      </c>
      <c r="D8" s="116">
        <f>(SUMIFS('Bucket Counts'!$P:$P, 'Bucket Counts'!$B:$B, D$2, 'Bucket Counts'!$A:$A, "="&amp;$A8,  'Bucket Counts'!$F:$F, "&lt;&gt;100 Morts",  'Bucket Counts'!$F:$F, "&lt;&gt;224"))</f>
        <v>0</v>
      </c>
      <c r="E8" s="116">
        <f>(SUMIFS('Bucket Counts'!$P:$P, 'Bucket Counts'!$B:$B, E$2, 'Bucket Counts'!$A:$A, "="&amp;$A8,  'Bucket Counts'!$F:$F, "100 Morts"))</f>
        <v>0</v>
      </c>
      <c r="F8" s="116">
        <f>(SUMIFS('Bucket Counts'!$P:$P, 'Bucket Counts'!$B:$B, F$2, 'Bucket Counts'!$A:$A, "="&amp;$A8,  'Bucket Counts'!$F:$F, "224"))</f>
        <v>0</v>
      </c>
      <c r="G8" s="116" t="s">
        <v>453</v>
      </c>
      <c r="H8" s="427" t="s">
        <v>453</v>
      </c>
      <c r="I8" s="370">
        <f>SUM(C5:C8)</f>
        <v>0</v>
      </c>
      <c r="J8" s="369">
        <f>SUMIFS(Collection!$O:$O, Collection!$K:$K, J$2, Collection!$A:$A, "="&amp;$A8)</f>
        <v>583.33333333333337</v>
      </c>
      <c r="K8" s="116">
        <f>(SUMIFS('Bucket Counts'!$P:$P, 'Bucket Counts'!$B:$B, K$2, 'Bucket Counts'!$A:$A, "="&amp;$A8,  'Bucket Counts'!$F:$F, "&lt;&gt;100 Morts",  'Bucket Counts'!$F:$F, "&lt;&gt;224"))</f>
        <v>0</v>
      </c>
      <c r="L8" s="116">
        <f>(SUMIFS('Bucket Counts'!$P:$P, 'Bucket Counts'!$B:$B, L$2, 'Bucket Counts'!$A:$A, "="&amp;$A8,  'Bucket Counts'!$F:$F, "100 Morts"))</f>
        <v>0</v>
      </c>
      <c r="M8" s="116">
        <f>(SUMIFS('Bucket Counts'!$P:$P, 'Bucket Counts'!$B:$B, M$2, 'Bucket Counts'!$A:$A, "="&amp;$A8,  'Bucket Counts'!$F:$F, "224"))</f>
        <v>0</v>
      </c>
      <c r="N8" s="116" t="s">
        <v>453</v>
      </c>
      <c r="O8" s="427" t="s">
        <v>453</v>
      </c>
      <c r="P8" s="370">
        <f>SUM(J5:J8)</f>
        <v>55883.333333333336</v>
      </c>
      <c r="Q8" s="369">
        <f>SUMIFS(Collection!$O:$O, Collection!$K:$K, Q$2, Collection!$A:$A, "="&amp;$A8)</f>
        <v>466.66666666666663</v>
      </c>
      <c r="R8" s="116">
        <f>(SUMIFS('Bucket Counts'!$P:$P, 'Bucket Counts'!$B:$B, R$2, 'Bucket Counts'!$A:$A, "="&amp;$A8,  'Bucket Counts'!$F:$F, "&lt;&gt;100 Morts",  'Bucket Counts'!$F:$F, "&lt;&gt;224"))</f>
        <v>0</v>
      </c>
      <c r="S8" s="116">
        <f>(SUMIFS('Bucket Counts'!$P:$P, 'Bucket Counts'!$B:$B, S$2, 'Bucket Counts'!$A:$A, "="&amp;$A8,  'Bucket Counts'!$F:$F, "100 Morts"))</f>
        <v>0</v>
      </c>
      <c r="T8" s="116">
        <f>(SUMIFS('Bucket Counts'!$P:$P, 'Bucket Counts'!$B:$B, T$2, 'Bucket Counts'!$A:$A, "="&amp;$A8,  'Bucket Counts'!$F:$F, "224"))</f>
        <v>0</v>
      </c>
      <c r="U8" s="116" t="s">
        <v>453</v>
      </c>
      <c r="V8" s="427" t="s">
        <v>453</v>
      </c>
      <c r="W8" s="370">
        <f>SUM(Q5:Q8)</f>
        <v>816.66666666666663</v>
      </c>
      <c r="X8" s="369">
        <f>SUMIFS(Collection!$O:$O, Collection!$K:$K, X$2, Collection!$A:$A, "="&amp;$A8)</f>
        <v>0</v>
      </c>
      <c r="Y8" s="116">
        <f>(SUMIFS('Bucket Counts'!$P:$P, 'Bucket Counts'!$B:$B, Y$2, 'Bucket Counts'!$A:$A, "="&amp;$A8,  'Bucket Counts'!$F:$F, "&lt;&gt;100 Morts",  'Bucket Counts'!$F:$F, "&lt;&gt;224"))</f>
        <v>0</v>
      </c>
      <c r="Z8" s="116">
        <f>(SUMIFS('Bucket Counts'!$P:$P, 'Bucket Counts'!$B:$B, Z$2, 'Bucket Counts'!$A:$A, "="&amp;$A8,  'Bucket Counts'!$F:$F, "100 Morts"))</f>
        <v>0</v>
      </c>
      <c r="AA8" s="116">
        <f>(SUMIFS('Bucket Counts'!$P:$P, 'Bucket Counts'!$B:$B, AA$2, 'Bucket Counts'!$A:$A, "="&amp;$A8,  'Bucket Counts'!$F:$F, "224"))</f>
        <v>0</v>
      </c>
      <c r="AB8" s="116" t="s">
        <v>453</v>
      </c>
      <c r="AC8" s="427" t="s">
        <v>453</v>
      </c>
      <c r="AD8" s="370">
        <f>SUM(X5:X8)</f>
        <v>0</v>
      </c>
      <c r="AE8" s="369">
        <f>SUMIFS(Collection!$O:$O, Collection!$K:$K, AE$2, Collection!$A:$A, "="&amp;$A8)</f>
        <v>0</v>
      </c>
      <c r="AF8" s="116">
        <f>(SUMIFS('Bucket Counts'!$P:$P, 'Bucket Counts'!$B:$B, AF$2, 'Bucket Counts'!$A:$A, "="&amp;$A8,  'Bucket Counts'!$F:$F, "&lt;&gt;100 Morts",  'Bucket Counts'!$F:$F, "&lt;&gt;224"))</f>
        <v>0</v>
      </c>
      <c r="AG8" s="116">
        <f>(SUMIFS('Bucket Counts'!$P:$P, 'Bucket Counts'!$B:$B, AG$2, 'Bucket Counts'!$A:$A, "="&amp;$A8,  'Bucket Counts'!$F:$F, "100 Morts"))</f>
        <v>0</v>
      </c>
      <c r="AH8" s="116">
        <f>(SUMIFS('Bucket Counts'!$P:$P, 'Bucket Counts'!$B:$B, AH$2, 'Bucket Counts'!$A:$A, "="&amp;$A8,  'Bucket Counts'!$F:$F, "224"))</f>
        <v>0</v>
      </c>
      <c r="AI8" s="116" t="s">
        <v>453</v>
      </c>
      <c r="AJ8" s="427" t="s">
        <v>453</v>
      </c>
      <c r="AK8" s="370">
        <f>SUM(AE5:AE8)</f>
        <v>205600</v>
      </c>
      <c r="AL8" s="369">
        <f>SUMIFS(Collection!$O:$O, Collection!$K:$K, AL$2, Collection!$A:$A, "="&amp;$A8)</f>
        <v>0</v>
      </c>
      <c r="AM8" s="116">
        <f>(SUMIFS('Bucket Counts'!$P:$P, 'Bucket Counts'!$B:$B, AM$2, 'Bucket Counts'!$A:$A, "="&amp;$A8,  'Bucket Counts'!$F:$F, "&lt;&gt;100 Morts",  'Bucket Counts'!$F:$F, "&lt;&gt;224"))</f>
        <v>0</v>
      </c>
      <c r="AN8" s="116">
        <f>(SUMIFS('Bucket Counts'!$P:$P, 'Bucket Counts'!$B:$B, AN$2, 'Bucket Counts'!$A:$A, "="&amp;$A8,  'Bucket Counts'!$F:$F, "100 Morts"))</f>
        <v>0</v>
      </c>
      <c r="AO8" s="116">
        <f>(SUMIFS('Bucket Counts'!$P:$P, 'Bucket Counts'!$B:$B, AO$2, 'Bucket Counts'!$A:$A, "="&amp;$A8,  'Bucket Counts'!$F:$F, "224"))</f>
        <v>0</v>
      </c>
      <c r="AP8" s="116" t="s">
        <v>453</v>
      </c>
      <c r="AQ8" s="427" t="s">
        <v>453</v>
      </c>
      <c r="AR8" s="370">
        <f>SUM(AL5:AL8)</f>
        <v>241166.66666666669</v>
      </c>
      <c r="AS8" s="369">
        <f>SUMIFS(Collection!$O:$O, Collection!$K:$K, AS$2, Collection!$A:$A, "="&amp;$A8)</f>
        <v>24500</v>
      </c>
      <c r="AT8" s="116">
        <f>(SUMIFS('Bucket Counts'!$P:$P, 'Bucket Counts'!$B:$B, AT$2, 'Bucket Counts'!$A:$A, "="&amp;$A8,  'Bucket Counts'!$F:$F, "&lt;&gt;100 Morts",  'Bucket Counts'!$F:$F, "&lt;&gt;224"))</f>
        <v>0</v>
      </c>
      <c r="AU8" s="116">
        <f>(SUMIFS('Bucket Counts'!$P:$P, 'Bucket Counts'!$B:$B, AU$2, 'Bucket Counts'!$A:$A, "="&amp;$A8,  'Bucket Counts'!$F:$F, "100 Morts"))</f>
        <v>0</v>
      </c>
      <c r="AV8" s="116">
        <f>(SUMIFS('Bucket Counts'!$P:$P, 'Bucket Counts'!$B:$B, AV$2, 'Bucket Counts'!$A:$A, "="&amp;$A8,  'Bucket Counts'!$F:$F, "224"))</f>
        <v>0</v>
      </c>
      <c r="AW8" s="116" t="s">
        <v>453</v>
      </c>
      <c r="AX8" s="427" t="s">
        <v>453</v>
      </c>
      <c r="AY8" s="370">
        <f>SUM(AS5:AS8)</f>
        <v>32666.666666666664</v>
      </c>
      <c r="AZ8" s="369">
        <f>SUMIFS(Collection!$O:$O, Collection!$K:$K, AZ$2, Collection!$A:$A, "="&amp;$A8)</f>
        <v>51000</v>
      </c>
      <c r="BA8" s="116">
        <f>(SUMIFS('Bucket Counts'!$P:$P, 'Bucket Counts'!$B:$B, BA$2, 'Bucket Counts'!$A:$A, "="&amp;$A8,  'Bucket Counts'!$F:$F, "&lt;&gt;100 Morts",  'Bucket Counts'!$F:$F, "&lt;&gt;224"))</f>
        <v>0</v>
      </c>
      <c r="BB8" s="116">
        <f>(SUMIFS('Bucket Counts'!$P:$P, 'Bucket Counts'!$B:$B, BB$2, 'Bucket Counts'!$A:$A, "="&amp;$A8,  'Bucket Counts'!$F:$F, "100 Morts"))</f>
        <v>0</v>
      </c>
      <c r="BC8" s="116">
        <f>(SUMIFS('Bucket Counts'!$P:$P, 'Bucket Counts'!$B:$B, BC$2, 'Bucket Counts'!$A:$A, "="&amp;$A8,  'Bucket Counts'!$F:$F, "224"))</f>
        <v>0</v>
      </c>
      <c r="BD8" s="116" t="s">
        <v>453</v>
      </c>
      <c r="BE8" s="427" t="s">
        <v>453</v>
      </c>
      <c r="BF8" s="370">
        <f>SUM(AZ5:AZ8)</f>
        <v>150433.33333333334</v>
      </c>
      <c r="BG8" s="369">
        <f>SUMIFS(Collection!$O:$O, Collection!$K:$K, BG$2, Collection!$A:$A, "="&amp;$A8)</f>
        <v>0</v>
      </c>
      <c r="BH8" s="116">
        <f>(SUMIFS('Bucket Counts'!$P:$P, 'Bucket Counts'!$B:$B, BH$2, 'Bucket Counts'!$A:$A, "="&amp;$A8,  'Bucket Counts'!$F:$F, "&lt;&gt;100 Morts",  'Bucket Counts'!$F:$F, "&lt;&gt;224"))</f>
        <v>0</v>
      </c>
      <c r="BI8" s="116">
        <f>(SUMIFS('Bucket Counts'!$P:$P, 'Bucket Counts'!$B:$B, BI$2, 'Bucket Counts'!$A:$A, "="&amp;$A8,  'Bucket Counts'!$F:$F, "100 Morts"))</f>
        <v>0</v>
      </c>
      <c r="BJ8" s="116">
        <f>(SUMIFS('Bucket Counts'!$P:$P, 'Bucket Counts'!$B:$B, BJ$2, 'Bucket Counts'!$A:$A, "="&amp;$A8,  'Bucket Counts'!$F:$F, "224"))</f>
        <v>0</v>
      </c>
      <c r="BK8" s="116" t="s">
        <v>453</v>
      </c>
      <c r="BL8" s="427" t="s">
        <v>453</v>
      </c>
      <c r="BM8" s="370">
        <f>SUM(BG5:BG8)</f>
        <v>0</v>
      </c>
      <c r="BN8" s="369">
        <f>SUMIFS(Collection!$O:$O, Collection!$K:$K, BN$2, Collection!$A:$A, "="&amp;$A8)</f>
        <v>0</v>
      </c>
      <c r="BO8" s="116">
        <f>(SUMIFS('Bucket Counts'!$P:$P, 'Bucket Counts'!$B:$B, BO$2, 'Bucket Counts'!$A:$A, "="&amp;$A8,  'Bucket Counts'!$F:$F, "&lt;&gt;100 Morts",  'Bucket Counts'!$F:$F, "&lt;&gt;224"))</f>
        <v>0</v>
      </c>
      <c r="BP8" s="116">
        <f>(SUMIFS('Bucket Counts'!$P:$P, 'Bucket Counts'!$B:$B, BP$2, 'Bucket Counts'!$A:$A, "="&amp;$A8,  'Bucket Counts'!$F:$F, "100 Morts"))</f>
        <v>0</v>
      </c>
      <c r="BQ8" s="116">
        <f>(SUMIFS('Bucket Counts'!$P:$P, 'Bucket Counts'!$B:$B, BQ$2, 'Bucket Counts'!$A:$A, "="&amp;$A8,  'Bucket Counts'!$F:$F, "224"))</f>
        <v>0</v>
      </c>
      <c r="BR8" s="116" t="s">
        <v>453</v>
      </c>
      <c r="BS8" s="427" t="s">
        <v>453</v>
      </c>
      <c r="BT8" s="370">
        <f>SUM(BN5:BN8)</f>
        <v>0</v>
      </c>
      <c r="BU8" s="369">
        <f>SUMIFS(Collection!$O:$O, Collection!$K:$K, BU$2, Collection!$A:$A, "="&amp;$A8)</f>
        <v>0</v>
      </c>
      <c r="BV8" s="116">
        <f>(SUMIFS('Bucket Counts'!$P:$P, 'Bucket Counts'!$B:$B, BV$2, 'Bucket Counts'!$A:$A, "="&amp;$A8,  'Bucket Counts'!$F:$F, "&lt;&gt;100 Morts",  'Bucket Counts'!$F:$F, "&lt;&gt;224"))</f>
        <v>0</v>
      </c>
      <c r="BW8" s="116">
        <f>(SUMIFS('Bucket Counts'!$P:$P, 'Bucket Counts'!$B:$B, BW$2, 'Bucket Counts'!$A:$A, "="&amp;$A8,  'Bucket Counts'!$F:$F, "100 Morts"))</f>
        <v>0</v>
      </c>
      <c r="BX8" s="116">
        <f>(SUMIFS('Bucket Counts'!$P:$P, 'Bucket Counts'!$B:$B, BX$2, 'Bucket Counts'!$A:$A, "="&amp;$A8,  'Bucket Counts'!$F:$F, "224"))</f>
        <v>0</v>
      </c>
      <c r="BY8" s="116" t="s">
        <v>453</v>
      </c>
      <c r="BZ8" s="427" t="s">
        <v>453</v>
      </c>
      <c r="CA8" s="370">
        <f>SUM(BU5:BU8)</f>
        <v>0</v>
      </c>
      <c r="CB8" s="369">
        <f>SUMIFS(Collection!$O:$O, Collection!$K:$K, CB$2, Collection!$A:$A, "="&amp;$A8)</f>
        <v>0</v>
      </c>
      <c r="CC8" s="116">
        <f>(SUMIFS('Bucket Counts'!$P:$P, 'Bucket Counts'!$B:$B, CC$2, 'Bucket Counts'!$A:$A, "="&amp;$A8,  'Bucket Counts'!$F:$F, "&lt;&gt;100 Morts",  'Bucket Counts'!$F:$F, "&lt;&gt;224"))</f>
        <v>0</v>
      </c>
      <c r="CD8" s="116">
        <f>(SUMIFS('Bucket Counts'!$P:$P, 'Bucket Counts'!$B:$B, CD$2, 'Bucket Counts'!$A:$A, "="&amp;$A8,  'Bucket Counts'!$F:$F, "100 Morts"))</f>
        <v>0</v>
      </c>
      <c r="CE8" s="116">
        <f>(SUMIFS('Bucket Counts'!$P:$P, 'Bucket Counts'!$B:$B, CE$2, 'Bucket Counts'!$A:$A, "="&amp;$A8,  'Bucket Counts'!$F:$F, "224"))</f>
        <v>0</v>
      </c>
      <c r="CF8" s="116" t="s">
        <v>453</v>
      </c>
      <c r="CG8" s="427" t="s">
        <v>453</v>
      </c>
      <c r="CH8" s="370">
        <f>SUM(CB5:CB8)</f>
        <v>0</v>
      </c>
      <c r="CI8" s="369">
        <f>SUMIFS(Collection!$O:$O, Collection!$K:$K, CI$2, Collection!$A:$A, "="&amp;$A8)</f>
        <v>625</v>
      </c>
      <c r="CJ8" s="116">
        <f>(SUMIFS('Bucket Counts'!$P:$P, 'Bucket Counts'!$B:$B, CJ$2, 'Bucket Counts'!$A:$A, "="&amp;$A8,  'Bucket Counts'!$F:$F, "&lt;&gt;100 Morts",  'Bucket Counts'!$F:$F, "&lt;&gt;224"))</f>
        <v>0</v>
      </c>
      <c r="CK8" s="116">
        <f>(SUMIFS('Bucket Counts'!$P:$P, 'Bucket Counts'!$B:$B, CK$2, 'Bucket Counts'!$A:$A, "="&amp;$A8,  'Bucket Counts'!$F:$F, "100 Morts"))</f>
        <v>0</v>
      </c>
      <c r="CL8" s="116">
        <f>(SUMIFS('Bucket Counts'!$P:$P, 'Bucket Counts'!$B:$B, CL$2, 'Bucket Counts'!$A:$A, "="&amp;$A8,  'Bucket Counts'!$F:$F, "224"))</f>
        <v>0</v>
      </c>
      <c r="CM8" s="116" t="s">
        <v>453</v>
      </c>
      <c r="CN8" s="427" t="s">
        <v>453</v>
      </c>
      <c r="CO8" s="370">
        <f>SUM(CI5:CI8)</f>
        <v>121875</v>
      </c>
      <c r="CP8" s="369">
        <f>SUMIFS(Collection!$O:$O, Collection!$K:$K, CP$2, Collection!$A:$A, "="&amp;$A8)</f>
        <v>0</v>
      </c>
      <c r="CQ8" s="116">
        <f>(SUMIFS('Bucket Counts'!$P:$P, 'Bucket Counts'!$B:$B, CQ$2, 'Bucket Counts'!$A:$A, "="&amp;$A8,  'Bucket Counts'!$F:$F, "&lt;&gt;100 Morts",  'Bucket Counts'!$F:$F, "&lt;&gt;224"))</f>
        <v>0</v>
      </c>
      <c r="CR8" s="116">
        <f>(SUMIFS('Bucket Counts'!$P:$P, 'Bucket Counts'!$B:$B, CR$2, 'Bucket Counts'!$A:$A, "="&amp;$A8,  'Bucket Counts'!$F:$F, "100 Morts"))</f>
        <v>0</v>
      </c>
      <c r="CS8" s="116">
        <f>(SUMIFS('Bucket Counts'!$P:$P, 'Bucket Counts'!$B:$B, CS$2, 'Bucket Counts'!$A:$A, "="&amp;$A8,  'Bucket Counts'!$F:$F, "224"))</f>
        <v>0</v>
      </c>
      <c r="CT8" s="116" t="s">
        <v>453</v>
      </c>
      <c r="CU8" s="427" t="s">
        <v>453</v>
      </c>
      <c r="CV8" s="370">
        <f>SUM(CP5:CP8)</f>
        <v>11916.666666666666</v>
      </c>
      <c r="CW8" s="369">
        <f>SUMIFS(Collection!$O:$O, Collection!$K:$K, CW$2, Collection!$A:$A, "="&amp;$A8)</f>
        <v>0</v>
      </c>
      <c r="CX8" s="116">
        <f>(SUMIFS('Bucket Counts'!$P:$P, 'Bucket Counts'!$B:$B, CX$2, 'Bucket Counts'!$A:$A, "="&amp;$A8,  'Bucket Counts'!$F:$F, "&lt;&gt;100 Morts",  'Bucket Counts'!$F:$F, "&lt;&gt;224"))</f>
        <v>0</v>
      </c>
      <c r="CY8" s="116">
        <f>(SUMIFS('Bucket Counts'!$P:$P, 'Bucket Counts'!$B:$B, CY$2, 'Bucket Counts'!$A:$A, "="&amp;$A8,  'Bucket Counts'!$F:$F, "100 Morts"))</f>
        <v>0</v>
      </c>
      <c r="CZ8" s="116">
        <f>(SUMIFS('Bucket Counts'!$P:$P, 'Bucket Counts'!$B:$B, CZ$2, 'Bucket Counts'!$A:$A, "="&amp;$A8,  'Bucket Counts'!$F:$F, "224"))</f>
        <v>0</v>
      </c>
      <c r="DA8" s="116" t="s">
        <v>453</v>
      </c>
      <c r="DB8" s="427" t="s">
        <v>453</v>
      </c>
      <c r="DC8" s="370">
        <f>SUM(CW5:CW8)</f>
        <v>91708.333333333343</v>
      </c>
      <c r="DD8" s="369">
        <f>SUMIFS(Collection!$O:$O, Collection!$K:$K, DD$2, Collection!$A:$A, "="&amp;$A8)</f>
        <v>1800</v>
      </c>
      <c r="DE8" s="116">
        <f>(SUMIFS('Bucket Counts'!$P:$P, 'Bucket Counts'!$B:$B, DE$2, 'Bucket Counts'!$A:$A, "="&amp;$A8,  'Bucket Counts'!$F:$F, "&lt;&gt;100 Morts",  'Bucket Counts'!$F:$F, "&lt;&gt;224"))</f>
        <v>0</v>
      </c>
      <c r="DF8" s="116">
        <f>(SUMIFS('Bucket Counts'!$P:$P, 'Bucket Counts'!$B:$B, DF$2, 'Bucket Counts'!$A:$A, "="&amp;$A8,  'Bucket Counts'!$F:$F, "100 Morts"))</f>
        <v>0</v>
      </c>
      <c r="DG8" s="116">
        <f>(SUMIFS('Bucket Counts'!$P:$P, 'Bucket Counts'!$B:$B, DG$2, 'Bucket Counts'!$A:$A, "="&amp;$A8,  'Bucket Counts'!$F:$F, "224"))</f>
        <v>0</v>
      </c>
      <c r="DH8" s="116" t="s">
        <v>453</v>
      </c>
      <c r="DI8" s="427" t="s">
        <v>453</v>
      </c>
      <c r="DJ8" s="370">
        <f>SUM(DD5:DD8)</f>
        <v>55700</v>
      </c>
      <c r="DK8" s="369">
        <f>SUMIFS(Collection!$O:$O, Collection!$K:$K, DK$2, Collection!$A:$A, "="&amp;$A8)</f>
        <v>0</v>
      </c>
      <c r="DL8" s="116">
        <f>(SUMIFS('Bucket Counts'!$P:$P, 'Bucket Counts'!$B:$B, DL$2, 'Bucket Counts'!$A:$A, "="&amp;$A8,  'Bucket Counts'!$F:$F, "&lt;&gt;100 Morts",  'Bucket Counts'!$F:$F, "&lt;&gt;224"))</f>
        <v>0</v>
      </c>
      <c r="DM8" s="116">
        <f>(SUMIFS('Bucket Counts'!$P:$P, 'Bucket Counts'!$B:$B, DM$2, 'Bucket Counts'!$A:$A, "="&amp;$A8,  'Bucket Counts'!$F:$F, "100 Morts"))</f>
        <v>0</v>
      </c>
      <c r="DN8" s="116">
        <f>(SUMIFS('Bucket Counts'!$P:$P, 'Bucket Counts'!$B:$B, DN$2, 'Bucket Counts'!$A:$A, "="&amp;$A8,  'Bucket Counts'!$F:$F, "224"))</f>
        <v>0</v>
      </c>
      <c r="DO8" s="116" t="s">
        <v>453</v>
      </c>
      <c r="DP8" s="427" t="s">
        <v>453</v>
      </c>
      <c r="DQ8" s="370">
        <f>SUM(DK5:DK8)</f>
        <v>11866.666666666668</v>
      </c>
      <c r="DR8" s="369">
        <f>SUMIFS(Collection!$O:$O, Collection!$K:$K, DR$2, Collection!$A:$A, "="&amp;$A8)</f>
        <v>0</v>
      </c>
      <c r="DS8" s="116">
        <f>(SUMIFS('Bucket Counts'!$P:$P, 'Bucket Counts'!$B:$B, DS$2, 'Bucket Counts'!$A:$A, "="&amp;$A8,  'Bucket Counts'!$F:$F, "&lt;&gt;100 Morts",  'Bucket Counts'!$F:$F, "&lt;&gt;224"))</f>
        <v>0</v>
      </c>
      <c r="DT8" s="116">
        <f>(SUMIFS('Bucket Counts'!$P:$P, 'Bucket Counts'!$B:$B, DT$2, 'Bucket Counts'!$A:$A, "="&amp;$A8,  'Bucket Counts'!$F:$F, "100 Morts"))</f>
        <v>0</v>
      </c>
      <c r="DU8" s="116">
        <f>(SUMIFS('Bucket Counts'!$P:$P, 'Bucket Counts'!$B:$B, DU$2, 'Bucket Counts'!$A:$A, "="&amp;$A8,  'Bucket Counts'!$F:$F, "224"))</f>
        <v>0</v>
      </c>
      <c r="DV8" s="116" t="s">
        <v>453</v>
      </c>
      <c r="DW8" s="427" t="s">
        <v>453</v>
      </c>
      <c r="DX8" s="370">
        <f>SUM(DR5:DR8)</f>
        <v>0</v>
      </c>
      <c r="DY8" s="369">
        <f>SUMIFS(Collection!$O:$O, Collection!$K:$K, DY$2, Collection!$A:$A, "="&amp;$A8)</f>
        <v>3400</v>
      </c>
      <c r="DZ8" s="116">
        <f>(SUMIFS('Bucket Counts'!$P:$P, 'Bucket Counts'!$B:$B, DZ$2, 'Bucket Counts'!$A:$A, "="&amp;$A8,  'Bucket Counts'!$F:$F, "&lt;&gt;100 Morts",  'Bucket Counts'!$F:$F, "&lt;&gt;224"))</f>
        <v>0</v>
      </c>
      <c r="EA8" s="116">
        <f>(SUMIFS('Bucket Counts'!$P:$P, 'Bucket Counts'!$B:$B, EA$2, 'Bucket Counts'!$A:$A, "="&amp;$A8,  'Bucket Counts'!$F:$F, "100 Morts"))</f>
        <v>0</v>
      </c>
      <c r="EB8" s="116">
        <f>(SUMIFS('Bucket Counts'!$P:$P, 'Bucket Counts'!$B:$B, EB$2, 'Bucket Counts'!$A:$A, "="&amp;$A8,  'Bucket Counts'!$F:$F, "224"))</f>
        <v>0</v>
      </c>
      <c r="EC8" s="116" t="s">
        <v>453</v>
      </c>
      <c r="ED8" s="427" t="s">
        <v>453</v>
      </c>
      <c r="EE8" s="370">
        <f>SUM(DY5:DY8)</f>
        <v>148133.33333333334</v>
      </c>
      <c r="EF8" s="369">
        <f>SUMIFS(Collection!$O:$O, Collection!$K:$K, EF$2, Collection!$A:$A, "="&amp;$A8)</f>
        <v>0</v>
      </c>
      <c r="EG8" s="116">
        <f>(SUMIFS('Bucket Counts'!$P:$P, 'Bucket Counts'!$B:$B, EG$2, 'Bucket Counts'!$A:$A, "="&amp;$A8,  'Bucket Counts'!$F:$F, "&lt;&gt;100 Morts",  'Bucket Counts'!$F:$F, "&lt;&gt;224"))</f>
        <v>0</v>
      </c>
      <c r="EH8" s="116">
        <f>(SUMIFS('Bucket Counts'!$P:$P, 'Bucket Counts'!$B:$B, EH$2, 'Bucket Counts'!$A:$A, "="&amp;$A8,  'Bucket Counts'!$F:$F, "100 Morts"))</f>
        <v>0</v>
      </c>
      <c r="EI8" s="116">
        <f>(SUMIFS('Bucket Counts'!$P:$P, 'Bucket Counts'!$B:$B, EI$2, 'Bucket Counts'!$A:$A, "="&amp;$A8,  'Bucket Counts'!$F:$F, "224"))</f>
        <v>0</v>
      </c>
      <c r="EJ8" s="116" t="s">
        <v>453</v>
      </c>
      <c r="EK8" s="427" t="s">
        <v>453</v>
      </c>
      <c r="EL8" s="370">
        <f>SUM(EF5:EF8)</f>
        <v>0</v>
      </c>
    </row>
    <row r="9" spans="1:142" s="433" customFormat="1" x14ac:dyDescent="0.2">
      <c r="A9" s="428">
        <v>42878</v>
      </c>
      <c r="B9" s="428" t="s">
        <v>486</v>
      </c>
      <c r="C9" s="429">
        <f>SUMIFS(Collection!$O:$O, Collection!$K:$K, C$2, Collection!$A:$A, "="&amp;$A9)</f>
        <v>0</v>
      </c>
      <c r="D9" s="430">
        <f>(SUMIFS('Bucket Counts'!$P:$P, 'Bucket Counts'!$B:$B, D$2, 'Bucket Counts'!$A:$A, "="&amp;$A9,  'Bucket Counts'!$F:$F, "&lt;&gt;100 Morts",  'Bucket Counts'!$F:$F, "&lt;&gt;224"))</f>
        <v>0</v>
      </c>
      <c r="E9" s="430">
        <f>(SUMIFS('Bucket Counts'!$P:$P, 'Bucket Counts'!$B:$B, E$2, 'Bucket Counts'!$A:$A, "="&amp;$A9,  'Bucket Counts'!$F:$F, "100 Morts"))</f>
        <v>0</v>
      </c>
      <c r="F9" s="430">
        <f>(SUMIFS('Bucket Counts'!$P:$P, 'Bucket Counts'!$B:$B, F$2, 'Bucket Counts'!$A:$A, "="&amp;$A9,  'Bucket Counts'!$F:$F, "224"))</f>
        <v>0</v>
      </c>
      <c r="G9" s="430">
        <f>I8</f>
        <v>0</v>
      </c>
      <c r="H9" s="431">
        <f>SUM(D9+F9)</f>
        <v>0</v>
      </c>
      <c r="I9" s="432">
        <f>D9+C9</f>
        <v>0</v>
      </c>
      <c r="J9" s="429">
        <f>SUMIFS(Collection!$O:$O, Collection!$K:$K, J$2, Collection!$A:$A, "="&amp;$A9)</f>
        <v>2266.666666666667</v>
      </c>
      <c r="K9" s="430">
        <f>(SUMIFS('Bucket Counts'!$P:$P, 'Bucket Counts'!$B:$B, K$2, 'Bucket Counts'!$A:$A, "="&amp;$A9,  'Bucket Counts'!$F:$F, "&lt;&gt;100 Morts",  'Bucket Counts'!$F:$F, "&lt;&gt;224"))</f>
        <v>49600</v>
      </c>
      <c r="L9" s="430">
        <f>(SUMIFS('Bucket Counts'!$P:$P, 'Bucket Counts'!$B:$B, L$2, 'Bucket Counts'!$A:$A, "="&amp;$A9,  'Bucket Counts'!$F:$F, "100 Morts"))</f>
        <v>0</v>
      </c>
      <c r="M9" s="430">
        <f>(SUMIFS('Bucket Counts'!$P:$P, 'Bucket Counts'!$B:$B, M$2, 'Bucket Counts'!$A:$A, "="&amp;$A9,  'Bucket Counts'!$F:$F, "224"))</f>
        <v>0</v>
      </c>
      <c r="N9" s="430">
        <f>P8</f>
        <v>55883.333333333336</v>
      </c>
      <c r="O9" s="431">
        <f>SUM(K9+M9)</f>
        <v>49600</v>
      </c>
      <c r="P9" s="432">
        <f>K9+J9</f>
        <v>51866.666666666664</v>
      </c>
      <c r="Q9" s="429">
        <f>SUMIFS(Collection!$O:$O, Collection!$K:$K, Q$2, Collection!$A:$A, "="&amp;$A9)</f>
        <v>0</v>
      </c>
      <c r="R9" s="430">
        <f>(SUMIFS('Bucket Counts'!$P:$P, 'Bucket Counts'!$B:$B, R$2, 'Bucket Counts'!$A:$A, "="&amp;$A9,  'Bucket Counts'!$F:$F, "&lt;&gt;100 Morts",  'Bucket Counts'!$F:$F, "&lt;&gt;224"))</f>
        <v>0</v>
      </c>
      <c r="S9" s="430">
        <f>(SUMIFS('Bucket Counts'!$P:$P, 'Bucket Counts'!$B:$B, S$2, 'Bucket Counts'!$A:$A, "="&amp;$A9,  'Bucket Counts'!$F:$F, "100 Morts"))</f>
        <v>0</v>
      </c>
      <c r="T9" s="430">
        <f>(SUMIFS('Bucket Counts'!$P:$P, 'Bucket Counts'!$B:$B, T$2, 'Bucket Counts'!$A:$A, "="&amp;$A9,  'Bucket Counts'!$F:$F, "224"))</f>
        <v>0</v>
      </c>
      <c r="U9" s="430">
        <f>W8</f>
        <v>816.66666666666663</v>
      </c>
      <c r="V9" s="431">
        <f>SUM(R9+T9)</f>
        <v>0</v>
      </c>
      <c r="W9" s="432">
        <f>R9+Q9</f>
        <v>0</v>
      </c>
      <c r="X9" s="429">
        <f>SUMIFS(Collection!$O:$O, Collection!$K:$K, X$2, Collection!$A:$A, "="&amp;$A9)</f>
        <v>0</v>
      </c>
      <c r="Y9" s="430">
        <f>(SUMIFS('Bucket Counts'!$P:$P, 'Bucket Counts'!$B:$B, Y$2, 'Bucket Counts'!$A:$A, "="&amp;$A9,  'Bucket Counts'!$F:$F, "&lt;&gt;100 Morts",  'Bucket Counts'!$F:$F, "&lt;&gt;224"))</f>
        <v>0</v>
      </c>
      <c r="Z9" s="430">
        <f>(SUMIFS('Bucket Counts'!$P:$P, 'Bucket Counts'!$B:$B, Z$2, 'Bucket Counts'!$A:$A, "="&amp;$A9,  'Bucket Counts'!$F:$F, "100 Morts"))</f>
        <v>0</v>
      </c>
      <c r="AA9" s="430">
        <f>(SUMIFS('Bucket Counts'!$P:$P, 'Bucket Counts'!$B:$B, AA$2, 'Bucket Counts'!$A:$A, "="&amp;$A9,  'Bucket Counts'!$F:$F, "224"))</f>
        <v>0</v>
      </c>
      <c r="AB9" s="430">
        <f>AD8</f>
        <v>0</v>
      </c>
      <c r="AC9" s="431">
        <f>SUM(Y9+AA9)</f>
        <v>0</v>
      </c>
      <c r="AD9" s="432">
        <f>Y9+X9</f>
        <v>0</v>
      </c>
      <c r="AE9" s="429">
        <f>SUMIFS(Collection!$O:$O, Collection!$K:$K, AE$2, Collection!$A:$A, "="&amp;$A9)</f>
        <v>0</v>
      </c>
      <c r="AF9" s="430">
        <f>(SUMIFS('Bucket Counts'!$P:$P, 'Bucket Counts'!$B:$B, AF$2, 'Bucket Counts'!$A:$A, "="&amp;$A9,  'Bucket Counts'!$F:$F, "&lt;&gt;100 Morts",  'Bucket Counts'!$F:$F, "&lt;&gt;224"))</f>
        <v>145600</v>
      </c>
      <c r="AG9" s="430">
        <f>(SUMIFS('Bucket Counts'!$P:$P, 'Bucket Counts'!$B:$B, AG$2, 'Bucket Counts'!$A:$A, "="&amp;$A9,  'Bucket Counts'!$F:$F, "100 Morts"))</f>
        <v>0</v>
      </c>
      <c r="AH9" s="430">
        <f>(SUMIFS('Bucket Counts'!$P:$P, 'Bucket Counts'!$B:$B, AH$2, 'Bucket Counts'!$A:$A, "="&amp;$A9,  'Bucket Counts'!$F:$F, "224"))</f>
        <v>0</v>
      </c>
      <c r="AI9" s="430">
        <f>AK8</f>
        <v>205600</v>
      </c>
      <c r="AJ9" s="431">
        <f>SUM(AF9+AH9)</f>
        <v>145600</v>
      </c>
      <c r="AK9" s="432">
        <f>AF9+AE9</f>
        <v>145600</v>
      </c>
      <c r="AL9" s="429">
        <f>SUMIFS(Collection!$O:$O, Collection!$K:$K, AL$2, Collection!$A:$A, "="&amp;$A9)</f>
        <v>33800</v>
      </c>
      <c r="AM9" s="430">
        <f>(SUMIFS('Bucket Counts'!$P:$P, 'Bucket Counts'!$B:$B, AM$2, 'Bucket Counts'!$A:$A, "="&amp;$A9,  'Bucket Counts'!$F:$F, "&lt;&gt;100 Morts",  'Bucket Counts'!$F:$F, "&lt;&gt;224"))</f>
        <v>189000</v>
      </c>
      <c r="AN9" s="430">
        <f>(SUMIFS('Bucket Counts'!$P:$P, 'Bucket Counts'!$B:$B, AN$2, 'Bucket Counts'!$A:$A, "="&amp;$A9,  'Bucket Counts'!$F:$F, "100 Morts"))</f>
        <v>0</v>
      </c>
      <c r="AO9" s="430">
        <f>(SUMIFS('Bucket Counts'!$P:$P, 'Bucket Counts'!$B:$B, AO$2, 'Bucket Counts'!$A:$A, "="&amp;$A9,  'Bucket Counts'!$F:$F, "224"))</f>
        <v>0</v>
      </c>
      <c r="AP9" s="430">
        <f>AR8</f>
        <v>241166.66666666669</v>
      </c>
      <c r="AQ9" s="431">
        <f>SUM(AM9+AO9)</f>
        <v>189000</v>
      </c>
      <c r="AR9" s="432">
        <f>AM9+AL9</f>
        <v>222800</v>
      </c>
      <c r="AS9" s="429">
        <f>SUMIFS(Collection!$O:$O, Collection!$K:$K, AS$2, Collection!$A:$A, "="&amp;$A9)</f>
        <v>65333.333333333336</v>
      </c>
      <c r="AT9" s="430">
        <f>(SUMIFS('Bucket Counts'!$P:$P, 'Bucket Counts'!$B:$B, AT$2, 'Bucket Counts'!$A:$A, "="&amp;$A9,  'Bucket Counts'!$F:$F, "&lt;&gt;100 Morts",  'Bucket Counts'!$F:$F, "&lt;&gt;224"))</f>
        <v>35533.333333333336</v>
      </c>
      <c r="AU9" s="430">
        <f>(SUMIFS('Bucket Counts'!$P:$P, 'Bucket Counts'!$B:$B, AU$2, 'Bucket Counts'!$A:$A, "="&amp;$A9,  'Bucket Counts'!$F:$F, "100 Morts"))</f>
        <v>0</v>
      </c>
      <c r="AV9" s="430">
        <f>(SUMIFS('Bucket Counts'!$P:$P, 'Bucket Counts'!$B:$B, AV$2, 'Bucket Counts'!$A:$A, "="&amp;$A9,  'Bucket Counts'!$F:$F, "224"))</f>
        <v>0</v>
      </c>
      <c r="AW9" s="430">
        <f>AY8</f>
        <v>32666.666666666664</v>
      </c>
      <c r="AX9" s="431">
        <f>SUM(AT9+AV9)</f>
        <v>35533.333333333336</v>
      </c>
      <c r="AY9" s="432">
        <f>AT9+AS9</f>
        <v>100866.66666666667</v>
      </c>
      <c r="AZ9" s="429">
        <f>SUMIFS(Collection!$O:$O, Collection!$K:$K, AZ$2, Collection!$A:$A, "="&amp;$A9)</f>
        <v>1000</v>
      </c>
      <c r="BA9" s="430">
        <f>(SUMIFS('Bucket Counts'!$P:$P, 'Bucket Counts'!$B:$B, BA$2, 'Bucket Counts'!$A:$A, "="&amp;$A9,  'Bucket Counts'!$F:$F, "&lt;&gt;100 Morts",  'Bucket Counts'!$F:$F, "&lt;&gt;224"))</f>
        <v>135800</v>
      </c>
      <c r="BB9" s="430">
        <f>(SUMIFS('Bucket Counts'!$P:$P, 'Bucket Counts'!$B:$B, BB$2, 'Bucket Counts'!$A:$A, "="&amp;$A9,  'Bucket Counts'!$F:$F, "100 Morts"))</f>
        <v>0</v>
      </c>
      <c r="BC9" s="430">
        <f>(SUMIFS('Bucket Counts'!$P:$P, 'Bucket Counts'!$B:$B, BC$2, 'Bucket Counts'!$A:$A, "="&amp;$A9,  'Bucket Counts'!$F:$F, "224"))</f>
        <v>0</v>
      </c>
      <c r="BD9" s="430">
        <f>BF8</f>
        <v>150433.33333333334</v>
      </c>
      <c r="BE9" s="431">
        <f>SUM(BA9+BC9)</f>
        <v>135800</v>
      </c>
      <c r="BF9" s="432">
        <f>BA9+AZ9</f>
        <v>136800</v>
      </c>
      <c r="BG9" s="429">
        <f>SUMIFS(Collection!$O:$O, Collection!$K:$K, BG$2, Collection!$A:$A, "="&amp;$A9)</f>
        <v>0</v>
      </c>
      <c r="BH9" s="430">
        <f>(SUMIFS('Bucket Counts'!$P:$P, 'Bucket Counts'!$B:$B, BH$2, 'Bucket Counts'!$A:$A, "="&amp;$A9,  'Bucket Counts'!$F:$F, "&lt;&gt;100 Morts",  'Bucket Counts'!$F:$F, "&lt;&gt;224"))</f>
        <v>0</v>
      </c>
      <c r="BI9" s="430">
        <f>(SUMIFS('Bucket Counts'!$P:$P, 'Bucket Counts'!$B:$B, BI$2, 'Bucket Counts'!$A:$A, "="&amp;$A9,  'Bucket Counts'!$F:$F, "100 Morts"))</f>
        <v>0</v>
      </c>
      <c r="BJ9" s="430">
        <f>(SUMIFS('Bucket Counts'!$P:$P, 'Bucket Counts'!$B:$B, BJ$2, 'Bucket Counts'!$A:$A, "="&amp;$A9,  'Bucket Counts'!$F:$F, "224"))</f>
        <v>0</v>
      </c>
      <c r="BK9" s="430">
        <f>BM8</f>
        <v>0</v>
      </c>
      <c r="BL9" s="431">
        <f>SUM(BH9+BJ9)</f>
        <v>0</v>
      </c>
      <c r="BM9" s="432">
        <f>BH9+BG9</f>
        <v>0</v>
      </c>
      <c r="BN9" s="429">
        <f>SUMIFS(Collection!$O:$O, Collection!$K:$K, BN$2, Collection!$A:$A, "="&amp;$A9)</f>
        <v>0</v>
      </c>
      <c r="BO9" s="430">
        <f>(SUMIFS('Bucket Counts'!$P:$P, 'Bucket Counts'!$B:$B, BO$2, 'Bucket Counts'!$A:$A, "="&amp;$A9,  'Bucket Counts'!$F:$F, "&lt;&gt;100 Morts",  'Bucket Counts'!$F:$F, "&lt;&gt;224"))</f>
        <v>0</v>
      </c>
      <c r="BP9" s="430">
        <f>(SUMIFS('Bucket Counts'!$P:$P, 'Bucket Counts'!$B:$B, BP$2, 'Bucket Counts'!$A:$A, "="&amp;$A9,  'Bucket Counts'!$F:$F, "100 Morts"))</f>
        <v>0</v>
      </c>
      <c r="BQ9" s="430">
        <f>(SUMIFS('Bucket Counts'!$P:$P, 'Bucket Counts'!$B:$B, BQ$2, 'Bucket Counts'!$A:$A, "="&amp;$A9,  'Bucket Counts'!$F:$F, "224"))</f>
        <v>0</v>
      </c>
      <c r="BR9" s="430">
        <f>BT8</f>
        <v>0</v>
      </c>
      <c r="BS9" s="431">
        <f>SUM(BO9+BQ9)</f>
        <v>0</v>
      </c>
      <c r="BT9" s="432">
        <f>BO9+BN9</f>
        <v>0</v>
      </c>
      <c r="BU9" s="429">
        <f>SUMIFS(Collection!$O:$O, Collection!$K:$K, BU$2, Collection!$A:$A, "="&amp;$A9)</f>
        <v>0</v>
      </c>
      <c r="BV9" s="430">
        <f>(SUMIFS('Bucket Counts'!$P:$P, 'Bucket Counts'!$B:$B, BV$2, 'Bucket Counts'!$A:$A, "="&amp;$A9,  'Bucket Counts'!$F:$F, "&lt;&gt;100 Morts",  'Bucket Counts'!$F:$F, "&lt;&gt;224"))</f>
        <v>0</v>
      </c>
      <c r="BW9" s="430">
        <f>(SUMIFS('Bucket Counts'!$P:$P, 'Bucket Counts'!$B:$B, BW$2, 'Bucket Counts'!$A:$A, "="&amp;$A9,  'Bucket Counts'!$F:$F, "100 Morts"))</f>
        <v>0</v>
      </c>
      <c r="BX9" s="430">
        <f>(SUMIFS('Bucket Counts'!$P:$P, 'Bucket Counts'!$B:$B, BX$2, 'Bucket Counts'!$A:$A, "="&amp;$A9,  'Bucket Counts'!$F:$F, "224"))</f>
        <v>0</v>
      </c>
      <c r="BY9" s="430">
        <f>CA8</f>
        <v>0</v>
      </c>
      <c r="BZ9" s="431">
        <f>SUM(BV9+BX9)</f>
        <v>0</v>
      </c>
      <c r="CA9" s="432">
        <f>BV9+BU9</f>
        <v>0</v>
      </c>
      <c r="CB9" s="429">
        <f>SUMIFS(Collection!$O:$O, Collection!$K:$K, CB$2, Collection!$A:$A, "="&amp;$A9)</f>
        <v>0</v>
      </c>
      <c r="CC9" s="430">
        <f>(SUMIFS('Bucket Counts'!$P:$P, 'Bucket Counts'!$B:$B, CC$2, 'Bucket Counts'!$A:$A, "="&amp;$A9,  'Bucket Counts'!$F:$F, "&lt;&gt;100 Morts",  'Bucket Counts'!$F:$F, "&lt;&gt;224"))</f>
        <v>0</v>
      </c>
      <c r="CD9" s="430">
        <f>(SUMIFS('Bucket Counts'!$P:$P, 'Bucket Counts'!$B:$B, CD$2, 'Bucket Counts'!$A:$A, "="&amp;$A9,  'Bucket Counts'!$F:$F, "100 Morts"))</f>
        <v>0</v>
      </c>
      <c r="CE9" s="430">
        <f>(SUMIFS('Bucket Counts'!$P:$P, 'Bucket Counts'!$B:$B, CE$2, 'Bucket Counts'!$A:$A, "="&amp;$A9,  'Bucket Counts'!$F:$F, "224"))</f>
        <v>0</v>
      </c>
      <c r="CF9" s="430">
        <f>CH8</f>
        <v>0</v>
      </c>
      <c r="CG9" s="431">
        <f>SUM(CC9+CE9)</f>
        <v>0</v>
      </c>
      <c r="CH9" s="432">
        <f>CC9+CB9</f>
        <v>0</v>
      </c>
      <c r="CI9" s="429">
        <f>SUMIFS(Collection!$O:$O, Collection!$K:$K, CI$2, Collection!$A:$A, "="&amp;$A9)</f>
        <v>0</v>
      </c>
      <c r="CJ9" s="430">
        <f>(SUMIFS('Bucket Counts'!$P:$P, 'Bucket Counts'!$B:$B, CJ$2, 'Bucket Counts'!$A:$A, "="&amp;$A9,  'Bucket Counts'!$F:$F, "&lt;&gt;100 Morts",  'Bucket Counts'!$F:$F, "&lt;&gt;224"))</f>
        <v>124133.33333333333</v>
      </c>
      <c r="CK9" s="430">
        <f>(SUMIFS('Bucket Counts'!$P:$P, 'Bucket Counts'!$B:$B, CK$2, 'Bucket Counts'!$A:$A, "="&amp;$A9,  'Bucket Counts'!$F:$F, "100 Morts"))</f>
        <v>0</v>
      </c>
      <c r="CL9" s="430">
        <f>(SUMIFS('Bucket Counts'!$P:$P, 'Bucket Counts'!$B:$B, CL$2, 'Bucket Counts'!$A:$A, "="&amp;$A9,  'Bucket Counts'!$F:$F, "224"))</f>
        <v>0</v>
      </c>
      <c r="CM9" s="430">
        <f>CO8</f>
        <v>121875</v>
      </c>
      <c r="CN9" s="431">
        <f>SUM(CJ9+CL9)</f>
        <v>124133.33333333333</v>
      </c>
      <c r="CO9" s="432">
        <f>CJ9+CI9</f>
        <v>124133.33333333333</v>
      </c>
      <c r="CP9" s="429">
        <f>SUMIFS(Collection!$O:$O, Collection!$K:$K, CP$2, Collection!$A:$A, "="&amp;$A9)</f>
        <v>52733.333333333328</v>
      </c>
      <c r="CQ9" s="430">
        <f>(SUMIFS('Bucket Counts'!$P:$P, 'Bucket Counts'!$B:$B, CQ$2, 'Bucket Counts'!$A:$A, "="&amp;$A9,  'Bucket Counts'!$F:$F, "&lt;&gt;100 Morts",  'Bucket Counts'!$F:$F, "&lt;&gt;224"))</f>
        <v>15400</v>
      </c>
      <c r="CR9" s="430">
        <f>(SUMIFS('Bucket Counts'!$P:$P, 'Bucket Counts'!$B:$B, CR$2, 'Bucket Counts'!$A:$A, "="&amp;$A9,  'Bucket Counts'!$F:$F, "100 Morts"))</f>
        <v>0</v>
      </c>
      <c r="CS9" s="430">
        <f>(SUMIFS('Bucket Counts'!$P:$P, 'Bucket Counts'!$B:$B, CS$2, 'Bucket Counts'!$A:$A, "="&amp;$A9,  'Bucket Counts'!$F:$F, "224"))</f>
        <v>0</v>
      </c>
      <c r="CT9" s="430">
        <f>CV8</f>
        <v>11916.666666666666</v>
      </c>
      <c r="CU9" s="431">
        <f>SUM(CQ9+CS9)</f>
        <v>15400</v>
      </c>
      <c r="CV9" s="432">
        <f>CQ9+CP9</f>
        <v>68133.333333333328</v>
      </c>
      <c r="CW9" s="429">
        <f>SUMIFS(Collection!$O:$O, Collection!$K:$K, CW$2, Collection!$A:$A, "="&amp;$A9)</f>
        <v>0</v>
      </c>
      <c r="CX9" s="430">
        <f>(SUMIFS('Bucket Counts'!$P:$P, 'Bucket Counts'!$B:$B, CX$2, 'Bucket Counts'!$A:$A, "="&amp;$A9,  'Bucket Counts'!$F:$F, "&lt;&gt;100 Morts",  'Bucket Counts'!$F:$F, "&lt;&gt;224"))</f>
        <v>82333.333333333328</v>
      </c>
      <c r="CY9" s="430">
        <f>(SUMIFS('Bucket Counts'!$P:$P, 'Bucket Counts'!$B:$B, CY$2, 'Bucket Counts'!$A:$A, "="&amp;$A9,  'Bucket Counts'!$F:$F, "100 Morts"))</f>
        <v>0</v>
      </c>
      <c r="CZ9" s="430">
        <f>(SUMIFS('Bucket Counts'!$P:$P, 'Bucket Counts'!$B:$B, CZ$2, 'Bucket Counts'!$A:$A, "="&amp;$A9,  'Bucket Counts'!$F:$F, "224"))</f>
        <v>0</v>
      </c>
      <c r="DA9" s="430">
        <f>DC8</f>
        <v>91708.333333333343</v>
      </c>
      <c r="DB9" s="431">
        <f>SUM(CX9+CZ9)</f>
        <v>82333.333333333328</v>
      </c>
      <c r="DC9" s="432">
        <f>CX9+CW9</f>
        <v>82333.333333333328</v>
      </c>
      <c r="DD9" s="429">
        <f>SUMIFS(Collection!$O:$O, Collection!$K:$K, DD$2, Collection!$A:$A, "="&amp;$A9)</f>
        <v>49100</v>
      </c>
      <c r="DE9" s="430">
        <f>(SUMIFS('Bucket Counts'!$P:$P, 'Bucket Counts'!$B:$B, DE$2, 'Bucket Counts'!$A:$A, "="&amp;$A9,  'Bucket Counts'!$F:$F, "&lt;&gt;100 Morts",  'Bucket Counts'!$F:$F, "&lt;&gt;224"))</f>
        <v>55333.333333333343</v>
      </c>
      <c r="DF9" s="430">
        <f>(SUMIFS('Bucket Counts'!$P:$P, 'Bucket Counts'!$B:$B, DF$2, 'Bucket Counts'!$A:$A, "="&amp;$A9,  'Bucket Counts'!$F:$F, "100 Morts"))</f>
        <v>0</v>
      </c>
      <c r="DG9" s="430">
        <f>(SUMIFS('Bucket Counts'!$P:$P, 'Bucket Counts'!$B:$B, DG$2, 'Bucket Counts'!$A:$A, "="&amp;$A9,  'Bucket Counts'!$F:$F, "224"))</f>
        <v>0</v>
      </c>
      <c r="DH9" s="430">
        <f>DJ8</f>
        <v>55700</v>
      </c>
      <c r="DI9" s="431">
        <f>SUM(DE9+DG9)</f>
        <v>55333.333333333343</v>
      </c>
      <c r="DJ9" s="432">
        <f>DE9+DD9</f>
        <v>104433.33333333334</v>
      </c>
      <c r="DK9" s="429">
        <f>SUMIFS(Collection!$O:$O, Collection!$K:$K, DK$2, Collection!$A:$A, "="&amp;$A9)</f>
        <v>0</v>
      </c>
      <c r="DL9" s="430">
        <f>(SUMIFS('Bucket Counts'!$P:$P, 'Bucket Counts'!$B:$B, DL$2, 'Bucket Counts'!$A:$A, "="&amp;$A9,  'Bucket Counts'!$F:$F, "&lt;&gt;100 Morts",  'Bucket Counts'!$F:$F, "&lt;&gt;224"))</f>
        <v>10000</v>
      </c>
      <c r="DM9" s="430">
        <f>(SUMIFS('Bucket Counts'!$P:$P, 'Bucket Counts'!$B:$B, DM$2, 'Bucket Counts'!$A:$A, "="&amp;$A9,  'Bucket Counts'!$F:$F, "100 Morts"))</f>
        <v>0</v>
      </c>
      <c r="DN9" s="430">
        <f>(SUMIFS('Bucket Counts'!$P:$P, 'Bucket Counts'!$B:$B, DN$2, 'Bucket Counts'!$A:$A, "="&amp;$A9,  'Bucket Counts'!$F:$F, "224"))</f>
        <v>0</v>
      </c>
      <c r="DO9" s="430">
        <f>DQ8</f>
        <v>11866.666666666668</v>
      </c>
      <c r="DP9" s="431">
        <f>SUM(DL9+DN9)</f>
        <v>10000</v>
      </c>
      <c r="DQ9" s="432">
        <f>DL9+DK9</f>
        <v>10000</v>
      </c>
      <c r="DR9" s="429">
        <f>SUMIFS(Collection!$O:$O, Collection!$K:$K, DR$2, Collection!$A:$A, "="&amp;$A9)</f>
        <v>0</v>
      </c>
      <c r="DS9" s="430">
        <f>(SUMIFS('Bucket Counts'!$P:$P, 'Bucket Counts'!$B:$B, DS$2, 'Bucket Counts'!$A:$A, "="&amp;$A9,  'Bucket Counts'!$F:$F, "&lt;&gt;100 Morts",  'Bucket Counts'!$F:$F, "&lt;&gt;224"))</f>
        <v>0</v>
      </c>
      <c r="DT9" s="430">
        <f>(SUMIFS('Bucket Counts'!$P:$P, 'Bucket Counts'!$B:$B, DT$2, 'Bucket Counts'!$A:$A, "="&amp;$A9,  'Bucket Counts'!$F:$F, "100 Morts"))</f>
        <v>0</v>
      </c>
      <c r="DU9" s="430">
        <f>(SUMIFS('Bucket Counts'!$P:$P, 'Bucket Counts'!$B:$B, DU$2, 'Bucket Counts'!$A:$A, "="&amp;$A9,  'Bucket Counts'!$F:$F, "224"))</f>
        <v>0</v>
      </c>
      <c r="DV9" s="430">
        <f>DX8</f>
        <v>0</v>
      </c>
      <c r="DW9" s="431">
        <f>SUM(DS9+DU9)</f>
        <v>0</v>
      </c>
      <c r="DX9" s="432">
        <f>DS9+DR9</f>
        <v>0</v>
      </c>
      <c r="DY9" s="429">
        <f>SUMIFS(Collection!$O:$O, Collection!$K:$K, DY$2, Collection!$A:$A, "="&amp;$A9)</f>
        <v>21866.666666666664</v>
      </c>
      <c r="DZ9" s="430">
        <f>(SUMIFS('Bucket Counts'!$P:$P, 'Bucket Counts'!$B:$B, DZ$2, 'Bucket Counts'!$A:$A, "="&amp;$A9,  'Bucket Counts'!$F:$F, "&lt;&gt;100 Morts",  'Bucket Counts'!$F:$F, "&lt;&gt;224"))</f>
        <v>121666.66666666667</v>
      </c>
      <c r="EA9" s="430">
        <f>(SUMIFS('Bucket Counts'!$P:$P, 'Bucket Counts'!$B:$B, EA$2, 'Bucket Counts'!$A:$A, "="&amp;$A9,  'Bucket Counts'!$F:$F, "100 Morts"))</f>
        <v>0</v>
      </c>
      <c r="EB9" s="430">
        <f>(SUMIFS('Bucket Counts'!$P:$P, 'Bucket Counts'!$B:$B, EB$2, 'Bucket Counts'!$A:$A, "="&amp;$A9,  'Bucket Counts'!$F:$F, "224"))</f>
        <v>0</v>
      </c>
      <c r="EC9" s="430">
        <f>EE8</f>
        <v>148133.33333333334</v>
      </c>
      <c r="ED9" s="431">
        <f>SUM(DZ9+EB9)</f>
        <v>121666.66666666667</v>
      </c>
      <c r="EE9" s="432">
        <f>DZ9+DY9</f>
        <v>143533.33333333334</v>
      </c>
      <c r="EF9" s="429">
        <f>SUMIFS(Collection!$O:$O, Collection!$K:$K, EF$2, Collection!$A:$A, "="&amp;$A9)</f>
        <v>0</v>
      </c>
      <c r="EG9" s="430">
        <f>(SUMIFS('Bucket Counts'!$P:$P, 'Bucket Counts'!$B:$B, EG$2, 'Bucket Counts'!$A:$A, "="&amp;$A9,  'Bucket Counts'!$F:$F, "&lt;&gt;100 Morts",  'Bucket Counts'!$F:$F, "&lt;&gt;224"))</f>
        <v>0</v>
      </c>
      <c r="EH9" s="430">
        <f>(SUMIFS('Bucket Counts'!$P:$P, 'Bucket Counts'!$B:$B, EH$2, 'Bucket Counts'!$A:$A, "="&amp;$A9,  'Bucket Counts'!$F:$F, "100 Morts"))</f>
        <v>0</v>
      </c>
      <c r="EI9" s="430">
        <f>(SUMIFS('Bucket Counts'!$P:$P, 'Bucket Counts'!$B:$B, EI$2, 'Bucket Counts'!$A:$A, "="&amp;$A9,  'Bucket Counts'!$F:$F, "224"))</f>
        <v>0</v>
      </c>
      <c r="EJ9" s="430">
        <f>EL8</f>
        <v>0</v>
      </c>
      <c r="EK9" s="431">
        <f>SUM(EG9+EI9)</f>
        <v>0</v>
      </c>
      <c r="EL9" s="432">
        <f>EG9+EF9</f>
        <v>0</v>
      </c>
    </row>
    <row r="10" spans="1:142" s="362" customFormat="1" x14ac:dyDescent="0.2">
      <c r="A10" s="16">
        <v>42879</v>
      </c>
      <c r="B10" s="16" t="s">
        <v>487</v>
      </c>
      <c r="C10" s="369">
        <f>SUMIFS(Collection!$O:$O, Collection!$K:$K, C$2, Collection!$A:$A, "="&amp;$A10)</f>
        <v>0</v>
      </c>
      <c r="D10" s="116">
        <f>(SUMIFS('Bucket Counts'!$P:$P, 'Bucket Counts'!$B:$B, D$2, 'Bucket Counts'!$A:$A, "="&amp;$A10,  'Bucket Counts'!$F:$F, "&lt;&gt;100 Morts",  'Bucket Counts'!$F:$F, "&lt;&gt;224"))</f>
        <v>0</v>
      </c>
      <c r="E10" s="116">
        <f>(SUMIFS('Bucket Counts'!$P:$P, 'Bucket Counts'!$B:$B, E$2, 'Bucket Counts'!$A:$A, "="&amp;$A10,  'Bucket Counts'!$F:$F, "100 Morts"))</f>
        <v>0</v>
      </c>
      <c r="F10" s="116">
        <f>(SUMIFS('Bucket Counts'!$P:$P, 'Bucket Counts'!$B:$B, F$2, 'Bucket Counts'!$A:$A, "="&amp;$A10,  'Bucket Counts'!$F:$F, "224"))</f>
        <v>0</v>
      </c>
      <c r="G10" s="116"/>
      <c r="H10" s="426"/>
      <c r="I10" s="370">
        <f>D9+SUM(C9:C10)</f>
        <v>0</v>
      </c>
      <c r="J10" s="369">
        <f>SUMIFS(Collection!$O:$O, Collection!$K:$K, J$2, Collection!$A:$A, "="&amp;$A10)</f>
        <v>52350</v>
      </c>
      <c r="K10" s="116">
        <f>(SUMIFS('Bucket Counts'!$P:$P, 'Bucket Counts'!$B:$B, K$2, 'Bucket Counts'!$A:$A, "="&amp;$A10,  'Bucket Counts'!$F:$F, "&lt;&gt;100 Morts",  'Bucket Counts'!$F:$F, "&lt;&gt;224"))</f>
        <v>0</v>
      </c>
      <c r="L10" s="116">
        <f>(SUMIFS('Bucket Counts'!$P:$P, 'Bucket Counts'!$B:$B, L$2, 'Bucket Counts'!$A:$A, "="&amp;$A10,  'Bucket Counts'!$F:$F, "100 Morts"))</f>
        <v>0</v>
      </c>
      <c r="M10" s="116">
        <f>(SUMIFS('Bucket Counts'!$P:$P, 'Bucket Counts'!$B:$B, M$2, 'Bucket Counts'!$A:$A, "="&amp;$A10,  'Bucket Counts'!$F:$F, "224"))</f>
        <v>0</v>
      </c>
      <c r="N10" s="116"/>
      <c r="O10" s="426"/>
      <c r="P10" s="370">
        <f>K9+SUM(J9:J10)</f>
        <v>104216.66666666666</v>
      </c>
      <c r="Q10" s="369">
        <f>SUMIFS(Collection!$O:$O, Collection!$K:$K, Q$2, Collection!$A:$A, "="&amp;$A10)</f>
        <v>0</v>
      </c>
      <c r="R10" s="116">
        <f>(SUMIFS('Bucket Counts'!$P:$P, 'Bucket Counts'!$B:$B, R$2, 'Bucket Counts'!$A:$A, "="&amp;$A10,  'Bucket Counts'!$F:$F, "&lt;&gt;100 Morts",  'Bucket Counts'!$F:$F, "&lt;&gt;224"))</f>
        <v>0</v>
      </c>
      <c r="S10" s="116">
        <f>(SUMIFS('Bucket Counts'!$P:$P, 'Bucket Counts'!$B:$B, S$2, 'Bucket Counts'!$A:$A, "="&amp;$A10,  'Bucket Counts'!$F:$F, "100 Morts"))</f>
        <v>0</v>
      </c>
      <c r="T10" s="116">
        <f>(SUMIFS('Bucket Counts'!$P:$P, 'Bucket Counts'!$B:$B, T$2, 'Bucket Counts'!$A:$A, "="&amp;$A10,  'Bucket Counts'!$F:$F, "224"))</f>
        <v>0</v>
      </c>
      <c r="U10" s="116"/>
      <c r="V10" s="426"/>
      <c r="W10" s="370">
        <f>R9+SUM(Q9:Q10)</f>
        <v>0</v>
      </c>
      <c r="X10" s="369">
        <f>SUMIFS(Collection!$O:$O, Collection!$K:$K, X$2, Collection!$A:$A, "="&amp;$A10)</f>
        <v>0</v>
      </c>
      <c r="Y10" s="116">
        <f>(SUMIFS('Bucket Counts'!$P:$P, 'Bucket Counts'!$B:$B, Y$2, 'Bucket Counts'!$A:$A, "="&amp;$A10,  'Bucket Counts'!$F:$F, "&lt;&gt;100 Morts",  'Bucket Counts'!$F:$F, "&lt;&gt;224"))</f>
        <v>0</v>
      </c>
      <c r="Z10" s="116">
        <f>(SUMIFS('Bucket Counts'!$P:$P, 'Bucket Counts'!$B:$B, Z$2, 'Bucket Counts'!$A:$A, "="&amp;$A10,  'Bucket Counts'!$F:$F, "100 Morts"))</f>
        <v>0</v>
      </c>
      <c r="AA10" s="116">
        <f>(SUMIFS('Bucket Counts'!$P:$P, 'Bucket Counts'!$B:$B, AA$2, 'Bucket Counts'!$A:$A, "="&amp;$A10,  'Bucket Counts'!$F:$F, "224"))</f>
        <v>0</v>
      </c>
      <c r="AB10" s="116"/>
      <c r="AC10" s="426"/>
      <c r="AD10" s="370">
        <f>Y9+SUM(X9:X10)</f>
        <v>0</v>
      </c>
      <c r="AE10" s="369">
        <f>SUMIFS(Collection!$O:$O, Collection!$K:$K, AE$2, Collection!$A:$A, "="&amp;$A10)</f>
        <v>0</v>
      </c>
      <c r="AF10" s="116">
        <f>(SUMIFS('Bucket Counts'!$P:$P, 'Bucket Counts'!$B:$B, AF$2, 'Bucket Counts'!$A:$A, "="&amp;$A10,  'Bucket Counts'!$F:$F, "&lt;&gt;100 Morts",  'Bucket Counts'!$F:$F, "&lt;&gt;224"))</f>
        <v>0</v>
      </c>
      <c r="AG10" s="116">
        <f>(SUMIFS('Bucket Counts'!$P:$P, 'Bucket Counts'!$B:$B, AG$2, 'Bucket Counts'!$A:$A, "="&amp;$A10,  'Bucket Counts'!$F:$F, "100 Morts"))</f>
        <v>0</v>
      </c>
      <c r="AH10" s="116">
        <f>(SUMIFS('Bucket Counts'!$P:$P, 'Bucket Counts'!$B:$B, AH$2, 'Bucket Counts'!$A:$A, "="&amp;$A10,  'Bucket Counts'!$F:$F, "224"))</f>
        <v>0</v>
      </c>
      <c r="AI10" s="116"/>
      <c r="AJ10" s="426"/>
      <c r="AK10" s="370">
        <f>AF9+SUM(AE9:AE10)</f>
        <v>145600</v>
      </c>
      <c r="AL10" s="369">
        <f>SUMIFS(Collection!$O:$O, Collection!$K:$K, AL$2, Collection!$A:$A, "="&amp;$A10)</f>
        <v>0</v>
      </c>
      <c r="AM10" s="116">
        <f>(SUMIFS('Bucket Counts'!$P:$P, 'Bucket Counts'!$B:$B, AM$2, 'Bucket Counts'!$A:$A, "="&amp;$A10,  'Bucket Counts'!$F:$F, "&lt;&gt;100 Morts",  'Bucket Counts'!$F:$F, "&lt;&gt;224"))</f>
        <v>0</v>
      </c>
      <c r="AN10" s="116">
        <f>(SUMIFS('Bucket Counts'!$P:$P, 'Bucket Counts'!$B:$B, AN$2, 'Bucket Counts'!$A:$A, "="&amp;$A10,  'Bucket Counts'!$F:$F, "100 Morts"))</f>
        <v>0</v>
      </c>
      <c r="AO10" s="116">
        <f>(SUMIFS('Bucket Counts'!$P:$P, 'Bucket Counts'!$B:$B, AO$2, 'Bucket Counts'!$A:$A, "="&amp;$A10,  'Bucket Counts'!$F:$F, "224"))</f>
        <v>0</v>
      </c>
      <c r="AP10" s="116"/>
      <c r="AQ10" s="426"/>
      <c r="AR10" s="370">
        <f>AM9+SUM(AL9:AL10)</f>
        <v>222800</v>
      </c>
      <c r="AS10" s="369">
        <f>SUMIFS(Collection!$O:$O, Collection!$K:$K, AS$2, Collection!$A:$A, "="&amp;$A10)</f>
        <v>4500</v>
      </c>
      <c r="AT10" s="116">
        <f>(SUMIFS('Bucket Counts'!$P:$P, 'Bucket Counts'!$B:$B, AT$2, 'Bucket Counts'!$A:$A, "="&amp;$A10,  'Bucket Counts'!$F:$F, "&lt;&gt;100 Morts",  'Bucket Counts'!$F:$F, "&lt;&gt;224"))</f>
        <v>0</v>
      </c>
      <c r="AU10" s="116">
        <f>(SUMIFS('Bucket Counts'!$P:$P, 'Bucket Counts'!$B:$B, AU$2, 'Bucket Counts'!$A:$A, "="&amp;$A10,  'Bucket Counts'!$F:$F, "100 Morts"))</f>
        <v>0</v>
      </c>
      <c r="AV10" s="116">
        <f>(SUMIFS('Bucket Counts'!$P:$P, 'Bucket Counts'!$B:$B, AV$2, 'Bucket Counts'!$A:$A, "="&amp;$A10,  'Bucket Counts'!$F:$F, "224"))</f>
        <v>0</v>
      </c>
      <c r="AW10" s="116"/>
      <c r="AX10" s="426"/>
      <c r="AY10" s="370">
        <f>AT9+SUM(AS9:AS10)</f>
        <v>105366.66666666669</v>
      </c>
      <c r="AZ10" s="369">
        <f>SUMIFS(Collection!$O:$O, Collection!$K:$K, AZ$2, Collection!$A:$A, "="&amp;$A10)</f>
        <v>0</v>
      </c>
      <c r="BA10" s="116">
        <f>(SUMIFS('Bucket Counts'!$P:$P, 'Bucket Counts'!$B:$B, BA$2, 'Bucket Counts'!$A:$A, "="&amp;$A10,  'Bucket Counts'!$F:$F, "&lt;&gt;100 Morts",  'Bucket Counts'!$F:$F, "&lt;&gt;224"))</f>
        <v>0</v>
      </c>
      <c r="BB10" s="116">
        <f>(SUMIFS('Bucket Counts'!$P:$P, 'Bucket Counts'!$B:$B, BB$2, 'Bucket Counts'!$A:$A, "="&amp;$A10,  'Bucket Counts'!$F:$F, "100 Morts"))</f>
        <v>0</v>
      </c>
      <c r="BC10" s="116">
        <f>(SUMIFS('Bucket Counts'!$P:$P, 'Bucket Counts'!$B:$B, BC$2, 'Bucket Counts'!$A:$A, "="&amp;$A10,  'Bucket Counts'!$F:$F, "224"))</f>
        <v>0</v>
      </c>
      <c r="BD10" s="116"/>
      <c r="BE10" s="426"/>
      <c r="BF10" s="370">
        <f>BA9+SUM(AZ9:AZ10)</f>
        <v>136800</v>
      </c>
      <c r="BG10" s="369">
        <f>SUMIFS(Collection!$O:$O, Collection!$K:$K, BG$2, Collection!$A:$A, "="&amp;$A10)</f>
        <v>51466.666666666664</v>
      </c>
      <c r="BH10" s="116">
        <f>(SUMIFS('Bucket Counts'!$P:$P, 'Bucket Counts'!$B:$B, BH$2, 'Bucket Counts'!$A:$A, "="&amp;$A10,  'Bucket Counts'!$F:$F, "&lt;&gt;100 Morts",  'Bucket Counts'!$F:$F, "&lt;&gt;224"))</f>
        <v>0</v>
      </c>
      <c r="BI10" s="116">
        <f>(SUMIFS('Bucket Counts'!$P:$P, 'Bucket Counts'!$B:$B, BI$2, 'Bucket Counts'!$A:$A, "="&amp;$A10,  'Bucket Counts'!$F:$F, "100 Morts"))</f>
        <v>0</v>
      </c>
      <c r="BJ10" s="116">
        <f>(SUMIFS('Bucket Counts'!$P:$P, 'Bucket Counts'!$B:$B, BJ$2, 'Bucket Counts'!$A:$A, "="&amp;$A10,  'Bucket Counts'!$F:$F, "224"))</f>
        <v>0</v>
      </c>
      <c r="BK10" s="116"/>
      <c r="BL10" s="426"/>
      <c r="BM10" s="370">
        <f>BH9+SUM(BG9:BG10)</f>
        <v>51466.666666666664</v>
      </c>
      <c r="BN10" s="369">
        <f>SUMIFS(Collection!$O:$O, Collection!$K:$K, BN$2, Collection!$A:$A, "="&amp;$A10)</f>
        <v>0</v>
      </c>
      <c r="BO10" s="116">
        <f>(SUMIFS('Bucket Counts'!$P:$P, 'Bucket Counts'!$B:$B, BO$2, 'Bucket Counts'!$A:$A, "="&amp;$A10,  'Bucket Counts'!$F:$F, "&lt;&gt;100 Morts",  'Bucket Counts'!$F:$F, "&lt;&gt;224"))</f>
        <v>0</v>
      </c>
      <c r="BP10" s="116">
        <f>(SUMIFS('Bucket Counts'!$P:$P, 'Bucket Counts'!$B:$B, BP$2, 'Bucket Counts'!$A:$A, "="&amp;$A10,  'Bucket Counts'!$F:$F, "100 Morts"))</f>
        <v>0</v>
      </c>
      <c r="BQ10" s="116">
        <f>(SUMIFS('Bucket Counts'!$P:$P, 'Bucket Counts'!$B:$B, BQ$2, 'Bucket Counts'!$A:$A, "="&amp;$A10,  'Bucket Counts'!$F:$F, "224"))</f>
        <v>0</v>
      </c>
      <c r="BR10" s="116"/>
      <c r="BS10" s="426"/>
      <c r="BT10" s="370">
        <f>BO9+SUM(BN9:BN10)</f>
        <v>0</v>
      </c>
      <c r="BU10" s="369">
        <f>SUMIFS(Collection!$O:$O, Collection!$K:$K, BU$2, Collection!$A:$A, "="&amp;$A10)</f>
        <v>0</v>
      </c>
      <c r="BV10" s="116">
        <f>(SUMIFS('Bucket Counts'!$P:$P, 'Bucket Counts'!$B:$B, BV$2, 'Bucket Counts'!$A:$A, "="&amp;$A10,  'Bucket Counts'!$F:$F, "&lt;&gt;100 Morts",  'Bucket Counts'!$F:$F, "&lt;&gt;224"))</f>
        <v>0</v>
      </c>
      <c r="BW10" s="116">
        <f>(SUMIFS('Bucket Counts'!$P:$P, 'Bucket Counts'!$B:$B, BW$2, 'Bucket Counts'!$A:$A, "="&amp;$A10,  'Bucket Counts'!$F:$F, "100 Morts"))</f>
        <v>0</v>
      </c>
      <c r="BX10" s="116">
        <f>(SUMIFS('Bucket Counts'!$P:$P, 'Bucket Counts'!$B:$B, BX$2, 'Bucket Counts'!$A:$A, "="&amp;$A10,  'Bucket Counts'!$F:$F, "224"))</f>
        <v>0</v>
      </c>
      <c r="BY10" s="116"/>
      <c r="BZ10" s="426"/>
      <c r="CA10" s="370">
        <f>BV9+SUM(BU9:BU10)</f>
        <v>0</v>
      </c>
      <c r="CB10" s="369">
        <f>SUMIFS(Collection!$O:$O, Collection!$K:$K, CB$2, Collection!$A:$A, "="&amp;$A10)</f>
        <v>0</v>
      </c>
      <c r="CC10" s="116">
        <f>(SUMIFS('Bucket Counts'!$P:$P, 'Bucket Counts'!$B:$B, CC$2, 'Bucket Counts'!$A:$A, "="&amp;$A10,  'Bucket Counts'!$F:$F, "&lt;&gt;100 Morts",  'Bucket Counts'!$F:$F, "&lt;&gt;224"))</f>
        <v>0</v>
      </c>
      <c r="CD10" s="116">
        <f>(SUMIFS('Bucket Counts'!$P:$P, 'Bucket Counts'!$B:$B, CD$2, 'Bucket Counts'!$A:$A, "="&amp;$A10,  'Bucket Counts'!$F:$F, "100 Morts"))</f>
        <v>0</v>
      </c>
      <c r="CE10" s="116">
        <f>(SUMIFS('Bucket Counts'!$P:$P, 'Bucket Counts'!$B:$B, CE$2, 'Bucket Counts'!$A:$A, "="&amp;$A10,  'Bucket Counts'!$F:$F, "224"))</f>
        <v>0</v>
      </c>
      <c r="CF10" s="116"/>
      <c r="CG10" s="426"/>
      <c r="CH10" s="370">
        <f>CC9+SUM(CB9:CB10)</f>
        <v>0</v>
      </c>
      <c r="CI10" s="369">
        <f>SUMIFS(Collection!$O:$O, Collection!$K:$K, CI$2, Collection!$A:$A, "="&amp;$A10)</f>
        <v>24150</v>
      </c>
      <c r="CJ10" s="116">
        <f>(SUMIFS('Bucket Counts'!$P:$P, 'Bucket Counts'!$B:$B, CJ$2, 'Bucket Counts'!$A:$A, "="&amp;$A10,  'Bucket Counts'!$F:$F, "&lt;&gt;100 Morts",  'Bucket Counts'!$F:$F, "&lt;&gt;224"))</f>
        <v>0</v>
      </c>
      <c r="CK10" s="116">
        <f>(SUMIFS('Bucket Counts'!$P:$P, 'Bucket Counts'!$B:$B, CK$2, 'Bucket Counts'!$A:$A, "="&amp;$A10,  'Bucket Counts'!$F:$F, "100 Morts"))</f>
        <v>0</v>
      </c>
      <c r="CL10" s="116">
        <f>(SUMIFS('Bucket Counts'!$P:$P, 'Bucket Counts'!$B:$B, CL$2, 'Bucket Counts'!$A:$A, "="&amp;$A10,  'Bucket Counts'!$F:$F, "224"))</f>
        <v>0</v>
      </c>
      <c r="CM10" s="116"/>
      <c r="CN10" s="426"/>
      <c r="CO10" s="370">
        <f>CJ9+SUM(CI9:CI10)</f>
        <v>148283.33333333331</v>
      </c>
      <c r="CP10" s="369">
        <f>SUMIFS(Collection!$O:$O, Collection!$K:$K, CP$2, Collection!$A:$A, "="&amp;$A10)</f>
        <v>50000</v>
      </c>
      <c r="CQ10" s="116">
        <f>(SUMIFS('Bucket Counts'!$P:$P, 'Bucket Counts'!$B:$B, CQ$2, 'Bucket Counts'!$A:$A, "="&amp;$A10,  'Bucket Counts'!$F:$F, "&lt;&gt;100 Morts",  'Bucket Counts'!$F:$F, "&lt;&gt;224"))</f>
        <v>0</v>
      </c>
      <c r="CR10" s="116">
        <f>(SUMIFS('Bucket Counts'!$P:$P, 'Bucket Counts'!$B:$B, CR$2, 'Bucket Counts'!$A:$A, "="&amp;$A10,  'Bucket Counts'!$F:$F, "100 Morts"))</f>
        <v>0</v>
      </c>
      <c r="CS10" s="116">
        <f>(SUMIFS('Bucket Counts'!$P:$P, 'Bucket Counts'!$B:$B, CS$2, 'Bucket Counts'!$A:$A, "="&amp;$A10,  'Bucket Counts'!$F:$F, "224"))</f>
        <v>0</v>
      </c>
      <c r="CT10" s="116"/>
      <c r="CU10" s="426"/>
      <c r="CV10" s="370">
        <f>CQ9+SUM(CP9:CP10)</f>
        <v>118133.33333333333</v>
      </c>
      <c r="CW10" s="369">
        <f>SUMIFS(Collection!$O:$O, Collection!$K:$K, CW$2, Collection!$A:$A, "="&amp;$A10)</f>
        <v>0</v>
      </c>
      <c r="CX10" s="116">
        <f>(SUMIFS('Bucket Counts'!$P:$P, 'Bucket Counts'!$B:$B, CX$2, 'Bucket Counts'!$A:$A, "="&amp;$A10,  'Bucket Counts'!$F:$F, "&lt;&gt;100 Morts",  'Bucket Counts'!$F:$F, "&lt;&gt;224"))</f>
        <v>0</v>
      </c>
      <c r="CY10" s="116">
        <f>(SUMIFS('Bucket Counts'!$P:$P, 'Bucket Counts'!$B:$B, CY$2, 'Bucket Counts'!$A:$A, "="&amp;$A10,  'Bucket Counts'!$F:$F, "100 Morts"))</f>
        <v>0</v>
      </c>
      <c r="CZ10" s="116">
        <f>(SUMIFS('Bucket Counts'!$P:$P, 'Bucket Counts'!$B:$B, CZ$2, 'Bucket Counts'!$A:$A, "="&amp;$A10,  'Bucket Counts'!$F:$F, "224"))</f>
        <v>0</v>
      </c>
      <c r="DA10" s="116"/>
      <c r="DB10" s="426"/>
      <c r="DC10" s="370">
        <f>CX9+SUM(CW9:CW10)</f>
        <v>82333.333333333328</v>
      </c>
      <c r="DD10" s="369">
        <f>SUMIFS(Collection!$O:$O, Collection!$K:$K, DD$2, Collection!$A:$A, "="&amp;$A10)</f>
        <v>22833.333333333332</v>
      </c>
      <c r="DE10" s="116">
        <f>(SUMIFS('Bucket Counts'!$P:$P, 'Bucket Counts'!$B:$B, DE$2, 'Bucket Counts'!$A:$A, "="&amp;$A10,  'Bucket Counts'!$F:$F, "&lt;&gt;100 Morts",  'Bucket Counts'!$F:$F, "&lt;&gt;224"))</f>
        <v>0</v>
      </c>
      <c r="DF10" s="116">
        <f>(SUMIFS('Bucket Counts'!$P:$P, 'Bucket Counts'!$B:$B, DF$2, 'Bucket Counts'!$A:$A, "="&amp;$A10,  'Bucket Counts'!$F:$F, "100 Morts"))</f>
        <v>0</v>
      </c>
      <c r="DG10" s="116">
        <f>(SUMIFS('Bucket Counts'!$P:$P, 'Bucket Counts'!$B:$B, DG$2, 'Bucket Counts'!$A:$A, "="&amp;$A10,  'Bucket Counts'!$F:$F, "224"))</f>
        <v>0</v>
      </c>
      <c r="DH10" s="116"/>
      <c r="DI10" s="426"/>
      <c r="DJ10" s="370">
        <f>DE9+SUM(DD9:DD10)</f>
        <v>127266.66666666667</v>
      </c>
      <c r="DK10" s="369">
        <f>SUMIFS(Collection!$O:$O, Collection!$K:$K, DK$2, Collection!$A:$A, "="&amp;$A10)</f>
        <v>0</v>
      </c>
      <c r="DL10" s="116">
        <f>(SUMIFS('Bucket Counts'!$P:$P, 'Bucket Counts'!$B:$B, DL$2, 'Bucket Counts'!$A:$A, "="&amp;$A10,  'Bucket Counts'!$F:$F, "&lt;&gt;100 Morts",  'Bucket Counts'!$F:$F, "&lt;&gt;224"))</f>
        <v>0</v>
      </c>
      <c r="DM10" s="116">
        <f>(SUMIFS('Bucket Counts'!$P:$P, 'Bucket Counts'!$B:$B, DM$2, 'Bucket Counts'!$A:$A, "="&amp;$A10,  'Bucket Counts'!$F:$F, "100 Morts"))</f>
        <v>0</v>
      </c>
      <c r="DN10" s="116">
        <f>(SUMIFS('Bucket Counts'!$P:$P, 'Bucket Counts'!$B:$B, DN$2, 'Bucket Counts'!$A:$A, "="&amp;$A10,  'Bucket Counts'!$F:$F, "224"))</f>
        <v>0</v>
      </c>
      <c r="DO10" s="116"/>
      <c r="DP10" s="426"/>
      <c r="DQ10" s="370">
        <f>DL9+SUM(DK9:DK10)</f>
        <v>10000</v>
      </c>
      <c r="DR10" s="369">
        <f>SUMIFS(Collection!$O:$O, Collection!$K:$K, DR$2, Collection!$A:$A, "="&amp;$A10)</f>
        <v>0</v>
      </c>
      <c r="DS10" s="116">
        <f>(SUMIFS('Bucket Counts'!$P:$P, 'Bucket Counts'!$B:$B, DS$2, 'Bucket Counts'!$A:$A, "="&amp;$A10,  'Bucket Counts'!$F:$F, "&lt;&gt;100 Morts",  'Bucket Counts'!$F:$F, "&lt;&gt;224"))</f>
        <v>0</v>
      </c>
      <c r="DT10" s="116">
        <f>(SUMIFS('Bucket Counts'!$P:$P, 'Bucket Counts'!$B:$B, DT$2, 'Bucket Counts'!$A:$A, "="&amp;$A10,  'Bucket Counts'!$F:$F, "100 Morts"))</f>
        <v>0</v>
      </c>
      <c r="DU10" s="116">
        <f>(SUMIFS('Bucket Counts'!$P:$P, 'Bucket Counts'!$B:$B, DU$2, 'Bucket Counts'!$A:$A, "="&amp;$A10,  'Bucket Counts'!$F:$F, "224"))</f>
        <v>0</v>
      </c>
      <c r="DV10" s="116"/>
      <c r="DW10" s="426"/>
      <c r="DX10" s="370">
        <f>DS9+SUM(DR9:DR10)</f>
        <v>0</v>
      </c>
      <c r="DY10" s="369">
        <f>SUMIFS(Collection!$O:$O, Collection!$K:$K, DY$2, Collection!$A:$A, "="&amp;$A10)</f>
        <v>0</v>
      </c>
      <c r="DZ10" s="116">
        <f>(SUMIFS('Bucket Counts'!$P:$P, 'Bucket Counts'!$B:$B, DZ$2, 'Bucket Counts'!$A:$A, "="&amp;$A10,  'Bucket Counts'!$F:$F, "&lt;&gt;100 Morts",  'Bucket Counts'!$F:$F, "&lt;&gt;224"))</f>
        <v>0</v>
      </c>
      <c r="EA10" s="116">
        <f>(SUMIFS('Bucket Counts'!$P:$P, 'Bucket Counts'!$B:$B, EA$2, 'Bucket Counts'!$A:$A, "="&amp;$A10,  'Bucket Counts'!$F:$F, "100 Morts"))</f>
        <v>0</v>
      </c>
      <c r="EB10" s="116">
        <f>(SUMIFS('Bucket Counts'!$P:$P, 'Bucket Counts'!$B:$B, EB$2, 'Bucket Counts'!$A:$A, "="&amp;$A10,  'Bucket Counts'!$F:$F, "224"))</f>
        <v>0</v>
      </c>
      <c r="EC10" s="116"/>
      <c r="ED10" s="426"/>
      <c r="EE10" s="370">
        <f>DZ9+SUM(DY9:DY10)</f>
        <v>143533.33333333334</v>
      </c>
      <c r="EF10" s="369">
        <f>SUMIFS(Collection!$O:$O, Collection!$K:$K, EF$2, Collection!$A:$A, "="&amp;$A10)</f>
        <v>59600</v>
      </c>
      <c r="EG10" s="116">
        <f>(SUMIFS('Bucket Counts'!$P:$P, 'Bucket Counts'!$B:$B, EG$2, 'Bucket Counts'!$A:$A, "="&amp;$A10,  'Bucket Counts'!$F:$F, "&lt;&gt;100 Morts",  'Bucket Counts'!$F:$F, "&lt;&gt;224"))</f>
        <v>0</v>
      </c>
      <c r="EH10" s="116">
        <f>(SUMIFS('Bucket Counts'!$P:$P, 'Bucket Counts'!$B:$B, EH$2, 'Bucket Counts'!$A:$A, "="&amp;$A10,  'Bucket Counts'!$F:$F, "100 Morts"))</f>
        <v>0</v>
      </c>
      <c r="EI10" s="116">
        <f>(SUMIFS('Bucket Counts'!$P:$P, 'Bucket Counts'!$B:$B, EI$2, 'Bucket Counts'!$A:$A, "="&amp;$A10,  'Bucket Counts'!$F:$F, "224"))</f>
        <v>0</v>
      </c>
      <c r="EJ10" s="116"/>
      <c r="EK10" s="426"/>
      <c r="EL10" s="370">
        <f>EG9+SUM(EF9:EF10)</f>
        <v>59600</v>
      </c>
    </row>
    <row r="11" spans="1:142" s="362" customFormat="1" x14ac:dyDescent="0.2">
      <c r="A11" s="16">
        <v>42880</v>
      </c>
      <c r="B11" s="16" t="s">
        <v>487</v>
      </c>
      <c r="C11" s="369">
        <f>SUMIFS(Collection!$O:$O, Collection!$K:$K, C$2, Collection!$A:$A, "="&amp;$A11)</f>
        <v>69750</v>
      </c>
      <c r="D11" s="116">
        <f>(SUMIFS('Bucket Counts'!$P:$P, 'Bucket Counts'!$B:$B, D$2, 'Bucket Counts'!$A:$A, "="&amp;$A11,  'Bucket Counts'!$F:$F, "&lt;&gt;100 Morts",  'Bucket Counts'!$F:$F, "&lt;&gt;224"))</f>
        <v>0</v>
      </c>
      <c r="E11" s="116">
        <f>(SUMIFS('Bucket Counts'!$P:$P, 'Bucket Counts'!$B:$B, E$2, 'Bucket Counts'!$A:$A, "="&amp;$A11,  'Bucket Counts'!$F:$F, "100 Morts"))</f>
        <v>0</v>
      </c>
      <c r="F11" s="116">
        <f>(SUMIFS('Bucket Counts'!$P:$P, 'Bucket Counts'!$B:$B, F$2, 'Bucket Counts'!$A:$A, "="&amp;$A11,  'Bucket Counts'!$F:$F, "224"))</f>
        <v>0</v>
      </c>
      <c r="G11" s="116"/>
      <c r="H11" s="427"/>
      <c r="I11" s="370">
        <f>D9+SUM(C9:C11)</f>
        <v>69750</v>
      </c>
      <c r="J11" s="369">
        <f>SUMIFS(Collection!$O:$O, Collection!$K:$K, J$2, Collection!$A:$A, "="&amp;$A11)</f>
        <v>0</v>
      </c>
      <c r="K11" s="116">
        <f>(SUMIFS('Bucket Counts'!$P:$P, 'Bucket Counts'!$B:$B, K$2, 'Bucket Counts'!$A:$A, "="&amp;$A11,  'Bucket Counts'!$F:$F, "&lt;&gt;100 Morts",  'Bucket Counts'!$F:$F, "&lt;&gt;224"))</f>
        <v>0</v>
      </c>
      <c r="L11" s="116">
        <f>(SUMIFS('Bucket Counts'!$P:$P, 'Bucket Counts'!$B:$B, L$2, 'Bucket Counts'!$A:$A, "="&amp;$A11,  'Bucket Counts'!$F:$F, "100 Morts"))</f>
        <v>0</v>
      </c>
      <c r="M11" s="116">
        <f>(SUMIFS('Bucket Counts'!$P:$P, 'Bucket Counts'!$B:$B, M$2, 'Bucket Counts'!$A:$A, "="&amp;$A11,  'Bucket Counts'!$F:$F, "224"))</f>
        <v>0</v>
      </c>
      <c r="N11" s="116"/>
      <c r="O11" s="427"/>
      <c r="P11" s="370">
        <f>K9+SUM(J9:J11)</f>
        <v>104216.66666666666</v>
      </c>
      <c r="Q11" s="369">
        <f>SUMIFS(Collection!$O:$O, Collection!$K:$K, Q$2, Collection!$A:$A, "="&amp;$A11)</f>
        <v>10800</v>
      </c>
      <c r="R11" s="116">
        <f>(SUMIFS('Bucket Counts'!$P:$P, 'Bucket Counts'!$B:$B, R$2, 'Bucket Counts'!$A:$A, "="&amp;$A11,  'Bucket Counts'!$F:$F, "&lt;&gt;100 Morts",  'Bucket Counts'!$F:$F, "&lt;&gt;224"))</f>
        <v>0</v>
      </c>
      <c r="S11" s="116">
        <f>(SUMIFS('Bucket Counts'!$P:$P, 'Bucket Counts'!$B:$B, S$2, 'Bucket Counts'!$A:$A, "="&amp;$A11,  'Bucket Counts'!$F:$F, "100 Morts"))</f>
        <v>0</v>
      </c>
      <c r="T11" s="116">
        <f>(SUMIFS('Bucket Counts'!$P:$P, 'Bucket Counts'!$B:$B, T$2, 'Bucket Counts'!$A:$A, "="&amp;$A11,  'Bucket Counts'!$F:$F, "224"))</f>
        <v>0</v>
      </c>
      <c r="U11" s="116"/>
      <c r="V11" s="427"/>
      <c r="W11" s="370">
        <f>R9+SUM(Q9:Q11)</f>
        <v>10800</v>
      </c>
      <c r="X11" s="369">
        <f>SUMIFS(Collection!$O:$O, Collection!$K:$K, X$2, Collection!$A:$A, "="&amp;$A11)</f>
        <v>76950</v>
      </c>
      <c r="Y11" s="116">
        <f>(SUMIFS('Bucket Counts'!$P:$P, 'Bucket Counts'!$B:$B, Y$2, 'Bucket Counts'!$A:$A, "="&amp;$A11,  'Bucket Counts'!$F:$F, "&lt;&gt;100 Morts",  'Bucket Counts'!$F:$F, "&lt;&gt;224"))</f>
        <v>0</v>
      </c>
      <c r="Z11" s="116">
        <f>(SUMIFS('Bucket Counts'!$P:$P, 'Bucket Counts'!$B:$B, Z$2, 'Bucket Counts'!$A:$A, "="&amp;$A11,  'Bucket Counts'!$F:$F, "100 Morts"))</f>
        <v>0</v>
      </c>
      <c r="AA11" s="116">
        <f>(SUMIFS('Bucket Counts'!$P:$P, 'Bucket Counts'!$B:$B, AA$2, 'Bucket Counts'!$A:$A, "="&amp;$A11,  'Bucket Counts'!$F:$F, "224"))</f>
        <v>0</v>
      </c>
      <c r="AB11" s="116"/>
      <c r="AC11" s="427"/>
      <c r="AD11" s="370">
        <f>Y9+SUM(X9:X11)</f>
        <v>76950</v>
      </c>
      <c r="AE11" s="369">
        <f>SUMIFS(Collection!$O:$O, Collection!$K:$K, AE$2, Collection!$A:$A, "="&amp;$A11)</f>
        <v>0</v>
      </c>
      <c r="AF11" s="116">
        <f>(SUMIFS('Bucket Counts'!$P:$P, 'Bucket Counts'!$B:$B, AF$2, 'Bucket Counts'!$A:$A, "="&amp;$A11,  'Bucket Counts'!$F:$F, "&lt;&gt;100 Morts",  'Bucket Counts'!$F:$F, "&lt;&gt;224"))</f>
        <v>0</v>
      </c>
      <c r="AG11" s="116">
        <f>(SUMIFS('Bucket Counts'!$P:$P, 'Bucket Counts'!$B:$B, AG$2, 'Bucket Counts'!$A:$A, "="&amp;$A11,  'Bucket Counts'!$F:$F, "100 Morts"))</f>
        <v>0</v>
      </c>
      <c r="AH11" s="116">
        <f>(SUMIFS('Bucket Counts'!$P:$P, 'Bucket Counts'!$B:$B, AH$2, 'Bucket Counts'!$A:$A, "="&amp;$A11,  'Bucket Counts'!$F:$F, "224"))</f>
        <v>0</v>
      </c>
      <c r="AI11" s="116"/>
      <c r="AJ11" s="427"/>
      <c r="AK11" s="370">
        <f>AF9+SUM(AE9:AE11)</f>
        <v>145600</v>
      </c>
      <c r="AL11" s="369">
        <f>SUMIFS(Collection!$O:$O, Collection!$K:$K, AL$2, Collection!$A:$A, "="&amp;$A11)</f>
        <v>0</v>
      </c>
      <c r="AM11" s="116">
        <f>(SUMIFS('Bucket Counts'!$P:$P, 'Bucket Counts'!$B:$B, AM$2, 'Bucket Counts'!$A:$A, "="&amp;$A11,  'Bucket Counts'!$F:$F, "&lt;&gt;100 Morts",  'Bucket Counts'!$F:$F, "&lt;&gt;224"))</f>
        <v>0</v>
      </c>
      <c r="AN11" s="116">
        <f>(SUMIFS('Bucket Counts'!$P:$P, 'Bucket Counts'!$B:$B, AN$2, 'Bucket Counts'!$A:$A, "="&amp;$A11,  'Bucket Counts'!$F:$F, "100 Morts"))</f>
        <v>0</v>
      </c>
      <c r="AO11" s="116">
        <f>(SUMIFS('Bucket Counts'!$P:$P, 'Bucket Counts'!$B:$B, AO$2, 'Bucket Counts'!$A:$A, "="&amp;$A11,  'Bucket Counts'!$F:$F, "224"))</f>
        <v>0</v>
      </c>
      <c r="AP11" s="116"/>
      <c r="AQ11" s="427"/>
      <c r="AR11" s="370">
        <f>AM9+SUM(AL9:AL11)</f>
        <v>222800</v>
      </c>
      <c r="AS11" s="369">
        <f>SUMIFS(Collection!$O:$O, Collection!$K:$K, AS$2, Collection!$A:$A, "="&amp;$A11)</f>
        <v>0</v>
      </c>
      <c r="AT11" s="116">
        <f>(SUMIFS('Bucket Counts'!$P:$P, 'Bucket Counts'!$B:$B, AT$2, 'Bucket Counts'!$A:$A, "="&amp;$A11,  'Bucket Counts'!$F:$F, "&lt;&gt;100 Morts",  'Bucket Counts'!$F:$F, "&lt;&gt;224"))</f>
        <v>0</v>
      </c>
      <c r="AU11" s="116">
        <f>(SUMIFS('Bucket Counts'!$P:$P, 'Bucket Counts'!$B:$B, AU$2, 'Bucket Counts'!$A:$A, "="&amp;$A11,  'Bucket Counts'!$F:$F, "100 Morts"))</f>
        <v>0</v>
      </c>
      <c r="AV11" s="116">
        <f>(SUMIFS('Bucket Counts'!$P:$P, 'Bucket Counts'!$B:$B, AV$2, 'Bucket Counts'!$A:$A, "="&amp;$A11,  'Bucket Counts'!$F:$F, "224"))</f>
        <v>0</v>
      </c>
      <c r="AW11" s="116"/>
      <c r="AX11" s="427"/>
      <c r="AY11" s="370">
        <f>AT9+SUM(AS9:AS11)</f>
        <v>105366.66666666669</v>
      </c>
      <c r="AZ11" s="369">
        <f>SUMIFS(Collection!$O:$O, Collection!$K:$K, AZ$2, Collection!$A:$A, "="&amp;$A11)</f>
        <v>0</v>
      </c>
      <c r="BA11" s="116">
        <f>(SUMIFS('Bucket Counts'!$P:$P, 'Bucket Counts'!$B:$B, BA$2, 'Bucket Counts'!$A:$A, "="&amp;$A11,  'Bucket Counts'!$F:$F, "&lt;&gt;100 Morts",  'Bucket Counts'!$F:$F, "&lt;&gt;224"))</f>
        <v>0</v>
      </c>
      <c r="BB11" s="116">
        <f>(SUMIFS('Bucket Counts'!$P:$P, 'Bucket Counts'!$B:$B, BB$2, 'Bucket Counts'!$A:$A, "="&amp;$A11,  'Bucket Counts'!$F:$F, "100 Morts"))</f>
        <v>0</v>
      </c>
      <c r="BC11" s="116">
        <f>(SUMIFS('Bucket Counts'!$P:$P, 'Bucket Counts'!$B:$B, BC$2, 'Bucket Counts'!$A:$A, "="&amp;$A11,  'Bucket Counts'!$F:$F, "224"))</f>
        <v>0</v>
      </c>
      <c r="BD11" s="116"/>
      <c r="BE11" s="427"/>
      <c r="BF11" s="370">
        <f>BA9+SUM(AZ9:AZ11)</f>
        <v>136800</v>
      </c>
      <c r="BG11" s="369">
        <f>SUMIFS(Collection!$O:$O, Collection!$K:$K, BG$2, Collection!$A:$A, "="&amp;$A11)</f>
        <v>26320</v>
      </c>
      <c r="BH11" s="116">
        <f>(SUMIFS('Bucket Counts'!$P:$P, 'Bucket Counts'!$B:$B, BH$2, 'Bucket Counts'!$A:$A, "="&amp;$A11,  'Bucket Counts'!$F:$F, "&lt;&gt;100 Morts",  'Bucket Counts'!$F:$F, "&lt;&gt;224"))</f>
        <v>0</v>
      </c>
      <c r="BI11" s="116">
        <f>(SUMIFS('Bucket Counts'!$P:$P, 'Bucket Counts'!$B:$B, BI$2, 'Bucket Counts'!$A:$A, "="&amp;$A11,  'Bucket Counts'!$F:$F, "100 Morts"))</f>
        <v>0</v>
      </c>
      <c r="BJ11" s="116">
        <f>(SUMIFS('Bucket Counts'!$P:$P, 'Bucket Counts'!$B:$B, BJ$2, 'Bucket Counts'!$A:$A, "="&amp;$A11,  'Bucket Counts'!$F:$F, "224"))</f>
        <v>0</v>
      </c>
      <c r="BK11" s="116"/>
      <c r="BL11" s="427"/>
      <c r="BM11" s="370">
        <f>BH9+SUM(BG9:BG11)</f>
        <v>77786.666666666657</v>
      </c>
      <c r="BN11" s="369">
        <f>SUMIFS(Collection!$O:$O, Collection!$K:$K, BN$2, Collection!$A:$A, "="&amp;$A11)</f>
        <v>0</v>
      </c>
      <c r="BO11" s="116">
        <f>(SUMIFS('Bucket Counts'!$P:$P, 'Bucket Counts'!$B:$B, BO$2, 'Bucket Counts'!$A:$A, "="&amp;$A11,  'Bucket Counts'!$F:$F, "&lt;&gt;100 Morts",  'Bucket Counts'!$F:$F, "&lt;&gt;224"))</f>
        <v>0</v>
      </c>
      <c r="BP11" s="116">
        <f>(SUMIFS('Bucket Counts'!$P:$P, 'Bucket Counts'!$B:$B, BP$2, 'Bucket Counts'!$A:$A, "="&amp;$A11,  'Bucket Counts'!$F:$F, "100 Morts"))</f>
        <v>0</v>
      </c>
      <c r="BQ11" s="116">
        <f>(SUMIFS('Bucket Counts'!$P:$P, 'Bucket Counts'!$B:$B, BQ$2, 'Bucket Counts'!$A:$A, "="&amp;$A11,  'Bucket Counts'!$F:$F, "224"))</f>
        <v>0</v>
      </c>
      <c r="BR11" s="116"/>
      <c r="BS11" s="427"/>
      <c r="BT11" s="370">
        <f>BO9+SUM(BN9:BN11)</f>
        <v>0</v>
      </c>
      <c r="BU11" s="369">
        <f>SUMIFS(Collection!$O:$O, Collection!$K:$K, BU$2, Collection!$A:$A, "="&amp;$A11)</f>
        <v>0</v>
      </c>
      <c r="BV11" s="116">
        <f>(SUMIFS('Bucket Counts'!$P:$P, 'Bucket Counts'!$B:$B, BV$2, 'Bucket Counts'!$A:$A, "="&amp;$A11,  'Bucket Counts'!$F:$F, "&lt;&gt;100 Morts",  'Bucket Counts'!$F:$F, "&lt;&gt;224"))</f>
        <v>0</v>
      </c>
      <c r="BW11" s="116">
        <f>(SUMIFS('Bucket Counts'!$P:$P, 'Bucket Counts'!$B:$B, BW$2, 'Bucket Counts'!$A:$A, "="&amp;$A11,  'Bucket Counts'!$F:$F, "100 Morts"))</f>
        <v>0</v>
      </c>
      <c r="BX11" s="116">
        <f>(SUMIFS('Bucket Counts'!$P:$P, 'Bucket Counts'!$B:$B, BX$2, 'Bucket Counts'!$A:$A, "="&amp;$A11,  'Bucket Counts'!$F:$F, "224"))</f>
        <v>0</v>
      </c>
      <c r="BY11" s="116"/>
      <c r="BZ11" s="427"/>
      <c r="CA11" s="370">
        <f>BV9+SUM(BU9:BU11)</f>
        <v>0</v>
      </c>
      <c r="CB11" s="369">
        <f>SUMIFS(Collection!$O:$O, Collection!$K:$K, CB$2, Collection!$A:$A, "="&amp;$A11)</f>
        <v>0</v>
      </c>
      <c r="CC11" s="116">
        <f>(SUMIFS('Bucket Counts'!$P:$P, 'Bucket Counts'!$B:$B, CC$2, 'Bucket Counts'!$A:$A, "="&amp;$A11,  'Bucket Counts'!$F:$F, "&lt;&gt;100 Morts",  'Bucket Counts'!$F:$F, "&lt;&gt;224"))</f>
        <v>0</v>
      </c>
      <c r="CD11" s="116">
        <f>(SUMIFS('Bucket Counts'!$P:$P, 'Bucket Counts'!$B:$B, CD$2, 'Bucket Counts'!$A:$A, "="&amp;$A11,  'Bucket Counts'!$F:$F, "100 Morts"))</f>
        <v>0</v>
      </c>
      <c r="CE11" s="116">
        <f>(SUMIFS('Bucket Counts'!$P:$P, 'Bucket Counts'!$B:$B, CE$2, 'Bucket Counts'!$A:$A, "="&amp;$A11,  'Bucket Counts'!$F:$F, "224"))</f>
        <v>0</v>
      </c>
      <c r="CF11" s="116"/>
      <c r="CG11" s="427"/>
      <c r="CH11" s="370">
        <f>CC9+SUM(CB9:CB11)</f>
        <v>0</v>
      </c>
      <c r="CI11" s="369">
        <f>SUMIFS(Collection!$O:$O, Collection!$K:$K, CI$2, Collection!$A:$A, "="&amp;$A11)</f>
        <v>31206.666666666668</v>
      </c>
      <c r="CJ11" s="116">
        <f>(SUMIFS('Bucket Counts'!$P:$P, 'Bucket Counts'!$B:$B, CJ$2, 'Bucket Counts'!$A:$A, "="&amp;$A11,  'Bucket Counts'!$F:$F, "&lt;&gt;100 Morts",  'Bucket Counts'!$F:$F, "&lt;&gt;224"))</f>
        <v>0</v>
      </c>
      <c r="CK11" s="116">
        <f>(SUMIFS('Bucket Counts'!$P:$P, 'Bucket Counts'!$B:$B, CK$2, 'Bucket Counts'!$A:$A, "="&amp;$A11,  'Bucket Counts'!$F:$F, "100 Morts"))</f>
        <v>0</v>
      </c>
      <c r="CL11" s="116">
        <f>(SUMIFS('Bucket Counts'!$P:$P, 'Bucket Counts'!$B:$B, CL$2, 'Bucket Counts'!$A:$A, "="&amp;$A11,  'Bucket Counts'!$F:$F, "224"))</f>
        <v>0</v>
      </c>
      <c r="CM11" s="116"/>
      <c r="CN11" s="427"/>
      <c r="CO11" s="370">
        <f>CJ9+SUM(CI9:CI11)</f>
        <v>179490</v>
      </c>
      <c r="CP11" s="369">
        <f>SUMIFS(Collection!$O:$O, Collection!$K:$K, CP$2, Collection!$A:$A, "="&amp;$A11)</f>
        <v>3400</v>
      </c>
      <c r="CQ11" s="116">
        <f>(SUMIFS('Bucket Counts'!$P:$P, 'Bucket Counts'!$B:$B, CQ$2, 'Bucket Counts'!$A:$A, "="&amp;$A11,  'Bucket Counts'!$F:$F, "&lt;&gt;100 Morts",  'Bucket Counts'!$F:$F, "&lt;&gt;224"))</f>
        <v>0</v>
      </c>
      <c r="CR11" s="116">
        <f>(SUMIFS('Bucket Counts'!$P:$P, 'Bucket Counts'!$B:$B, CR$2, 'Bucket Counts'!$A:$A, "="&amp;$A11,  'Bucket Counts'!$F:$F, "100 Morts"))</f>
        <v>0</v>
      </c>
      <c r="CS11" s="116">
        <f>(SUMIFS('Bucket Counts'!$P:$P, 'Bucket Counts'!$B:$B, CS$2, 'Bucket Counts'!$A:$A, "="&amp;$A11,  'Bucket Counts'!$F:$F, "224"))</f>
        <v>0</v>
      </c>
      <c r="CT11" s="116"/>
      <c r="CU11" s="427"/>
      <c r="CV11" s="370">
        <f>CQ9+SUM(CP9:CP11)</f>
        <v>121533.33333333333</v>
      </c>
      <c r="CW11" s="369">
        <f>SUMIFS(Collection!$O:$O, Collection!$K:$K, CW$2, Collection!$A:$A, "="&amp;$A11)</f>
        <v>0</v>
      </c>
      <c r="CX11" s="116">
        <f>(SUMIFS('Bucket Counts'!$P:$P, 'Bucket Counts'!$B:$B, CX$2, 'Bucket Counts'!$A:$A, "="&amp;$A11,  'Bucket Counts'!$F:$F, "&lt;&gt;100 Morts",  'Bucket Counts'!$F:$F, "&lt;&gt;224"))</f>
        <v>0</v>
      </c>
      <c r="CY11" s="116">
        <f>(SUMIFS('Bucket Counts'!$P:$P, 'Bucket Counts'!$B:$B, CY$2, 'Bucket Counts'!$A:$A, "="&amp;$A11,  'Bucket Counts'!$F:$F, "100 Morts"))</f>
        <v>0</v>
      </c>
      <c r="CZ11" s="116">
        <f>(SUMIFS('Bucket Counts'!$P:$P, 'Bucket Counts'!$B:$B, CZ$2, 'Bucket Counts'!$A:$A, "="&amp;$A11,  'Bucket Counts'!$F:$F, "224"))</f>
        <v>0</v>
      </c>
      <c r="DA11" s="116"/>
      <c r="DB11" s="427"/>
      <c r="DC11" s="370">
        <f>CX9+SUM(CW9:CW11)</f>
        <v>82333.333333333328</v>
      </c>
      <c r="DD11" s="369">
        <f>SUMIFS(Collection!$O:$O, Collection!$K:$K, DD$2, Collection!$A:$A, "="&amp;$A11)</f>
        <v>0</v>
      </c>
      <c r="DE11" s="116">
        <f>(SUMIFS('Bucket Counts'!$P:$P, 'Bucket Counts'!$B:$B, DE$2, 'Bucket Counts'!$A:$A, "="&amp;$A11,  'Bucket Counts'!$F:$F, "&lt;&gt;100 Morts",  'Bucket Counts'!$F:$F, "&lt;&gt;224"))</f>
        <v>0</v>
      </c>
      <c r="DF11" s="116">
        <f>(SUMIFS('Bucket Counts'!$P:$P, 'Bucket Counts'!$B:$B, DF$2, 'Bucket Counts'!$A:$A, "="&amp;$A11,  'Bucket Counts'!$F:$F, "100 Morts"))</f>
        <v>0</v>
      </c>
      <c r="DG11" s="116">
        <f>(SUMIFS('Bucket Counts'!$P:$P, 'Bucket Counts'!$B:$B, DG$2, 'Bucket Counts'!$A:$A, "="&amp;$A11,  'Bucket Counts'!$F:$F, "224"))</f>
        <v>0</v>
      </c>
      <c r="DH11" s="116"/>
      <c r="DI11" s="427"/>
      <c r="DJ11" s="370">
        <f>DE9+SUM(DD9:DD11)</f>
        <v>127266.66666666667</v>
      </c>
      <c r="DK11" s="369">
        <f>SUMIFS(Collection!$O:$O, Collection!$K:$K, DK$2, Collection!$A:$A, "="&amp;$A11)</f>
        <v>0</v>
      </c>
      <c r="DL11" s="116">
        <f>(SUMIFS('Bucket Counts'!$P:$P, 'Bucket Counts'!$B:$B, DL$2, 'Bucket Counts'!$A:$A, "="&amp;$A11,  'Bucket Counts'!$F:$F, "&lt;&gt;100 Morts",  'Bucket Counts'!$F:$F, "&lt;&gt;224"))</f>
        <v>0</v>
      </c>
      <c r="DM11" s="116">
        <f>(SUMIFS('Bucket Counts'!$P:$P, 'Bucket Counts'!$B:$B, DM$2, 'Bucket Counts'!$A:$A, "="&amp;$A11,  'Bucket Counts'!$F:$F, "100 Morts"))</f>
        <v>0</v>
      </c>
      <c r="DN11" s="116">
        <f>(SUMIFS('Bucket Counts'!$P:$P, 'Bucket Counts'!$B:$B, DN$2, 'Bucket Counts'!$A:$A, "="&amp;$A11,  'Bucket Counts'!$F:$F, "224"))</f>
        <v>0</v>
      </c>
      <c r="DO11" s="116"/>
      <c r="DP11" s="427"/>
      <c r="DQ11" s="370">
        <f>DL9+SUM(DK9:DK11)</f>
        <v>10000</v>
      </c>
      <c r="DR11" s="369">
        <f>SUMIFS(Collection!$O:$O, Collection!$K:$K, DR$2, Collection!$A:$A, "="&amp;$A11)</f>
        <v>0</v>
      </c>
      <c r="DS11" s="116">
        <f>(SUMIFS('Bucket Counts'!$P:$P, 'Bucket Counts'!$B:$B, DS$2, 'Bucket Counts'!$A:$A, "="&amp;$A11,  'Bucket Counts'!$F:$F, "&lt;&gt;100 Morts",  'Bucket Counts'!$F:$F, "&lt;&gt;224"))</f>
        <v>0</v>
      </c>
      <c r="DT11" s="116">
        <f>(SUMIFS('Bucket Counts'!$P:$P, 'Bucket Counts'!$B:$B, DT$2, 'Bucket Counts'!$A:$A, "="&amp;$A11,  'Bucket Counts'!$F:$F, "100 Morts"))</f>
        <v>0</v>
      </c>
      <c r="DU11" s="116">
        <f>(SUMIFS('Bucket Counts'!$P:$P, 'Bucket Counts'!$B:$B, DU$2, 'Bucket Counts'!$A:$A, "="&amp;$A11,  'Bucket Counts'!$F:$F, "224"))</f>
        <v>0</v>
      </c>
      <c r="DV11" s="116"/>
      <c r="DW11" s="427"/>
      <c r="DX11" s="370">
        <f>DS9+SUM(DR9:DR11)</f>
        <v>0</v>
      </c>
      <c r="DY11" s="369">
        <f>SUMIFS(Collection!$O:$O, Collection!$K:$K, DY$2, Collection!$A:$A, "="&amp;$A11)</f>
        <v>0</v>
      </c>
      <c r="DZ11" s="116">
        <f>(SUMIFS('Bucket Counts'!$P:$P, 'Bucket Counts'!$B:$B, DZ$2, 'Bucket Counts'!$A:$A, "="&amp;$A11,  'Bucket Counts'!$F:$F, "&lt;&gt;100 Morts",  'Bucket Counts'!$F:$F, "&lt;&gt;224"))</f>
        <v>0</v>
      </c>
      <c r="EA11" s="116">
        <f>(SUMIFS('Bucket Counts'!$P:$P, 'Bucket Counts'!$B:$B, EA$2, 'Bucket Counts'!$A:$A, "="&amp;$A11,  'Bucket Counts'!$F:$F, "100 Morts"))</f>
        <v>0</v>
      </c>
      <c r="EB11" s="116">
        <f>(SUMIFS('Bucket Counts'!$P:$P, 'Bucket Counts'!$B:$B, EB$2, 'Bucket Counts'!$A:$A, "="&amp;$A11,  'Bucket Counts'!$F:$F, "224"))</f>
        <v>0</v>
      </c>
      <c r="EC11" s="116"/>
      <c r="ED11" s="427"/>
      <c r="EE11" s="370">
        <f>DZ9+SUM(DY9:DY11)</f>
        <v>143533.33333333334</v>
      </c>
      <c r="EF11" s="369">
        <f>SUMIFS(Collection!$O:$O, Collection!$K:$K, EF$2, Collection!$A:$A, "="&amp;$A11)</f>
        <v>0</v>
      </c>
      <c r="EG11" s="116">
        <f>(SUMIFS('Bucket Counts'!$P:$P, 'Bucket Counts'!$B:$B, EG$2, 'Bucket Counts'!$A:$A, "="&amp;$A11,  'Bucket Counts'!$F:$F, "&lt;&gt;100 Morts",  'Bucket Counts'!$F:$F, "&lt;&gt;224"))</f>
        <v>0</v>
      </c>
      <c r="EH11" s="116">
        <f>(SUMIFS('Bucket Counts'!$P:$P, 'Bucket Counts'!$B:$B, EH$2, 'Bucket Counts'!$A:$A, "="&amp;$A11,  'Bucket Counts'!$F:$F, "100 Morts"))</f>
        <v>0</v>
      </c>
      <c r="EI11" s="116">
        <f>(SUMIFS('Bucket Counts'!$P:$P, 'Bucket Counts'!$B:$B, EI$2, 'Bucket Counts'!$A:$A, "="&amp;$A11,  'Bucket Counts'!$F:$F, "224"))</f>
        <v>0</v>
      </c>
      <c r="EJ11" s="116"/>
      <c r="EK11" s="427"/>
      <c r="EL11" s="370">
        <f>EG9+SUM(EF9:EF11)</f>
        <v>59600</v>
      </c>
    </row>
    <row r="12" spans="1:142" s="433" customFormat="1" x14ac:dyDescent="0.2">
      <c r="A12" s="428">
        <v>42881</v>
      </c>
      <c r="B12" s="428" t="s">
        <v>486</v>
      </c>
      <c r="C12" s="429">
        <f>SUMIFS(Collection!$O:$O, Collection!$K:$K, C$2, Collection!$A:$A, "="&amp;$A12)</f>
        <v>0</v>
      </c>
      <c r="D12" s="430">
        <f>(SUMIFS('Bucket Counts'!$P:$P, 'Bucket Counts'!$B:$B, D$2, 'Bucket Counts'!$A:$A, "="&amp;$A12,  'Bucket Counts'!$F:$F, "&lt;&gt;100 Morts",  'Bucket Counts'!$F:$F, "&lt;&gt;224"))</f>
        <v>69866.666666666657</v>
      </c>
      <c r="E12" s="430">
        <f>(SUMIFS('Bucket Counts'!$P:$P, 'Bucket Counts'!$B:$B, E$2, 'Bucket Counts'!$A:$A, "="&amp;$A12,  'Bucket Counts'!$F:$F, "100 Morts"))</f>
        <v>0</v>
      </c>
      <c r="F12" s="430">
        <f>(SUMIFS('Bucket Counts'!$P:$P, 'Bucket Counts'!$B:$B, F$2, 'Bucket Counts'!$A:$A, "="&amp;$A12,  'Bucket Counts'!$F:$F, "224"))</f>
        <v>0</v>
      </c>
      <c r="G12" s="430">
        <f>I11</f>
        <v>69750</v>
      </c>
      <c r="H12" s="431">
        <f>SUM(D12+F12)</f>
        <v>69866.666666666657</v>
      </c>
      <c r="I12" s="432">
        <f>C12+D12</f>
        <v>69866.666666666657</v>
      </c>
      <c r="J12" s="429">
        <f>SUMIFS(Collection!$O:$O, Collection!$K:$K, J$2, Collection!$A:$A, "="&amp;$A12)</f>
        <v>0</v>
      </c>
      <c r="K12" s="430">
        <f>(SUMIFS('Bucket Counts'!$P:$P, 'Bucket Counts'!$B:$B, K$2, 'Bucket Counts'!$A:$A, "="&amp;$A12,  'Bucket Counts'!$F:$F, "&lt;&gt;100 Morts",  'Bucket Counts'!$F:$F, "&lt;&gt;224"))</f>
        <v>88000</v>
      </c>
      <c r="L12" s="430">
        <f>(SUMIFS('Bucket Counts'!$P:$P, 'Bucket Counts'!$B:$B, L$2, 'Bucket Counts'!$A:$A, "="&amp;$A12,  'Bucket Counts'!$F:$F, "100 Morts"))</f>
        <v>0</v>
      </c>
      <c r="M12" s="430">
        <f>(SUMIFS('Bucket Counts'!$P:$P, 'Bucket Counts'!$B:$B, M$2, 'Bucket Counts'!$A:$A, "="&amp;$A12,  'Bucket Counts'!$F:$F, "224"))</f>
        <v>0</v>
      </c>
      <c r="N12" s="430">
        <f>P11</f>
        <v>104216.66666666666</v>
      </c>
      <c r="O12" s="431">
        <f>SUM(K12+M12)</f>
        <v>88000</v>
      </c>
      <c r="P12" s="432">
        <f>J12+K12</f>
        <v>88000</v>
      </c>
      <c r="Q12" s="429">
        <f>SUMIFS(Collection!$O:$O, Collection!$K:$K, Q$2, Collection!$A:$A, "="&amp;$A12)</f>
        <v>54366.666666666672</v>
      </c>
      <c r="R12" s="430">
        <f>(SUMIFS('Bucket Counts'!$P:$P, 'Bucket Counts'!$B:$B, R$2, 'Bucket Counts'!$A:$A, "="&amp;$A12,  'Bucket Counts'!$F:$F, "&lt;&gt;100 Morts",  'Bucket Counts'!$F:$F, "&lt;&gt;224"))</f>
        <v>12000</v>
      </c>
      <c r="S12" s="430">
        <f>(SUMIFS('Bucket Counts'!$P:$P, 'Bucket Counts'!$B:$B, S$2, 'Bucket Counts'!$A:$A, "="&amp;$A12,  'Bucket Counts'!$F:$F, "100 Morts"))</f>
        <v>0</v>
      </c>
      <c r="T12" s="430">
        <f>(SUMIFS('Bucket Counts'!$P:$P, 'Bucket Counts'!$B:$B, T$2, 'Bucket Counts'!$A:$A, "="&amp;$A12,  'Bucket Counts'!$F:$F, "224"))</f>
        <v>0</v>
      </c>
      <c r="U12" s="430">
        <f>W11</f>
        <v>10800</v>
      </c>
      <c r="V12" s="431">
        <f>SUM(R12+T12)</f>
        <v>12000</v>
      </c>
      <c r="W12" s="432">
        <f>Q12+R12</f>
        <v>66366.666666666672</v>
      </c>
      <c r="X12" s="429">
        <f>SUMIFS(Collection!$O:$O, Collection!$K:$K, X$2, Collection!$A:$A, "="&amp;$A12)</f>
        <v>35700</v>
      </c>
      <c r="Y12" s="430">
        <f>(SUMIFS('Bucket Counts'!$P:$P, 'Bucket Counts'!$B:$B, Y$2, 'Bucket Counts'!$A:$A, "="&amp;$A12,  'Bucket Counts'!$F:$F, "&lt;&gt;100 Morts",  'Bucket Counts'!$F:$F, "&lt;&gt;224"))</f>
        <v>100100</v>
      </c>
      <c r="Z12" s="430">
        <f>(SUMIFS('Bucket Counts'!$P:$P, 'Bucket Counts'!$B:$B, Z$2, 'Bucket Counts'!$A:$A, "="&amp;$A12,  'Bucket Counts'!$F:$F, "100 Morts"))</f>
        <v>0</v>
      </c>
      <c r="AA12" s="430">
        <f>(SUMIFS('Bucket Counts'!$P:$P, 'Bucket Counts'!$B:$B, AA$2, 'Bucket Counts'!$A:$A, "="&amp;$A12,  'Bucket Counts'!$F:$F, "224"))</f>
        <v>0</v>
      </c>
      <c r="AB12" s="430">
        <f>AD11</f>
        <v>76950</v>
      </c>
      <c r="AC12" s="431">
        <f>SUM(Y12+AA12)</f>
        <v>100100</v>
      </c>
      <c r="AD12" s="432">
        <f>X12+Y12</f>
        <v>135800</v>
      </c>
      <c r="AE12" s="429">
        <f>SUMIFS(Collection!$O:$O, Collection!$K:$K, AE$2, Collection!$A:$A, "="&amp;$A12)</f>
        <v>0</v>
      </c>
      <c r="AF12" s="430">
        <f>(SUMIFS('Bucket Counts'!$P:$P, 'Bucket Counts'!$B:$B, AF$2, 'Bucket Counts'!$A:$A, "="&amp;$A12,  'Bucket Counts'!$F:$F, "&lt;&gt;100 Morts",  'Bucket Counts'!$F:$F, "&lt;&gt;224"))</f>
        <v>112000</v>
      </c>
      <c r="AG12" s="430">
        <f>(SUMIFS('Bucket Counts'!$P:$P, 'Bucket Counts'!$B:$B, AG$2, 'Bucket Counts'!$A:$A, "="&amp;$A12,  'Bucket Counts'!$F:$F, "100 Morts"))</f>
        <v>0</v>
      </c>
      <c r="AH12" s="430">
        <f>(SUMIFS('Bucket Counts'!$P:$P, 'Bucket Counts'!$B:$B, AH$2, 'Bucket Counts'!$A:$A, "="&amp;$A12,  'Bucket Counts'!$F:$F, "224"))</f>
        <v>0</v>
      </c>
      <c r="AI12" s="430">
        <f>AK11</f>
        <v>145600</v>
      </c>
      <c r="AJ12" s="431">
        <f>SUM(AF12+AH12)</f>
        <v>112000</v>
      </c>
      <c r="AK12" s="432">
        <f>AE12+AF12</f>
        <v>112000</v>
      </c>
      <c r="AL12" s="429">
        <f>SUMIFS(Collection!$O:$O, Collection!$K:$K, AL$2, Collection!$A:$A, "="&amp;$A12)</f>
        <v>0</v>
      </c>
      <c r="AM12" s="430">
        <f>(SUMIFS('Bucket Counts'!$P:$P, 'Bucket Counts'!$B:$B, AM$2, 'Bucket Counts'!$A:$A, "="&amp;$A12,  'Bucket Counts'!$F:$F, "&lt;&gt;100 Morts",  'Bucket Counts'!$F:$F, "&lt;&gt;224"))</f>
        <v>179400</v>
      </c>
      <c r="AN12" s="430">
        <f>(SUMIFS('Bucket Counts'!$P:$P, 'Bucket Counts'!$B:$B, AN$2, 'Bucket Counts'!$A:$A, "="&amp;$A12,  'Bucket Counts'!$F:$F, "100 Morts"))</f>
        <v>0</v>
      </c>
      <c r="AO12" s="430">
        <f>(SUMIFS('Bucket Counts'!$P:$P, 'Bucket Counts'!$B:$B, AO$2, 'Bucket Counts'!$A:$A, "="&amp;$A12,  'Bucket Counts'!$F:$F, "224"))</f>
        <v>0</v>
      </c>
      <c r="AP12" s="430">
        <f>AR11</f>
        <v>222800</v>
      </c>
      <c r="AQ12" s="431">
        <f>SUM(AM12+AO12)</f>
        <v>179400</v>
      </c>
      <c r="AR12" s="432">
        <f>AL12+AM12</f>
        <v>179400</v>
      </c>
      <c r="AS12" s="429">
        <f>SUMIFS(Collection!$O:$O, Collection!$K:$K, AS$2, Collection!$A:$A, "="&amp;$A12)</f>
        <v>0</v>
      </c>
      <c r="AT12" s="430">
        <f>(SUMIFS('Bucket Counts'!$P:$P, 'Bucket Counts'!$B:$B, AT$2, 'Bucket Counts'!$A:$A, "="&amp;$A12,  'Bucket Counts'!$F:$F, "&lt;&gt;100 Morts",  'Bucket Counts'!$F:$F, "&lt;&gt;224"))</f>
        <v>97600</v>
      </c>
      <c r="AU12" s="430">
        <f>(SUMIFS('Bucket Counts'!$P:$P, 'Bucket Counts'!$B:$B, AU$2, 'Bucket Counts'!$A:$A, "="&amp;$A12,  'Bucket Counts'!$F:$F, "100 Morts"))</f>
        <v>0</v>
      </c>
      <c r="AV12" s="430">
        <f>(SUMIFS('Bucket Counts'!$P:$P, 'Bucket Counts'!$B:$B, AV$2, 'Bucket Counts'!$A:$A, "="&amp;$A12,  'Bucket Counts'!$F:$F, "224"))</f>
        <v>0</v>
      </c>
      <c r="AW12" s="430">
        <f>AY11</f>
        <v>105366.66666666669</v>
      </c>
      <c r="AX12" s="431">
        <f>SUM(AT12+AV12)</f>
        <v>97600</v>
      </c>
      <c r="AY12" s="432">
        <f>AS12+AT12</f>
        <v>97600</v>
      </c>
      <c r="AZ12" s="429">
        <f>SUMIFS(Collection!$O:$O, Collection!$K:$K, AZ$2, Collection!$A:$A, "="&amp;$A12)</f>
        <v>0</v>
      </c>
      <c r="BA12" s="430">
        <f>(SUMIFS('Bucket Counts'!$P:$P, 'Bucket Counts'!$B:$B, BA$2, 'Bucket Counts'!$A:$A, "="&amp;$A12,  'Bucket Counts'!$F:$F, "&lt;&gt;100 Morts",  'Bucket Counts'!$F:$F, "&lt;&gt;224"))</f>
        <v>97600</v>
      </c>
      <c r="BB12" s="430">
        <f>(SUMIFS('Bucket Counts'!$P:$P, 'Bucket Counts'!$B:$B, BB$2, 'Bucket Counts'!$A:$A, "="&amp;$A12,  'Bucket Counts'!$F:$F, "100 Morts"))</f>
        <v>0</v>
      </c>
      <c r="BC12" s="430">
        <f>(SUMIFS('Bucket Counts'!$P:$P, 'Bucket Counts'!$B:$B, BC$2, 'Bucket Counts'!$A:$A, "="&amp;$A12,  'Bucket Counts'!$F:$F, "224"))</f>
        <v>0</v>
      </c>
      <c r="BD12" s="430">
        <f>BF11</f>
        <v>136800</v>
      </c>
      <c r="BE12" s="431">
        <f>SUM(BA12+BC12)</f>
        <v>97600</v>
      </c>
      <c r="BF12" s="432">
        <f>AZ12+BA12</f>
        <v>97600</v>
      </c>
      <c r="BG12" s="429">
        <f>SUMIFS(Collection!$O:$O, Collection!$K:$K, BG$2, Collection!$A:$A, "="&amp;$A12)</f>
        <v>2800</v>
      </c>
      <c r="BH12" s="430">
        <f>(SUMIFS('Bucket Counts'!$P:$P, 'Bucket Counts'!$B:$B, BH$2, 'Bucket Counts'!$A:$A, "="&amp;$A12,  'Bucket Counts'!$F:$F, "&lt;&gt;100 Morts",  'Bucket Counts'!$F:$F, "&lt;&gt;224"))</f>
        <v>71466.666666666657</v>
      </c>
      <c r="BI12" s="430">
        <f>(SUMIFS('Bucket Counts'!$P:$P, 'Bucket Counts'!$B:$B, BI$2, 'Bucket Counts'!$A:$A, "="&amp;$A12,  'Bucket Counts'!$F:$F, "100 Morts"))</f>
        <v>0</v>
      </c>
      <c r="BJ12" s="430">
        <f>(SUMIFS('Bucket Counts'!$P:$P, 'Bucket Counts'!$B:$B, BJ$2, 'Bucket Counts'!$A:$A, "="&amp;$A12,  'Bucket Counts'!$F:$F, "224"))</f>
        <v>0</v>
      </c>
      <c r="BK12" s="430">
        <f>BM11</f>
        <v>77786.666666666657</v>
      </c>
      <c r="BL12" s="431">
        <f>SUM(BH12+BJ12)</f>
        <v>71466.666666666657</v>
      </c>
      <c r="BM12" s="432">
        <f>BG12+BH12</f>
        <v>74266.666666666657</v>
      </c>
      <c r="BN12" s="429">
        <f>SUMIFS(Collection!$O:$O, Collection!$K:$K, BN$2, Collection!$A:$A, "="&amp;$A12)</f>
        <v>44200</v>
      </c>
      <c r="BO12" s="430">
        <f>(SUMIFS('Bucket Counts'!$P:$P, 'Bucket Counts'!$B:$B, BO$2, 'Bucket Counts'!$A:$A, "="&amp;$A12,  'Bucket Counts'!$F:$F, "&lt;&gt;100 Morts",  'Bucket Counts'!$F:$F, "&lt;&gt;224"))</f>
        <v>0</v>
      </c>
      <c r="BP12" s="430">
        <f>(SUMIFS('Bucket Counts'!$P:$P, 'Bucket Counts'!$B:$B, BP$2, 'Bucket Counts'!$A:$A, "="&amp;$A12,  'Bucket Counts'!$F:$F, "100 Morts"))</f>
        <v>0</v>
      </c>
      <c r="BQ12" s="430">
        <f>(SUMIFS('Bucket Counts'!$P:$P, 'Bucket Counts'!$B:$B, BQ$2, 'Bucket Counts'!$A:$A, "="&amp;$A12,  'Bucket Counts'!$F:$F, "224"))</f>
        <v>0</v>
      </c>
      <c r="BR12" s="430">
        <f>BT11</f>
        <v>0</v>
      </c>
      <c r="BS12" s="431">
        <f>SUM(BO12+BQ12)</f>
        <v>0</v>
      </c>
      <c r="BT12" s="432">
        <f>BN12+BO12</f>
        <v>44200</v>
      </c>
      <c r="BU12" s="429">
        <f>SUMIFS(Collection!$O:$O, Collection!$K:$K, BU$2, Collection!$A:$A, "="&amp;$A12)</f>
        <v>0</v>
      </c>
      <c r="BV12" s="430">
        <f>(SUMIFS('Bucket Counts'!$P:$P, 'Bucket Counts'!$B:$B, BV$2, 'Bucket Counts'!$A:$A, "="&amp;$A12,  'Bucket Counts'!$F:$F, "&lt;&gt;100 Morts",  'Bucket Counts'!$F:$F, "&lt;&gt;224"))</f>
        <v>0</v>
      </c>
      <c r="BW12" s="430">
        <f>(SUMIFS('Bucket Counts'!$P:$P, 'Bucket Counts'!$B:$B, BW$2, 'Bucket Counts'!$A:$A, "="&amp;$A12,  'Bucket Counts'!$F:$F, "100 Morts"))</f>
        <v>0</v>
      </c>
      <c r="BX12" s="430">
        <f>(SUMIFS('Bucket Counts'!$P:$P, 'Bucket Counts'!$B:$B, BX$2, 'Bucket Counts'!$A:$A, "="&amp;$A12,  'Bucket Counts'!$F:$F, "224"))</f>
        <v>0</v>
      </c>
      <c r="BY12" s="430">
        <f>CA11</f>
        <v>0</v>
      </c>
      <c r="BZ12" s="431">
        <f>SUM(BV12+BX12)</f>
        <v>0</v>
      </c>
      <c r="CA12" s="432">
        <f>BU12+BV12</f>
        <v>0</v>
      </c>
      <c r="CB12" s="429">
        <f>SUMIFS(Collection!$O:$O, Collection!$K:$K, CB$2, Collection!$A:$A, "="&amp;$A12)</f>
        <v>0</v>
      </c>
      <c r="CC12" s="430">
        <f>(SUMIFS('Bucket Counts'!$P:$P, 'Bucket Counts'!$B:$B, CC$2, 'Bucket Counts'!$A:$A, "="&amp;$A12,  'Bucket Counts'!$F:$F, "&lt;&gt;100 Morts",  'Bucket Counts'!$F:$F, "&lt;&gt;224"))</f>
        <v>0</v>
      </c>
      <c r="CD12" s="430">
        <f>(SUMIFS('Bucket Counts'!$P:$P, 'Bucket Counts'!$B:$B, CD$2, 'Bucket Counts'!$A:$A, "="&amp;$A12,  'Bucket Counts'!$F:$F, "100 Morts"))</f>
        <v>0</v>
      </c>
      <c r="CE12" s="430">
        <f>(SUMIFS('Bucket Counts'!$P:$P, 'Bucket Counts'!$B:$B, CE$2, 'Bucket Counts'!$A:$A, "="&amp;$A12,  'Bucket Counts'!$F:$F, "224"))</f>
        <v>0</v>
      </c>
      <c r="CF12" s="430">
        <f>CH11</f>
        <v>0</v>
      </c>
      <c r="CG12" s="431">
        <f>SUM(CC12+CE12)</f>
        <v>0</v>
      </c>
      <c r="CH12" s="432">
        <f>CB12+CC12</f>
        <v>0</v>
      </c>
      <c r="CI12" s="429">
        <f>SUMIFS(Collection!$O:$O, Collection!$K:$K, CI$2, Collection!$A:$A, "="&amp;$A12)</f>
        <v>0</v>
      </c>
      <c r="CJ12" s="430">
        <f>(SUMIFS('Bucket Counts'!$P:$P, 'Bucket Counts'!$B:$B, CJ$2, 'Bucket Counts'!$A:$A, "="&amp;$A12,  'Bucket Counts'!$F:$F, "&lt;&gt;100 Morts",  'Bucket Counts'!$F:$F, "&lt;&gt;224"))</f>
        <v>86933.333333333343</v>
      </c>
      <c r="CK12" s="430">
        <f>(SUMIFS('Bucket Counts'!$P:$P, 'Bucket Counts'!$B:$B, CK$2, 'Bucket Counts'!$A:$A, "="&amp;$A12,  'Bucket Counts'!$F:$F, "100 Morts"))</f>
        <v>0</v>
      </c>
      <c r="CL12" s="430">
        <f>(SUMIFS('Bucket Counts'!$P:$P, 'Bucket Counts'!$B:$B, CL$2, 'Bucket Counts'!$A:$A, "="&amp;$A12,  'Bucket Counts'!$F:$F, "224"))</f>
        <v>0</v>
      </c>
      <c r="CM12" s="430">
        <f>CO11</f>
        <v>179490</v>
      </c>
      <c r="CN12" s="431">
        <f>SUM(CJ12+CL12)</f>
        <v>86933.333333333343</v>
      </c>
      <c r="CO12" s="432">
        <f>CI12+CJ12</f>
        <v>86933.333333333343</v>
      </c>
      <c r="CP12" s="429">
        <f>SUMIFS(Collection!$O:$O, Collection!$K:$K, CP$2, Collection!$A:$A, "="&amp;$A12)</f>
        <v>10000</v>
      </c>
      <c r="CQ12" s="430">
        <f>(SUMIFS('Bucket Counts'!$P:$P, 'Bucket Counts'!$B:$B, CQ$2, 'Bucket Counts'!$A:$A, "="&amp;$A12,  'Bucket Counts'!$F:$F, "&lt;&gt;100 Morts",  'Bucket Counts'!$F:$F, "&lt;&gt;224"))</f>
        <v>80000</v>
      </c>
      <c r="CR12" s="430">
        <f>(SUMIFS('Bucket Counts'!$P:$P, 'Bucket Counts'!$B:$B, CR$2, 'Bucket Counts'!$A:$A, "="&amp;$A12,  'Bucket Counts'!$F:$F, "100 Morts"))</f>
        <v>0</v>
      </c>
      <c r="CS12" s="430">
        <f>(SUMIFS('Bucket Counts'!$P:$P, 'Bucket Counts'!$B:$B, CS$2, 'Bucket Counts'!$A:$A, "="&amp;$A12,  'Bucket Counts'!$F:$F, "224"))</f>
        <v>0</v>
      </c>
      <c r="CT12" s="430">
        <f>CV11</f>
        <v>121533.33333333333</v>
      </c>
      <c r="CU12" s="431">
        <f>SUM(CQ12+CS12)</f>
        <v>80000</v>
      </c>
      <c r="CV12" s="432">
        <f>CP12+CQ12</f>
        <v>90000</v>
      </c>
      <c r="CW12" s="429">
        <f>SUMIFS(Collection!$O:$O, Collection!$K:$K, CW$2, Collection!$A:$A, "="&amp;$A12)</f>
        <v>0</v>
      </c>
      <c r="CX12" s="430">
        <f>(SUMIFS('Bucket Counts'!$P:$P, 'Bucket Counts'!$B:$B, CX$2, 'Bucket Counts'!$A:$A, "="&amp;$A12,  'Bucket Counts'!$F:$F, "&lt;&gt;100 Morts",  'Bucket Counts'!$F:$F, "&lt;&gt;224"))</f>
        <v>20666.666666666668</v>
      </c>
      <c r="CY12" s="430">
        <f>(SUMIFS('Bucket Counts'!$P:$P, 'Bucket Counts'!$B:$B, CY$2, 'Bucket Counts'!$A:$A, "="&amp;$A12,  'Bucket Counts'!$F:$F, "100 Morts"))</f>
        <v>0</v>
      </c>
      <c r="CZ12" s="430">
        <f>(SUMIFS('Bucket Counts'!$P:$P, 'Bucket Counts'!$B:$B, CZ$2, 'Bucket Counts'!$A:$A, "="&amp;$A12,  'Bucket Counts'!$F:$F, "224"))</f>
        <v>0</v>
      </c>
      <c r="DA12" s="430">
        <f>DC11</f>
        <v>82333.333333333328</v>
      </c>
      <c r="DB12" s="431">
        <f>SUM(CX12+CZ12)</f>
        <v>20666.666666666668</v>
      </c>
      <c r="DC12" s="432">
        <f>CW12+CX12</f>
        <v>20666.666666666668</v>
      </c>
      <c r="DD12" s="429">
        <f>SUMIFS(Collection!$O:$O, Collection!$K:$K, DD$2, Collection!$A:$A, "="&amp;$A12)</f>
        <v>4266.6666666666661</v>
      </c>
      <c r="DE12" s="430">
        <f>(SUMIFS('Bucket Counts'!$P:$P, 'Bucket Counts'!$B:$B, DE$2, 'Bucket Counts'!$A:$A, "="&amp;$A12,  'Bucket Counts'!$F:$F, "&lt;&gt;100 Morts",  'Bucket Counts'!$F:$F, "&lt;&gt;224"))</f>
        <v>71400</v>
      </c>
      <c r="DF12" s="430">
        <f>(SUMIFS('Bucket Counts'!$P:$P, 'Bucket Counts'!$B:$B, DF$2, 'Bucket Counts'!$A:$A, "="&amp;$A12,  'Bucket Counts'!$F:$F, "100 Morts"))</f>
        <v>0</v>
      </c>
      <c r="DG12" s="430">
        <f>(SUMIFS('Bucket Counts'!$P:$P, 'Bucket Counts'!$B:$B, DG$2, 'Bucket Counts'!$A:$A, "="&amp;$A12,  'Bucket Counts'!$F:$F, "224"))</f>
        <v>0</v>
      </c>
      <c r="DH12" s="430">
        <f>DJ11</f>
        <v>127266.66666666667</v>
      </c>
      <c r="DI12" s="431">
        <f>SUM(DE12+DG12)</f>
        <v>71400</v>
      </c>
      <c r="DJ12" s="432">
        <f>DD12+DE12</f>
        <v>75666.666666666672</v>
      </c>
      <c r="DK12" s="429">
        <f>SUMIFS(Collection!$O:$O, Collection!$K:$K, DK$2, Collection!$A:$A, "="&amp;$A12)</f>
        <v>0</v>
      </c>
      <c r="DL12" s="430">
        <f>(SUMIFS('Bucket Counts'!$P:$P, 'Bucket Counts'!$B:$B, DL$2, 'Bucket Counts'!$A:$A, "="&amp;$A12,  'Bucket Counts'!$F:$F, "&lt;&gt;100 Morts",  'Bucket Counts'!$F:$F, "&lt;&gt;224"))</f>
        <v>0</v>
      </c>
      <c r="DM12" s="430">
        <f>(SUMIFS('Bucket Counts'!$P:$P, 'Bucket Counts'!$B:$B, DM$2, 'Bucket Counts'!$A:$A, "="&amp;$A12,  'Bucket Counts'!$F:$F, "100 Morts"))</f>
        <v>0</v>
      </c>
      <c r="DN12" s="430">
        <f>(SUMIFS('Bucket Counts'!$P:$P, 'Bucket Counts'!$B:$B, DN$2, 'Bucket Counts'!$A:$A, "="&amp;$A12,  'Bucket Counts'!$F:$F, "224"))</f>
        <v>0</v>
      </c>
      <c r="DO12" s="430">
        <f>DQ11</f>
        <v>10000</v>
      </c>
      <c r="DP12" s="431">
        <f>SUM(DL12+DN12)</f>
        <v>0</v>
      </c>
      <c r="DQ12" s="432">
        <f>DK12+DL12</f>
        <v>0</v>
      </c>
      <c r="DR12" s="429">
        <f>SUMIFS(Collection!$O:$O, Collection!$K:$K, DR$2, Collection!$A:$A, "="&amp;$A12)</f>
        <v>57866.666666666664</v>
      </c>
      <c r="DS12" s="430">
        <f>(SUMIFS('Bucket Counts'!$P:$P, 'Bucket Counts'!$B:$B, DS$2, 'Bucket Counts'!$A:$A, "="&amp;$A12,  'Bucket Counts'!$F:$F, "&lt;&gt;100 Morts",  'Bucket Counts'!$F:$F, "&lt;&gt;224"))</f>
        <v>62666.666666666664</v>
      </c>
      <c r="DT12" s="430">
        <f>(SUMIFS('Bucket Counts'!$P:$P, 'Bucket Counts'!$B:$B, DT$2, 'Bucket Counts'!$A:$A, "="&amp;$A12,  'Bucket Counts'!$F:$F, "100 Morts"))</f>
        <v>0</v>
      </c>
      <c r="DU12" s="430">
        <f>(SUMIFS('Bucket Counts'!$P:$P, 'Bucket Counts'!$B:$B, DU$2, 'Bucket Counts'!$A:$A, "="&amp;$A12,  'Bucket Counts'!$F:$F, "224"))</f>
        <v>0</v>
      </c>
      <c r="DV12" s="430">
        <f>DX11</f>
        <v>0</v>
      </c>
      <c r="DW12" s="431">
        <f>SUM(DS12+DU12)</f>
        <v>62666.666666666664</v>
      </c>
      <c r="DX12" s="432">
        <f>DR12+DS12</f>
        <v>120533.33333333333</v>
      </c>
      <c r="DY12" s="429">
        <f>SUMIFS(Collection!$O:$O, Collection!$K:$K, DY$2, Collection!$A:$A, "="&amp;$A12)</f>
        <v>0</v>
      </c>
      <c r="DZ12" s="430">
        <f>(SUMIFS('Bucket Counts'!$P:$P, 'Bucket Counts'!$B:$B, DZ$2, 'Bucket Counts'!$A:$A, "="&amp;$A12,  'Bucket Counts'!$F:$F, "&lt;&gt;100 Morts",  'Bucket Counts'!$F:$F, "&lt;&gt;224"))</f>
        <v>118400</v>
      </c>
      <c r="EA12" s="430">
        <f>(SUMIFS('Bucket Counts'!$P:$P, 'Bucket Counts'!$B:$B, EA$2, 'Bucket Counts'!$A:$A, "="&amp;$A12,  'Bucket Counts'!$F:$F, "100 Morts"))</f>
        <v>0</v>
      </c>
      <c r="EB12" s="430">
        <f>(SUMIFS('Bucket Counts'!$P:$P, 'Bucket Counts'!$B:$B, EB$2, 'Bucket Counts'!$A:$A, "="&amp;$A12,  'Bucket Counts'!$F:$F, "224"))</f>
        <v>0</v>
      </c>
      <c r="EC12" s="430">
        <f>EE11</f>
        <v>143533.33333333334</v>
      </c>
      <c r="ED12" s="431">
        <f>SUM(DZ12+EB12)</f>
        <v>118400</v>
      </c>
      <c r="EE12" s="432">
        <f>DY12+DZ12</f>
        <v>118400</v>
      </c>
      <c r="EF12" s="429">
        <f>SUMIFS(Collection!$O:$O, Collection!$K:$K, EF$2, Collection!$A:$A, "="&amp;$A12)</f>
        <v>0</v>
      </c>
      <c r="EG12" s="430">
        <f>(SUMIFS('Bucket Counts'!$P:$P, 'Bucket Counts'!$B:$B, EG$2, 'Bucket Counts'!$A:$A, "="&amp;$A12,  'Bucket Counts'!$F:$F, "&lt;&gt;100 Morts",  'Bucket Counts'!$F:$F, "&lt;&gt;224"))</f>
        <v>0</v>
      </c>
      <c r="EH12" s="430">
        <f>(SUMIFS('Bucket Counts'!$P:$P, 'Bucket Counts'!$B:$B, EH$2, 'Bucket Counts'!$A:$A, "="&amp;$A12,  'Bucket Counts'!$F:$F, "100 Morts"))</f>
        <v>0</v>
      </c>
      <c r="EI12" s="430">
        <f>(SUMIFS('Bucket Counts'!$P:$P, 'Bucket Counts'!$B:$B, EI$2, 'Bucket Counts'!$A:$A, "="&amp;$A12,  'Bucket Counts'!$F:$F, "224"))</f>
        <v>0</v>
      </c>
      <c r="EJ12" s="430">
        <f>EL11</f>
        <v>59600</v>
      </c>
      <c r="EK12" s="431">
        <f>SUM(EG12+EI12)</f>
        <v>0</v>
      </c>
      <c r="EL12" s="432">
        <f>EF12+EG12</f>
        <v>0</v>
      </c>
    </row>
    <row r="13" spans="1:142" s="362" customFormat="1" x14ac:dyDescent="0.2">
      <c r="A13" s="16">
        <v>42882</v>
      </c>
      <c r="B13" s="16" t="s">
        <v>487</v>
      </c>
      <c r="C13" s="369">
        <f>SUMIFS(Collection!$O:$O, Collection!$K:$K, C$2, Collection!$A:$A, "="&amp;$A13)</f>
        <v>4916.666666666667</v>
      </c>
      <c r="D13" s="116">
        <f>(SUMIFS('Bucket Counts'!$P:$P, 'Bucket Counts'!$B:$B, D$2, 'Bucket Counts'!$A:$A, "="&amp;$A13,  'Bucket Counts'!$F:$F, "&lt;&gt;100 Morts",  'Bucket Counts'!$F:$F, "&lt;&gt;224"))</f>
        <v>0</v>
      </c>
      <c r="E13" s="116">
        <f>(SUMIFS('Bucket Counts'!$P:$P, 'Bucket Counts'!$B:$B, E$2, 'Bucket Counts'!$A:$A, "="&amp;$A13,  'Bucket Counts'!$F:$F, "100 Morts"))</f>
        <v>0</v>
      </c>
      <c r="F13" s="116">
        <f>(SUMIFS('Bucket Counts'!$P:$P, 'Bucket Counts'!$B:$B, F$2, 'Bucket Counts'!$A:$A, "="&amp;$A13,  'Bucket Counts'!$F:$F, "224"))</f>
        <v>0</v>
      </c>
      <c r="G13" s="116"/>
      <c r="H13" s="426">
        <f>(F13+D13)/I12</f>
        <v>0</v>
      </c>
      <c r="I13" s="370">
        <f>D12+SUM(C12:C13)</f>
        <v>74783.333333333328</v>
      </c>
      <c r="J13" s="369">
        <f>SUMIFS(Collection!$O:$O, Collection!$K:$K, J$2, Collection!$A:$A, "="&amp;$A13)</f>
        <v>4958.333333333333</v>
      </c>
      <c r="K13" s="116">
        <f>(SUMIFS('Bucket Counts'!$P:$P, 'Bucket Counts'!$B:$B, K$2, 'Bucket Counts'!$A:$A, "="&amp;$A13,  'Bucket Counts'!$F:$F, "&lt;&gt;100 Morts",  'Bucket Counts'!$F:$F, "&lt;&gt;224"))</f>
        <v>0</v>
      </c>
      <c r="L13" s="116">
        <f>(SUMIFS('Bucket Counts'!$P:$P, 'Bucket Counts'!$B:$B, L$2, 'Bucket Counts'!$A:$A, "="&amp;$A13,  'Bucket Counts'!$F:$F, "100 Morts"))</f>
        <v>0</v>
      </c>
      <c r="M13" s="116">
        <f>(SUMIFS('Bucket Counts'!$P:$P, 'Bucket Counts'!$B:$B, M$2, 'Bucket Counts'!$A:$A, "="&amp;$A13,  'Bucket Counts'!$F:$F, "224"))</f>
        <v>0</v>
      </c>
      <c r="N13" s="116"/>
      <c r="O13" s="426">
        <f>(M13+K13)/P12</f>
        <v>0</v>
      </c>
      <c r="P13" s="370">
        <f>K12+SUM(J12:J13)</f>
        <v>92958.333333333328</v>
      </c>
      <c r="Q13" s="369">
        <f>SUMIFS(Collection!$O:$O, Collection!$K:$K, Q$2, Collection!$A:$A, "="&amp;$A13)</f>
        <v>10625</v>
      </c>
      <c r="R13" s="116">
        <f>(SUMIFS('Bucket Counts'!$P:$P, 'Bucket Counts'!$B:$B, R$2, 'Bucket Counts'!$A:$A, "="&amp;$A13,  'Bucket Counts'!$F:$F, "&lt;&gt;100 Morts",  'Bucket Counts'!$F:$F, "&lt;&gt;224"))</f>
        <v>0</v>
      </c>
      <c r="S13" s="116">
        <f>(SUMIFS('Bucket Counts'!$P:$P, 'Bucket Counts'!$B:$B, S$2, 'Bucket Counts'!$A:$A, "="&amp;$A13,  'Bucket Counts'!$F:$F, "100 Morts"))</f>
        <v>0</v>
      </c>
      <c r="T13" s="116">
        <f>(SUMIFS('Bucket Counts'!$P:$P, 'Bucket Counts'!$B:$B, T$2, 'Bucket Counts'!$A:$A, "="&amp;$A13,  'Bucket Counts'!$F:$F, "224"))</f>
        <v>0</v>
      </c>
      <c r="U13" s="116"/>
      <c r="V13" s="426">
        <f>(T13+R13)/W12</f>
        <v>0</v>
      </c>
      <c r="W13" s="370">
        <f>R12+SUM(Q12:Q13)</f>
        <v>76991.666666666672</v>
      </c>
      <c r="X13" s="369">
        <f>SUMIFS(Collection!$O:$O, Collection!$K:$K, X$2, Collection!$A:$A, "="&amp;$A13)</f>
        <v>8016.666666666667</v>
      </c>
      <c r="Y13" s="116">
        <f>(SUMIFS('Bucket Counts'!$P:$P, 'Bucket Counts'!$B:$B, Y$2, 'Bucket Counts'!$A:$A, "="&amp;$A13,  'Bucket Counts'!$F:$F, "&lt;&gt;100 Morts",  'Bucket Counts'!$F:$F, "&lt;&gt;224"))</f>
        <v>0</v>
      </c>
      <c r="Z13" s="116">
        <f>(SUMIFS('Bucket Counts'!$P:$P, 'Bucket Counts'!$B:$B, Z$2, 'Bucket Counts'!$A:$A, "="&amp;$A13,  'Bucket Counts'!$F:$F, "100 Morts"))</f>
        <v>0</v>
      </c>
      <c r="AA13" s="116">
        <f>(SUMIFS('Bucket Counts'!$P:$P, 'Bucket Counts'!$B:$B, AA$2, 'Bucket Counts'!$A:$A, "="&amp;$A13,  'Bucket Counts'!$F:$F, "224"))</f>
        <v>0</v>
      </c>
      <c r="AB13" s="116"/>
      <c r="AC13" s="426">
        <f>(AA13+Y13)/AD12</f>
        <v>0</v>
      </c>
      <c r="AD13" s="370">
        <f>Y12+SUM(X12:X13)</f>
        <v>143816.66666666666</v>
      </c>
      <c r="AE13" s="369">
        <f>SUMIFS(Collection!$O:$O, Collection!$K:$K, AE$2, Collection!$A:$A, "="&amp;$A13)</f>
        <v>0</v>
      </c>
      <c r="AF13" s="116">
        <f>(SUMIFS('Bucket Counts'!$P:$P, 'Bucket Counts'!$B:$B, AF$2, 'Bucket Counts'!$A:$A, "="&amp;$A13,  'Bucket Counts'!$F:$F, "&lt;&gt;100 Morts",  'Bucket Counts'!$F:$F, "&lt;&gt;224"))</f>
        <v>0</v>
      </c>
      <c r="AG13" s="116">
        <f>(SUMIFS('Bucket Counts'!$P:$P, 'Bucket Counts'!$B:$B, AG$2, 'Bucket Counts'!$A:$A, "="&amp;$A13,  'Bucket Counts'!$F:$F, "100 Morts"))</f>
        <v>0</v>
      </c>
      <c r="AH13" s="116">
        <f>(SUMIFS('Bucket Counts'!$P:$P, 'Bucket Counts'!$B:$B, AH$2, 'Bucket Counts'!$A:$A, "="&amp;$A13,  'Bucket Counts'!$F:$F, "224"))</f>
        <v>0</v>
      </c>
      <c r="AI13" s="116"/>
      <c r="AJ13" s="426">
        <f>(AH13+AF13)/AK12</f>
        <v>0</v>
      </c>
      <c r="AK13" s="370">
        <f>AF12+SUM(AE12:AE13)</f>
        <v>112000</v>
      </c>
      <c r="AL13" s="369">
        <f>SUMIFS(Collection!$O:$O, Collection!$K:$K, AL$2, Collection!$A:$A, "="&amp;$A13)</f>
        <v>0</v>
      </c>
      <c r="AM13" s="116">
        <f>(SUMIFS('Bucket Counts'!$P:$P, 'Bucket Counts'!$B:$B, AM$2, 'Bucket Counts'!$A:$A, "="&amp;$A13,  'Bucket Counts'!$F:$F, "&lt;&gt;100 Morts",  'Bucket Counts'!$F:$F, "&lt;&gt;224"))</f>
        <v>0</v>
      </c>
      <c r="AN13" s="116">
        <f>(SUMIFS('Bucket Counts'!$P:$P, 'Bucket Counts'!$B:$B, AN$2, 'Bucket Counts'!$A:$A, "="&amp;$A13,  'Bucket Counts'!$F:$F, "100 Morts"))</f>
        <v>0</v>
      </c>
      <c r="AO13" s="116">
        <f>(SUMIFS('Bucket Counts'!$P:$P, 'Bucket Counts'!$B:$B, AO$2, 'Bucket Counts'!$A:$A, "="&amp;$A13,  'Bucket Counts'!$F:$F, "224"))</f>
        <v>0</v>
      </c>
      <c r="AP13" s="116"/>
      <c r="AQ13" s="426">
        <f>(AO13+AM13)/AR12</f>
        <v>0</v>
      </c>
      <c r="AR13" s="370">
        <f>AM12+SUM(AL12:AL13)</f>
        <v>179400</v>
      </c>
      <c r="AS13" s="369">
        <f>SUMIFS(Collection!$O:$O, Collection!$K:$K, AS$2, Collection!$A:$A, "="&amp;$A13)</f>
        <v>1400</v>
      </c>
      <c r="AT13" s="116">
        <f>(SUMIFS('Bucket Counts'!$P:$P, 'Bucket Counts'!$B:$B, AT$2, 'Bucket Counts'!$A:$A, "="&amp;$A13,  'Bucket Counts'!$F:$F, "&lt;&gt;100 Morts",  'Bucket Counts'!$F:$F, "&lt;&gt;224"))</f>
        <v>0</v>
      </c>
      <c r="AU13" s="116">
        <f>(SUMIFS('Bucket Counts'!$P:$P, 'Bucket Counts'!$B:$B, AU$2, 'Bucket Counts'!$A:$A, "="&amp;$A13,  'Bucket Counts'!$F:$F, "100 Morts"))</f>
        <v>0</v>
      </c>
      <c r="AV13" s="116">
        <f>(SUMIFS('Bucket Counts'!$P:$P, 'Bucket Counts'!$B:$B, AV$2, 'Bucket Counts'!$A:$A, "="&amp;$A13,  'Bucket Counts'!$F:$F, "224"))</f>
        <v>0</v>
      </c>
      <c r="AW13" s="116"/>
      <c r="AX13" s="426">
        <f>(AV13+AT13)/AY12</f>
        <v>0</v>
      </c>
      <c r="AY13" s="370">
        <f>AT12+SUM(AS12:AS13)</f>
        <v>99000</v>
      </c>
      <c r="AZ13" s="369">
        <f>SUMIFS(Collection!$O:$O, Collection!$K:$K, AZ$2, Collection!$A:$A, "="&amp;$A13)</f>
        <v>85866.666666666672</v>
      </c>
      <c r="BA13" s="116">
        <f>(SUMIFS('Bucket Counts'!$P:$P, 'Bucket Counts'!$B:$B, BA$2, 'Bucket Counts'!$A:$A, "="&amp;$A13,  'Bucket Counts'!$F:$F, "&lt;&gt;100 Morts",  'Bucket Counts'!$F:$F, "&lt;&gt;224"))</f>
        <v>0</v>
      </c>
      <c r="BB13" s="116">
        <f>(SUMIFS('Bucket Counts'!$P:$P, 'Bucket Counts'!$B:$B, BB$2, 'Bucket Counts'!$A:$A, "="&amp;$A13,  'Bucket Counts'!$F:$F, "100 Morts"))</f>
        <v>0</v>
      </c>
      <c r="BC13" s="116">
        <f>(SUMIFS('Bucket Counts'!$P:$P, 'Bucket Counts'!$B:$B, BC$2, 'Bucket Counts'!$A:$A, "="&amp;$A13,  'Bucket Counts'!$F:$F, "224"))</f>
        <v>0</v>
      </c>
      <c r="BD13" s="116"/>
      <c r="BE13" s="426">
        <f>(BC13+BA13)/BF12</f>
        <v>0</v>
      </c>
      <c r="BF13" s="370">
        <f>BA12+SUM(AZ12:AZ13)</f>
        <v>183466.66666666669</v>
      </c>
      <c r="BG13" s="369">
        <f>SUMIFS(Collection!$O:$O, Collection!$K:$K, BG$2, Collection!$A:$A, "="&amp;$A13)</f>
        <v>0</v>
      </c>
      <c r="BH13" s="116">
        <f>(SUMIFS('Bucket Counts'!$P:$P, 'Bucket Counts'!$B:$B, BH$2, 'Bucket Counts'!$A:$A, "="&amp;$A13,  'Bucket Counts'!$F:$F, "&lt;&gt;100 Morts",  'Bucket Counts'!$F:$F, "&lt;&gt;224"))</f>
        <v>0</v>
      </c>
      <c r="BI13" s="116">
        <f>(SUMIFS('Bucket Counts'!$P:$P, 'Bucket Counts'!$B:$B, BI$2, 'Bucket Counts'!$A:$A, "="&amp;$A13,  'Bucket Counts'!$F:$F, "100 Morts"))</f>
        <v>0</v>
      </c>
      <c r="BJ13" s="116">
        <f>(SUMIFS('Bucket Counts'!$P:$P, 'Bucket Counts'!$B:$B, BJ$2, 'Bucket Counts'!$A:$A, "="&amp;$A13,  'Bucket Counts'!$F:$F, "224"))</f>
        <v>0</v>
      </c>
      <c r="BK13" s="116"/>
      <c r="BL13" s="426">
        <f>(BJ13+BH13)/BM12</f>
        <v>0</v>
      </c>
      <c r="BM13" s="370">
        <f>BH12+SUM(BG12:BG13)</f>
        <v>74266.666666666657</v>
      </c>
      <c r="BN13" s="369">
        <f>SUMIFS(Collection!$O:$O, Collection!$K:$K, BN$2, Collection!$A:$A, "="&amp;$A13)</f>
        <v>117866.66666666667</v>
      </c>
      <c r="BO13" s="116">
        <f>(SUMIFS('Bucket Counts'!$P:$P, 'Bucket Counts'!$B:$B, BO$2, 'Bucket Counts'!$A:$A, "="&amp;$A13,  'Bucket Counts'!$F:$F, "&lt;&gt;100 Morts",  'Bucket Counts'!$F:$F, "&lt;&gt;224"))</f>
        <v>0</v>
      </c>
      <c r="BP13" s="116">
        <f>(SUMIFS('Bucket Counts'!$P:$P, 'Bucket Counts'!$B:$B, BP$2, 'Bucket Counts'!$A:$A, "="&amp;$A13,  'Bucket Counts'!$F:$F, "100 Morts"))</f>
        <v>0</v>
      </c>
      <c r="BQ13" s="116">
        <f>(SUMIFS('Bucket Counts'!$P:$P, 'Bucket Counts'!$B:$B, BQ$2, 'Bucket Counts'!$A:$A, "="&amp;$A13,  'Bucket Counts'!$F:$F, "224"))</f>
        <v>0</v>
      </c>
      <c r="BR13" s="116"/>
      <c r="BS13" s="426">
        <f>(BQ13+BO13)/BT12</f>
        <v>0</v>
      </c>
      <c r="BT13" s="370">
        <f>BO12+SUM(BN12:BN13)</f>
        <v>162066.66666666669</v>
      </c>
      <c r="BU13" s="369">
        <f>SUMIFS(Collection!$O:$O, Collection!$K:$K, BU$2, Collection!$A:$A, "="&amp;$A13)</f>
        <v>0</v>
      </c>
      <c r="BV13" s="116">
        <f>(SUMIFS('Bucket Counts'!$P:$P, 'Bucket Counts'!$B:$B, BV$2, 'Bucket Counts'!$A:$A, "="&amp;$A13,  'Bucket Counts'!$F:$F, "&lt;&gt;100 Morts",  'Bucket Counts'!$F:$F, "&lt;&gt;224"))</f>
        <v>0</v>
      </c>
      <c r="BW13" s="116">
        <f>(SUMIFS('Bucket Counts'!$P:$P, 'Bucket Counts'!$B:$B, BW$2, 'Bucket Counts'!$A:$A, "="&amp;$A13,  'Bucket Counts'!$F:$F, "100 Morts"))</f>
        <v>0</v>
      </c>
      <c r="BX13" s="116">
        <f>(SUMIFS('Bucket Counts'!$P:$P, 'Bucket Counts'!$B:$B, BX$2, 'Bucket Counts'!$A:$A, "="&amp;$A13,  'Bucket Counts'!$F:$F, "224"))</f>
        <v>0</v>
      </c>
      <c r="BY13" s="116"/>
      <c r="BZ13" s="426" t="e">
        <f>(BX13+BV13)/CA12</f>
        <v>#DIV/0!</v>
      </c>
      <c r="CA13" s="370">
        <f>BV12+SUM(BU12:BU13)</f>
        <v>0</v>
      </c>
      <c r="CB13" s="369">
        <f>SUMIFS(Collection!$O:$O, Collection!$K:$K, CB$2, Collection!$A:$A, "="&amp;$A13)</f>
        <v>0</v>
      </c>
      <c r="CC13" s="116">
        <f>(SUMIFS('Bucket Counts'!$P:$P, 'Bucket Counts'!$B:$B, CC$2, 'Bucket Counts'!$A:$A, "="&amp;$A13,  'Bucket Counts'!$F:$F, "&lt;&gt;100 Morts",  'Bucket Counts'!$F:$F, "&lt;&gt;224"))</f>
        <v>0</v>
      </c>
      <c r="CD13" s="116">
        <f>(SUMIFS('Bucket Counts'!$P:$P, 'Bucket Counts'!$B:$B, CD$2, 'Bucket Counts'!$A:$A, "="&amp;$A13,  'Bucket Counts'!$F:$F, "100 Morts"))</f>
        <v>0</v>
      </c>
      <c r="CE13" s="116">
        <f>(SUMIFS('Bucket Counts'!$P:$P, 'Bucket Counts'!$B:$B, CE$2, 'Bucket Counts'!$A:$A, "="&amp;$A13,  'Bucket Counts'!$F:$F, "224"))</f>
        <v>0</v>
      </c>
      <c r="CF13" s="116"/>
      <c r="CG13" s="426" t="e">
        <f>(CE13+CC13)/CH12</f>
        <v>#DIV/0!</v>
      </c>
      <c r="CH13" s="370">
        <f>CC12+SUM(CB12:CB13)</f>
        <v>0</v>
      </c>
      <c r="CI13" s="369">
        <f>SUMIFS(Collection!$O:$O, Collection!$K:$K, CI$2, Collection!$A:$A, "="&amp;$A13)</f>
        <v>0</v>
      </c>
      <c r="CJ13" s="116">
        <f>(SUMIFS('Bucket Counts'!$P:$P, 'Bucket Counts'!$B:$B, CJ$2, 'Bucket Counts'!$A:$A, "="&amp;$A13,  'Bucket Counts'!$F:$F, "&lt;&gt;100 Morts",  'Bucket Counts'!$F:$F, "&lt;&gt;224"))</f>
        <v>0</v>
      </c>
      <c r="CK13" s="116">
        <f>(SUMIFS('Bucket Counts'!$P:$P, 'Bucket Counts'!$B:$B, CK$2, 'Bucket Counts'!$A:$A, "="&amp;$A13,  'Bucket Counts'!$F:$F, "100 Morts"))</f>
        <v>0</v>
      </c>
      <c r="CL13" s="116">
        <f>(SUMIFS('Bucket Counts'!$P:$P, 'Bucket Counts'!$B:$B, CL$2, 'Bucket Counts'!$A:$A, "="&amp;$A13,  'Bucket Counts'!$F:$F, "224"))</f>
        <v>0</v>
      </c>
      <c r="CM13" s="116"/>
      <c r="CN13" s="426">
        <f>(CL13+CJ13)/CO12</f>
        <v>0</v>
      </c>
      <c r="CO13" s="370">
        <f>CJ12+SUM(CI12:CI13)</f>
        <v>86933.333333333343</v>
      </c>
      <c r="CP13" s="369">
        <f>SUMIFS(Collection!$O:$O, Collection!$K:$K, CP$2, Collection!$A:$A, "="&amp;$A13)</f>
        <v>21600</v>
      </c>
      <c r="CQ13" s="116">
        <f>(SUMIFS('Bucket Counts'!$P:$P, 'Bucket Counts'!$B:$B, CQ$2, 'Bucket Counts'!$A:$A, "="&amp;$A13,  'Bucket Counts'!$F:$F, "&lt;&gt;100 Morts",  'Bucket Counts'!$F:$F, "&lt;&gt;224"))</f>
        <v>0</v>
      </c>
      <c r="CR13" s="116">
        <f>(SUMIFS('Bucket Counts'!$P:$P, 'Bucket Counts'!$B:$B, CR$2, 'Bucket Counts'!$A:$A, "="&amp;$A13,  'Bucket Counts'!$F:$F, "100 Morts"))</f>
        <v>0</v>
      </c>
      <c r="CS13" s="116">
        <f>(SUMIFS('Bucket Counts'!$P:$P, 'Bucket Counts'!$B:$B, CS$2, 'Bucket Counts'!$A:$A, "="&amp;$A13,  'Bucket Counts'!$F:$F, "224"))</f>
        <v>0</v>
      </c>
      <c r="CT13" s="116"/>
      <c r="CU13" s="426">
        <f>(CS13+CQ13)/CV12</f>
        <v>0</v>
      </c>
      <c r="CV13" s="370">
        <f>CQ12+SUM(CP12:CP13)</f>
        <v>111600</v>
      </c>
      <c r="CW13" s="369">
        <f>SUMIFS(Collection!$O:$O, Collection!$K:$K, CW$2, Collection!$A:$A, "="&amp;$A13)</f>
        <v>0</v>
      </c>
      <c r="CX13" s="116">
        <f>(SUMIFS('Bucket Counts'!$P:$P, 'Bucket Counts'!$B:$B, CX$2, 'Bucket Counts'!$A:$A, "="&amp;$A13,  'Bucket Counts'!$F:$F, "&lt;&gt;100 Morts",  'Bucket Counts'!$F:$F, "&lt;&gt;224"))</f>
        <v>0</v>
      </c>
      <c r="CY13" s="116">
        <f>(SUMIFS('Bucket Counts'!$P:$P, 'Bucket Counts'!$B:$B, CY$2, 'Bucket Counts'!$A:$A, "="&amp;$A13,  'Bucket Counts'!$F:$F, "100 Morts"))</f>
        <v>0</v>
      </c>
      <c r="CZ13" s="116">
        <f>(SUMIFS('Bucket Counts'!$P:$P, 'Bucket Counts'!$B:$B, CZ$2, 'Bucket Counts'!$A:$A, "="&amp;$A13,  'Bucket Counts'!$F:$F, "224"))</f>
        <v>0</v>
      </c>
      <c r="DA13" s="116"/>
      <c r="DB13" s="426">
        <f>(CZ13+CX13)/DC12</f>
        <v>0</v>
      </c>
      <c r="DC13" s="370">
        <f>CX12+SUM(CW12:CW13)</f>
        <v>20666.666666666668</v>
      </c>
      <c r="DD13" s="369">
        <f>SUMIFS(Collection!$O:$O, Collection!$K:$K, DD$2, Collection!$A:$A, "="&amp;$A13)</f>
        <v>0</v>
      </c>
      <c r="DE13" s="116">
        <f>(SUMIFS('Bucket Counts'!$P:$P, 'Bucket Counts'!$B:$B, DE$2, 'Bucket Counts'!$A:$A, "="&amp;$A13,  'Bucket Counts'!$F:$F, "&lt;&gt;100 Morts",  'Bucket Counts'!$F:$F, "&lt;&gt;224"))</f>
        <v>0</v>
      </c>
      <c r="DF13" s="116">
        <f>(SUMIFS('Bucket Counts'!$P:$P, 'Bucket Counts'!$B:$B, DF$2, 'Bucket Counts'!$A:$A, "="&amp;$A13,  'Bucket Counts'!$F:$F, "100 Morts"))</f>
        <v>0</v>
      </c>
      <c r="DG13" s="116">
        <f>(SUMIFS('Bucket Counts'!$P:$P, 'Bucket Counts'!$B:$B, DG$2, 'Bucket Counts'!$A:$A, "="&amp;$A13,  'Bucket Counts'!$F:$F, "224"))</f>
        <v>0</v>
      </c>
      <c r="DH13" s="116"/>
      <c r="DI13" s="426">
        <f>(DG13+DE13)/DJ12</f>
        <v>0</v>
      </c>
      <c r="DJ13" s="370">
        <f>DE12+SUM(DD12:DD13)</f>
        <v>75666.666666666672</v>
      </c>
      <c r="DK13" s="369">
        <f>SUMIFS(Collection!$O:$O, Collection!$K:$K, DK$2, Collection!$A:$A, "="&amp;$A13)</f>
        <v>0</v>
      </c>
      <c r="DL13" s="116">
        <f>(SUMIFS('Bucket Counts'!$P:$P, 'Bucket Counts'!$B:$B, DL$2, 'Bucket Counts'!$A:$A, "="&amp;$A13,  'Bucket Counts'!$F:$F, "&lt;&gt;100 Morts",  'Bucket Counts'!$F:$F, "&lt;&gt;224"))</f>
        <v>0</v>
      </c>
      <c r="DM13" s="116">
        <f>(SUMIFS('Bucket Counts'!$P:$P, 'Bucket Counts'!$B:$B, DM$2, 'Bucket Counts'!$A:$A, "="&amp;$A13,  'Bucket Counts'!$F:$F, "100 Morts"))</f>
        <v>0</v>
      </c>
      <c r="DN13" s="116">
        <f>(SUMIFS('Bucket Counts'!$P:$P, 'Bucket Counts'!$B:$B, DN$2, 'Bucket Counts'!$A:$A, "="&amp;$A13,  'Bucket Counts'!$F:$F, "224"))</f>
        <v>0</v>
      </c>
      <c r="DO13" s="116"/>
      <c r="DP13" s="426" t="e">
        <f>(DN13+DL13)/DQ12</f>
        <v>#DIV/0!</v>
      </c>
      <c r="DQ13" s="370">
        <f>DL12+SUM(DK12:DK13)</f>
        <v>0</v>
      </c>
      <c r="DR13" s="369">
        <f>SUMIFS(Collection!$O:$O, Collection!$K:$K, DR$2, Collection!$A:$A, "="&amp;$A13)</f>
        <v>52250</v>
      </c>
      <c r="DS13" s="116">
        <f>(SUMIFS('Bucket Counts'!$P:$P, 'Bucket Counts'!$B:$B, DS$2, 'Bucket Counts'!$A:$A, "="&amp;$A13,  'Bucket Counts'!$F:$F, "&lt;&gt;100 Morts",  'Bucket Counts'!$F:$F, "&lt;&gt;224"))</f>
        <v>0</v>
      </c>
      <c r="DT13" s="116">
        <f>(SUMIFS('Bucket Counts'!$P:$P, 'Bucket Counts'!$B:$B, DT$2, 'Bucket Counts'!$A:$A, "="&amp;$A13,  'Bucket Counts'!$F:$F, "100 Morts"))</f>
        <v>0</v>
      </c>
      <c r="DU13" s="116">
        <f>(SUMIFS('Bucket Counts'!$P:$P, 'Bucket Counts'!$B:$B, DU$2, 'Bucket Counts'!$A:$A, "="&amp;$A13,  'Bucket Counts'!$F:$F, "224"))</f>
        <v>0</v>
      </c>
      <c r="DV13" s="116"/>
      <c r="DW13" s="426">
        <f>(DU13+DS13)/DX12</f>
        <v>0</v>
      </c>
      <c r="DX13" s="370">
        <f>DS12+SUM(DR12:DR13)</f>
        <v>172783.33333333331</v>
      </c>
      <c r="DY13" s="369">
        <f>SUMIFS(Collection!$O:$O, Collection!$K:$K, DY$2, Collection!$A:$A, "="&amp;$A13)</f>
        <v>0</v>
      </c>
      <c r="DZ13" s="116">
        <f>(SUMIFS('Bucket Counts'!$P:$P, 'Bucket Counts'!$B:$B, DZ$2, 'Bucket Counts'!$A:$A, "="&amp;$A13,  'Bucket Counts'!$F:$F, "&lt;&gt;100 Morts",  'Bucket Counts'!$F:$F, "&lt;&gt;224"))</f>
        <v>0</v>
      </c>
      <c r="EA13" s="116">
        <f>(SUMIFS('Bucket Counts'!$P:$P, 'Bucket Counts'!$B:$B, EA$2, 'Bucket Counts'!$A:$A, "="&amp;$A13,  'Bucket Counts'!$F:$F, "100 Morts"))</f>
        <v>0</v>
      </c>
      <c r="EB13" s="116">
        <f>(SUMIFS('Bucket Counts'!$P:$P, 'Bucket Counts'!$B:$B, EB$2, 'Bucket Counts'!$A:$A, "="&amp;$A13,  'Bucket Counts'!$F:$F, "224"))</f>
        <v>0</v>
      </c>
      <c r="EC13" s="116"/>
      <c r="ED13" s="426">
        <f>(EB13+DZ13)/EE12</f>
        <v>0</v>
      </c>
      <c r="EE13" s="370">
        <f>DZ12+SUM(DY12:DY13)</f>
        <v>118400</v>
      </c>
      <c r="EF13" s="369">
        <f>SUMIFS(Collection!$O:$O, Collection!$K:$K, EF$2, Collection!$A:$A, "="&amp;$A13)</f>
        <v>0</v>
      </c>
      <c r="EG13" s="116">
        <f>(SUMIFS('Bucket Counts'!$P:$P, 'Bucket Counts'!$B:$B, EG$2, 'Bucket Counts'!$A:$A, "="&amp;$A13,  'Bucket Counts'!$F:$F, "&lt;&gt;100 Morts",  'Bucket Counts'!$F:$F, "&lt;&gt;224"))</f>
        <v>0</v>
      </c>
      <c r="EH13" s="116">
        <f>(SUMIFS('Bucket Counts'!$P:$P, 'Bucket Counts'!$B:$B, EH$2, 'Bucket Counts'!$A:$A, "="&amp;$A13,  'Bucket Counts'!$F:$F, "100 Morts"))</f>
        <v>0</v>
      </c>
      <c r="EI13" s="116">
        <f>(SUMIFS('Bucket Counts'!$P:$P, 'Bucket Counts'!$B:$B, EI$2, 'Bucket Counts'!$A:$A, "="&amp;$A13,  'Bucket Counts'!$F:$F, "224"))</f>
        <v>0</v>
      </c>
      <c r="EJ13" s="116"/>
      <c r="EK13" s="426" t="e">
        <f>(EI13+EG13)/EL12</f>
        <v>#DIV/0!</v>
      </c>
      <c r="EL13" s="370">
        <f>EG12+SUM(EF12:EF13)</f>
        <v>0</v>
      </c>
    </row>
    <row r="14" spans="1:142" s="362" customFormat="1" x14ac:dyDescent="0.2">
      <c r="A14" s="16">
        <v>42883</v>
      </c>
      <c r="B14" s="16" t="s">
        <v>487</v>
      </c>
      <c r="C14" s="369">
        <f>SUMIFS(Collection!$O:$O, Collection!$K:$K, C$2, Collection!$A:$A, "="&amp;$A14)</f>
        <v>0</v>
      </c>
      <c r="D14" s="116">
        <f>(SUMIFS('Bucket Counts'!$P:$P, 'Bucket Counts'!$B:$B, D$2, 'Bucket Counts'!$A:$A, "="&amp;$A14,  'Bucket Counts'!$F:$F, "&lt;&gt;100 Morts",  'Bucket Counts'!$F:$F, "&lt;&gt;224"))</f>
        <v>0</v>
      </c>
      <c r="E14" s="116">
        <f>(SUMIFS('Bucket Counts'!$P:$P, 'Bucket Counts'!$B:$B, E$2, 'Bucket Counts'!$A:$A, "="&amp;$A14,  'Bucket Counts'!$F:$F, "100 Morts"))</f>
        <v>0</v>
      </c>
      <c r="F14" s="116">
        <f>(SUMIFS('Bucket Counts'!$P:$P, 'Bucket Counts'!$B:$B, F$2, 'Bucket Counts'!$A:$A, "="&amp;$A14,  'Bucket Counts'!$F:$F, "224"))</f>
        <v>0</v>
      </c>
      <c r="G14" s="116"/>
      <c r="H14" s="426">
        <f>(F14+D14)/I13</f>
        <v>0</v>
      </c>
      <c r="I14" s="370">
        <f>D12+SUM(C12:C14)</f>
        <v>74783.333333333328</v>
      </c>
      <c r="J14" s="369">
        <f>SUMIFS(Collection!$O:$O, Collection!$K:$K, J$2, Collection!$A:$A, "="&amp;$A14)</f>
        <v>0</v>
      </c>
      <c r="K14" s="116">
        <f>(SUMIFS('Bucket Counts'!$P:$P, 'Bucket Counts'!$B:$B, K$2, 'Bucket Counts'!$A:$A, "="&amp;$A14,  'Bucket Counts'!$F:$F, "&lt;&gt;100 Morts",  'Bucket Counts'!$F:$F, "&lt;&gt;224"))</f>
        <v>0</v>
      </c>
      <c r="L14" s="116">
        <f>(SUMIFS('Bucket Counts'!$P:$P, 'Bucket Counts'!$B:$B, L$2, 'Bucket Counts'!$A:$A, "="&amp;$A14,  'Bucket Counts'!$F:$F, "100 Morts"))</f>
        <v>0</v>
      </c>
      <c r="M14" s="116">
        <f>(SUMIFS('Bucket Counts'!$P:$P, 'Bucket Counts'!$B:$B, M$2, 'Bucket Counts'!$A:$A, "="&amp;$A14,  'Bucket Counts'!$F:$F, "224"))</f>
        <v>0</v>
      </c>
      <c r="N14" s="116"/>
      <c r="O14" s="426">
        <f>(M14+K14)/P13</f>
        <v>0</v>
      </c>
      <c r="P14" s="370">
        <f>K12+SUM(J12:J14)</f>
        <v>92958.333333333328</v>
      </c>
      <c r="Q14" s="369">
        <f>SUMIFS(Collection!$O:$O, Collection!$K:$K, Q$2, Collection!$A:$A, "="&amp;$A14)</f>
        <v>0</v>
      </c>
      <c r="R14" s="116">
        <f>(SUMIFS('Bucket Counts'!$P:$P, 'Bucket Counts'!$B:$B, R$2, 'Bucket Counts'!$A:$A, "="&amp;$A14,  'Bucket Counts'!$F:$F, "&lt;&gt;100 Morts",  'Bucket Counts'!$F:$F, "&lt;&gt;224"))</f>
        <v>0</v>
      </c>
      <c r="S14" s="116">
        <f>(SUMIFS('Bucket Counts'!$P:$P, 'Bucket Counts'!$B:$B, S$2, 'Bucket Counts'!$A:$A, "="&amp;$A14,  'Bucket Counts'!$F:$F, "100 Morts"))</f>
        <v>0</v>
      </c>
      <c r="T14" s="116">
        <f>(SUMIFS('Bucket Counts'!$P:$P, 'Bucket Counts'!$B:$B, T$2, 'Bucket Counts'!$A:$A, "="&amp;$A14,  'Bucket Counts'!$F:$F, "224"))</f>
        <v>0</v>
      </c>
      <c r="U14" s="116"/>
      <c r="V14" s="426">
        <f>(T14+R14)/W13</f>
        <v>0</v>
      </c>
      <c r="W14" s="370">
        <f>R12+SUM(Q12:Q14)</f>
        <v>76991.666666666672</v>
      </c>
      <c r="X14" s="369">
        <f>SUMIFS(Collection!$O:$O, Collection!$K:$K, X$2, Collection!$A:$A, "="&amp;$A14)</f>
        <v>0</v>
      </c>
      <c r="Y14" s="116">
        <f>(SUMIFS('Bucket Counts'!$P:$P, 'Bucket Counts'!$B:$B, Y$2, 'Bucket Counts'!$A:$A, "="&amp;$A14,  'Bucket Counts'!$F:$F, "&lt;&gt;100 Morts",  'Bucket Counts'!$F:$F, "&lt;&gt;224"))</f>
        <v>0</v>
      </c>
      <c r="Z14" s="116">
        <f>(SUMIFS('Bucket Counts'!$P:$P, 'Bucket Counts'!$B:$B, Z$2, 'Bucket Counts'!$A:$A, "="&amp;$A14,  'Bucket Counts'!$F:$F, "100 Morts"))</f>
        <v>0</v>
      </c>
      <c r="AA14" s="116">
        <f>(SUMIFS('Bucket Counts'!$P:$P, 'Bucket Counts'!$B:$B, AA$2, 'Bucket Counts'!$A:$A, "="&amp;$A14,  'Bucket Counts'!$F:$F, "224"))</f>
        <v>0</v>
      </c>
      <c r="AB14" s="116"/>
      <c r="AC14" s="426">
        <f>(AA14+Y14)/AD13</f>
        <v>0</v>
      </c>
      <c r="AD14" s="370">
        <f>Y12+SUM(X12:X14)</f>
        <v>143816.66666666666</v>
      </c>
      <c r="AE14" s="369">
        <f>SUMIFS(Collection!$O:$O, Collection!$K:$K, AE$2, Collection!$A:$A, "="&amp;$A14)</f>
        <v>0</v>
      </c>
      <c r="AF14" s="116">
        <f>(SUMIFS('Bucket Counts'!$P:$P, 'Bucket Counts'!$B:$B, AF$2, 'Bucket Counts'!$A:$A, "="&amp;$A14,  'Bucket Counts'!$F:$F, "&lt;&gt;100 Morts",  'Bucket Counts'!$F:$F, "&lt;&gt;224"))</f>
        <v>0</v>
      </c>
      <c r="AG14" s="116">
        <f>(SUMIFS('Bucket Counts'!$P:$P, 'Bucket Counts'!$B:$B, AG$2, 'Bucket Counts'!$A:$A, "="&amp;$A14,  'Bucket Counts'!$F:$F, "100 Morts"))</f>
        <v>0</v>
      </c>
      <c r="AH14" s="116">
        <f>(SUMIFS('Bucket Counts'!$P:$P, 'Bucket Counts'!$B:$B, AH$2, 'Bucket Counts'!$A:$A, "="&amp;$A14,  'Bucket Counts'!$F:$F, "224"))</f>
        <v>0</v>
      </c>
      <c r="AI14" s="116"/>
      <c r="AJ14" s="426">
        <f>(AH14+AF14)/AK13</f>
        <v>0</v>
      </c>
      <c r="AK14" s="370">
        <f>AF12+SUM(AE12:AE14)</f>
        <v>112000</v>
      </c>
      <c r="AL14" s="369">
        <f>SUMIFS(Collection!$O:$O, Collection!$K:$K, AL$2, Collection!$A:$A, "="&amp;$A14)</f>
        <v>0</v>
      </c>
      <c r="AM14" s="116">
        <f>(SUMIFS('Bucket Counts'!$P:$P, 'Bucket Counts'!$B:$B, AM$2, 'Bucket Counts'!$A:$A, "="&amp;$A14,  'Bucket Counts'!$F:$F, "&lt;&gt;100 Morts",  'Bucket Counts'!$F:$F, "&lt;&gt;224"))</f>
        <v>0</v>
      </c>
      <c r="AN14" s="116">
        <f>(SUMIFS('Bucket Counts'!$P:$P, 'Bucket Counts'!$B:$B, AN$2, 'Bucket Counts'!$A:$A, "="&amp;$A14,  'Bucket Counts'!$F:$F, "100 Morts"))</f>
        <v>0</v>
      </c>
      <c r="AO14" s="116">
        <f>(SUMIFS('Bucket Counts'!$P:$P, 'Bucket Counts'!$B:$B, AO$2, 'Bucket Counts'!$A:$A, "="&amp;$A14,  'Bucket Counts'!$F:$F, "224"))</f>
        <v>0</v>
      </c>
      <c r="AP14" s="116"/>
      <c r="AQ14" s="426">
        <f>(AO14+AM14)/AR13</f>
        <v>0</v>
      </c>
      <c r="AR14" s="370">
        <f>AM12+SUM(AL12:AL14)</f>
        <v>179400</v>
      </c>
      <c r="AS14" s="369">
        <f>SUMIFS(Collection!$O:$O, Collection!$K:$K, AS$2, Collection!$A:$A, "="&amp;$A14)</f>
        <v>0</v>
      </c>
      <c r="AT14" s="116">
        <f>(SUMIFS('Bucket Counts'!$P:$P, 'Bucket Counts'!$B:$B, AT$2, 'Bucket Counts'!$A:$A, "="&amp;$A14,  'Bucket Counts'!$F:$F, "&lt;&gt;100 Morts",  'Bucket Counts'!$F:$F, "&lt;&gt;224"))</f>
        <v>0</v>
      </c>
      <c r="AU14" s="116">
        <f>(SUMIFS('Bucket Counts'!$P:$P, 'Bucket Counts'!$B:$B, AU$2, 'Bucket Counts'!$A:$A, "="&amp;$A14,  'Bucket Counts'!$F:$F, "100 Morts"))</f>
        <v>0</v>
      </c>
      <c r="AV14" s="116">
        <f>(SUMIFS('Bucket Counts'!$P:$P, 'Bucket Counts'!$B:$B, AV$2, 'Bucket Counts'!$A:$A, "="&amp;$A14,  'Bucket Counts'!$F:$F, "224"))</f>
        <v>0</v>
      </c>
      <c r="AW14" s="116"/>
      <c r="AX14" s="426">
        <f>(AV14+AT14)/AY13</f>
        <v>0</v>
      </c>
      <c r="AY14" s="370">
        <f>AT12+SUM(AS12:AS14)</f>
        <v>99000</v>
      </c>
      <c r="AZ14" s="369">
        <f>SUMIFS(Collection!$O:$O, Collection!$K:$K, AZ$2, Collection!$A:$A, "="&amp;$A14)</f>
        <v>0</v>
      </c>
      <c r="BA14" s="116">
        <f>(SUMIFS('Bucket Counts'!$P:$P, 'Bucket Counts'!$B:$B, BA$2, 'Bucket Counts'!$A:$A, "="&amp;$A14,  'Bucket Counts'!$F:$F, "&lt;&gt;100 Morts",  'Bucket Counts'!$F:$F, "&lt;&gt;224"))</f>
        <v>0</v>
      </c>
      <c r="BB14" s="116">
        <f>(SUMIFS('Bucket Counts'!$P:$P, 'Bucket Counts'!$B:$B, BB$2, 'Bucket Counts'!$A:$A, "="&amp;$A14,  'Bucket Counts'!$F:$F, "100 Morts"))</f>
        <v>0</v>
      </c>
      <c r="BC14" s="116">
        <f>(SUMIFS('Bucket Counts'!$P:$P, 'Bucket Counts'!$B:$B, BC$2, 'Bucket Counts'!$A:$A, "="&amp;$A14,  'Bucket Counts'!$F:$F, "224"))</f>
        <v>0</v>
      </c>
      <c r="BD14" s="116"/>
      <c r="BE14" s="426">
        <f>(BC14+BA14)/BF13</f>
        <v>0</v>
      </c>
      <c r="BF14" s="370">
        <f>BA12+SUM(AZ12:AZ14)</f>
        <v>183466.66666666669</v>
      </c>
      <c r="BG14" s="369">
        <f>SUMIFS(Collection!$O:$O, Collection!$K:$K, BG$2, Collection!$A:$A, "="&amp;$A14)</f>
        <v>0</v>
      </c>
      <c r="BH14" s="116">
        <f>(SUMIFS('Bucket Counts'!$P:$P, 'Bucket Counts'!$B:$B, BH$2, 'Bucket Counts'!$A:$A, "="&amp;$A14,  'Bucket Counts'!$F:$F, "&lt;&gt;100 Morts",  'Bucket Counts'!$F:$F, "&lt;&gt;224"))</f>
        <v>0</v>
      </c>
      <c r="BI14" s="116">
        <f>(SUMIFS('Bucket Counts'!$P:$P, 'Bucket Counts'!$B:$B, BI$2, 'Bucket Counts'!$A:$A, "="&amp;$A14,  'Bucket Counts'!$F:$F, "100 Morts"))</f>
        <v>0</v>
      </c>
      <c r="BJ14" s="116">
        <f>(SUMIFS('Bucket Counts'!$P:$P, 'Bucket Counts'!$B:$B, BJ$2, 'Bucket Counts'!$A:$A, "="&amp;$A14,  'Bucket Counts'!$F:$F, "224"))</f>
        <v>0</v>
      </c>
      <c r="BK14" s="116"/>
      <c r="BL14" s="426">
        <f>(BJ14+BH14)/BM13</f>
        <v>0</v>
      </c>
      <c r="BM14" s="370">
        <f>BH12+SUM(BG12:BG14)</f>
        <v>74266.666666666657</v>
      </c>
      <c r="BN14" s="369">
        <f>SUMIFS(Collection!$O:$O, Collection!$K:$K, BN$2, Collection!$A:$A, "="&amp;$A14)</f>
        <v>0</v>
      </c>
      <c r="BO14" s="116">
        <f>(SUMIFS('Bucket Counts'!$P:$P, 'Bucket Counts'!$B:$B, BO$2, 'Bucket Counts'!$A:$A, "="&amp;$A14,  'Bucket Counts'!$F:$F, "&lt;&gt;100 Morts",  'Bucket Counts'!$F:$F, "&lt;&gt;224"))</f>
        <v>0</v>
      </c>
      <c r="BP14" s="116">
        <f>(SUMIFS('Bucket Counts'!$P:$P, 'Bucket Counts'!$B:$B, BP$2, 'Bucket Counts'!$A:$A, "="&amp;$A14,  'Bucket Counts'!$F:$F, "100 Morts"))</f>
        <v>0</v>
      </c>
      <c r="BQ14" s="116">
        <f>(SUMIFS('Bucket Counts'!$P:$P, 'Bucket Counts'!$B:$B, BQ$2, 'Bucket Counts'!$A:$A, "="&amp;$A14,  'Bucket Counts'!$F:$F, "224"))</f>
        <v>0</v>
      </c>
      <c r="BR14" s="116"/>
      <c r="BS14" s="426">
        <f>(BQ14+BO14)/BT13</f>
        <v>0</v>
      </c>
      <c r="BT14" s="370">
        <f>BO12+SUM(BN12:BN14)</f>
        <v>162066.66666666669</v>
      </c>
      <c r="BU14" s="369">
        <f>SUMIFS(Collection!$O:$O, Collection!$K:$K, BU$2, Collection!$A:$A, "="&amp;$A14)</f>
        <v>0</v>
      </c>
      <c r="BV14" s="116">
        <f>(SUMIFS('Bucket Counts'!$P:$P, 'Bucket Counts'!$B:$B, BV$2, 'Bucket Counts'!$A:$A, "="&amp;$A14,  'Bucket Counts'!$F:$F, "&lt;&gt;100 Morts",  'Bucket Counts'!$F:$F, "&lt;&gt;224"))</f>
        <v>0</v>
      </c>
      <c r="BW14" s="116">
        <f>(SUMIFS('Bucket Counts'!$P:$P, 'Bucket Counts'!$B:$B, BW$2, 'Bucket Counts'!$A:$A, "="&amp;$A14,  'Bucket Counts'!$F:$F, "100 Morts"))</f>
        <v>0</v>
      </c>
      <c r="BX14" s="116">
        <f>(SUMIFS('Bucket Counts'!$P:$P, 'Bucket Counts'!$B:$B, BX$2, 'Bucket Counts'!$A:$A, "="&amp;$A14,  'Bucket Counts'!$F:$F, "224"))</f>
        <v>0</v>
      </c>
      <c r="BY14" s="116"/>
      <c r="BZ14" s="426" t="e">
        <f>(BX14+BV14)/CA13</f>
        <v>#DIV/0!</v>
      </c>
      <c r="CA14" s="370">
        <f>BV12+SUM(BU12:BU14)</f>
        <v>0</v>
      </c>
      <c r="CB14" s="369">
        <f>SUMIFS(Collection!$O:$O, Collection!$K:$K, CB$2, Collection!$A:$A, "="&amp;$A14)</f>
        <v>0</v>
      </c>
      <c r="CC14" s="116">
        <f>(SUMIFS('Bucket Counts'!$P:$P, 'Bucket Counts'!$B:$B, CC$2, 'Bucket Counts'!$A:$A, "="&amp;$A14,  'Bucket Counts'!$F:$F, "&lt;&gt;100 Morts",  'Bucket Counts'!$F:$F, "&lt;&gt;224"))</f>
        <v>0</v>
      </c>
      <c r="CD14" s="116">
        <f>(SUMIFS('Bucket Counts'!$P:$P, 'Bucket Counts'!$B:$B, CD$2, 'Bucket Counts'!$A:$A, "="&amp;$A14,  'Bucket Counts'!$F:$F, "100 Morts"))</f>
        <v>0</v>
      </c>
      <c r="CE14" s="116">
        <f>(SUMIFS('Bucket Counts'!$P:$P, 'Bucket Counts'!$B:$B, CE$2, 'Bucket Counts'!$A:$A, "="&amp;$A14,  'Bucket Counts'!$F:$F, "224"))</f>
        <v>0</v>
      </c>
      <c r="CF14" s="116"/>
      <c r="CG14" s="426" t="e">
        <f>(CE14+CC14)/CH13</f>
        <v>#DIV/0!</v>
      </c>
      <c r="CH14" s="370">
        <f>CC12+SUM(CB12:CB14)</f>
        <v>0</v>
      </c>
      <c r="CI14" s="369">
        <f>SUMIFS(Collection!$O:$O, Collection!$K:$K, CI$2, Collection!$A:$A, "="&amp;$A14)</f>
        <v>0</v>
      </c>
      <c r="CJ14" s="116">
        <f>(SUMIFS('Bucket Counts'!$P:$P, 'Bucket Counts'!$B:$B, CJ$2, 'Bucket Counts'!$A:$A, "="&amp;$A14,  'Bucket Counts'!$F:$F, "&lt;&gt;100 Morts",  'Bucket Counts'!$F:$F, "&lt;&gt;224"))</f>
        <v>0</v>
      </c>
      <c r="CK14" s="116">
        <f>(SUMIFS('Bucket Counts'!$P:$P, 'Bucket Counts'!$B:$B, CK$2, 'Bucket Counts'!$A:$A, "="&amp;$A14,  'Bucket Counts'!$F:$F, "100 Morts"))</f>
        <v>0</v>
      </c>
      <c r="CL14" s="116">
        <f>(SUMIFS('Bucket Counts'!$P:$P, 'Bucket Counts'!$B:$B, CL$2, 'Bucket Counts'!$A:$A, "="&amp;$A14,  'Bucket Counts'!$F:$F, "224"))</f>
        <v>0</v>
      </c>
      <c r="CM14" s="116"/>
      <c r="CN14" s="426">
        <f>(CL14+CJ14)/CO13</f>
        <v>0</v>
      </c>
      <c r="CO14" s="370">
        <f>CJ12+SUM(CI12:CI14)</f>
        <v>86933.333333333343</v>
      </c>
      <c r="CP14" s="369">
        <f>SUMIFS(Collection!$O:$O, Collection!$K:$K, CP$2, Collection!$A:$A, "="&amp;$A14)</f>
        <v>0</v>
      </c>
      <c r="CQ14" s="116">
        <f>(SUMIFS('Bucket Counts'!$P:$P, 'Bucket Counts'!$B:$B, CQ$2, 'Bucket Counts'!$A:$A, "="&amp;$A14,  'Bucket Counts'!$F:$F, "&lt;&gt;100 Morts",  'Bucket Counts'!$F:$F, "&lt;&gt;224"))</f>
        <v>0</v>
      </c>
      <c r="CR14" s="116">
        <f>(SUMIFS('Bucket Counts'!$P:$P, 'Bucket Counts'!$B:$B, CR$2, 'Bucket Counts'!$A:$A, "="&amp;$A14,  'Bucket Counts'!$F:$F, "100 Morts"))</f>
        <v>0</v>
      </c>
      <c r="CS14" s="116">
        <f>(SUMIFS('Bucket Counts'!$P:$P, 'Bucket Counts'!$B:$B, CS$2, 'Bucket Counts'!$A:$A, "="&amp;$A14,  'Bucket Counts'!$F:$F, "224"))</f>
        <v>0</v>
      </c>
      <c r="CT14" s="116"/>
      <c r="CU14" s="426">
        <f>(CS14+CQ14)/CV13</f>
        <v>0</v>
      </c>
      <c r="CV14" s="370">
        <f>CQ12+SUM(CP12:CP14)</f>
        <v>111600</v>
      </c>
      <c r="CW14" s="369">
        <f>SUMIFS(Collection!$O:$O, Collection!$K:$K, CW$2, Collection!$A:$A, "="&amp;$A14)</f>
        <v>0</v>
      </c>
      <c r="CX14" s="116">
        <f>(SUMIFS('Bucket Counts'!$P:$P, 'Bucket Counts'!$B:$B, CX$2, 'Bucket Counts'!$A:$A, "="&amp;$A14,  'Bucket Counts'!$F:$F, "&lt;&gt;100 Morts",  'Bucket Counts'!$F:$F, "&lt;&gt;224"))</f>
        <v>0</v>
      </c>
      <c r="CY14" s="116">
        <f>(SUMIFS('Bucket Counts'!$P:$P, 'Bucket Counts'!$B:$B, CY$2, 'Bucket Counts'!$A:$A, "="&amp;$A14,  'Bucket Counts'!$F:$F, "100 Morts"))</f>
        <v>0</v>
      </c>
      <c r="CZ14" s="116">
        <f>(SUMIFS('Bucket Counts'!$P:$P, 'Bucket Counts'!$B:$B, CZ$2, 'Bucket Counts'!$A:$A, "="&amp;$A14,  'Bucket Counts'!$F:$F, "224"))</f>
        <v>0</v>
      </c>
      <c r="DA14" s="116"/>
      <c r="DB14" s="426">
        <f>(CZ14+CX14)/DC13</f>
        <v>0</v>
      </c>
      <c r="DC14" s="370">
        <f>CX12+SUM(CW12:CW14)</f>
        <v>20666.666666666668</v>
      </c>
      <c r="DD14" s="369">
        <f>SUMIFS(Collection!$O:$O, Collection!$K:$K, DD$2, Collection!$A:$A, "="&amp;$A14)</f>
        <v>0</v>
      </c>
      <c r="DE14" s="116">
        <f>(SUMIFS('Bucket Counts'!$P:$P, 'Bucket Counts'!$B:$B, DE$2, 'Bucket Counts'!$A:$A, "="&amp;$A14,  'Bucket Counts'!$F:$F, "&lt;&gt;100 Morts",  'Bucket Counts'!$F:$F, "&lt;&gt;224"))</f>
        <v>0</v>
      </c>
      <c r="DF14" s="116">
        <f>(SUMIFS('Bucket Counts'!$P:$P, 'Bucket Counts'!$B:$B, DF$2, 'Bucket Counts'!$A:$A, "="&amp;$A14,  'Bucket Counts'!$F:$F, "100 Morts"))</f>
        <v>0</v>
      </c>
      <c r="DG14" s="116">
        <f>(SUMIFS('Bucket Counts'!$P:$P, 'Bucket Counts'!$B:$B, DG$2, 'Bucket Counts'!$A:$A, "="&amp;$A14,  'Bucket Counts'!$F:$F, "224"))</f>
        <v>0</v>
      </c>
      <c r="DH14" s="116"/>
      <c r="DI14" s="426">
        <f>(DG14+DE14)/DJ13</f>
        <v>0</v>
      </c>
      <c r="DJ14" s="370">
        <f>DE12+SUM(DD12:DD14)</f>
        <v>75666.666666666672</v>
      </c>
      <c r="DK14" s="369">
        <f>SUMIFS(Collection!$O:$O, Collection!$K:$K, DK$2, Collection!$A:$A, "="&amp;$A14)</f>
        <v>0</v>
      </c>
      <c r="DL14" s="116">
        <f>(SUMIFS('Bucket Counts'!$P:$P, 'Bucket Counts'!$B:$B, DL$2, 'Bucket Counts'!$A:$A, "="&amp;$A14,  'Bucket Counts'!$F:$F, "&lt;&gt;100 Morts",  'Bucket Counts'!$F:$F, "&lt;&gt;224"))</f>
        <v>0</v>
      </c>
      <c r="DM14" s="116">
        <f>(SUMIFS('Bucket Counts'!$P:$P, 'Bucket Counts'!$B:$B, DM$2, 'Bucket Counts'!$A:$A, "="&amp;$A14,  'Bucket Counts'!$F:$F, "100 Morts"))</f>
        <v>0</v>
      </c>
      <c r="DN14" s="116">
        <f>(SUMIFS('Bucket Counts'!$P:$P, 'Bucket Counts'!$B:$B, DN$2, 'Bucket Counts'!$A:$A, "="&amp;$A14,  'Bucket Counts'!$F:$F, "224"))</f>
        <v>0</v>
      </c>
      <c r="DO14" s="116"/>
      <c r="DP14" s="426" t="e">
        <f>(DN14+DL14)/DQ13</f>
        <v>#DIV/0!</v>
      </c>
      <c r="DQ14" s="370">
        <f>DL12+SUM(DK12:DK14)</f>
        <v>0</v>
      </c>
      <c r="DR14" s="369">
        <f>SUMIFS(Collection!$O:$O, Collection!$K:$K, DR$2, Collection!$A:$A, "="&amp;$A14)</f>
        <v>0</v>
      </c>
      <c r="DS14" s="116">
        <f>(SUMIFS('Bucket Counts'!$P:$P, 'Bucket Counts'!$B:$B, DS$2, 'Bucket Counts'!$A:$A, "="&amp;$A14,  'Bucket Counts'!$F:$F, "&lt;&gt;100 Morts",  'Bucket Counts'!$F:$F, "&lt;&gt;224"))</f>
        <v>0</v>
      </c>
      <c r="DT14" s="116">
        <f>(SUMIFS('Bucket Counts'!$P:$P, 'Bucket Counts'!$B:$B, DT$2, 'Bucket Counts'!$A:$A, "="&amp;$A14,  'Bucket Counts'!$F:$F, "100 Morts"))</f>
        <v>0</v>
      </c>
      <c r="DU14" s="116">
        <f>(SUMIFS('Bucket Counts'!$P:$P, 'Bucket Counts'!$B:$B, DU$2, 'Bucket Counts'!$A:$A, "="&amp;$A14,  'Bucket Counts'!$F:$F, "224"))</f>
        <v>0</v>
      </c>
      <c r="DV14" s="116"/>
      <c r="DW14" s="426">
        <f>(DU14+DS14)/DX13</f>
        <v>0</v>
      </c>
      <c r="DX14" s="370">
        <f>DS12+SUM(DR12:DR14)</f>
        <v>172783.33333333331</v>
      </c>
      <c r="DY14" s="369">
        <f>SUMIFS(Collection!$O:$O, Collection!$K:$K, DY$2, Collection!$A:$A, "="&amp;$A14)</f>
        <v>0</v>
      </c>
      <c r="DZ14" s="116">
        <f>(SUMIFS('Bucket Counts'!$P:$P, 'Bucket Counts'!$B:$B, DZ$2, 'Bucket Counts'!$A:$A, "="&amp;$A14,  'Bucket Counts'!$F:$F, "&lt;&gt;100 Morts",  'Bucket Counts'!$F:$F, "&lt;&gt;224"))</f>
        <v>0</v>
      </c>
      <c r="EA14" s="116">
        <f>(SUMIFS('Bucket Counts'!$P:$P, 'Bucket Counts'!$B:$B, EA$2, 'Bucket Counts'!$A:$A, "="&amp;$A14,  'Bucket Counts'!$F:$F, "100 Morts"))</f>
        <v>0</v>
      </c>
      <c r="EB14" s="116">
        <f>(SUMIFS('Bucket Counts'!$P:$P, 'Bucket Counts'!$B:$B, EB$2, 'Bucket Counts'!$A:$A, "="&amp;$A14,  'Bucket Counts'!$F:$F, "224"))</f>
        <v>0</v>
      </c>
      <c r="EC14" s="116"/>
      <c r="ED14" s="426">
        <f>(EB14+DZ14)/EE13</f>
        <v>0</v>
      </c>
      <c r="EE14" s="370">
        <f>DZ12+SUM(DY12:DY14)</f>
        <v>118400</v>
      </c>
      <c r="EF14" s="369">
        <f>SUMIFS(Collection!$O:$O, Collection!$K:$K, EF$2, Collection!$A:$A, "="&amp;$A14)</f>
        <v>0</v>
      </c>
      <c r="EG14" s="116">
        <f>(SUMIFS('Bucket Counts'!$P:$P, 'Bucket Counts'!$B:$B, EG$2, 'Bucket Counts'!$A:$A, "="&amp;$A14,  'Bucket Counts'!$F:$F, "&lt;&gt;100 Morts",  'Bucket Counts'!$F:$F, "&lt;&gt;224"))</f>
        <v>0</v>
      </c>
      <c r="EH14" s="116">
        <f>(SUMIFS('Bucket Counts'!$P:$P, 'Bucket Counts'!$B:$B, EH$2, 'Bucket Counts'!$A:$A, "="&amp;$A14,  'Bucket Counts'!$F:$F, "100 Morts"))</f>
        <v>0</v>
      </c>
      <c r="EI14" s="116">
        <f>(SUMIFS('Bucket Counts'!$P:$P, 'Bucket Counts'!$B:$B, EI$2, 'Bucket Counts'!$A:$A, "="&amp;$A14,  'Bucket Counts'!$F:$F, "224"))</f>
        <v>0</v>
      </c>
      <c r="EJ14" s="116"/>
      <c r="EK14" s="426" t="e">
        <f>(EI14+EG14)/EL13</f>
        <v>#DIV/0!</v>
      </c>
      <c r="EL14" s="370">
        <f>EG12+SUM(EF12:EF14)</f>
        <v>0</v>
      </c>
    </row>
    <row r="15" spans="1:142" s="362" customFormat="1" x14ac:dyDescent="0.2">
      <c r="A15" s="16">
        <v>42884</v>
      </c>
      <c r="B15" s="16" t="s">
        <v>487</v>
      </c>
      <c r="C15" s="369">
        <f>SUMIFS(Collection!$O:$O, Collection!$K:$K, C$2, Collection!$A:$A, "="&amp;$A15)</f>
        <v>0</v>
      </c>
      <c r="D15" s="116">
        <f>(SUMIFS('Bucket Counts'!$P:$P, 'Bucket Counts'!$B:$B, D$2, 'Bucket Counts'!$A:$A, "="&amp;$A15,  'Bucket Counts'!$F:$F, "&lt;&gt;100 Morts",  'Bucket Counts'!$F:$F, "&lt;&gt;224"))</f>
        <v>0</v>
      </c>
      <c r="E15" s="116">
        <f>(SUMIFS('Bucket Counts'!$P:$P, 'Bucket Counts'!$B:$B, E$2, 'Bucket Counts'!$A:$A, "="&amp;$A15,  'Bucket Counts'!$F:$F, "100 Morts"))</f>
        <v>0</v>
      </c>
      <c r="F15" s="116">
        <f>(SUMIFS('Bucket Counts'!$P:$P, 'Bucket Counts'!$B:$B, F$2, 'Bucket Counts'!$A:$A, "="&amp;$A15,  'Bucket Counts'!$F:$F, "224"))</f>
        <v>0</v>
      </c>
      <c r="G15" s="116"/>
      <c r="H15" s="426">
        <f>(F15+D15)/I14</f>
        <v>0</v>
      </c>
      <c r="I15" s="370">
        <f>D12+SUM(C12:C15)</f>
        <v>74783.333333333328</v>
      </c>
      <c r="J15" s="369">
        <f>SUMIFS(Collection!$O:$O, Collection!$K:$K, J$2, Collection!$A:$A, "="&amp;$A15)</f>
        <v>0</v>
      </c>
      <c r="K15" s="116">
        <f>(SUMIFS('Bucket Counts'!$P:$P, 'Bucket Counts'!$B:$B, K$2, 'Bucket Counts'!$A:$A, "="&amp;$A15,  'Bucket Counts'!$F:$F, "&lt;&gt;100 Morts",  'Bucket Counts'!$F:$F, "&lt;&gt;224"))</f>
        <v>0</v>
      </c>
      <c r="L15" s="116">
        <f>(SUMIFS('Bucket Counts'!$P:$P, 'Bucket Counts'!$B:$B, L$2, 'Bucket Counts'!$A:$A, "="&amp;$A15,  'Bucket Counts'!$F:$F, "100 Morts"))</f>
        <v>0</v>
      </c>
      <c r="M15" s="116">
        <f>(SUMIFS('Bucket Counts'!$P:$P, 'Bucket Counts'!$B:$B, M$2, 'Bucket Counts'!$A:$A, "="&amp;$A15,  'Bucket Counts'!$F:$F, "224"))</f>
        <v>0</v>
      </c>
      <c r="N15" s="116"/>
      <c r="O15" s="426">
        <f>(M15+K15)/P14</f>
        <v>0</v>
      </c>
      <c r="P15" s="370">
        <f>K12+SUM(J12:J15)</f>
        <v>92958.333333333328</v>
      </c>
      <c r="Q15" s="369">
        <f>SUMIFS(Collection!$O:$O, Collection!$K:$K, Q$2, Collection!$A:$A, "="&amp;$A15)</f>
        <v>53700</v>
      </c>
      <c r="R15" s="116">
        <f>(SUMIFS('Bucket Counts'!$P:$P, 'Bucket Counts'!$B:$B, R$2, 'Bucket Counts'!$A:$A, "="&amp;$A15,  'Bucket Counts'!$F:$F, "&lt;&gt;100 Morts",  'Bucket Counts'!$F:$F, "&lt;&gt;224"))</f>
        <v>0</v>
      </c>
      <c r="S15" s="116">
        <f>(SUMIFS('Bucket Counts'!$P:$P, 'Bucket Counts'!$B:$B, S$2, 'Bucket Counts'!$A:$A, "="&amp;$A15,  'Bucket Counts'!$F:$F, "100 Morts"))</f>
        <v>0</v>
      </c>
      <c r="T15" s="116">
        <f>(SUMIFS('Bucket Counts'!$P:$P, 'Bucket Counts'!$B:$B, T$2, 'Bucket Counts'!$A:$A, "="&amp;$A15,  'Bucket Counts'!$F:$F, "224"))</f>
        <v>0</v>
      </c>
      <c r="U15" s="116"/>
      <c r="V15" s="426">
        <f>(T15+R15)/W14</f>
        <v>0</v>
      </c>
      <c r="W15" s="370">
        <f>R12+SUM(Q12:Q15)</f>
        <v>130691.66666666667</v>
      </c>
      <c r="X15" s="369">
        <f>SUMIFS(Collection!$O:$O, Collection!$K:$K, X$2, Collection!$A:$A, "="&amp;$A15)</f>
        <v>0</v>
      </c>
      <c r="Y15" s="116">
        <f>(SUMIFS('Bucket Counts'!$P:$P, 'Bucket Counts'!$B:$B, Y$2, 'Bucket Counts'!$A:$A, "="&amp;$A15,  'Bucket Counts'!$F:$F, "&lt;&gt;100 Morts",  'Bucket Counts'!$F:$F, "&lt;&gt;224"))</f>
        <v>0</v>
      </c>
      <c r="Z15" s="116">
        <f>(SUMIFS('Bucket Counts'!$P:$P, 'Bucket Counts'!$B:$B, Z$2, 'Bucket Counts'!$A:$A, "="&amp;$A15,  'Bucket Counts'!$F:$F, "100 Morts"))</f>
        <v>0</v>
      </c>
      <c r="AA15" s="116">
        <f>(SUMIFS('Bucket Counts'!$P:$P, 'Bucket Counts'!$B:$B, AA$2, 'Bucket Counts'!$A:$A, "="&amp;$A15,  'Bucket Counts'!$F:$F, "224"))</f>
        <v>0</v>
      </c>
      <c r="AB15" s="116"/>
      <c r="AC15" s="426">
        <f>(AA15+Y15)/AD14</f>
        <v>0</v>
      </c>
      <c r="AD15" s="370">
        <f>Y12+SUM(X12:X15)</f>
        <v>143816.66666666666</v>
      </c>
      <c r="AE15" s="369">
        <f>SUMIFS(Collection!$O:$O, Collection!$K:$K, AE$2, Collection!$A:$A, "="&amp;$A15)</f>
        <v>0</v>
      </c>
      <c r="AF15" s="116">
        <f>(SUMIFS('Bucket Counts'!$P:$P, 'Bucket Counts'!$B:$B, AF$2, 'Bucket Counts'!$A:$A, "="&amp;$A15,  'Bucket Counts'!$F:$F, "&lt;&gt;100 Morts",  'Bucket Counts'!$F:$F, "&lt;&gt;224"))</f>
        <v>0</v>
      </c>
      <c r="AG15" s="116">
        <f>(SUMIFS('Bucket Counts'!$P:$P, 'Bucket Counts'!$B:$B, AG$2, 'Bucket Counts'!$A:$A, "="&amp;$A15,  'Bucket Counts'!$F:$F, "100 Morts"))</f>
        <v>0</v>
      </c>
      <c r="AH15" s="116">
        <f>(SUMIFS('Bucket Counts'!$P:$P, 'Bucket Counts'!$B:$B, AH$2, 'Bucket Counts'!$A:$A, "="&amp;$A15,  'Bucket Counts'!$F:$F, "224"))</f>
        <v>0</v>
      </c>
      <c r="AI15" s="116"/>
      <c r="AJ15" s="426">
        <f>(AH15+AF15)/AK14</f>
        <v>0</v>
      </c>
      <c r="AK15" s="370">
        <f>AF12+SUM(AE12:AE15)</f>
        <v>112000</v>
      </c>
      <c r="AL15" s="369">
        <f>SUMIFS(Collection!$O:$O, Collection!$K:$K, AL$2, Collection!$A:$A, "="&amp;$A15)</f>
        <v>0</v>
      </c>
      <c r="AM15" s="116">
        <f>(SUMIFS('Bucket Counts'!$P:$P, 'Bucket Counts'!$B:$B, AM$2, 'Bucket Counts'!$A:$A, "="&amp;$A15,  'Bucket Counts'!$F:$F, "&lt;&gt;100 Morts",  'Bucket Counts'!$F:$F, "&lt;&gt;224"))</f>
        <v>0</v>
      </c>
      <c r="AN15" s="116">
        <f>(SUMIFS('Bucket Counts'!$P:$P, 'Bucket Counts'!$B:$B, AN$2, 'Bucket Counts'!$A:$A, "="&amp;$A15,  'Bucket Counts'!$F:$F, "100 Morts"))</f>
        <v>0</v>
      </c>
      <c r="AO15" s="116">
        <f>(SUMIFS('Bucket Counts'!$P:$P, 'Bucket Counts'!$B:$B, AO$2, 'Bucket Counts'!$A:$A, "="&amp;$A15,  'Bucket Counts'!$F:$F, "224"))</f>
        <v>0</v>
      </c>
      <c r="AP15" s="116"/>
      <c r="AQ15" s="426">
        <f>(AO15+AM15)/AR14</f>
        <v>0</v>
      </c>
      <c r="AR15" s="370">
        <f>AM12+SUM(AL12:AL15)</f>
        <v>179400</v>
      </c>
      <c r="AS15" s="369">
        <f>SUMIFS(Collection!$O:$O, Collection!$K:$K, AS$2, Collection!$A:$A, "="&amp;$A15)</f>
        <v>0</v>
      </c>
      <c r="AT15" s="116">
        <f>(SUMIFS('Bucket Counts'!$P:$P, 'Bucket Counts'!$B:$B, AT$2, 'Bucket Counts'!$A:$A, "="&amp;$A15,  'Bucket Counts'!$F:$F, "&lt;&gt;100 Morts",  'Bucket Counts'!$F:$F, "&lt;&gt;224"))</f>
        <v>0</v>
      </c>
      <c r="AU15" s="116">
        <f>(SUMIFS('Bucket Counts'!$P:$P, 'Bucket Counts'!$B:$B, AU$2, 'Bucket Counts'!$A:$A, "="&amp;$A15,  'Bucket Counts'!$F:$F, "100 Morts"))</f>
        <v>0</v>
      </c>
      <c r="AV15" s="116">
        <f>(SUMIFS('Bucket Counts'!$P:$P, 'Bucket Counts'!$B:$B, AV$2, 'Bucket Counts'!$A:$A, "="&amp;$A15,  'Bucket Counts'!$F:$F, "224"))</f>
        <v>0</v>
      </c>
      <c r="AW15" s="116"/>
      <c r="AX15" s="426">
        <f>(AV15+AT15)/AY14</f>
        <v>0</v>
      </c>
      <c r="AY15" s="370">
        <f>AT12+SUM(AS12:AS15)</f>
        <v>99000</v>
      </c>
      <c r="AZ15" s="369">
        <f>SUMIFS(Collection!$O:$O, Collection!$K:$K, AZ$2, Collection!$A:$A, "="&amp;$A15)</f>
        <v>0</v>
      </c>
      <c r="BA15" s="116">
        <f>(SUMIFS('Bucket Counts'!$P:$P, 'Bucket Counts'!$B:$B, BA$2, 'Bucket Counts'!$A:$A, "="&amp;$A15,  'Bucket Counts'!$F:$F, "&lt;&gt;100 Morts",  'Bucket Counts'!$F:$F, "&lt;&gt;224"))</f>
        <v>0</v>
      </c>
      <c r="BB15" s="116">
        <f>(SUMIFS('Bucket Counts'!$P:$P, 'Bucket Counts'!$B:$B, BB$2, 'Bucket Counts'!$A:$A, "="&amp;$A15,  'Bucket Counts'!$F:$F, "100 Morts"))</f>
        <v>0</v>
      </c>
      <c r="BC15" s="116">
        <f>(SUMIFS('Bucket Counts'!$P:$P, 'Bucket Counts'!$B:$B, BC$2, 'Bucket Counts'!$A:$A, "="&amp;$A15,  'Bucket Counts'!$F:$F, "224"))</f>
        <v>0</v>
      </c>
      <c r="BD15" s="116"/>
      <c r="BE15" s="426">
        <f>(BC15+BA15)/BF14</f>
        <v>0</v>
      </c>
      <c r="BF15" s="370">
        <f>BA12+SUM(AZ12:AZ15)</f>
        <v>183466.66666666669</v>
      </c>
      <c r="BG15" s="369">
        <f>SUMIFS(Collection!$O:$O, Collection!$K:$K, BG$2, Collection!$A:$A, "="&amp;$A15)</f>
        <v>0</v>
      </c>
      <c r="BH15" s="116">
        <f>(SUMIFS('Bucket Counts'!$P:$P, 'Bucket Counts'!$B:$B, BH$2, 'Bucket Counts'!$A:$A, "="&amp;$A15,  'Bucket Counts'!$F:$F, "&lt;&gt;100 Morts",  'Bucket Counts'!$F:$F, "&lt;&gt;224"))</f>
        <v>0</v>
      </c>
      <c r="BI15" s="116">
        <f>(SUMIFS('Bucket Counts'!$P:$P, 'Bucket Counts'!$B:$B, BI$2, 'Bucket Counts'!$A:$A, "="&amp;$A15,  'Bucket Counts'!$F:$F, "100 Morts"))</f>
        <v>0</v>
      </c>
      <c r="BJ15" s="116">
        <f>(SUMIFS('Bucket Counts'!$P:$P, 'Bucket Counts'!$B:$B, BJ$2, 'Bucket Counts'!$A:$A, "="&amp;$A15,  'Bucket Counts'!$F:$F, "224"))</f>
        <v>0</v>
      </c>
      <c r="BK15" s="116"/>
      <c r="BL15" s="426">
        <f>(BJ15+BH15)/BM14</f>
        <v>0</v>
      </c>
      <c r="BM15" s="370">
        <f>BH12+SUM(BG12:BG15)</f>
        <v>74266.666666666657</v>
      </c>
      <c r="BN15" s="369">
        <f>SUMIFS(Collection!$O:$O, Collection!$K:$K, BN$2, Collection!$A:$A, "="&amp;$A15)</f>
        <v>0</v>
      </c>
      <c r="BO15" s="116">
        <f>(SUMIFS('Bucket Counts'!$P:$P, 'Bucket Counts'!$B:$B, BO$2, 'Bucket Counts'!$A:$A, "="&amp;$A15,  'Bucket Counts'!$F:$F, "&lt;&gt;100 Morts",  'Bucket Counts'!$F:$F, "&lt;&gt;224"))</f>
        <v>0</v>
      </c>
      <c r="BP15" s="116">
        <f>(SUMIFS('Bucket Counts'!$P:$P, 'Bucket Counts'!$B:$B, BP$2, 'Bucket Counts'!$A:$A, "="&amp;$A15,  'Bucket Counts'!$F:$F, "100 Morts"))</f>
        <v>0</v>
      </c>
      <c r="BQ15" s="116">
        <f>(SUMIFS('Bucket Counts'!$P:$P, 'Bucket Counts'!$B:$B, BQ$2, 'Bucket Counts'!$A:$A, "="&amp;$A15,  'Bucket Counts'!$F:$F, "224"))</f>
        <v>0</v>
      </c>
      <c r="BR15" s="116"/>
      <c r="BS15" s="426">
        <f>(BQ15+BO15)/BT14</f>
        <v>0</v>
      </c>
      <c r="BT15" s="370">
        <f>BO12+SUM(BN12:BN15)</f>
        <v>162066.66666666669</v>
      </c>
      <c r="BU15" s="369">
        <f>SUMIFS(Collection!$O:$O, Collection!$K:$K, BU$2, Collection!$A:$A, "="&amp;$A15)</f>
        <v>0</v>
      </c>
      <c r="BV15" s="116">
        <f>(SUMIFS('Bucket Counts'!$P:$P, 'Bucket Counts'!$B:$B, BV$2, 'Bucket Counts'!$A:$A, "="&amp;$A15,  'Bucket Counts'!$F:$F, "&lt;&gt;100 Morts",  'Bucket Counts'!$F:$F, "&lt;&gt;224"))</f>
        <v>0</v>
      </c>
      <c r="BW15" s="116">
        <f>(SUMIFS('Bucket Counts'!$P:$P, 'Bucket Counts'!$B:$B, BW$2, 'Bucket Counts'!$A:$A, "="&amp;$A15,  'Bucket Counts'!$F:$F, "100 Morts"))</f>
        <v>0</v>
      </c>
      <c r="BX15" s="116">
        <f>(SUMIFS('Bucket Counts'!$P:$P, 'Bucket Counts'!$B:$B, BX$2, 'Bucket Counts'!$A:$A, "="&amp;$A15,  'Bucket Counts'!$F:$F, "224"))</f>
        <v>0</v>
      </c>
      <c r="BY15" s="116"/>
      <c r="BZ15" s="426" t="e">
        <f>(BX15+BV15)/CA14</f>
        <v>#DIV/0!</v>
      </c>
      <c r="CA15" s="370">
        <f>BV12+SUM(BU12:BU15)</f>
        <v>0</v>
      </c>
      <c r="CB15" s="369">
        <f>SUMIFS(Collection!$O:$O, Collection!$K:$K, CB$2, Collection!$A:$A, "="&amp;$A15)</f>
        <v>0</v>
      </c>
      <c r="CC15" s="116">
        <f>(SUMIFS('Bucket Counts'!$P:$P, 'Bucket Counts'!$B:$B, CC$2, 'Bucket Counts'!$A:$A, "="&amp;$A15,  'Bucket Counts'!$F:$F, "&lt;&gt;100 Morts",  'Bucket Counts'!$F:$F, "&lt;&gt;224"))</f>
        <v>0</v>
      </c>
      <c r="CD15" s="116">
        <f>(SUMIFS('Bucket Counts'!$P:$P, 'Bucket Counts'!$B:$B, CD$2, 'Bucket Counts'!$A:$A, "="&amp;$A15,  'Bucket Counts'!$F:$F, "100 Morts"))</f>
        <v>0</v>
      </c>
      <c r="CE15" s="116">
        <f>(SUMIFS('Bucket Counts'!$P:$P, 'Bucket Counts'!$B:$B, CE$2, 'Bucket Counts'!$A:$A, "="&amp;$A15,  'Bucket Counts'!$F:$F, "224"))</f>
        <v>0</v>
      </c>
      <c r="CF15" s="116"/>
      <c r="CG15" s="426" t="e">
        <f>(CE15+CC15)/CH14</f>
        <v>#DIV/0!</v>
      </c>
      <c r="CH15" s="370">
        <f>CC12+SUM(CB12:CB15)</f>
        <v>0</v>
      </c>
      <c r="CI15" s="369">
        <f>SUMIFS(Collection!$O:$O, Collection!$K:$K, CI$2, Collection!$A:$A, "="&amp;$A15)</f>
        <v>0</v>
      </c>
      <c r="CJ15" s="116">
        <f>(SUMIFS('Bucket Counts'!$P:$P, 'Bucket Counts'!$B:$B, CJ$2, 'Bucket Counts'!$A:$A, "="&amp;$A15,  'Bucket Counts'!$F:$F, "&lt;&gt;100 Morts",  'Bucket Counts'!$F:$F, "&lt;&gt;224"))</f>
        <v>0</v>
      </c>
      <c r="CK15" s="116">
        <f>(SUMIFS('Bucket Counts'!$P:$P, 'Bucket Counts'!$B:$B, CK$2, 'Bucket Counts'!$A:$A, "="&amp;$A15,  'Bucket Counts'!$F:$F, "100 Morts"))</f>
        <v>0</v>
      </c>
      <c r="CL15" s="116">
        <f>(SUMIFS('Bucket Counts'!$P:$P, 'Bucket Counts'!$B:$B, CL$2, 'Bucket Counts'!$A:$A, "="&amp;$A15,  'Bucket Counts'!$F:$F, "224"))</f>
        <v>0</v>
      </c>
      <c r="CM15" s="116"/>
      <c r="CN15" s="426">
        <f>(CL15+CJ15)/CO14</f>
        <v>0</v>
      </c>
      <c r="CO15" s="370">
        <f>CJ12+SUM(CI12:CI15)</f>
        <v>86933.333333333343</v>
      </c>
      <c r="CP15" s="369">
        <f>SUMIFS(Collection!$O:$O, Collection!$K:$K, CP$2, Collection!$A:$A, "="&amp;$A15)</f>
        <v>0</v>
      </c>
      <c r="CQ15" s="116">
        <f>(SUMIFS('Bucket Counts'!$P:$P, 'Bucket Counts'!$B:$B, CQ$2, 'Bucket Counts'!$A:$A, "="&amp;$A15,  'Bucket Counts'!$F:$F, "&lt;&gt;100 Morts",  'Bucket Counts'!$F:$F, "&lt;&gt;224"))</f>
        <v>0</v>
      </c>
      <c r="CR15" s="116">
        <f>(SUMIFS('Bucket Counts'!$P:$P, 'Bucket Counts'!$B:$B, CR$2, 'Bucket Counts'!$A:$A, "="&amp;$A15,  'Bucket Counts'!$F:$F, "100 Morts"))</f>
        <v>0</v>
      </c>
      <c r="CS15" s="116">
        <f>(SUMIFS('Bucket Counts'!$P:$P, 'Bucket Counts'!$B:$B, CS$2, 'Bucket Counts'!$A:$A, "="&amp;$A15,  'Bucket Counts'!$F:$F, "224"))</f>
        <v>0</v>
      </c>
      <c r="CT15" s="116"/>
      <c r="CU15" s="426">
        <f>(CS15+CQ15)/CV14</f>
        <v>0</v>
      </c>
      <c r="CV15" s="370">
        <f>CQ12+SUM(CP12:CP15)</f>
        <v>111600</v>
      </c>
      <c r="CW15" s="369">
        <f>SUMIFS(Collection!$O:$O, Collection!$K:$K, CW$2, Collection!$A:$A, "="&amp;$A15)</f>
        <v>0</v>
      </c>
      <c r="CX15" s="116">
        <f>(SUMIFS('Bucket Counts'!$P:$P, 'Bucket Counts'!$B:$B, CX$2, 'Bucket Counts'!$A:$A, "="&amp;$A15,  'Bucket Counts'!$F:$F, "&lt;&gt;100 Morts",  'Bucket Counts'!$F:$F, "&lt;&gt;224"))</f>
        <v>0</v>
      </c>
      <c r="CY15" s="116">
        <f>(SUMIFS('Bucket Counts'!$P:$P, 'Bucket Counts'!$B:$B, CY$2, 'Bucket Counts'!$A:$A, "="&amp;$A15,  'Bucket Counts'!$F:$F, "100 Morts"))</f>
        <v>0</v>
      </c>
      <c r="CZ15" s="116">
        <f>(SUMIFS('Bucket Counts'!$P:$P, 'Bucket Counts'!$B:$B, CZ$2, 'Bucket Counts'!$A:$A, "="&amp;$A15,  'Bucket Counts'!$F:$F, "224"))</f>
        <v>0</v>
      </c>
      <c r="DA15" s="116"/>
      <c r="DB15" s="426">
        <f>(CZ15+CX15)/DC14</f>
        <v>0</v>
      </c>
      <c r="DC15" s="370">
        <f>CX12+SUM(CW12:CW15)</f>
        <v>20666.666666666668</v>
      </c>
      <c r="DD15" s="369">
        <f>SUMIFS(Collection!$O:$O, Collection!$K:$K, DD$2, Collection!$A:$A, "="&amp;$A15)</f>
        <v>0</v>
      </c>
      <c r="DE15" s="116">
        <f>(SUMIFS('Bucket Counts'!$P:$P, 'Bucket Counts'!$B:$B, DE$2, 'Bucket Counts'!$A:$A, "="&amp;$A15,  'Bucket Counts'!$F:$F, "&lt;&gt;100 Morts",  'Bucket Counts'!$F:$F, "&lt;&gt;224"))</f>
        <v>0</v>
      </c>
      <c r="DF15" s="116">
        <f>(SUMIFS('Bucket Counts'!$P:$P, 'Bucket Counts'!$B:$B, DF$2, 'Bucket Counts'!$A:$A, "="&amp;$A15,  'Bucket Counts'!$F:$F, "100 Morts"))</f>
        <v>0</v>
      </c>
      <c r="DG15" s="116">
        <f>(SUMIFS('Bucket Counts'!$P:$P, 'Bucket Counts'!$B:$B, DG$2, 'Bucket Counts'!$A:$A, "="&amp;$A15,  'Bucket Counts'!$F:$F, "224"))</f>
        <v>0</v>
      </c>
      <c r="DH15" s="116"/>
      <c r="DI15" s="426">
        <f>(DG15+DE15)/DJ14</f>
        <v>0</v>
      </c>
      <c r="DJ15" s="370">
        <f>DE12+SUM(DD12:DD15)</f>
        <v>75666.666666666672</v>
      </c>
      <c r="DK15" s="369">
        <f>SUMIFS(Collection!$O:$O, Collection!$K:$K, DK$2, Collection!$A:$A, "="&amp;$A15)</f>
        <v>0</v>
      </c>
      <c r="DL15" s="116">
        <f>(SUMIFS('Bucket Counts'!$P:$P, 'Bucket Counts'!$B:$B, DL$2, 'Bucket Counts'!$A:$A, "="&amp;$A15,  'Bucket Counts'!$F:$F, "&lt;&gt;100 Morts",  'Bucket Counts'!$F:$F, "&lt;&gt;224"))</f>
        <v>0</v>
      </c>
      <c r="DM15" s="116">
        <f>(SUMIFS('Bucket Counts'!$P:$P, 'Bucket Counts'!$B:$B, DM$2, 'Bucket Counts'!$A:$A, "="&amp;$A15,  'Bucket Counts'!$F:$F, "100 Morts"))</f>
        <v>0</v>
      </c>
      <c r="DN15" s="116">
        <f>(SUMIFS('Bucket Counts'!$P:$P, 'Bucket Counts'!$B:$B, DN$2, 'Bucket Counts'!$A:$A, "="&amp;$A15,  'Bucket Counts'!$F:$F, "224"))</f>
        <v>0</v>
      </c>
      <c r="DO15" s="116"/>
      <c r="DP15" s="426" t="e">
        <f>(DN15+DL15)/DQ14</f>
        <v>#DIV/0!</v>
      </c>
      <c r="DQ15" s="370">
        <f>DL12+SUM(DK12:DK15)</f>
        <v>0</v>
      </c>
      <c r="DR15" s="369">
        <f>SUMIFS(Collection!$O:$O, Collection!$K:$K, DR$2, Collection!$A:$A, "="&amp;$A15)</f>
        <v>4500</v>
      </c>
      <c r="DS15" s="116">
        <f>(SUMIFS('Bucket Counts'!$P:$P, 'Bucket Counts'!$B:$B, DS$2, 'Bucket Counts'!$A:$A, "="&amp;$A15,  'Bucket Counts'!$F:$F, "&lt;&gt;100 Morts",  'Bucket Counts'!$F:$F, "&lt;&gt;224"))</f>
        <v>0</v>
      </c>
      <c r="DT15" s="116">
        <f>(SUMIFS('Bucket Counts'!$P:$P, 'Bucket Counts'!$B:$B, DT$2, 'Bucket Counts'!$A:$A, "="&amp;$A15,  'Bucket Counts'!$F:$F, "100 Morts"))</f>
        <v>0</v>
      </c>
      <c r="DU15" s="116">
        <f>(SUMIFS('Bucket Counts'!$P:$P, 'Bucket Counts'!$B:$B, DU$2, 'Bucket Counts'!$A:$A, "="&amp;$A15,  'Bucket Counts'!$F:$F, "224"))</f>
        <v>0</v>
      </c>
      <c r="DV15" s="116"/>
      <c r="DW15" s="426">
        <f>(DU15+DS15)/DX14</f>
        <v>0</v>
      </c>
      <c r="DX15" s="370">
        <f>DS12+SUM(DR12:DR15)</f>
        <v>177283.33333333331</v>
      </c>
      <c r="DY15" s="369">
        <f>SUMIFS(Collection!$O:$O, Collection!$K:$K, DY$2, Collection!$A:$A, "="&amp;$A15)</f>
        <v>0</v>
      </c>
      <c r="DZ15" s="116">
        <f>(SUMIFS('Bucket Counts'!$P:$P, 'Bucket Counts'!$B:$B, DZ$2, 'Bucket Counts'!$A:$A, "="&amp;$A15,  'Bucket Counts'!$F:$F, "&lt;&gt;100 Morts",  'Bucket Counts'!$F:$F, "&lt;&gt;224"))</f>
        <v>0</v>
      </c>
      <c r="EA15" s="116">
        <f>(SUMIFS('Bucket Counts'!$P:$P, 'Bucket Counts'!$B:$B, EA$2, 'Bucket Counts'!$A:$A, "="&amp;$A15,  'Bucket Counts'!$F:$F, "100 Morts"))</f>
        <v>0</v>
      </c>
      <c r="EB15" s="116">
        <f>(SUMIFS('Bucket Counts'!$P:$P, 'Bucket Counts'!$B:$B, EB$2, 'Bucket Counts'!$A:$A, "="&amp;$A15,  'Bucket Counts'!$F:$F, "224"))</f>
        <v>0</v>
      </c>
      <c r="EC15" s="116"/>
      <c r="ED15" s="426">
        <f>(EB15+DZ15)/EE14</f>
        <v>0</v>
      </c>
      <c r="EE15" s="370">
        <f>DZ12+SUM(DY12:DY15)</f>
        <v>118400</v>
      </c>
      <c r="EF15" s="369">
        <f>SUMIFS(Collection!$O:$O, Collection!$K:$K, EF$2, Collection!$A:$A, "="&amp;$A15)</f>
        <v>0</v>
      </c>
      <c r="EG15" s="116">
        <f>(SUMIFS('Bucket Counts'!$P:$P, 'Bucket Counts'!$B:$B, EG$2, 'Bucket Counts'!$A:$A, "="&amp;$A15,  'Bucket Counts'!$F:$F, "&lt;&gt;100 Morts",  'Bucket Counts'!$F:$F, "&lt;&gt;224"))</f>
        <v>0</v>
      </c>
      <c r="EH15" s="116">
        <f>(SUMIFS('Bucket Counts'!$P:$P, 'Bucket Counts'!$B:$B, EH$2, 'Bucket Counts'!$A:$A, "="&amp;$A15,  'Bucket Counts'!$F:$F, "100 Morts"))</f>
        <v>0</v>
      </c>
      <c r="EI15" s="116">
        <f>(SUMIFS('Bucket Counts'!$P:$P, 'Bucket Counts'!$B:$B, EI$2, 'Bucket Counts'!$A:$A, "="&amp;$A15,  'Bucket Counts'!$F:$F, "224"))</f>
        <v>0</v>
      </c>
      <c r="EJ15" s="116"/>
      <c r="EK15" s="426" t="e">
        <f>(EI15+EG15)/EL14</f>
        <v>#DIV/0!</v>
      </c>
      <c r="EL15" s="370">
        <f>EG12+SUM(EF12:EF15)</f>
        <v>0</v>
      </c>
    </row>
    <row r="16" spans="1:142" s="433" customFormat="1" x14ac:dyDescent="0.2">
      <c r="A16" s="428">
        <v>42885</v>
      </c>
      <c r="B16" s="428" t="s">
        <v>486</v>
      </c>
      <c r="C16" s="429">
        <f>SUMIFS(Collection!$O:$O, Collection!$K:$K, C$2, Collection!$A:$A, "="&amp;$A16)</f>
        <v>0</v>
      </c>
      <c r="D16" s="430">
        <f>(SUMIFS('Bucket Counts'!$P:$P, 'Bucket Counts'!$B:$B, D$2, 'Bucket Counts'!$A:$A, "="&amp;$A16,  'Bucket Counts'!$F:$F, "&lt;&gt;100 Morts",  'Bucket Counts'!$F:$F, "&lt;&gt;224"))</f>
        <v>34666.666666666672</v>
      </c>
      <c r="E16" s="430">
        <f>(SUMIFS('Bucket Counts'!$P:$P, 'Bucket Counts'!$B:$B, E$2, 'Bucket Counts'!$A:$A, "="&amp;$A16,  'Bucket Counts'!$F:$F, "100 Morts"))</f>
        <v>0</v>
      </c>
      <c r="F16" s="430">
        <f>(SUMIFS('Bucket Counts'!$P:$P, 'Bucket Counts'!$B:$B, F$2, 'Bucket Counts'!$A:$A, "="&amp;$A16,  'Bucket Counts'!$F:$F, "224"))</f>
        <v>0</v>
      </c>
      <c r="G16" s="430">
        <f>I15</f>
        <v>74783.333333333328</v>
      </c>
      <c r="H16" s="431">
        <f>SUM(D16+F16)</f>
        <v>34666.666666666672</v>
      </c>
      <c r="I16" s="432">
        <f>D16+C16</f>
        <v>34666.666666666672</v>
      </c>
      <c r="J16" s="429">
        <f>SUMIFS(Collection!$O:$O, Collection!$K:$K, J$2, Collection!$A:$A, "="&amp;$A16)</f>
        <v>0</v>
      </c>
      <c r="K16" s="430">
        <f>(SUMIFS('Bucket Counts'!$P:$P, 'Bucket Counts'!$B:$B, K$2, 'Bucket Counts'!$A:$A, "="&amp;$A16,  'Bucket Counts'!$F:$F, "&lt;&gt;100 Morts",  'Bucket Counts'!$F:$F, "&lt;&gt;224"))</f>
        <v>54933.333333333336</v>
      </c>
      <c r="L16" s="430">
        <f>(SUMIFS('Bucket Counts'!$P:$P, 'Bucket Counts'!$B:$B, L$2, 'Bucket Counts'!$A:$A, "="&amp;$A16,  'Bucket Counts'!$F:$F, "100 Morts"))</f>
        <v>0</v>
      </c>
      <c r="M16" s="430">
        <f>(SUMIFS('Bucket Counts'!$P:$P, 'Bucket Counts'!$B:$B, M$2, 'Bucket Counts'!$A:$A, "="&amp;$A16,  'Bucket Counts'!$F:$F, "224"))</f>
        <v>0</v>
      </c>
      <c r="N16" s="430">
        <f>P15</f>
        <v>92958.333333333328</v>
      </c>
      <c r="O16" s="431">
        <f>SUM(K16+M16)</f>
        <v>54933.333333333336</v>
      </c>
      <c r="P16" s="432">
        <f>K16+J16</f>
        <v>54933.333333333336</v>
      </c>
      <c r="Q16" s="429">
        <f>SUMIFS(Collection!$O:$O, Collection!$K:$K, Q$2, Collection!$A:$A, "="&amp;$A16)</f>
        <v>0</v>
      </c>
      <c r="R16" s="430">
        <f>(SUMIFS('Bucket Counts'!$P:$P, 'Bucket Counts'!$B:$B, R$2, 'Bucket Counts'!$A:$A, "="&amp;$A16,  'Bucket Counts'!$F:$F, "&lt;&gt;100 Morts",  'Bucket Counts'!$F:$F, "&lt;&gt;224"))</f>
        <v>36800</v>
      </c>
      <c r="S16" s="430">
        <f>(SUMIFS('Bucket Counts'!$P:$P, 'Bucket Counts'!$B:$B, S$2, 'Bucket Counts'!$A:$A, "="&amp;$A16,  'Bucket Counts'!$F:$F, "100 Morts"))</f>
        <v>0</v>
      </c>
      <c r="T16" s="430">
        <f>(SUMIFS('Bucket Counts'!$P:$P, 'Bucket Counts'!$B:$B, T$2, 'Bucket Counts'!$A:$A, "="&amp;$A16,  'Bucket Counts'!$F:$F, "224"))</f>
        <v>0</v>
      </c>
      <c r="U16" s="430">
        <f>W15</f>
        <v>130691.66666666667</v>
      </c>
      <c r="V16" s="431">
        <f>SUM(R16+T16)</f>
        <v>36800</v>
      </c>
      <c r="W16" s="432">
        <f>R16+Q16</f>
        <v>36800</v>
      </c>
      <c r="X16" s="429">
        <f>SUMIFS(Collection!$O:$O, Collection!$K:$K, X$2, Collection!$A:$A, "="&amp;$A16)</f>
        <v>0</v>
      </c>
      <c r="Y16" s="430">
        <f>(SUMIFS('Bucket Counts'!$P:$P, 'Bucket Counts'!$B:$B, Y$2, 'Bucket Counts'!$A:$A, "="&amp;$A16,  'Bucket Counts'!$F:$F, "&lt;&gt;100 Morts",  'Bucket Counts'!$F:$F, "&lt;&gt;224"))</f>
        <v>35200</v>
      </c>
      <c r="Z16" s="430">
        <f>(SUMIFS('Bucket Counts'!$P:$P, 'Bucket Counts'!$B:$B, Z$2, 'Bucket Counts'!$A:$A, "="&amp;$A16,  'Bucket Counts'!$F:$F, "100 Morts"))</f>
        <v>0</v>
      </c>
      <c r="AA16" s="430">
        <f>(SUMIFS('Bucket Counts'!$P:$P, 'Bucket Counts'!$B:$B, AA$2, 'Bucket Counts'!$A:$A, "="&amp;$A16,  'Bucket Counts'!$F:$F, "224"))</f>
        <v>0</v>
      </c>
      <c r="AB16" s="430">
        <f>AD15</f>
        <v>143816.66666666666</v>
      </c>
      <c r="AC16" s="431">
        <f>SUM(Y16+AA16)</f>
        <v>35200</v>
      </c>
      <c r="AD16" s="432">
        <f>Y16+X16</f>
        <v>35200</v>
      </c>
      <c r="AE16" s="429">
        <f>SUMIFS(Collection!$O:$O, Collection!$K:$K, AE$2, Collection!$A:$A, "="&amp;$A16)</f>
        <v>0</v>
      </c>
      <c r="AF16" s="430">
        <f>(SUMIFS('Bucket Counts'!$P:$P, 'Bucket Counts'!$B:$B, AF$2, 'Bucket Counts'!$A:$A, "="&amp;$A16,  'Bucket Counts'!$F:$F, "&lt;&gt;100 Morts",  'Bucket Counts'!$F:$F, "&lt;&gt;224"))</f>
        <v>32666.666666666668</v>
      </c>
      <c r="AG16" s="430">
        <f>(SUMIFS('Bucket Counts'!$P:$P, 'Bucket Counts'!$B:$B, AG$2, 'Bucket Counts'!$A:$A, "="&amp;$A16,  'Bucket Counts'!$F:$F, "100 Morts"))</f>
        <v>0</v>
      </c>
      <c r="AH16" s="430">
        <f>(SUMIFS('Bucket Counts'!$P:$P, 'Bucket Counts'!$B:$B, AH$2, 'Bucket Counts'!$A:$A, "="&amp;$A16,  'Bucket Counts'!$F:$F, "224"))</f>
        <v>0</v>
      </c>
      <c r="AI16" s="430">
        <f>AK15</f>
        <v>112000</v>
      </c>
      <c r="AJ16" s="431">
        <f>SUM(AF16+AH16)</f>
        <v>32666.666666666668</v>
      </c>
      <c r="AK16" s="432">
        <f>AF16+AE16</f>
        <v>32666.666666666668</v>
      </c>
      <c r="AL16" s="429">
        <f>SUMIFS(Collection!$O:$O, Collection!$K:$K, AL$2, Collection!$A:$A, "="&amp;$A16)</f>
        <v>0</v>
      </c>
      <c r="AM16" s="430">
        <f>(SUMIFS('Bucket Counts'!$P:$P, 'Bucket Counts'!$B:$B, AM$2, 'Bucket Counts'!$A:$A, "="&amp;$A16,  'Bucket Counts'!$F:$F, "&lt;&gt;100 Morts",  'Bucket Counts'!$F:$F, "&lt;&gt;224"))</f>
        <v>37866.666666666672</v>
      </c>
      <c r="AN16" s="430">
        <f>(SUMIFS('Bucket Counts'!$P:$P, 'Bucket Counts'!$B:$B, AN$2, 'Bucket Counts'!$A:$A, "="&amp;$A16,  'Bucket Counts'!$F:$F, "100 Morts"))</f>
        <v>0</v>
      </c>
      <c r="AO16" s="430">
        <f>(SUMIFS('Bucket Counts'!$P:$P, 'Bucket Counts'!$B:$B, AO$2, 'Bucket Counts'!$A:$A, "="&amp;$A16,  'Bucket Counts'!$F:$F, "224"))</f>
        <v>0</v>
      </c>
      <c r="AP16" s="430">
        <f>AR15</f>
        <v>179400</v>
      </c>
      <c r="AQ16" s="431">
        <f>SUM(AM16+AO16)</f>
        <v>37866.666666666672</v>
      </c>
      <c r="AR16" s="432">
        <f>AM16+AL16</f>
        <v>37866.666666666672</v>
      </c>
      <c r="AS16" s="429">
        <f>SUMIFS(Collection!$O:$O, Collection!$K:$K, AS$2, Collection!$A:$A, "="&amp;$A16)</f>
        <v>0</v>
      </c>
      <c r="AT16" s="430">
        <f>(SUMIFS('Bucket Counts'!$P:$P, 'Bucket Counts'!$B:$B, AT$2, 'Bucket Counts'!$A:$A, "="&amp;$A16,  'Bucket Counts'!$F:$F, "&lt;&gt;100 Morts",  'Bucket Counts'!$F:$F, "&lt;&gt;224"))</f>
        <v>19733.333333333336</v>
      </c>
      <c r="AU16" s="430">
        <f>(SUMIFS('Bucket Counts'!$P:$P, 'Bucket Counts'!$B:$B, AU$2, 'Bucket Counts'!$A:$A, "="&amp;$A16,  'Bucket Counts'!$F:$F, "100 Morts"))</f>
        <v>0</v>
      </c>
      <c r="AV16" s="430">
        <f>(SUMIFS('Bucket Counts'!$P:$P, 'Bucket Counts'!$B:$B, AV$2, 'Bucket Counts'!$A:$A, "="&amp;$A16,  'Bucket Counts'!$F:$F, "224"))</f>
        <v>0</v>
      </c>
      <c r="AW16" s="430">
        <f>AY15</f>
        <v>99000</v>
      </c>
      <c r="AX16" s="431">
        <f>SUM(AT16+AV16)</f>
        <v>19733.333333333336</v>
      </c>
      <c r="AY16" s="432">
        <f>AT16+AS16</f>
        <v>19733.333333333336</v>
      </c>
      <c r="AZ16" s="429">
        <f>SUMIFS(Collection!$O:$O, Collection!$K:$K, AZ$2, Collection!$A:$A, "="&amp;$A16)</f>
        <v>0</v>
      </c>
      <c r="BA16" s="430">
        <f>(SUMIFS('Bucket Counts'!$P:$P, 'Bucket Counts'!$B:$B, BA$2, 'Bucket Counts'!$A:$A, "="&amp;$A16,  'Bucket Counts'!$F:$F, "&lt;&gt;100 Morts",  'Bucket Counts'!$F:$F, "&lt;&gt;224"))</f>
        <v>98666.666666666657</v>
      </c>
      <c r="BB16" s="430">
        <f>(SUMIFS('Bucket Counts'!$P:$P, 'Bucket Counts'!$B:$B, BB$2, 'Bucket Counts'!$A:$A, "="&amp;$A16,  'Bucket Counts'!$F:$F, "100 Morts"))</f>
        <v>0</v>
      </c>
      <c r="BC16" s="430">
        <f>(SUMIFS('Bucket Counts'!$P:$P, 'Bucket Counts'!$B:$B, BC$2, 'Bucket Counts'!$A:$A, "="&amp;$A16,  'Bucket Counts'!$F:$F, "224"))</f>
        <v>0</v>
      </c>
      <c r="BD16" s="430">
        <f>BF15</f>
        <v>183466.66666666669</v>
      </c>
      <c r="BE16" s="431">
        <f>SUM(BA16+BC16)</f>
        <v>98666.666666666657</v>
      </c>
      <c r="BF16" s="432">
        <f>BA16+AZ16</f>
        <v>98666.666666666657</v>
      </c>
      <c r="BG16" s="429">
        <f>SUMIFS(Collection!$O:$O, Collection!$K:$K, BG$2, Collection!$A:$A, "="&amp;$A16)</f>
        <v>0</v>
      </c>
      <c r="BH16" s="430">
        <f>(SUMIFS('Bucket Counts'!$P:$P, 'Bucket Counts'!$B:$B, BH$2, 'Bucket Counts'!$A:$A, "="&amp;$A16,  'Bucket Counts'!$F:$F, "&lt;&gt;100 Morts",  'Bucket Counts'!$F:$F, "&lt;&gt;224"))</f>
        <v>60266.666666666664</v>
      </c>
      <c r="BI16" s="430">
        <f>(SUMIFS('Bucket Counts'!$P:$P, 'Bucket Counts'!$B:$B, BI$2, 'Bucket Counts'!$A:$A, "="&amp;$A16,  'Bucket Counts'!$F:$F, "100 Morts"))</f>
        <v>0</v>
      </c>
      <c r="BJ16" s="430">
        <f>(SUMIFS('Bucket Counts'!$P:$P, 'Bucket Counts'!$B:$B, BJ$2, 'Bucket Counts'!$A:$A, "="&amp;$A16,  'Bucket Counts'!$F:$F, "224"))</f>
        <v>0</v>
      </c>
      <c r="BK16" s="430">
        <f>BM15</f>
        <v>74266.666666666657</v>
      </c>
      <c r="BL16" s="431">
        <f>SUM(BH16+BJ16)</f>
        <v>60266.666666666664</v>
      </c>
      <c r="BM16" s="432">
        <f>BH16+BG16</f>
        <v>60266.666666666664</v>
      </c>
      <c r="BN16" s="429">
        <f>SUMIFS(Collection!$O:$O, Collection!$K:$K, BN$2, Collection!$A:$A, "="&amp;$A16)</f>
        <v>0</v>
      </c>
      <c r="BO16" s="430">
        <f>(SUMIFS('Bucket Counts'!$P:$P, 'Bucket Counts'!$B:$B, BO$2, 'Bucket Counts'!$A:$A, "="&amp;$A16,  'Bucket Counts'!$F:$F, "&lt;&gt;100 Morts",  'Bucket Counts'!$F:$F, "&lt;&gt;224"))</f>
        <v>96533.333333333343</v>
      </c>
      <c r="BP16" s="430">
        <f>(SUMIFS('Bucket Counts'!$P:$P, 'Bucket Counts'!$B:$B, BP$2, 'Bucket Counts'!$A:$A, "="&amp;$A16,  'Bucket Counts'!$F:$F, "100 Morts"))</f>
        <v>0</v>
      </c>
      <c r="BQ16" s="430">
        <f>(SUMIFS('Bucket Counts'!$P:$P, 'Bucket Counts'!$B:$B, BQ$2, 'Bucket Counts'!$A:$A, "="&amp;$A16,  'Bucket Counts'!$F:$F, "224"))</f>
        <v>0</v>
      </c>
      <c r="BR16" s="430">
        <f>BT15</f>
        <v>162066.66666666669</v>
      </c>
      <c r="BS16" s="431">
        <f>SUM(BO16+BQ16)</f>
        <v>96533.333333333343</v>
      </c>
      <c r="BT16" s="432">
        <f>BO16+BN16</f>
        <v>96533.333333333343</v>
      </c>
      <c r="BU16" s="429">
        <f>SUMIFS(Collection!$O:$O, Collection!$K:$K, BU$2, Collection!$A:$A, "="&amp;$A16)</f>
        <v>0</v>
      </c>
      <c r="BV16" s="430">
        <f>(SUMIFS('Bucket Counts'!$P:$P, 'Bucket Counts'!$B:$B, BV$2, 'Bucket Counts'!$A:$A, "="&amp;$A16,  'Bucket Counts'!$F:$F, "&lt;&gt;100 Morts",  'Bucket Counts'!$F:$F, "&lt;&gt;224"))</f>
        <v>0</v>
      </c>
      <c r="BW16" s="430">
        <f>(SUMIFS('Bucket Counts'!$P:$P, 'Bucket Counts'!$B:$B, BW$2, 'Bucket Counts'!$A:$A, "="&amp;$A16,  'Bucket Counts'!$F:$F, "100 Morts"))</f>
        <v>0</v>
      </c>
      <c r="BX16" s="430">
        <f>(SUMIFS('Bucket Counts'!$P:$P, 'Bucket Counts'!$B:$B, BX$2, 'Bucket Counts'!$A:$A, "="&amp;$A16,  'Bucket Counts'!$F:$F, "224"))</f>
        <v>0</v>
      </c>
      <c r="BY16" s="430">
        <f>CA15</f>
        <v>0</v>
      </c>
      <c r="BZ16" s="431">
        <f>SUM(BV16+BX16)</f>
        <v>0</v>
      </c>
      <c r="CA16" s="432">
        <f>BV16+BU16</f>
        <v>0</v>
      </c>
      <c r="CB16" s="429">
        <f>SUMIFS(Collection!$O:$O, Collection!$K:$K, CB$2, Collection!$A:$A, "="&amp;$A16)</f>
        <v>0</v>
      </c>
      <c r="CC16" s="430">
        <f>(SUMIFS('Bucket Counts'!$P:$P, 'Bucket Counts'!$B:$B, CC$2, 'Bucket Counts'!$A:$A, "="&amp;$A16,  'Bucket Counts'!$F:$F, "&lt;&gt;100 Morts",  'Bucket Counts'!$F:$F, "&lt;&gt;224"))</f>
        <v>0</v>
      </c>
      <c r="CD16" s="430">
        <f>(SUMIFS('Bucket Counts'!$P:$P, 'Bucket Counts'!$B:$B, CD$2, 'Bucket Counts'!$A:$A, "="&amp;$A16,  'Bucket Counts'!$F:$F, "100 Morts"))</f>
        <v>0</v>
      </c>
      <c r="CE16" s="430">
        <f>(SUMIFS('Bucket Counts'!$P:$P, 'Bucket Counts'!$B:$B, CE$2, 'Bucket Counts'!$A:$A, "="&amp;$A16,  'Bucket Counts'!$F:$F, "224"))</f>
        <v>0</v>
      </c>
      <c r="CF16" s="430">
        <f>CH15</f>
        <v>0</v>
      </c>
      <c r="CG16" s="431">
        <f>SUM(CC16+CE16)</f>
        <v>0</v>
      </c>
      <c r="CH16" s="432">
        <f>CC16+CB16</f>
        <v>0</v>
      </c>
      <c r="CI16" s="429">
        <f>SUMIFS(Collection!$O:$O, Collection!$K:$K, CI$2, Collection!$A:$A, "="&amp;$A16)</f>
        <v>0</v>
      </c>
      <c r="CJ16" s="430">
        <f>(SUMIFS('Bucket Counts'!$P:$P, 'Bucket Counts'!$B:$B, CJ$2, 'Bucket Counts'!$A:$A, "="&amp;$A16,  'Bucket Counts'!$F:$F, "&lt;&gt;100 Morts",  'Bucket Counts'!$F:$F, "&lt;&gt;224"))</f>
        <v>74133.333333333343</v>
      </c>
      <c r="CK16" s="430">
        <f>(SUMIFS('Bucket Counts'!$P:$P, 'Bucket Counts'!$B:$B, CK$2, 'Bucket Counts'!$A:$A, "="&amp;$A16,  'Bucket Counts'!$F:$F, "100 Morts"))</f>
        <v>0</v>
      </c>
      <c r="CL16" s="430">
        <f>(SUMIFS('Bucket Counts'!$P:$P, 'Bucket Counts'!$B:$B, CL$2, 'Bucket Counts'!$A:$A, "="&amp;$A16,  'Bucket Counts'!$F:$F, "224"))</f>
        <v>0</v>
      </c>
      <c r="CM16" s="430">
        <f>CO15</f>
        <v>86933.333333333343</v>
      </c>
      <c r="CN16" s="431">
        <f>SUM(CJ16+CL16)</f>
        <v>74133.333333333343</v>
      </c>
      <c r="CO16" s="432">
        <f>CJ16+CI16</f>
        <v>74133.333333333343</v>
      </c>
      <c r="CP16" s="429">
        <f>SUMIFS(Collection!$O:$O, Collection!$K:$K, CP$2, Collection!$A:$A, "="&amp;$A16)</f>
        <v>0</v>
      </c>
      <c r="CQ16" s="430">
        <f>(SUMIFS('Bucket Counts'!$P:$P, 'Bucket Counts'!$B:$B, CQ$2, 'Bucket Counts'!$A:$A, "="&amp;$A16,  'Bucket Counts'!$F:$F, "&lt;&gt;100 Morts",  'Bucket Counts'!$F:$F, "&lt;&gt;224"))</f>
        <v>69866.666666666657</v>
      </c>
      <c r="CR16" s="430">
        <f>(SUMIFS('Bucket Counts'!$P:$P, 'Bucket Counts'!$B:$B, CR$2, 'Bucket Counts'!$A:$A, "="&amp;$A16,  'Bucket Counts'!$F:$F, "100 Morts"))</f>
        <v>0</v>
      </c>
      <c r="CS16" s="430">
        <f>(SUMIFS('Bucket Counts'!$P:$P, 'Bucket Counts'!$B:$B, CS$2, 'Bucket Counts'!$A:$A, "="&amp;$A16,  'Bucket Counts'!$F:$F, "224"))</f>
        <v>0</v>
      </c>
      <c r="CT16" s="430">
        <f>CV15</f>
        <v>111600</v>
      </c>
      <c r="CU16" s="431">
        <f>SUM(CQ16+CS16)</f>
        <v>69866.666666666657</v>
      </c>
      <c r="CV16" s="432">
        <f>CQ16+CP16</f>
        <v>69866.666666666657</v>
      </c>
      <c r="CW16" s="429">
        <f>SUMIFS(Collection!$O:$O, Collection!$K:$K, CW$2, Collection!$A:$A, "="&amp;$A16)</f>
        <v>0</v>
      </c>
      <c r="CX16" s="430">
        <f>(SUMIFS('Bucket Counts'!$P:$P, 'Bucket Counts'!$B:$B, CX$2, 'Bucket Counts'!$A:$A, "="&amp;$A16,  'Bucket Counts'!$F:$F, "&lt;&gt;100 Morts",  'Bucket Counts'!$F:$F, "&lt;&gt;224"))</f>
        <v>17600</v>
      </c>
      <c r="CY16" s="430">
        <f>(SUMIFS('Bucket Counts'!$P:$P, 'Bucket Counts'!$B:$B, CY$2, 'Bucket Counts'!$A:$A, "="&amp;$A16,  'Bucket Counts'!$F:$F, "100 Morts"))</f>
        <v>0</v>
      </c>
      <c r="CZ16" s="430">
        <f>(SUMIFS('Bucket Counts'!$P:$P, 'Bucket Counts'!$B:$B, CZ$2, 'Bucket Counts'!$A:$A, "="&amp;$A16,  'Bucket Counts'!$F:$F, "224"))</f>
        <v>0</v>
      </c>
      <c r="DA16" s="430">
        <f>DC15</f>
        <v>20666.666666666668</v>
      </c>
      <c r="DB16" s="431">
        <f>SUM(CX16+CZ16)</f>
        <v>17600</v>
      </c>
      <c r="DC16" s="432">
        <f>CX16+CW16</f>
        <v>17600</v>
      </c>
      <c r="DD16" s="429">
        <f>SUMIFS(Collection!$O:$O, Collection!$K:$K, DD$2, Collection!$A:$A, "="&amp;$A16)</f>
        <v>0</v>
      </c>
      <c r="DE16" s="430">
        <f>(SUMIFS('Bucket Counts'!$P:$P, 'Bucket Counts'!$B:$B, DE$2, 'Bucket Counts'!$A:$A, "="&amp;$A16,  'Bucket Counts'!$F:$F, "&lt;&gt;100 Morts",  'Bucket Counts'!$F:$F, "&lt;&gt;224"))</f>
        <v>83200</v>
      </c>
      <c r="DF16" s="430">
        <f>(SUMIFS('Bucket Counts'!$P:$P, 'Bucket Counts'!$B:$B, DF$2, 'Bucket Counts'!$A:$A, "="&amp;$A16,  'Bucket Counts'!$F:$F, "100 Morts"))</f>
        <v>0</v>
      </c>
      <c r="DG16" s="430">
        <f>(SUMIFS('Bucket Counts'!$P:$P, 'Bucket Counts'!$B:$B, DG$2, 'Bucket Counts'!$A:$A, "="&amp;$A16,  'Bucket Counts'!$F:$F, "224"))</f>
        <v>0</v>
      </c>
      <c r="DH16" s="430">
        <f>DJ15</f>
        <v>75666.666666666672</v>
      </c>
      <c r="DI16" s="431">
        <f>SUM(DE16+DG16)</f>
        <v>83200</v>
      </c>
      <c r="DJ16" s="432">
        <f>DE16+DD16</f>
        <v>83200</v>
      </c>
      <c r="DK16" s="429">
        <f>SUMIFS(Collection!$O:$O, Collection!$K:$K, DK$2, Collection!$A:$A, "="&amp;$A16)</f>
        <v>0</v>
      </c>
      <c r="DL16" s="430">
        <f>(SUMIFS('Bucket Counts'!$P:$P, 'Bucket Counts'!$B:$B, DL$2, 'Bucket Counts'!$A:$A, "="&amp;$A16,  'Bucket Counts'!$F:$F, "&lt;&gt;100 Morts",  'Bucket Counts'!$F:$F, "&lt;&gt;224"))</f>
        <v>0</v>
      </c>
      <c r="DM16" s="430">
        <f>(SUMIFS('Bucket Counts'!$P:$P, 'Bucket Counts'!$B:$B, DM$2, 'Bucket Counts'!$A:$A, "="&amp;$A16,  'Bucket Counts'!$F:$F, "100 Morts"))</f>
        <v>0</v>
      </c>
      <c r="DN16" s="430">
        <f>(SUMIFS('Bucket Counts'!$P:$P, 'Bucket Counts'!$B:$B, DN$2, 'Bucket Counts'!$A:$A, "="&amp;$A16,  'Bucket Counts'!$F:$F, "224"))</f>
        <v>0</v>
      </c>
      <c r="DO16" s="430">
        <f>DQ15</f>
        <v>0</v>
      </c>
      <c r="DP16" s="431">
        <f>SUM(DL16+DN16)</f>
        <v>0</v>
      </c>
      <c r="DQ16" s="432">
        <f>DL16+DK16</f>
        <v>0</v>
      </c>
      <c r="DR16" s="429">
        <f>SUMIFS(Collection!$O:$O, Collection!$K:$K, DR$2, Collection!$A:$A, "="&amp;$A16)</f>
        <v>0</v>
      </c>
      <c r="DS16" s="430">
        <f>(SUMIFS('Bucket Counts'!$P:$P, 'Bucket Counts'!$B:$B, DS$2, 'Bucket Counts'!$A:$A, "="&amp;$A16,  'Bucket Counts'!$F:$F, "&lt;&gt;100 Morts",  'Bucket Counts'!$F:$F, "&lt;&gt;224"))</f>
        <v>77333.333333333343</v>
      </c>
      <c r="DT16" s="430">
        <f>(SUMIFS('Bucket Counts'!$P:$P, 'Bucket Counts'!$B:$B, DT$2, 'Bucket Counts'!$A:$A, "="&amp;$A16,  'Bucket Counts'!$F:$F, "100 Morts"))</f>
        <v>0</v>
      </c>
      <c r="DU16" s="430">
        <f>(SUMIFS('Bucket Counts'!$P:$P, 'Bucket Counts'!$B:$B, DU$2, 'Bucket Counts'!$A:$A, "="&amp;$A16,  'Bucket Counts'!$F:$F, "224"))</f>
        <v>0</v>
      </c>
      <c r="DV16" s="430">
        <f>DX15</f>
        <v>177283.33333333331</v>
      </c>
      <c r="DW16" s="431">
        <f>SUM(DS16+DU16)</f>
        <v>77333.333333333343</v>
      </c>
      <c r="DX16" s="432">
        <f>DS16+DR16</f>
        <v>77333.333333333343</v>
      </c>
      <c r="DY16" s="429">
        <f>SUMIFS(Collection!$O:$O, Collection!$K:$K, DY$2, Collection!$A:$A, "="&amp;$A16)</f>
        <v>0</v>
      </c>
      <c r="DZ16" s="430">
        <f>(SUMIFS('Bucket Counts'!$P:$P, 'Bucket Counts'!$B:$B, DZ$2, 'Bucket Counts'!$A:$A, "="&amp;$A16,  'Bucket Counts'!$F:$F, "&lt;&gt;100 Morts",  'Bucket Counts'!$F:$F, "&lt;&gt;224"))</f>
        <v>25600</v>
      </c>
      <c r="EA16" s="430">
        <f>(SUMIFS('Bucket Counts'!$P:$P, 'Bucket Counts'!$B:$B, EA$2, 'Bucket Counts'!$A:$A, "="&amp;$A16,  'Bucket Counts'!$F:$F, "100 Morts"))</f>
        <v>0</v>
      </c>
      <c r="EB16" s="430">
        <f>(SUMIFS('Bucket Counts'!$P:$P, 'Bucket Counts'!$B:$B, EB$2, 'Bucket Counts'!$A:$A, "="&amp;$A16,  'Bucket Counts'!$F:$F, "224"))</f>
        <v>0</v>
      </c>
      <c r="EC16" s="430">
        <f>EE15</f>
        <v>118400</v>
      </c>
      <c r="ED16" s="431">
        <f>SUM(DZ16+EB16)</f>
        <v>25600</v>
      </c>
      <c r="EE16" s="432">
        <f>DZ16+DY16</f>
        <v>25600</v>
      </c>
      <c r="EF16" s="429">
        <f>SUMIFS(Collection!$O:$O, Collection!$K:$K, EF$2, Collection!$A:$A, "="&amp;$A16)</f>
        <v>0</v>
      </c>
      <c r="EG16" s="430">
        <f>(SUMIFS('Bucket Counts'!$P:$P, 'Bucket Counts'!$B:$B, EG$2, 'Bucket Counts'!$A:$A, "="&amp;$A16,  'Bucket Counts'!$F:$F, "&lt;&gt;100 Morts",  'Bucket Counts'!$F:$F, "&lt;&gt;224"))</f>
        <v>0</v>
      </c>
      <c r="EH16" s="430">
        <f>(SUMIFS('Bucket Counts'!$P:$P, 'Bucket Counts'!$B:$B, EH$2, 'Bucket Counts'!$A:$A, "="&amp;$A16,  'Bucket Counts'!$F:$F, "100 Morts"))</f>
        <v>0</v>
      </c>
      <c r="EI16" s="430">
        <f>(SUMIFS('Bucket Counts'!$P:$P, 'Bucket Counts'!$B:$B, EI$2, 'Bucket Counts'!$A:$A, "="&amp;$A16,  'Bucket Counts'!$F:$F, "224"))</f>
        <v>0</v>
      </c>
      <c r="EJ16" s="430">
        <f>EL15</f>
        <v>0</v>
      </c>
      <c r="EK16" s="431">
        <f>SUM(EG16+EI16)</f>
        <v>0</v>
      </c>
      <c r="EL16" s="432">
        <f>EG16+EF16</f>
        <v>0</v>
      </c>
    </row>
    <row r="17" spans="1:142" s="433" customFormat="1" x14ac:dyDescent="0.2">
      <c r="A17" s="428">
        <v>42886</v>
      </c>
      <c r="B17" s="428" t="s">
        <v>486</v>
      </c>
      <c r="C17" s="429">
        <f>SUMIFS(Collection!$O:$O, Collection!$K:$K, C$2, Collection!$A:$A, "="&amp;$A17)</f>
        <v>0</v>
      </c>
      <c r="D17" s="430">
        <f>(SUMIFS('Bucket Counts'!$P:$P, 'Bucket Counts'!$B:$B, D$2, 'Bucket Counts'!$A:$A, "="&amp;$A17,  'Bucket Counts'!$F:$F, "&lt;&gt;100 Morts",  'Bucket Counts'!$F:$F, "&lt;&gt;224"))</f>
        <v>16000</v>
      </c>
      <c r="E17" s="430">
        <f>(SUMIFS('Bucket Counts'!$P:$P, 'Bucket Counts'!$B:$B, E$2, 'Bucket Counts'!$A:$A, "="&amp;$A17,  'Bucket Counts'!$F:$F, "100 Morts"))</f>
        <v>0</v>
      </c>
      <c r="F17" s="430">
        <f>(SUMIFS('Bucket Counts'!$P:$P, 'Bucket Counts'!$B:$B, F$2, 'Bucket Counts'!$A:$A, "="&amp;$A17,  'Bucket Counts'!$F:$F, "224"))</f>
        <v>0</v>
      </c>
      <c r="G17" s="430">
        <f>D16+C16</f>
        <v>34666.666666666672</v>
      </c>
      <c r="H17" s="431">
        <f>SUM(D17+F17)</f>
        <v>16000</v>
      </c>
      <c r="I17" s="432">
        <f>D17+C17</f>
        <v>16000</v>
      </c>
      <c r="J17" s="429">
        <f>SUMIFS(Collection!$O:$O, Collection!$K:$K, J$2, Collection!$A:$A, "="&amp;$A17)</f>
        <v>0</v>
      </c>
      <c r="K17" s="430">
        <f>(SUMIFS('Bucket Counts'!$P:$P, 'Bucket Counts'!$B:$B, K$2, 'Bucket Counts'!$A:$A, "="&amp;$A17,  'Bucket Counts'!$F:$F, "&lt;&gt;100 Morts",  'Bucket Counts'!$F:$F, "&lt;&gt;224"))</f>
        <v>13600</v>
      </c>
      <c r="L17" s="430">
        <f>(SUMIFS('Bucket Counts'!$P:$P, 'Bucket Counts'!$B:$B, L$2, 'Bucket Counts'!$A:$A, "="&amp;$A17,  'Bucket Counts'!$F:$F, "100 Morts"))</f>
        <v>0</v>
      </c>
      <c r="M17" s="430">
        <f>(SUMIFS('Bucket Counts'!$P:$P, 'Bucket Counts'!$B:$B, M$2, 'Bucket Counts'!$A:$A, "="&amp;$A17,  'Bucket Counts'!$F:$F, "224"))</f>
        <v>0</v>
      </c>
      <c r="N17" s="430">
        <f>K16+J16</f>
        <v>54933.333333333336</v>
      </c>
      <c r="O17" s="431">
        <f>SUM(K17+M17)</f>
        <v>13600</v>
      </c>
      <c r="P17" s="432">
        <f>K17+J17</f>
        <v>13600</v>
      </c>
      <c r="Q17" s="429">
        <f>SUMIFS(Collection!$O:$O, Collection!$K:$K, Q$2, Collection!$A:$A, "="&amp;$A17)</f>
        <v>1333.3333333333335</v>
      </c>
      <c r="R17" s="430">
        <f>(SUMIFS('Bucket Counts'!$P:$P, 'Bucket Counts'!$B:$B, R$2, 'Bucket Counts'!$A:$A, "="&amp;$A17,  'Bucket Counts'!$F:$F, "&lt;&gt;100 Morts",  'Bucket Counts'!$F:$F, "&lt;&gt;224"))</f>
        <v>67200</v>
      </c>
      <c r="S17" s="430">
        <f>(SUMIFS('Bucket Counts'!$P:$P, 'Bucket Counts'!$B:$B, S$2, 'Bucket Counts'!$A:$A, "="&amp;$A17,  'Bucket Counts'!$F:$F, "100 Morts"))</f>
        <v>0</v>
      </c>
      <c r="T17" s="430">
        <f>(SUMIFS('Bucket Counts'!$P:$P, 'Bucket Counts'!$B:$B, T$2, 'Bucket Counts'!$A:$A, "="&amp;$A17,  'Bucket Counts'!$F:$F, "224"))</f>
        <v>0</v>
      </c>
      <c r="U17" s="430">
        <f>R16+Q16</f>
        <v>36800</v>
      </c>
      <c r="V17" s="431">
        <f>SUM(R17+T17)</f>
        <v>67200</v>
      </c>
      <c r="W17" s="432">
        <f>R17+Q17</f>
        <v>68533.333333333328</v>
      </c>
      <c r="X17" s="429">
        <f>SUMIFS(Collection!$O:$O, Collection!$K:$K, X$2, Collection!$A:$A, "="&amp;$A17)</f>
        <v>0</v>
      </c>
      <c r="Y17" s="430">
        <f>(SUMIFS('Bucket Counts'!$P:$P, 'Bucket Counts'!$B:$B, Y$2, 'Bucket Counts'!$A:$A, "="&amp;$A17,  'Bucket Counts'!$F:$F, "&lt;&gt;100 Morts",  'Bucket Counts'!$F:$F, "&lt;&gt;224"))</f>
        <v>16800</v>
      </c>
      <c r="Z17" s="430">
        <f>(SUMIFS('Bucket Counts'!$P:$P, 'Bucket Counts'!$B:$B, Z$2, 'Bucket Counts'!$A:$A, "="&amp;$A17,  'Bucket Counts'!$F:$F, "100 Morts"))</f>
        <v>0</v>
      </c>
      <c r="AA17" s="430">
        <f>(SUMIFS('Bucket Counts'!$P:$P, 'Bucket Counts'!$B:$B, AA$2, 'Bucket Counts'!$A:$A, "="&amp;$A17,  'Bucket Counts'!$F:$F, "224"))</f>
        <v>0</v>
      </c>
      <c r="AB17" s="430">
        <f>Y16+X16</f>
        <v>35200</v>
      </c>
      <c r="AC17" s="431">
        <f>SUM(Y17+AA17)</f>
        <v>16800</v>
      </c>
      <c r="AD17" s="432">
        <f>Y17+X17</f>
        <v>16800</v>
      </c>
      <c r="AE17" s="429">
        <f>SUMIFS(Collection!$O:$O, Collection!$K:$K, AE$2, Collection!$A:$A, "="&amp;$A17)</f>
        <v>0</v>
      </c>
      <c r="AF17" s="430">
        <f>(SUMIFS('Bucket Counts'!$P:$P, 'Bucket Counts'!$B:$B, AF$2, 'Bucket Counts'!$A:$A, "="&amp;$A17,  'Bucket Counts'!$F:$F, "&lt;&gt;100 Morts",  'Bucket Counts'!$F:$F, "&lt;&gt;224"))</f>
        <v>1600</v>
      </c>
      <c r="AG17" s="430">
        <f>(SUMIFS('Bucket Counts'!$P:$P, 'Bucket Counts'!$B:$B, AG$2, 'Bucket Counts'!$A:$A, "="&amp;$A17,  'Bucket Counts'!$F:$F, "100 Morts"))</f>
        <v>0</v>
      </c>
      <c r="AH17" s="430">
        <f>(SUMIFS('Bucket Counts'!$P:$P, 'Bucket Counts'!$B:$B, AH$2, 'Bucket Counts'!$A:$A, "="&amp;$A17,  'Bucket Counts'!$F:$F, "224"))</f>
        <v>0</v>
      </c>
      <c r="AI17" s="430">
        <f>AF16+AE16</f>
        <v>32666.666666666668</v>
      </c>
      <c r="AJ17" s="431">
        <f>SUM(AF17+AH17)</f>
        <v>1600</v>
      </c>
      <c r="AK17" s="432">
        <f>AF17+AE17</f>
        <v>1600</v>
      </c>
      <c r="AL17" s="429">
        <f>SUMIFS(Collection!$O:$O, Collection!$K:$K, AL$2, Collection!$A:$A, "="&amp;$A17)</f>
        <v>63000</v>
      </c>
      <c r="AM17" s="430">
        <f>(SUMIFS('Bucket Counts'!$P:$P, 'Bucket Counts'!$B:$B, AM$2, 'Bucket Counts'!$A:$A, "="&amp;$A17,  'Bucket Counts'!$F:$F, "&lt;&gt;100 Morts",  'Bucket Counts'!$F:$F, "&lt;&gt;224"))</f>
        <v>10400</v>
      </c>
      <c r="AN17" s="430">
        <f>(SUMIFS('Bucket Counts'!$P:$P, 'Bucket Counts'!$B:$B, AN$2, 'Bucket Counts'!$A:$A, "="&amp;$A17,  'Bucket Counts'!$F:$F, "100 Morts"))</f>
        <v>0</v>
      </c>
      <c r="AO17" s="430">
        <f>(SUMIFS('Bucket Counts'!$P:$P, 'Bucket Counts'!$B:$B, AO$2, 'Bucket Counts'!$A:$A, "="&amp;$A17,  'Bucket Counts'!$F:$F, "224"))</f>
        <v>0</v>
      </c>
      <c r="AP17" s="430">
        <f>AM16+AL16</f>
        <v>37866.666666666672</v>
      </c>
      <c r="AQ17" s="431">
        <f>SUM(AM17+AO17)</f>
        <v>10400</v>
      </c>
      <c r="AR17" s="432">
        <f>AM17+AL17</f>
        <v>73400</v>
      </c>
      <c r="AS17" s="429">
        <f>SUMIFS(Collection!$O:$O, Collection!$K:$K, AS$2, Collection!$A:$A, "="&amp;$A17)</f>
        <v>0</v>
      </c>
      <c r="AT17" s="430">
        <f>(SUMIFS('Bucket Counts'!$P:$P, 'Bucket Counts'!$B:$B, AT$2, 'Bucket Counts'!$A:$A, "="&amp;$A17,  'Bucket Counts'!$F:$F, "&lt;&gt;100 Morts",  'Bucket Counts'!$F:$F, "&lt;&gt;224"))</f>
        <v>400</v>
      </c>
      <c r="AU17" s="430">
        <f>(SUMIFS('Bucket Counts'!$P:$P, 'Bucket Counts'!$B:$B, AU$2, 'Bucket Counts'!$A:$A, "="&amp;$A17,  'Bucket Counts'!$F:$F, "100 Morts"))</f>
        <v>0</v>
      </c>
      <c r="AV17" s="430">
        <f>(SUMIFS('Bucket Counts'!$P:$P, 'Bucket Counts'!$B:$B, AV$2, 'Bucket Counts'!$A:$A, "="&amp;$A17,  'Bucket Counts'!$F:$F, "224"))</f>
        <v>0</v>
      </c>
      <c r="AW17" s="430">
        <f>AT16+AS16</f>
        <v>19733.333333333336</v>
      </c>
      <c r="AX17" s="431">
        <f>SUM(AT17+AV17)</f>
        <v>400</v>
      </c>
      <c r="AY17" s="432">
        <f>AT17+AS17</f>
        <v>400</v>
      </c>
      <c r="AZ17" s="429">
        <f>SUMIFS(Collection!$O:$O, Collection!$K:$K, AZ$2, Collection!$A:$A, "="&amp;$A17)</f>
        <v>41066.666666666672</v>
      </c>
      <c r="BA17" s="430" t="e">
        <f>(SUMIFS('Bucket Counts'!$P:$P, 'Bucket Counts'!$B:$B, BA$2, 'Bucket Counts'!$A:$A, "="&amp;$A17,  'Bucket Counts'!$F:$F, "&lt;&gt;100 Morts",  'Bucket Counts'!$F:$F, "&lt;&gt;224"))</f>
        <v>#VALUE!</v>
      </c>
      <c r="BB17" s="430">
        <f>(SUMIFS('Bucket Counts'!$P:$P, 'Bucket Counts'!$B:$B, BB$2, 'Bucket Counts'!$A:$A, "="&amp;$A17,  'Bucket Counts'!$F:$F, "100 Morts"))</f>
        <v>0</v>
      </c>
      <c r="BC17" s="430">
        <f>(SUMIFS('Bucket Counts'!$P:$P, 'Bucket Counts'!$B:$B, BC$2, 'Bucket Counts'!$A:$A, "="&amp;$A17,  'Bucket Counts'!$F:$F, "224"))</f>
        <v>0</v>
      </c>
      <c r="BD17" s="430">
        <f>BA16+AZ16</f>
        <v>98666.666666666657</v>
      </c>
      <c r="BE17" s="431" t="e">
        <f>SUM(BA17+BC17)</f>
        <v>#VALUE!</v>
      </c>
      <c r="BF17" s="432" t="e">
        <f>BA17+AZ17</f>
        <v>#VALUE!</v>
      </c>
      <c r="BG17" s="429">
        <f>SUMIFS(Collection!$O:$O, Collection!$K:$K, BG$2, Collection!$A:$A, "="&amp;$A17)</f>
        <v>72800</v>
      </c>
      <c r="BH17" s="430" t="e">
        <f>(SUMIFS('Bucket Counts'!$P:$P, 'Bucket Counts'!$B:$B, BH$2, 'Bucket Counts'!$A:$A, "="&amp;$A17,  'Bucket Counts'!$F:$F, "&lt;&gt;100 Morts",  'Bucket Counts'!$F:$F, "&lt;&gt;224"))</f>
        <v>#VALUE!</v>
      </c>
      <c r="BI17" s="430">
        <f>(SUMIFS('Bucket Counts'!$P:$P, 'Bucket Counts'!$B:$B, BI$2, 'Bucket Counts'!$A:$A, "="&amp;$A17,  'Bucket Counts'!$F:$F, "100 Morts"))</f>
        <v>0</v>
      </c>
      <c r="BJ17" s="430">
        <f>(SUMIFS('Bucket Counts'!$P:$P, 'Bucket Counts'!$B:$B, BJ$2, 'Bucket Counts'!$A:$A, "="&amp;$A17,  'Bucket Counts'!$F:$F, "224"))</f>
        <v>0</v>
      </c>
      <c r="BK17" s="430">
        <f>BH16+BG16</f>
        <v>60266.666666666664</v>
      </c>
      <c r="BL17" s="431" t="e">
        <f>SUM(BH17+BJ17)</f>
        <v>#VALUE!</v>
      </c>
      <c r="BM17" s="432" t="e">
        <f>BH17+BG17</f>
        <v>#VALUE!</v>
      </c>
      <c r="BN17" s="429">
        <f>SUMIFS(Collection!$O:$O, Collection!$K:$K, BN$2, Collection!$A:$A, "="&amp;$A17)</f>
        <v>0</v>
      </c>
      <c r="BO17" s="430">
        <f>(SUMIFS('Bucket Counts'!$P:$P, 'Bucket Counts'!$B:$B, BO$2, 'Bucket Counts'!$A:$A, "="&amp;$A17,  'Bucket Counts'!$F:$F, "&lt;&gt;100 Morts",  'Bucket Counts'!$F:$F, "&lt;&gt;224"))</f>
        <v>50400</v>
      </c>
      <c r="BP17" s="430">
        <f>(SUMIFS('Bucket Counts'!$P:$P, 'Bucket Counts'!$B:$B, BP$2, 'Bucket Counts'!$A:$A, "="&amp;$A17,  'Bucket Counts'!$F:$F, "100 Morts"))</f>
        <v>0</v>
      </c>
      <c r="BQ17" s="430">
        <f>(SUMIFS('Bucket Counts'!$P:$P, 'Bucket Counts'!$B:$B, BQ$2, 'Bucket Counts'!$A:$A, "="&amp;$A17,  'Bucket Counts'!$F:$F, "224"))</f>
        <v>0</v>
      </c>
      <c r="BR17" s="430">
        <f>BO16+BN16</f>
        <v>96533.333333333343</v>
      </c>
      <c r="BS17" s="431">
        <f>SUM(BO17+BQ17)</f>
        <v>50400</v>
      </c>
      <c r="BT17" s="432">
        <f>BO17+BN17</f>
        <v>50400</v>
      </c>
      <c r="BU17" s="429">
        <f>SUMIFS(Collection!$O:$O, Collection!$K:$K, BU$2, Collection!$A:$A, "="&amp;$A17)</f>
        <v>0</v>
      </c>
      <c r="BV17" s="430">
        <f>(SUMIFS('Bucket Counts'!$P:$P, 'Bucket Counts'!$B:$B, BV$2, 'Bucket Counts'!$A:$A, "="&amp;$A17,  'Bucket Counts'!$F:$F, "&lt;&gt;100 Morts",  'Bucket Counts'!$F:$F, "&lt;&gt;224"))</f>
        <v>0</v>
      </c>
      <c r="BW17" s="430">
        <f>(SUMIFS('Bucket Counts'!$P:$P, 'Bucket Counts'!$B:$B, BW$2, 'Bucket Counts'!$A:$A, "="&amp;$A17,  'Bucket Counts'!$F:$F, "100 Morts"))</f>
        <v>0</v>
      </c>
      <c r="BX17" s="430">
        <f>(SUMIFS('Bucket Counts'!$P:$P, 'Bucket Counts'!$B:$B, BX$2, 'Bucket Counts'!$A:$A, "="&amp;$A17,  'Bucket Counts'!$F:$F, "224"))</f>
        <v>0</v>
      </c>
      <c r="BY17" s="430">
        <f>BV16+BU16</f>
        <v>0</v>
      </c>
      <c r="BZ17" s="431">
        <f>SUM(BV17+BX17)</f>
        <v>0</v>
      </c>
      <c r="CA17" s="432">
        <f>BV17+BU17</f>
        <v>0</v>
      </c>
      <c r="CB17" s="429">
        <f>SUMIFS(Collection!$O:$O, Collection!$K:$K, CB$2, Collection!$A:$A, "="&amp;$A17)</f>
        <v>0</v>
      </c>
      <c r="CC17" s="430">
        <f>(SUMIFS('Bucket Counts'!$P:$P, 'Bucket Counts'!$B:$B, CC$2, 'Bucket Counts'!$A:$A, "="&amp;$A17,  'Bucket Counts'!$F:$F, "&lt;&gt;100 Morts",  'Bucket Counts'!$F:$F, "&lt;&gt;224"))</f>
        <v>0</v>
      </c>
      <c r="CD17" s="430">
        <f>(SUMIFS('Bucket Counts'!$P:$P, 'Bucket Counts'!$B:$B, CD$2, 'Bucket Counts'!$A:$A, "="&amp;$A17,  'Bucket Counts'!$F:$F, "100 Morts"))</f>
        <v>0</v>
      </c>
      <c r="CE17" s="430">
        <f>(SUMIFS('Bucket Counts'!$P:$P, 'Bucket Counts'!$B:$B, CE$2, 'Bucket Counts'!$A:$A, "="&amp;$A17,  'Bucket Counts'!$F:$F, "224"))</f>
        <v>0</v>
      </c>
      <c r="CF17" s="430">
        <f>CC16+CB16</f>
        <v>0</v>
      </c>
      <c r="CG17" s="431">
        <f>SUM(CC17+CE17)</f>
        <v>0</v>
      </c>
      <c r="CH17" s="432">
        <f>CC17+CB17</f>
        <v>0</v>
      </c>
      <c r="CI17" s="429">
        <f>SUMIFS(Collection!$O:$O, Collection!$K:$K, CI$2, Collection!$A:$A, "="&amp;$A17)</f>
        <v>0</v>
      </c>
      <c r="CJ17" s="430">
        <f>(SUMIFS('Bucket Counts'!$P:$P, 'Bucket Counts'!$B:$B, CJ$2, 'Bucket Counts'!$A:$A, "="&amp;$A17,  'Bucket Counts'!$F:$F, "&lt;&gt;100 Morts",  'Bucket Counts'!$F:$F, "&lt;&gt;224"))</f>
        <v>72000</v>
      </c>
      <c r="CK17" s="430">
        <f>(SUMIFS('Bucket Counts'!$P:$P, 'Bucket Counts'!$B:$B, CK$2, 'Bucket Counts'!$A:$A, "="&amp;$A17,  'Bucket Counts'!$F:$F, "100 Morts"))</f>
        <v>0</v>
      </c>
      <c r="CL17" s="430">
        <f>(SUMIFS('Bucket Counts'!$P:$P, 'Bucket Counts'!$B:$B, CL$2, 'Bucket Counts'!$A:$A, "="&amp;$A17,  'Bucket Counts'!$F:$F, "224"))</f>
        <v>0</v>
      </c>
      <c r="CM17" s="430">
        <f>CJ16+CI16</f>
        <v>74133.333333333343</v>
      </c>
      <c r="CN17" s="431">
        <f>SUM(CJ17+CL17)</f>
        <v>72000</v>
      </c>
      <c r="CO17" s="432">
        <f>CJ17+CI17</f>
        <v>72000</v>
      </c>
      <c r="CP17" s="429">
        <f>SUMIFS(Collection!$O:$O, Collection!$K:$K, CP$2, Collection!$A:$A, "="&amp;$A17)</f>
        <v>0</v>
      </c>
      <c r="CQ17" s="430">
        <f>(SUMIFS('Bucket Counts'!$P:$P, 'Bucket Counts'!$B:$B, CQ$2, 'Bucket Counts'!$A:$A, "="&amp;$A17,  'Bucket Counts'!$F:$F, "&lt;&gt;100 Morts",  'Bucket Counts'!$F:$F, "&lt;&gt;224"))</f>
        <v>53600</v>
      </c>
      <c r="CR17" s="430">
        <f>(SUMIFS('Bucket Counts'!$P:$P, 'Bucket Counts'!$B:$B, CR$2, 'Bucket Counts'!$A:$A, "="&amp;$A17,  'Bucket Counts'!$F:$F, "100 Morts"))</f>
        <v>0</v>
      </c>
      <c r="CS17" s="430">
        <f>(SUMIFS('Bucket Counts'!$P:$P, 'Bucket Counts'!$B:$B, CS$2, 'Bucket Counts'!$A:$A, "="&amp;$A17,  'Bucket Counts'!$F:$F, "224"))</f>
        <v>0</v>
      </c>
      <c r="CT17" s="430">
        <f>CQ16+CP16</f>
        <v>69866.666666666657</v>
      </c>
      <c r="CU17" s="431">
        <f>SUM(CQ17+CS17)</f>
        <v>53600</v>
      </c>
      <c r="CV17" s="432">
        <f>CQ17+CP17</f>
        <v>53600</v>
      </c>
      <c r="CW17" s="429">
        <f>SUMIFS(Collection!$O:$O, Collection!$K:$K, CW$2, Collection!$A:$A, "="&amp;$A17)</f>
        <v>0</v>
      </c>
      <c r="CX17" s="430">
        <f>(SUMIFS('Bucket Counts'!$P:$P, 'Bucket Counts'!$B:$B, CX$2, 'Bucket Counts'!$A:$A, "="&amp;$A17,  'Bucket Counts'!$F:$F, "&lt;&gt;100 Morts",  'Bucket Counts'!$F:$F, "&lt;&gt;224"))</f>
        <v>16800</v>
      </c>
      <c r="CY17" s="430">
        <f>(SUMIFS('Bucket Counts'!$P:$P, 'Bucket Counts'!$B:$B, CY$2, 'Bucket Counts'!$A:$A, "="&amp;$A17,  'Bucket Counts'!$F:$F, "100 Morts"))</f>
        <v>0</v>
      </c>
      <c r="CZ17" s="430">
        <f>(SUMIFS('Bucket Counts'!$P:$P, 'Bucket Counts'!$B:$B, CZ$2, 'Bucket Counts'!$A:$A, "="&amp;$A17,  'Bucket Counts'!$F:$F, "224"))</f>
        <v>0</v>
      </c>
      <c r="DA17" s="430">
        <f>CX16+CW16</f>
        <v>17600</v>
      </c>
      <c r="DB17" s="431">
        <f>SUM(CX17+CZ17)</f>
        <v>16800</v>
      </c>
      <c r="DC17" s="432">
        <f>CX17+CW17</f>
        <v>16800</v>
      </c>
      <c r="DD17" s="429">
        <f>SUMIFS(Collection!$O:$O, Collection!$K:$K, DD$2, Collection!$A:$A, "="&amp;$A17)</f>
        <v>0</v>
      </c>
      <c r="DE17" s="430">
        <f>(SUMIFS('Bucket Counts'!$P:$P, 'Bucket Counts'!$B:$B, DE$2, 'Bucket Counts'!$A:$A, "="&amp;$A17,  'Bucket Counts'!$F:$F, "&lt;&gt;100 Morts",  'Bucket Counts'!$F:$F, "&lt;&gt;224"))</f>
        <v>20800</v>
      </c>
      <c r="DF17" s="430">
        <f>(SUMIFS('Bucket Counts'!$P:$P, 'Bucket Counts'!$B:$B, DF$2, 'Bucket Counts'!$A:$A, "="&amp;$A17,  'Bucket Counts'!$F:$F, "100 Morts"))</f>
        <v>0</v>
      </c>
      <c r="DG17" s="430">
        <f>(SUMIFS('Bucket Counts'!$P:$P, 'Bucket Counts'!$B:$B, DG$2, 'Bucket Counts'!$A:$A, "="&amp;$A17,  'Bucket Counts'!$F:$F, "224"))</f>
        <v>0</v>
      </c>
      <c r="DH17" s="430">
        <f>DE16+DD16</f>
        <v>83200</v>
      </c>
      <c r="DI17" s="431">
        <f>SUM(DE17+DG17)</f>
        <v>20800</v>
      </c>
      <c r="DJ17" s="432">
        <f>DE17+DD17</f>
        <v>20800</v>
      </c>
      <c r="DK17" s="429">
        <f>SUMIFS(Collection!$O:$O, Collection!$K:$K, DK$2, Collection!$A:$A, "="&amp;$A17)</f>
        <v>0</v>
      </c>
      <c r="DL17" s="430">
        <f>(SUMIFS('Bucket Counts'!$P:$P, 'Bucket Counts'!$B:$B, DL$2, 'Bucket Counts'!$A:$A, "="&amp;$A17,  'Bucket Counts'!$F:$F, "&lt;&gt;100 Morts",  'Bucket Counts'!$F:$F, "&lt;&gt;224"))</f>
        <v>0</v>
      </c>
      <c r="DM17" s="430">
        <f>(SUMIFS('Bucket Counts'!$P:$P, 'Bucket Counts'!$B:$B, DM$2, 'Bucket Counts'!$A:$A, "="&amp;$A17,  'Bucket Counts'!$F:$F, "100 Morts"))</f>
        <v>0</v>
      </c>
      <c r="DN17" s="430">
        <f>(SUMIFS('Bucket Counts'!$P:$P, 'Bucket Counts'!$B:$B, DN$2, 'Bucket Counts'!$A:$A, "="&amp;$A17,  'Bucket Counts'!$F:$F, "224"))</f>
        <v>0</v>
      </c>
      <c r="DO17" s="430">
        <f>DL16+DK16</f>
        <v>0</v>
      </c>
      <c r="DP17" s="431">
        <f>SUM(DL17+DN17)</f>
        <v>0</v>
      </c>
      <c r="DQ17" s="432">
        <f>DL17+DK17</f>
        <v>0</v>
      </c>
      <c r="DR17" s="429">
        <f>SUMIFS(Collection!$O:$O, Collection!$K:$K, DR$2, Collection!$A:$A, "="&amp;$A17)</f>
        <v>0</v>
      </c>
      <c r="DS17" s="430">
        <f>(SUMIFS('Bucket Counts'!$P:$P, 'Bucket Counts'!$B:$B, DS$2, 'Bucket Counts'!$A:$A, "="&amp;$A17,  'Bucket Counts'!$F:$F, "&lt;&gt;100 Morts",  'Bucket Counts'!$F:$F, "&lt;&gt;224"))</f>
        <v>48800</v>
      </c>
      <c r="DT17" s="430">
        <f>(SUMIFS('Bucket Counts'!$P:$P, 'Bucket Counts'!$B:$B, DT$2, 'Bucket Counts'!$A:$A, "="&amp;$A17,  'Bucket Counts'!$F:$F, "100 Morts"))</f>
        <v>0</v>
      </c>
      <c r="DU17" s="430">
        <f>(SUMIFS('Bucket Counts'!$P:$P, 'Bucket Counts'!$B:$B, DU$2, 'Bucket Counts'!$A:$A, "="&amp;$A17,  'Bucket Counts'!$F:$F, "224"))</f>
        <v>0</v>
      </c>
      <c r="DV17" s="430">
        <f>DS16+DR16</f>
        <v>77333.333333333343</v>
      </c>
      <c r="DW17" s="431">
        <f>SUM(DS17+DU17)</f>
        <v>48800</v>
      </c>
      <c r="DX17" s="432">
        <f>DS17+DR17</f>
        <v>48800</v>
      </c>
      <c r="DY17" s="429">
        <f>SUMIFS(Collection!$O:$O, Collection!$K:$K, DY$2, Collection!$A:$A, "="&amp;$A17)</f>
        <v>0</v>
      </c>
      <c r="DZ17" s="430">
        <f>(SUMIFS('Bucket Counts'!$P:$P, 'Bucket Counts'!$B:$B, DZ$2, 'Bucket Counts'!$A:$A, "="&amp;$A17,  'Bucket Counts'!$F:$F, "&lt;&gt;100 Morts",  'Bucket Counts'!$F:$F, "&lt;&gt;224"))</f>
        <v>3200</v>
      </c>
      <c r="EA17" s="430">
        <f>(SUMIFS('Bucket Counts'!$P:$P, 'Bucket Counts'!$B:$B, EA$2, 'Bucket Counts'!$A:$A, "="&amp;$A17,  'Bucket Counts'!$F:$F, "100 Morts"))</f>
        <v>0</v>
      </c>
      <c r="EB17" s="430">
        <f>(SUMIFS('Bucket Counts'!$P:$P, 'Bucket Counts'!$B:$B, EB$2, 'Bucket Counts'!$A:$A, "="&amp;$A17,  'Bucket Counts'!$F:$F, "224"))</f>
        <v>0</v>
      </c>
      <c r="EC17" s="430">
        <f>DZ16+DY16</f>
        <v>25600</v>
      </c>
      <c r="ED17" s="431">
        <f>SUM(DZ17+EB17)</f>
        <v>3200</v>
      </c>
      <c r="EE17" s="432">
        <f>DZ17+DY17</f>
        <v>3200</v>
      </c>
      <c r="EF17" s="429">
        <f>SUMIFS(Collection!$O:$O, Collection!$K:$K, EF$2, Collection!$A:$A, "="&amp;$A17)</f>
        <v>0</v>
      </c>
      <c r="EG17" s="430">
        <f>(SUMIFS('Bucket Counts'!$P:$P, 'Bucket Counts'!$B:$B, EG$2, 'Bucket Counts'!$A:$A, "="&amp;$A17,  'Bucket Counts'!$F:$F, "&lt;&gt;100 Morts",  'Bucket Counts'!$F:$F, "&lt;&gt;224"))</f>
        <v>0</v>
      </c>
      <c r="EH17" s="430">
        <f>(SUMIFS('Bucket Counts'!$P:$P, 'Bucket Counts'!$B:$B, EH$2, 'Bucket Counts'!$A:$A, "="&amp;$A17,  'Bucket Counts'!$F:$F, "100 Morts"))</f>
        <v>0</v>
      </c>
      <c r="EI17" s="430">
        <f>(SUMIFS('Bucket Counts'!$P:$P, 'Bucket Counts'!$B:$B, EI$2, 'Bucket Counts'!$A:$A, "="&amp;$A17,  'Bucket Counts'!$F:$F, "224"))</f>
        <v>0</v>
      </c>
      <c r="EJ17" s="430">
        <f>EG16+EF16</f>
        <v>0</v>
      </c>
      <c r="EK17" s="431">
        <f>SUM(EG17+EI17)</f>
        <v>0</v>
      </c>
      <c r="EL17" s="432">
        <f>EG17+EF17</f>
        <v>0</v>
      </c>
    </row>
    <row r="18" spans="1:142" s="362" customFormat="1" x14ac:dyDescent="0.2">
      <c r="A18" s="16">
        <v>42887</v>
      </c>
      <c r="B18" s="16" t="s">
        <v>487</v>
      </c>
      <c r="C18" s="369">
        <f>SUMIFS(Collection!$O:$O, Collection!$K:$K, C$2, Collection!$A:$A, "="&amp;$A18)</f>
        <v>0</v>
      </c>
      <c r="D18" s="116">
        <f>(SUMIFS('Bucket Counts'!$P:$P, 'Bucket Counts'!$B:$B, D$2, 'Bucket Counts'!$A:$A, "="&amp;$A18,  'Bucket Counts'!$F:$F, "&lt;&gt;100 Morts",  'Bucket Counts'!$F:$F, "&lt;&gt;224"))</f>
        <v>0</v>
      </c>
      <c r="E18" s="116">
        <f>(SUMIFS('Bucket Counts'!$P:$P, 'Bucket Counts'!$B:$B, E$2, 'Bucket Counts'!$A:$A, "="&amp;$A18,  'Bucket Counts'!$F:$F, "100 Morts"))</f>
        <v>0</v>
      </c>
      <c r="F18" s="116">
        <f>(SUMIFS('Bucket Counts'!$P:$P, 'Bucket Counts'!$B:$B, F$2, 'Bucket Counts'!$A:$A, "="&amp;$A18,  'Bucket Counts'!$F:$F, "224"))</f>
        <v>0</v>
      </c>
      <c r="G18" s="116"/>
      <c r="H18" s="426">
        <f>(F18+D18)/I17</f>
        <v>0</v>
      </c>
      <c r="I18" s="370">
        <f>D17+SUM(C17:C18)</f>
        <v>16000</v>
      </c>
      <c r="J18" s="369">
        <f>SUMIFS(Collection!$O:$O, Collection!$K:$K, J$2, Collection!$A:$A, "="&amp;$A18)</f>
        <v>1466.6666666666665</v>
      </c>
      <c r="K18" s="116">
        <f>(SUMIFS('Bucket Counts'!$P:$P, 'Bucket Counts'!$B:$B, K$2, 'Bucket Counts'!$A:$A, "="&amp;$A18,  'Bucket Counts'!$F:$F, "&lt;&gt;100 Morts",  'Bucket Counts'!$F:$F, "&lt;&gt;224"))</f>
        <v>0</v>
      </c>
      <c r="L18" s="116">
        <f>(SUMIFS('Bucket Counts'!$P:$P, 'Bucket Counts'!$B:$B, L$2, 'Bucket Counts'!$A:$A, "="&amp;$A18,  'Bucket Counts'!$F:$F, "100 Morts"))</f>
        <v>0</v>
      </c>
      <c r="M18" s="116">
        <f>(SUMIFS('Bucket Counts'!$P:$P, 'Bucket Counts'!$B:$B, M$2, 'Bucket Counts'!$A:$A, "="&amp;$A18,  'Bucket Counts'!$F:$F, "224"))</f>
        <v>0</v>
      </c>
      <c r="N18" s="116"/>
      <c r="O18" s="426">
        <f>(M18+K18)/P17</f>
        <v>0</v>
      </c>
      <c r="P18" s="370">
        <f>K17+SUM(J17:J18)</f>
        <v>15066.666666666666</v>
      </c>
      <c r="Q18" s="369">
        <f>SUMIFS(Collection!$O:$O, Collection!$K:$K, Q$2, Collection!$A:$A, "="&amp;$A18)</f>
        <v>0</v>
      </c>
      <c r="R18" s="116">
        <f>(SUMIFS('Bucket Counts'!$P:$P, 'Bucket Counts'!$B:$B, R$2, 'Bucket Counts'!$A:$A, "="&amp;$A18,  'Bucket Counts'!$F:$F, "&lt;&gt;100 Morts",  'Bucket Counts'!$F:$F, "&lt;&gt;224"))</f>
        <v>0</v>
      </c>
      <c r="S18" s="116">
        <f>(SUMIFS('Bucket Counts'!$P:$P, 'Bucket Counts'!$B:$B, S$2, 'Bucket Counts'!$A:$A, "="&amp;$A18,  'Bucket Counts'!$F:$F, "100 Morts"))</f>
        <v>0</v>
      </c>
      <c r="T18" s="116">
        <f>(SUMIFS('Bucket Counts'!$P:$P, 'Bucket Counts'!$B:$B, T$2, 'Bucket Counts'!$A:$A, "="&amp;$A18,  'Bucket Counts'!$F:$F, "224"))</f>
        <v>0</v>
      </c>
      <c r="U18" s="116"/>
      <c r="V18" s="426">
        <f>(T18+R18)/W17</f>
        <v>0</v>
      </c>
      <c r="W18" s="370">
        <f>R17+SUM(Q17:Q18)</f>
        <v>68533.333333333328</v>
      </c>
      <c r="X18" s="369">
        <f>SUMIFS(Collection!$O:$O, Collection!$K:$K, X$2, Collection!$A:$A, "="&amp;$A18)</f>
        <v>0</v>
      </c>
      <c r="Y18" s="116">
        <f>(SUMIFS('Bucket Counts'!$P:$P, 'Bucket Counts'!$B:$B, Y$2, 'Bucket Counts'!$A:$A, "="&amp;$A18,  'Bucket Counts'!$F:$F, "&lt;&gt;100 Morts",  'Bucket Counts'!$F:$F, "&lt;&gt;224"))</f>
        <v>0</v>
      </c>
      <c r="Z18" s="116">
        <f>(SUMIFS('Bucket Counts'!$P:$P, 'Bucket Counts'!$B:$B, Z$2, 'Bucket Counts'!$A:$A, "="&amp;$A18,  'Bucket Counts'!$F:$F, "100 Morts"))</f>
        <v>0</v>
      </c>
      <c r="AA18" s="116">
        <f>(SUMIFS('Bucket Counts'!$P:$P, 'Bucket Counts'!$B:$B, AA$2, 'Bucket Counts'!$A:$A, "="&amp;$A18,  'Bucket Counts'!$F:$F, "224"))</f>
        <v>0</v>
      </c>
      <c r="AB18" s="116"/>
      <c r="AC18" s="426">
        <f>(AA18+Y18)/AD17</f>
        <v>0</v>
      </c>
      <c r="AD18" s="370">
        <f>Y17+SUM(X17:X18)</f>
        <v>16800</v>
      </c>
      <c r="AE18" s="369">
        <f>SUMIFS(Collection!$O:$O, Collection!$K:$K, AE$2, Collection!$A:$A, "="&amp;$A18)</f>
        <v>79100</v>
      </c>
      <c r="AF18" s="116">
        <f>(SUMIFS('Bucket Counts'!$P:$P, 'Bucket Counts'!$B:$B, AF$2, 'Bucket Counts'!$A:$A, "="&amp;$A18,  'Bucket Counts'!$F:$F, "&lt;&gt;100 Morts",  'Bucket Counts'!$F:$F, "&lt;&gt;224"))</f>
        <v>0</v>
      </c>
      <c r="AG18" s="116">
        <f>(SUMIFS('Bucket Counts'!$P:$P, 'Bucket Counts'!$B:$B, AG$2, 'Bucket Counts'!$A:$A, "="&amp;$A18,  'Bucket Counts'!$F:$F, "100 Morts"))</f>
        <v>0</v>
      </c>
      <c r="AH18" s="116">
        <f>(SUMIFS('Bucket Counts'!$P:$P, 'Bucket Counts'!$B:$B, AH$2, 'Bucket Counts'!$A:$A, "="&amp;$A18,  'Bucket Counts'!$F:$F, "224"))</f>
        <v>0</v>
      </c>
      <c r="AI18" s="116"/>
      <c r="AJ18" s="426">
        <f>(AH18+AF18)/AK17</f>
        <v>0</v>
      </c>
      <c r="AK18" s="370">
        <f>AF17+SUM(AE17:AE18)</f>
        <v>80700</v>
      </c>
      <c r="AL18" s="369">
        <f>SUMIFS(Collection!$O:$O, Collection!$K:$K, AL$2, Collection!$A:$A, "="&amp;$A18)</f>
        <v>0</v>
      </c>
      <c r="AM18" s="116">
        <f>(SUMIFS('Bucket Counts'!$P:$P, 'Bucket Counts'!$B:$B, AM$2, 'Bucket Counts'!$A:$A, "="&amp;$A18,  'Bucket Counts'!$F:$F, "&lt;&gt;100 Morts",  'Bucket Counts'!$F:$F, "&lt;&gt;224"))</f>
        <v>0</v>
      </c>
      <c r="AN18" s="116">
        <f>(SUMIFS('Bucket Counts'!$P:$P, 'Bucket Counts'!$B:$B, AN$2, 'Bucket Counts'!$A:$A, "="&amp;$A18,  'Bucket Counts'!$F:$F, "100 Morts"))</f>
        <v>0</v>
      </c>
      <c r="AO18" s="116">
        <f>(SUMIFS('Bucket Counts'!$P:$P, 'Bucket Counts'!$B:$B, AO$2, 'Bucket Counts'!$A:$A, "="&amp;$A18,  'Bucket Counts'!$F:$F, "224"))</f>
        <v>0</v>
      </c>
      <c r="AP18" s="116"/>
      <c r="AQ18" s="426">
        <f>(AO18+AM18)/AR17</f>
        <v>0</v>
      </c>
      <c r="AR18" s="370">
        <f>AM17+SUM(AL17:AL18)</f>
        <v>73400</v>
      </c>
      <c r="AS18" s="369">
        <f>SUMIFS(Collection!$O:$O, Collection!$K:$K, AS$2, Collection!$A:$A, "="&amp;$A18)</f>
        <v>0</v>
      </c>
      <c r="AT18" s="116">
        <f>(SUMIFS('Bucket Counts'!$P:$P, 'Bucket Counts'!$B:$B, AT$2, 'Bucket Counts'!$A:$A, "="&amp;$A18,  'Bucket Counts'!$F:$F, "&lt;&gt;100 Morts",  'Bucket Counts'!$F:$F, "&lt;&gt;224"))</f>
        <v>0</v>
      </c>
      <c r="AU18" s="116">
        <f>(SUMIFS('Bucket Counts'!$P:$P, 'Bucket Counts'!$B:$B, AU$2, 'Bucket Counts'!$A:$A, "="&amp;$A18,  'Bucket Counts'!$F:$F, "100 Morts"))</f>
        <v>0</v>
      </c>
      <c r="AV18" s="116">
        <f>(SUMIFS('Bucket Counts'!$P:$P, 'Bucket Counts'!$B:$B, AV$2, 'Bucket Counts'!$A:$A, "="&amp;$A18,  'Bucket Counts'!$F:$F, "224"))</f>
        <v>0</v>
      </c>
      <c r="AW18" s="116"/>
      <c r="AX18" s="426">
        <f>(AV18+AT18)/AY17</f>
        <v>0</v>
      </c>
      <c r="AY18" s="370">
        <f>AT17+SUM(AS17:AS18)</f>
        <v>400</v>
      </c>
      <c r="AZ18" s="369">
        <f>SUMIFS(Collection!$O:$O, Collection!$K:$K, AZ$2, Collection!$A:$A, "="&amp;$A18)</f>
        <v>750</v>
      </c>
      <c r="BA18" s="116">
        <f>(SUMIFS('Bucket Counts'!$P:$P, 'Bucket Counts'!$B:$B, BA$2, 'Bucket Counts'!$A:$A, "="&amp;$A18,  'Bucket Counts'!$F:$F, "&lt;&gt;100 Morts",  'Bucket Counts'!$F:$F, "&lt;&gt;224"))</f>
        <v>0</v>
      </c>
      <c r="BB18" s="116">
        <f>(SUMIFS('Bucket Counts'!$P:$P, 'Bucket Counts'!$B:$B, BB$2, 'Bucket Counts'!$A:$A, "="&amp;$A18,  'Bucket Counts'!$F:$F, "100 Morts"))</f>
        <v>0</v>
      </c>
      <c r="BC18" s="116">
        <f>(SUMIFS('Bucket Counts'!$P:$P, 'Bucket Counts'!$B:$B, BC$2, 'Bucket Counts'!$A:$A, "="&amp;$A18,  'Bucket Counts'!$F:$F, "224"))</f>
        <v>0</v>
      </c>
      <c r="BD18" s="116"/>
      <c r="BE18" s="426" t="e">
        <f>(BC18+BA18)/BF17</f>
        <v>#VALUE!</v>
      </c>
      <c r="BF18" s="370" t="e">
        <f>BA17+SUM(AZ17:AZ18)</f>
        <v>#VALUE!</v>
      </c>
      <c r="BG18" s="369">
        <f>SUMIFS(Collection!$O:$O, Collection!$K:$K, BG$2, Collection!$A:$A, "="&amp;$A18)</f>
        <v>0</v>
      </c>
      <c r="BH18" s="116">
        <f>(SUMIFS('Bucket Counts'!$P:$P, 'Bucket Counts'!$B:$B, BH$2, 'Bucket Counts'!$A:$A, "="&amp;$A18,  'Bucket Counts'!$F:$F, "&lt;&gt;100 Morts",  'Bucket Counts'!$F:$F, "&lt;&gt;224"))</f>
        <v>0</v>
      </c>
      <c r="BI18" s="116">
        <f>(SUMIFS('Bucket Counts'!$P:$P, 'Bucket Counts'!$B:$B, BI$2, 'Bucket Counts'!$A:$A, "="&amp;$A18,  'Bucket Counts'!$F:$F, "100 Morts"))</f>
        <v>0</v>
      </c>
      <c r="BJ18" s="116">
        <f>(SUMIFS('Bucket Counts'!$P:$P, 'Bucket Counts'!$B:$B, BJ$2, 'Bucket Counts'!$A:$A, "="&amp;$A18,  'Bucket Counts'!$F:$F, "224"))</f>
        <v>0</v>
      </c>
      <c r="BK18" s="116"/>
      <c r="BL18" s="426" t="e">
        <f>(BJ18+BH18)/BM17</f>
        <v>#VALUE!</v>
      </c>
      <c r="BM18" s="370" t="e">
        <f>BH17+SUM(BG17:BG18)</f>
        <v>#VALUE!</v>
      </c>
      <c r="BN18" s="369">
        <f>SUMIFS(Collection!$O:$O, Collection!$K:$K, BN$2, Collection!$A:$A, "="&amp;$A18)</f>
        <v>0</v>
      </c>
      <c r="BO18" s="116">
        <f>(SUMIFS('Bucket Counts'!$P:$P, 'Bucket Counts'!$B:$B, BO$2, 'Bucket Counts'!$A:$A, "="&amp;$A18,  'Bucket Counts'!$F:$F, "&lt;&gt;100 Morts",  'Bucket Counts'!$F:$F, "&lt;&gt;224"))</f>
        <v>0</v>
      </c>
      <c r="BP18" s="116">
        <f>(SUMIFS('Bucket Counts'!$P:$P, 'Bucket Counts'!$B:$B, BP$2, 'Bucket Counts'!$A:$A, "="&amp;$A18,  'Bucket Counts'!$F:$F, "100 Morts"))</f>
        <v>0</v>
      </c>
      <c r="BQ18" s="116">
        <f>(SUMIFS('Bucket Counts'!$P:$P, 'Bucket Counts'!$B:$B, BQ$2, 'Bucket Counts'!$A:$A, "="&amp;$A18,  'Bucket Counts'!$F:$F, "224"))</f>
        <v>0</v>
      </c>
      <c r="BR18" s="116"/>
      <c r="BS18" s="426">
        <f>(BQ18+BO18)/BT17</f>
        <v>0</v>
      </c>
      <c r="BT18" s="370">
        <f>BO17+SUM(BN17:BN18)</f>
        <v>50400</v>
      </c>
      <c r="BU18" s="369">
        <f>SUMIFS(Collection!$O:$O, Collection!$K:$K, BU$2, Collection!$A:$A, "="&amp;$A18)</f>
        <v>0</v>
      </c>
      <c r="BV18" s="116">
        <f>(SUMIFS('Bucket Counts'!$P:$P, 'Bucket Counts'!$B:$B, BV$2, 'Bucket Counts'!$A:$A, "="&amp;$A18,  'Bucket Counts'!$F:$F, "&lt;&gt;100 Morts",  'Bucket Counts'!$F:$F, "&lt;&gt;224"))</f>
        <v>0</v>
      </c>
      <c r="BW18" s="116">
        <f>(SUMIFS('Bucket Counts'!$P:$P, 'Bucket Counts'!$B:$B, BW$2, 'Bucket Counts'!$A:$A, "="&amp;$A18,  'Bucket Counts'!$F:$F, "100 Morts"))</f>
        <v>0</v>
      </c>
      <c r="BX18" s="116">
        <f>(SUMIFS('Bucket Counts'!$P:$P, 'Bucket Counts'!$B:$B, BX$2, 'Bucket Counts'!$A:$A, "="&amp;$A18,  'Bucket Counts'!$F:$F, "224"))</f>
        <v>0</v>
      </c>
      <c r="BY18" s="116"/>
      <c r="BZ18" s="426" t="e">
        <f>(BX18+BV18)/CA17</f>
        <v>#DIV/0!</v>
      </c>
      <c r="CA18" s="370">
        <f>BV17+SUM(BU17:BU18)</f>
        <v>0</v>
      </c>
      <c r="CB18" s="369">
        <f>SUMIFS(Collection!$O:$O, Collection!$K:$K, CB$2, Collection!$A:$A, "="&amp;$A18)</f>
        <v>0</v>
      </c>
      <c r="CC18" s="116">
        <f>(SUMIFS('Bucket Counts'!$P:$P, 'Bucket Counts'!$B:$B, CC$2, 'Bucket Counts'!$A:$A, "="&amp;$A18,  'Bucket Counts'!$F:$F, "&lt;&gt;100 Morts",  'Bucket Counts'!$F:$F, "&lt;&gt;224"))</f>
        <v>0</v>
      </c>
      <c r="CD18" s="116">
        <f>(SUMIFS('Bucket Counts'!$P:$P, 'Bucket Counts'!$B:$B, CD$2, 'Bucket Counts'!$A:$A, "="&amp;$A18,  'Bucket Counts'!$F:$F, "100 Morts"))</f>
        <v>0</v>
      </c>
      <c r="CE18" s="116">
        <f>(SUMIFS('Bucket Counts'!$P:$P, 'Bucket Counts'!$B:$B, CE$2, 'Bucket Counts'!$A:$A, "="&amp;$A18,  'Bucket Counts'!$F:$F, "224"))</f>
        <v>0</v>
      </c>
      <c r="CF18" s="116"/>
      <c r="CG18" s="426" t="e">
        <f>(CE18+CC18)/CH17</f>
        <v>#DIV/0!</v>
      </c>
      <c r="CH18" s="370">
        <f>CC17+SUM(CB17:CB18)</f>
        <v>0</v>
      </c>
      <c r="CI18" s="369">
        <f>SUMIFS(Collection!$O:$O, Collection!$K:$K, CI$2, Collection!$A:$A, "="&amp;$A18)</f>
        <v>40533.333333333328</v>
      </c>
      <c r="CJ18" s="116">
        <f>(SUMIFS('Bucket Counts'!$P:$P, 'Bucket Counts'!$B:$B, CJ$2, 'Bucket Counts'!$A:$A, "="&amp;$A18,  'Bucket Counts'!$F:$F, "&lt;&gt;100 Morts",  'Bucket Counts'!$F:$F, "&lt;&gt;224"))</f>
        <v>0</v>
      </c>
      <c r="CK18" s="116">
        <f>(SUMIFS('Bucket Counts'!$P:$P, 'Bucket Counts'!$B:$B, CK$2, 'Bucket Counts'!$A:$A, "="&amp;$A18,  'Bucket Counts'!$F:$F, "100 Morts"))</f>
        <v>0</v>
      </c>
      <c r="CL18" s="116">
        <f>(SUMIFS('Bucket Counts'!$P:$P, 'Bucket Counts'!$B:$B, CL$2, 'Bucket Counts'!$A:$A, "="&amp;$A18,  'Bucket Counts'!$F:$F, "224"))</f>
        <v>0</v>
      </c>
      <c r="CM18" s="116"/>
      <c r="CN18" s="426">
        <f>(CL18+CJ18)/CO17</f>
        <v>0</v>
      </c>
      <c r="CO18" s="370">
        <f>CJ17+SUM(CI17:CI18)</f>
        <v>112533.33333333333</v>
      </c>
      <c r="CP18" s="369">
        <f>SUMIFS(Collection!$O:$O, Collection!$K:$K, CP$2, Collection!$A:$A, "="&amp;$A18)</f>
        <v>0</v>
      </c>
      <c r="CQ18" s="116">
        <f>(SUMIFS('Bucket Counts'!$P:$P, 'Bucket Counts'!$B:$B, CQ$2, 'Bucket Counts'!$A:$A, "="&amp;$A18,  'Bucket Counts'!$F:$F, "&lt;&gt;100 Morts",  'Bucket Counts'!$F:$F, "&lt;&gt;224"))</f>
        <v>0</v>
      </c>
      <c r="CR18" s="116">
        <f>(SUMIFS('Bucket Counts'!$P:$P, 'Bucket Counts'!$B:$B, CR$2, 'Bucket Counts'!$A:$A, "="&amp;$A18,  'Bucket Counts'!$F:$F, "100 Morts"))</f>
        <v>0</v>
      </c>
      <c r="CS18" s="116">
        <f>(SUMIFS('Bucket Counts'!$P:$P, 'Bucket Counts'!$B:$B, CS$2, 'Bucket Counts'!$A:$A, "="&amp;$A18,  'Bucket Counts'!$F:$F, "224"))</f>
        <v>0</v>
      </c>
      <c r="CT18" s="116"/>
      <c r="CU18" s="426">
        <f>(CS18+CQ18)/CV17</f>
        <v>0</v>
      </c>
      <c r="CV18" s="370">
        <f>CQ17+SUM(CP17:CP18)</f>
        <v>53600</v>
      </c>
      <c r="CW18" s="369">
        <f>SUMIFS(Collection!$O:$O, Collection!$K:$K, CW$2, Collection!$A:$A, "="&amp;$A18)</f>
        <v>49866.666666666672</v>
      </c>
      <c r="CX18" s="116">
        <f>(SUMIFS('Bucket Counts'!$P:$P, 'Bucket Counts'!$B:$B, CX$2, 'Bucket Counts'!$A:$A, "="&amp;$A18,  'Bucket Counts'!$F:$F, "&lt;&gt;100 Morts",  'Bucket Counts'!$F:$F, "&lt;&gt;224"))</f>
        <v>0</v>
      </c>
      <c r="CY18" s="116">
        <f>(SUMIFS('Bucket Counts'!$P:$P, 'Bucket Counts'!$B:$B, CY$2, 'Bucket Counts'!$A:$A, "="&amp;$A18,  'Bucket Counts'!$F:$F, "100 Morts"))</f>
        <v>0</v>
      </c>
      <c r="CZ18" s="116">
        <f>(SUMIFS('Bucket Counts'!$P:$P, 'Bucket Counts'!$B:$B, CZ$2, 'Bucket Counts'!$A:$A, "="&amp;$A18,  'Bucket Counts'!$F:$F, "224"))</f>
        <v>0</v>
      </c>
      <c r="DA18" s="116"/>
      <c r="DB18" s="426">
        <f>(CZ18+CX18)/DC17</f>
        <v>0</v>
      </c>
      <c r="DC18" s="370">
        <f>CX17+SUM(CW17:CW18)</f>
        <v>66666.666666666672</v>
      </c>
      <c r="DD18" s="369">
        <f>SUMIFS(Collection!$O:$O, Collection!$K:$K, DD$2, Collection!$A:$A, "="&amp;$A18)</f>
        <v>0</v>
      </c>
      <c r="DE18" s="116">
        <f>(SUMIFS('Bucket Counts'!$P:$P, 'Bucket Counts'!$B:$B, DE$2, 'Bucket Counts'!$A:$A, "="&amp;$A18,  'Bucket Counts'!$F:$F, "&lt;&gt;100 Morts",  'Bucket Counts'!$F:$F, "&lt;&gt;224"))</f>
        <v>0</v>
      </c>
      <c r="DF18" s="116">
        <f>(SUMIFS('Bucket Counts'!$P:$P, 'Bucket Counts'!$B:$B, DF$2, 'Bucket Counts'!$A:$A, "="&amp;$A18,  'Bucket Counts'!$F:$F, "100 Morts"))</f>
        <v>0</v>
      </c>
      <c r="DG18" s="116">
        <f>(SUMIFS('Bucket Counts'!$P:$P, 'Bucket Counts'!$B:$B, DG$2, 'Bucket Counts'!$A:$A, "="&amp;$A18,  'Bucket Counts'!$F:$F, "224"))</f>
        <v>0</v>
      </c>
      <c r="DH18" s="116"/>
      <c r="DI18" s="426">
        <f>(DG18+DE18)/DJ17</f>
        <v>0</v>
      </c>
      <c r="DJ18" s="370">
        <f>DE17+SUM(DD17:DD18)</f>
        <v>20800</v>
      </c>
      <c r="DK18" s="369">
        <f>SUMIFS(Collection!$O:$O, Collection!$K:$K, DK$2, Collection!$A:$A, "="&amp;$A18)</f>
        <v>0</v>
      </c>
      <c r="DL18" s="116">
        <f>(SUMIFS('Bucket Counts'!$P:$P, 'Bucket Counts'!$B:$B, DL$2, 'Bucket Counts'!$A:$A, "="&amp;$A18,  'Bucket Counts'!$F:$F, "&lt;&gt;100 Morts",  'Bucket Counts'!$F:$F, "&lt;&gt;224"))</f>
        <v>0</v>
      </c>
      <c r="DM18" s="116">
        <f>(SUMIFS('Bucket Counts'!$P:$P, 'Bucket Counts'!$B:$B, DM$2, 'Bucket Counts'!$A:$A, "="&amp;$A18,  'Bucket Counts'!$F:$F, "100 Morts"))</f>
        <v>0</v>
      </c>
      <c r="DN18" s="116">
        <f>(SUMIFS('Bucket Counts'!$P:$P, 'Bucket Counts'!$B:$B, DN$2, 'Bucket Counts'!$A:$A, "="&amp;$A18,  'Bucket Counts'!$F:$F, "224"))</f>
        <v>0</v>
      </c>
      <c r="DO18" s="116"/>
      <c r="DP18" s="426" t="e">
        <f>(DN18+DL18)/DQ17</f>
        <v>#DIV/0!</v>
      </c>
      <c r="DQ18" s="370">
        <f>DL17+SUM(DK17:DK18)</f>
        <v>0</v>
      </c>
      <c r="DR18" s="369">
        <f>SUMIFS(Collection!$O:$O, Collection!$K:$K, DR$2, Collection!$A:$A, "="&amp;$A18)</f>
        <v>0</v>
      </c>
      <c r="DS18" s="116">
        <f>(SUMIFS('Bucket Counts'!$P:$P, 'Bucket Counts'!$B:$B, DS$2, 'Bucket Counts'!$A:$A, "="&amp;$A18,  'Bucket Counts'!$F:$F, "&lt;&gt;100 Morts",  'Bucket Counts'!$F:$F, "&lt;&gt;224"))</f>
        <v>0</v>
      </c>
      <c r="DT18" s="116">
        <f>(SUMIFS('Bucket Counts'!$P:$P, 'Bucket Counts'!$B:$B, DT$2, 'Bucket Counts'!$A:$A, "="&amp;$A18,  'Bucket Counts'!$F:$F, "100 Morts"))</f>
        <v>0</v>
      </c>
      <c r="DU18" s="116">
        <f>(SUMIFS('Bucket Counts'!$P:$P, 'Bucket Counts'!$B:$B, DU$2, 'Bucket Counts'!$A:$A, "="&amp;$A18,  'Bucket Counts'!$F:$F, "224"))</f>
        <v>0</v>
      </c>
      <c r="DV18" s="116"/>
      <c r="DW18" s="426">
        <f>(DU18+DS18)/DX17</f>
        <v>0</v>
      </c>
      <c r="DX18" s="370">
        <f>DS17+SUM(DR17:DR18)</f>
        <v>48800</v>
      </c>
      <c r="DY18" s="369">
        <f>SUMIFS(Collection!$O:$O, Collection!$K:$K, DY$2, Collection!$A:$A, "="&amp;$A18)</f>
        <v>0</v>
      </c>
      <c r="DZ18" s="116">
        <f>(SUMIFS('Bucket Counts'!$P:$P, 'Bucket Counts'!$B:$B, DZ$2, 'Bucket Counts'!$A:$A, "="&amp;$A18,  'Bucket Counts'!$F:$F, "&lt;&gt;100 Morts",  'Bucket Counts'!$F:$F, "&lt;&gt;224"))</f>
        <v>0</v>
      </c>
      <c r="EA18" s="116">
        <f>(SUMIFS('Bucket Counts'!$P:$P, 'Bucket Counts'!$B:$B, EA$2, 'Bucket Counts'!$A:$A, "="&amp;$A18,  'Bucket Counts'!$F:$F, "100 Morts"))</f>
        <v>0</v>
      </c>
      <c r="EB18" s="116">
        <f>(SUMIFS('Bucket Counts'!$P:$P, 'Bucket Counts'!$B:$B, EB$2, 'Bucket Counts'!$A:$A, "="&amp;$A18,  'Bucket Counts'!$F:$F, "224"))</f>
        <v>0</v>
      </c>
      <c r="EC18" s="116"/>
      <c r="ED18" s="426">
        <f>(EB18+DZ18)/EE17</f>
        <v>0</v>
      </c>
      <c r="EE18" s="370">
        <f>DZ17+SUM(DY17:DY18)</f>
        <v>3200</v>
      </c>
      <c r="EF18" s="369">
        <f>SUMIFS(Collection!$O:$O, Collection!$K:$K, EF$2, Collection!$A:$A, "="&amp;$A18)</f>
        <v>0</v>
      </c>
      <c r="EG18" s="116">
        <f>(SUMIFS('Bucket Counts'!$P:$P, 'Bucket Counts'!$B:$B, EG$2, 'Bucket Counts'!$A:$A, "="&amp;$A18,  'Bucket Counts'!$F:$F, "&lt;&gt;100 Morts",  'Bucket Counts'!$F:$F, "&lt;&gt;224"))</f>
        <v>0</v>
      </c>
      <c r="EH18" s="116">
        <f>(SUMIFS('Bucket Counts'!$P:$P, 'Bucket Counts'!$B:$B, EH$2, 'Bucket Counts'!$A:$A, "="&amp;$A18,  'Bucket Counts'!$F:$F, "100 Morts"))</f>
        <v>0</v>
      </c>
      <c r="EI18" s="116">
        <f>(SUMIFS('Bucket Counts'!$P:$P, 'Bucket Counts'!$B:$B, EI$2, 'Bucket Counts'!$A:$A, "="&amp;$A18,  'Bucket Counts'!$F:$F, "224"))</f>
        <v>0</v>
      </c>
      <c r="EJ18" s="116"/>
      <c r="EK18" s="426" t="e">
        <f>(EI18+EG18)/EL17</f>
        <v>#DIV/0!</v>
      </c>
      <c r="EL18" s="370">
        <f>EG17+SUM(EF17:EF18)</f>
        <v>0</v>
      </c>
    </row>
    <row r="19" spans="1:142" s="362" customFormat="1" x14ac:dyDescent="0.2">
      <c r="A19" s="16">
        <v>42888</v>
      </c>
      <c r="B19" s="16" t="s">
        <v>487</v>
      </c>
      <c r="C19" s="369">
        <f>SUMIFS(Collection!$O:$O, Collection!$K:$K, C$2, Collection!$A:$A, "="&amp;$A19)</f>
        <v>0</v>
      </c>
      <c r="D19" s="116">
        <f>(SUMIFS('Bucket Counts'!$P:$P, 'Bucket Counts'!$B:$B, D$2, 'Bucket Counts'!$A:$A, "="&amp;$A19,  'Bucket Counts'!$F:$F, "&lt;&gt;100 Morts",  'Bucket Counts'!$F:$F, "&lt;&gt;224"))</f>
        <v>0</v>
      </c>
      <c r="E19" s="116">
        <f>(SUMIFS('Bucket Counts'!$P:$P, 'Bucket Counts'!$B:$B, E$2, 'Bucket Counts'!$A:$A, "="&amp;$A19,  'Bucket Counts'!$F:$F, "100 Morts"))</f>
        <v>0</v>
      </c>
      <c r="F19" s="116">
        <f>(SUMIFS('Bucket Counts'!$P:$P, 'Bucket Counts'!$B:$B, F$2, 'Bucket Counts'!$A:$A, "="&amp;$A19,  'Bucket Counts'!$F:$F, "224"))</f>
        <v>0</v>
      </c>
      <c r="G19" s="116"/>
      <c r="H19" s="426">
        <f>(F19+D19)/I18</f>
        <v>0</v>
      </c>
      <c r="I19" s="370">
        <f>D17+SUM(C17:C19)</f>
        <v>16000</v>
      </c>
      <c r="J19" s="369">
        <f>SUMIFS(Collection!$O:$O, Collection!$K:$K, J$2, Collection!$A:$A, "="&amp;$A19)</f>
        <v>0</v>
      </c>
      <c r="K19" s="116">
        <f>(SUMIFS('Bucket Counts'!$P:$P, 'Bucket Counts'!$B:$B, K$2, 'Bucket Counts'!$A:$A, "="&amp;$A19,  'Bucket Counts'!$F:$F, "&lt;&gt;100 Morts",  'Bucket Counts'!$F:$F, "&lt;&gt;224"))</f>
        <v>0</v>
      </c>
      <c r="L19" s="116">
        <f>(SUMIFS('Bucket Counts'!$P:$P, 'Bucket Counts'!$B:$B, L$2, 'Bucket Counts'!$A:$A, "="&amp;$A19,  'Bucket Counts'!$F:$F, "100 Morts"))</f>
        <v>0</v>
      </c>
      <c r="M19" s="116">
        <f>(SUMIFS('Bucket Counts'!$P:$P, 'Bucket Counts'!$B:$B, M$2, 'Bucket Counts'!$A:$A, "="&amp;$A19,  'Bucket Counts'!$F:$F, "224"))</f>
        <v>0</v>
      </c>
      <c r="N19" s="116"/>
      <c r="O19" s="426">
        <f>(M19+K19)/P18</f>
        <v>0</v>
      </c>
      <c r="P19" s="370">
        <f>K17+SUM(J17:J19)</f>
        <v>15066.666666666666</v>
      </c>
      <c r="Q19" s="369">
        <f>SUMIFS(Collection!$O:$O, Collection!$K:$K, Q$2, Collection!$A:$A, "="&amp;$A19)</f>
        <v>0</v>
      </c>
      <c r="R19" s="116">
        <f>(SUMIFS('Bucket Counts'!$P:$P, 'Bucket Counts'!$B:$B, R$2, 'Bucket Counts'!$A:$A, "="&amp;$A19,  'Bucket Counts'!$F:$F, "&lt;&gt;100 Morts",  'Bucket Counts'!$F:$F, "&lt;&gt;224"))</f>
        <v>0</v>
      </c>
      <c r="S19" s="116">
        <f>(SUMIFS('Bucket Counts'!$P:$P, 'Bucket Counts'!$B:$B, S$2, 'Bucket Counts'!$A:$A, "="&amp;$A19,  'Bucket Counts'!$F:$F, "100 Morts"))</f>
        <v>0</v>
      </c>
      <c r="T19" s="116">
        <f>(SUMIFS('Bucket Counts'!$P:$P, 'Bucket Counts'!$B:$B, T$2, 'Bucket Counts'!$A:$A, "="&amp;$A19,  'Bucket Counts'!$F:$F, "224"))</f>
        <v>0</v>
      </c>
      <c r="U19" s="116"/>
      <c r="V19" s="426">
        <f>(T19+R19)/W18</f>
        <v>0</v>
      </c>
      <c r="W19" s="370">
        <f>R17+SUM(Q17:Q19)</f>
        <v>68533.333333333328</v>
      </c>
      <c r="X19" s="369">
        <f>SUMIFS(Collection!$O:$O, Collection!$K:$K, X$2, Collection!$A:$A, "="&amp;$A19)</f>
        <v>0</v>
      </c>
      <c r="Y19" s="116">
        <f>(SUMIFS('Bucket Counts'!$P:$P, 'Bucket Counts'!$B:$B, Y$2, 'Bucket Counts'!$A:$A, "="&amp;$A19,  'Bucket Counts'!$F:$F, "&lt;&gt;100 Morts",  'Bucket Counts'!$F:$F, "&lt;&gt;224"))</f>
        <v>0</v>
      </c>
      <c r="Z19" s="116">
        <f>(SUMIFS('Bucket Counts'!$P:$P, 'Bucket Counts'!$B:$B, Z$2, 'Bucket Counts'!$A:$A, "="&amp;$A19,  'Bucket Counts'!$F:$F, "100 Morts"))</f>
        <v>0</v>
      </c>
      <c r="AA19" s="116">
        <f>(SUMIFS('Bucket Counts'!$P:$P, 'Bucket Counts'!$B:$B, AA$2, 'Bucket Counts'!$A:$A, "="&amp;$A19,  'Bucket Counts'!$F:$F, "224"))</f>
        <v>0</v>
      </c>
      <c r="AB19" s="116"/>
      <c r="AC19" s="426">
        <f>(AA19+Y19)/AD18</f>
        <v>0</v>
      </c>
      <c r="AD19" s="370">
        <f>Y17+SUM(X17:X19)</f>
        <v>16800</v>
      </c>
      <c r="AE19" s="369">
        <f>SUMIFS(Collection!$O:$O, Collection!$K:$K, AE$2, Collection!$A:$A, "="&amp;$A19)</f>
        <v>0</v>
      </c>
      <c r="AF19" s="116">
        <f>(SUMIFS('Bucket Counts'!$P:$P, 'Bucket Counts'!$B:$B, AF$2, 'Bucket Counts'!$A:$A, "="&amp;$A19,  'Bucket Counts'!$F:$F, "&lt;&gt;100 Morts",  'Bucket Counts'!$F:$F, "&lt;&gt;224"))</f>
        <v>0</v>
      </c>
      <c r="AG19" s="116">
        <f>(SUMIFS('Bucket Counts'!$P:$P, 'Bucket Counts'!$B:$B, AG$2, 'Bucket Counts'!$A:$A, "="&amp;$A19,  'Bucket Counts'!$F:$F, "100 Morts"))</f>
        <v>0</v>
      </c>
      <c r="AH19" s="116">
        <f>(SUMIFS('Bucket Counts'!$P:$P, 'Bucket Counts'!$B:$B, AH$2, 'Bucket Counts'!$A:$A, "="&amp;$A19,  'Bucket Counts'!$F:$F, "224"))</f>
        <v>0</v>
      </c>
      <c r="AI19" s="116"/>
      <c r="AJ19" s="426">
        <f>(AH19+AF19)/AK18</f>
        <v>0</v>
      </c>
      <c r="AK19" s="370">
        <f>AF17+SUM(AE17:AE19)</f>
        <v>80700</v>
      </c>
      <c r="AL19" s="369">
        <f>SUMIFS(Collection!$O:$O, Collection!$K:$K, AL$2, Collection!$A:$A, "="&amp;$A19)</f>
        <v>0</v>
      </c>
      <c r="AM19" s="116">
        <f>(SUMIFS('Bucket Counts'!$P:$P, 'Bucket Counts'!$B:$B, AM$2, 'Bucket Counts'!$A:$A, "="&amp;$A19,  'Bucket Counts'!$F:$F, "&lt;&gt;100 Morts",  'Bucket Counts'!$F:$F, "&lt;&gt;224"))</f>
        <v>0</v>
      </c>
      <c r="AN19" s="116">
        <f>(SUMIFS('Bucket Counts'!$P:$P, 'Bucket Counts'!$B:$B, AN$2, 'Bucket Counts'!$A:$A, "="&amp;$A19,  'Bucket Counts'!$F:$F, "100 Morts"))</f>
        <v>0</v>
      </c>
      <c r="AO19" s="116">
        <f>(SUMIFS('Bucket Counts'!$P:$P, 'Bucket Counts'!$B:$B, AO$2, 'Bucket Counts'!$A:$A, "="&amp;$A19,  'Bucket Counts'!$F:$F, "224"))</f>
        <v>0</v>
      </c>
      <c r="AP19" s="116"/>
      <c r="AQ19" s="426">
        <f>(AO19+AM19)/AR18</f>
        <v>0</v>
      </c>
      <c r="AR19" s="370">
        <f>AM17+SUM(AL17:AL19)</f>
        <v>73400</v>
      </c>
      <c r="AS19" s="369">
        <f>SUMIFS(Collection!$O:$O, Collection!$K:$K, AS$2, Collection!$A:$A, "="&amp;$A19)</f>
        <v>0</v>
      </c>
      <c r="AT19" s="116">
        <f>(SUMIFS('Bucket Counts'!$P:$P, 'Bucket Counts'!$B:$B, AT$2, 'Bucket Counts'!$A:$A, "="&amp;$A19,  'Bucket Counts'!$F:$F, "&lt;&gt;100 Morts",  'Bucket Counts'!$F:$F, "&lt;&gt;224"))</f>
        <v>0</v>
      </c>
      <c r="AU19" s="116">
        <f>(SUMIFS('Bucket Counts'!$P:$P, 'Bucket Counts'!$B:$B, AU$2, 'Bucket Counts'!$A:$A, "="&amp;$A19,  'Bucket Counts'!$F:$F, "100 Morts"))</f>
        <v>0</v>
      </c>
      <c r="AV19" s="116">
        <f>(SUMIFS('Bucket Counts'!$P:$P, 'Bucket Counts'!$B:$B, AV$2, 'Bucket Counts'!$A:$A, "="&amp;$A19,  'Bucket Counts'!$F:$F, "224"))</f>
        <v>0</v>
      </c>
      <c r="AW19" s="116"/>
      <c r="AX19" s="426">
        <f>(AV19+AT19)/AY18</f>
        <v>0</v>
      </c>
      <c r="AY19" s="370">
        <f>AT17+SUM(AS17:AS19)</f>
        <v>400</v>
      </c>
      <c r="AZ19" s="369">
        <f>SUMIFS(Collection!$O:$O, Collection!$K:$K, AZ$2, Collection!$A:$A, "="&amp;$A19)</f>
        <v>0</v>
      </c>
      <c r="BA19" s="116">
        <f>(SUMIFS('Bucket Counts'!$P:$P, 'Bucket Counts'!$B:$B, BA$2, 'Bucket Counts'!$A:$A, "="&amp;$A19,  'Bucket Counts'!$F:$F, "&lt;&gt;100 Morts",  'Bucket Counts'!$F:$F, "&lt;&gt;224"))</f>
        <v>0</v>
      </c>
      <c r="BB19" s="116">
        <f>(SUMIFS('Bucket Counts'!$P:$P, 'Bucket Counts'!$B:$B, BB$2, 'Bucket Counts'!$A:$A, "="&amp;$A19,  'Bucket Counts'!$F:$F, "100 Morts"))</f>
        <v>0</v>
      </c>
      <c r="BC19" s="116">
        <f>(SUMIFS('Bucket Counts'!$P:$P, 'Bucket Counts'!$B:$B, BC$2, 'Bucket Counts'!$A:$A, "="&amp;$A19,  'Bucket Counts'!$F:$F, "224"))</f>
        <v>0</v>
      </c>
      <c r="BD19" s="116"/>
      <c r="BE19" s="426" t="e">
        <f>(BC19+BA19)/BF18</f>
        <v>#VALUE!</v>
      </c>
      <c r="BF19" s="370" t="e">
        <f>BA17+SUM(AZ17:AZ19)</f>
        <v>#VALUE!</v>
      </c>
      <c r="BG19" s="369">
        <f>SUMIFS(Collection!$O:$O, Collection!$K:$K, BG$2, Collection!$A:$A, "="&amp;$A19)</f>
        <v>0</v>
      </c>
      <c r="BH19" s="116">
        <f>(SUMIFS('Bucket Counts'!$P:$P, 'Bucket Counts'!$B:$B, BH$2, 'Bucket Counts'!$A:$A, "="&amp;$A19,  'Bucket Counts'!$F:$F, "&lt;&gt;100 Morts",  'Bucket Counts'!$F:$F, "&lt;&gt;224"))</f>
        <v>0</v>
      </c>
      <c r="BI19" s="116">
        <f>(SUMIFS('Bucket Counts'!$P:$P, 'Bucket Counts'!$B:$B, BI$2, 'Bucket Counts'!$A:$A, "="&amp;$A19,  'Bucket Counts'!$F:$F, "100 Morts"))</f>
        <v>0</v>
      </c>
      <c r="BJ19" s="116">
        <f>(SUMIFS('Bucket Counts'!$P:$P, 'Bucket Counts'!$B:$B, BJ$2, 'Bucket Counts'!$A:$A, "="&amp;$A19,  'Bucket Counts'!$F:$F, "224"))</f>
        <v>0</v>
      </c>
      <c r="BK19" s="116"/>
      <c r="BL19" s="426" t="e">
        <f>(BJ19+BH19)/BM18</f>
        <v>#VALUE!</v>
      </c>
      <c r="BM19" s="370" t="e">
        <f>BH17+SUM(BG17:BG19)</f>
        <v>#VALUE!</v>
      </c>
      <c r="BN19" s="369">
        <f>SUMIFS(Collection!$O:$O, Collection!$K:$K, BN$2, Collection!$A:$A, "="&amp;$A19)</f>
        <v>0</v>
      </c>
      <c r="BO19" s="116">
        <f>(SUMIFS('Bucket Counts'!$P:$P, 'Bucket Counts'!$B:$B, BO$2, 'Bucket Counts'!$A:$A, "="&amp;$A19,  'Bucket Counts'!$F:$F, "&lt;&gt;100 Morts",  'Bucket Counts'!$F:$F, "&lt;&gt;224"))</f>
        <v>0</v>
      </c>
      <c r="BP19" s="116">
        <f>(SUMIFS('Bucket Counts'!$P:$P, 'Bucket Counts'!$B:$B, BP$2, 'Bucket Counts'!$A:$A, "="&amp;$A19,  'Bucket Counts'!$F:$F, "100 Morts"))</f>
        <v>0</v>
      </c>
      <c r="BQ19" s="116">
        <f>(SUMIFS('Bucket Counts'!$P:$P, 'Bucket Counts'!$B:$B, BQ$2, 'Bucket Counts'!$A:$A, "="&amp;$A19,  'Bucket Counts'!$F:$F, "224"))</f>
        <v>0</v>
      </c>
      <c r="BR19" s="116"/>
      <c r="BS19" s="426">
        <f>(BQ19+BO19)/BT18</f>
        <v>0</v>
      </c>
      <c r="BT19" s="370">
        <f>BO17+SUM(BN17:BN19)</f>
        <v>50400</v>
      </c>
      <c r="BU19" s="369">
        <f>SUMIFS(Collection!$O:$O, Collection!$K:$K, BU$2, Collection!$A:$A, "="&amp;$A19)</f>
        <v>0</v>
      </c>
      <c r="BV19" s="116">
        <f>(SUMIFS('Bucket Counts'!$P:$P, 'Bucket Counts'!$B:$B, BV$2, 'Bucket Counts'!$A:$A, "="&amp;$A19,  'Bucket Counts'!$F:$F, "&lt;&gt;100 Morts",  'Bucket Counts'!$F:$F, "&lt;&gt;224"))</f>
        <v>0</v>
      </c>
      <c r="BW19" s="116">
        <f>(SUMIFS('Bucket Counts'!$P:$P, 'Bucket Counts'!$B:$B, BW$2, 'Bucket Counts'!$A:$A, "="&amp;$A19,  'Bucket Counts'!$F:$F, "100 Morts"))</f>
        <v>0</v>
      </c>
      <c r="BX19" s="116">
        <f>(SUMIFS('Bucket Counts'!$P:$P, 'Bucket Counts'!$B:$B, BX$2, 'Bucket Counts'!$A:$A, "="&amp;$A19,  'Bucket Counts'!$F:$F, "224"))</f>
        <v>0</v>
      </c>
      <c r="BY19" s="116"/>
      <c r="BZ19" s="426" t="e">
        <f>(BX19+BV19)/CA18</f>
        <v>#DIV/0!</v>
      </c>
      <c r="CA19" s="370">
        <f>BV17+SUM(BU17:BU19)</f>
        <v>0</v>
      </c>
      <c r="CB19" s="369">
        <f>SUMIFS(Collection!$O:$O, Collection!$K:$K, CB$2, Collection!$A:$A, "="&amp;$A19)</f>
        <v>0</v>
      </c>
      <c r="CC19" s="116">
        <f>(SUMIFS('Bucket Counts'!$P:$P, 'Bucket Counts'!$B:$B, CC$2, 'Bucket Counts'!$A:$A, "="&amp;$A19,  'Bucket Counts'!$F:$F, "&lt;&gt;100 Morts",  'Bucket Counts'!$F:$F, "&lt;&gt;224"))</f>
        <v>0</v>
      </c>
      <c r="CD19" s="116">
        <f>(SUMIFS('Bucket Counts'!$P:$P, 'Bucket Counts'!$B:$B, CD$2, 'Bucket Counts'!$A:$A, "="&amp;$A19,  'Bucket Counts'!$F:$F, "100 Morts"))</f>
        <v>0</v>
      </c>
      <c r="CE19" s="116">
        <f>(SUMIFS('Bucket Counts'!$P:$P, 'Bucket Counts'!$B:$B, CE$2, 'Bucket Counts'!$A:$A, "="&amp;$A19,  'Bucket Counts'!$F:$F, "224"))</f>
        <v>0</v>
      </c>
      <c r="CF19" s="116"/>
      <c r="CG19" s="426" t="e">
        <f>(CE19+CC19)/CH18</f>
        <v>#DIV/0!</v>
      </c>
      <c r="CH19" s="370">
        <f>CC17+SUM(CB17:CB19)</f>
        <v>0</v>
      </c>
      <c r="CI19" s="369">
        <f>SUMIFS(Collection!$O:$O, Collection!$K:$K, CI$2, Collection!$A:$A, "="&amp;$A19)</f>
        <v>0</v>
      </c>
      <c r="CJ19" s="116">
        <f>(SUMIFS('Bucket Counts'!$P:$P, 'Bucket Counts'!$B:$B, CJ$2, 'Bucket Counts'!$A:$A, "="&amp;$A19,  'Bucket Counts'!$F:$F, "&lt;&gt;100 Morts",  'Bucket Counts'!$F:$F, "&lt;&gt;224"))</f>
        <v>0</v>
      </c>
      <c r="CK19" s="116">
        <f>(SUMIFS('Bucket Counts'!$P:$P, 'Bucket Counts'!$B:$B, CK$2, 'Bucket Counts'!$A:$A, "="&amp;$A19,  'Bucket Counts'!$F:$F, "100 Morts"))</f>
        <v>0</v>
      </c>
      <c r="CL19" s="116">
        <f>(SUMIFS('Bucket Counts'!$P:$P, 'Bucket Counts'!$B:$B, CL$2, 'Bucket Counts'!$A:$A, "="&amp;$A19,  'Bucket Counts'!$F:$F, "224"))</f>
        <v>0</v>
      </c>
      <c r="CM19" s="116"/>
      <c r="CN19" s="426">
        <f>(CL19+CJ19)/CO18</f>
        <v>0</v>
      </c>
      <c r="CO19" s="370">
        <f>CJ17+SUM(CI17:CI19)</f>
        <v>112533.33333333333</v>
      </c>
      <c r="CP19" s="369">
        <f>SUMIFS(Collection!$O:$O, Collection!$K:$K, CP$2, Collection!$A:$A, "="&amp;$A19)</f>
        <v>0</v>
      </c>
      <c r="CQ19" s="116">
        <f>(SUMIFS('Bucket Counts'!$P:$P, 'Bucket Counts'!$B:$B, CQ$2, 'Bucket Counts'!$A:$A, "="&amp;$A19,  'Bucket Counts'!$F:$F, "&lt;&gt;100 Morts",  'Bucket Counts'!$F:$F, "&lt;&gt;224"))</f>
        <v>0</v>
      </c>
      <c r="CR19" s="116">
        <f>(SUMIFS('Bucket Counts'!$P:$P, 'Bucket Counts'!$B:$B, CR$2, 'Bucket Counts'!$A:$A, "="&amp;$A19,  'Bucket Counts'!$F:$F, "100 Morts"))</f>
        <v>0</v>
      </c>
      <c r="CS19" s="116">
        <f>(SUMIFS('Bucket Counts'!$P:$P, 'Bucket Counts'!$B:$B, CS$2, 'Bucket Counts'!$A:$A, "="&amp;$A19,  'Bucket Counts'!$F:$F, "224"))</f>
        <v>0</v>
      </c>
      <c r="CT19" s="116"/>
      <c r="CU19" s="426">
        <f>(CS19+CQ19)/CV18</f>
        <v>0</v>
      </c>
      <c r="CV19" s="370">
        <f>CQ17+SUM(CP17:CP19)</f>
        <v>53600</v>
      </c>
      <c r="CW19" s="369">
        <f>SUMIFS(Collection!$O:$O, Collection!$K:$K, CW$2, Collection!$A:$A, "="&amp;$A19)</f>
        <v>0</v>
      </c>
      <c r="CX19" s="116">
        <f>(SUMIFS('Bucket Counts'!$P:$P, 'Bucket Counts'!$B:$B, CX$2, 'Bucket Counts'!$A:$A, "="&amp;$A19,  'Bucket Counts'!$F:$F, "&lt;&gt;100 Morts",  'Bucket Counts'!$F:$F, "&lt;&gt;224"))</f>
        <v>0</v>
      </c>
      <c r="CY19" s="116">
        <f>(SUMIFS('Bucket Counts'!$P:$P, 'Bucket Counts'!$B:$B, CY$2, 'Bucket Counts'!$A:$A, "="&amp;$A19,  'Bucket Counts'!$F:$F, "100 Morts"))</f>
        <v>0</v>
      </c>
      <c r="CZ19" s="116">
        <f>(SUMIFS('Bucket Counts'!$P:$P, 'Bucket Counts'!$B:$B, CZ$2, 'Bucket Counts'!$A:$A, "="&amp;$A19,  'Bucket Counts'!$F:$F, "224"))</f>
        <v>0</v>
      </c>
      <c r="DA19" s="116"/>
      <c r="DB19" s="426">
        <f>(CZ19+CX19)/DC18</f>
        <v>0</v>
      </c>
      <c r="DC19" s="370">
        <f>CX17+SUM(CW17:CW19)</f>
        <v>66666.666666666672</v>
      </c>
      <c r="DD19" s="369">
        <f>SUMIFS(Collection!$O:$O, Collection!$K:$K, DD$2, Collection!$A:$A, "="&amp;$A19)</f>
        <v>0</v>
      </c>
      <c r="DE19" s="116">
        <f>(SUMIFS('Bucket Counts'!$P:$P, 'Bucket Counts'!$B:$B, DE$2, 'Bucket Counts'!$A:$A, "="&amp;$A19,  'Bucket Counts'!$F:$F, "&lt;&gt;100 Morts",  'Bucket Counts'!$F:$F, "&lt;&gt;224"))</f>
        <v>0</v>
      </c>
      <c r="DF19" s="116">
        <f>(SUMIFS('Bucket Counts'!$P:$P, 'Bucket Counts'!$B:$B, DF$2, 'Bucket Counts'!$A:$A, "="&amp;$A19,  'Bucket Counts'!$F:$F, "100 Morts"))</f>
        <v>0</v>
      </c>
      <c r="DG19" s="116">
        <f>(SUMIFS('Bucket Counts'!$P:$P, 'Bucket Counts'!$B:$B, DG$2, 'Bucket Counts'!$A:$A, "="&amp;$A19,  'Bucket Counts'!$F:$F, "224"))</f>
        <v>0</v>
      </c>
      <c r="DH19" s="116"/>
      <c r="DI19" s="426">
        <f>(DG19+DE19)/DJ18</f>
        <v>0</v>
      </c>
      <c r="DJ19" s="370">
        <f>DE17+SUM(DD17:DD19)</f>
        <v>20800</v>
      </c>
      <c r="DK19" s="369">
        <f>SUMIFS(Collection!$O:$O, Collection!$K:$K, DK$2, Collection!$A:$A, "="&amp;$A19)</f>
        <v>0</v>
      </c>
      <c r="DL19" s="116">
        <f>(SUMIFS('Bucket Counts'!$P:$P, 'Bucket Counts'!$B:$B, DL$2, 'Bucket Counts'!$A:$A, "="&amp;$A19,  'Bucket Counts'!$F:$F, "&lt;&gt;100 Morts",  'Bucket Counts'!$F:$F, "&lt;&gt;224"))</f>
        <v>0</v>
      </c>
      <c r="DM19" s="116">
        <f>(SUMIFS('Bucket Counts'!$P:$P, 'Bucket Counts'!$B:$B, DM$2, 'Bucket Counts'!$A:$A, "="&amp;$A19,  'Bucket Counts'!$F:$F, "100 Morts"))</f>
        <v>0</v>
      </c>
      <c r="DN19" s="116">
        <f>(SUMIFS('Bucket Counts'!$P:$P, 'Bucket Counts'!$B:$B, DN$2, 'Bucket Counts'!$A:$A, "="&amp;$A19,  'Bucket Counts'!$F:$F, "224"))</f>
        <v>0</v>
      </c>
      <c r="DO19" s="116"/>
      <c r="DP19" s="426" t="e">
        <f>(DN19+DL19)/DQ18</f>
        <v>#DIV/0!</v>
      </c>
      <c r="DQ19" s="370">
        <f>DL17+SUM(DK17:DK19)</f>
        <v>0</v>
      </c>
      <c r="DR19" s="369">
        <f>SUMIFS(Collection!$O:$O, Collection!$K:$K, DR$2, Collection!$A:$A, "="&amp;$A19)</f>
        <v>0</v>
      </c>
      <c r="DS19" s="116">
        <f>(SUMIFS('Bucket Counts'!$P:$P, 'Bucket Counts'!$B:$B, DS$2, 'Bucket Counts'!$A:$A, "="&amp;$A19,  'Bucket Counts'!$F:$F, "&lt;&gt;100 Morts",  'Bucket Counts'!$F:$F, "&lt;&gt;224"))</f>
        <v>0</v>
      </c>
      <c r="DT19" s="116">
        <f>(SUMIFS('Bucket Counts'!$P:$P, 'Bucket Counts'!$B:$B, DT$2, 'Bucket Counts'!$A:$A, "="&amp;$A19,  'Bucket Counts'!$F:$F, "100 Morts"))</f>
        <v>0</v>
      </c>
      <c r="DU19" s="116">
        <f>(SUMIFS('Bucket Counts'!$P:$P, 'Bucket Counts'!$B:$B, DU$2, 'Bucket Counts'!$A:$A, "="&amp;$A19,  'Bucket Counts'!$F:$F, "224"))</f>
        <v>0</v>
      </c>
      <c r="DV19" s="116"/>
      <c r="DW19" s="426">
        <f>(DU19+DS19)/DX18</f>
        <v>0</v>
      </c>
      <c r="DX19" s="370">
        <f>DS17+SUM(DR17:DR19)</f>
        <v>48800</v>
      </c>
      <c r="DY19" s="369">
        <f>SUMIFS(Collection!$O:$O, Collection!$K:$K, DY$2, Collection!$A:$A, "="&amp;$A19)</f>
        <v>0</v>
      </c>
      <c r="DZ19" s="116">
        <f>(SUMIFS('Bucket Counts'!$P:$P, 'Bucket Counts'!$B:$B, DZ$2, 'Bucket Counts'!$A:$A, "="&amp;$A19,  'Bucket Counts'!$F:$F, "&lt;&gt;100 Morts",  'Bucket Counts'!$F:$F, "&lt;&gt;224"))</f>
        <v>0</v>
      </c>
      <c r="EA19" s="116">
        <f>(SUMIFS('Bucket Counts'!$P:$P, 'Bucket Counts'!$B:$B, EA$2, 'Bucket Counts'!$A:$A, "="&amp;$A19,  'Bucket Counts'!$F:$F, "100 Morts"))</f>
        <v>0</v>
      </c>
      <c r="EB19" s="116">
        <f>(SUMIFS('Bucket Counts'!$P:$P, 'Bucket Counts'!$B:$B, EB$2, 'Bucket Counts'!$A:$A, "="&amp;$A19,  'Bucket Counts'!$F:$F, "224"))</f>
        <v>0</v>
      </c>
      <c r="EC19" s="116"/>
      <c r="ED19" s="426">
        <f>(EB19+DZ19)/EE18</f>
        <v>0</v>
      </c>
      <c r="EE19" s="370">
        <f>DZ17+SUM(DY17:DY19)</f>
        <v>3200</v>
      </c>
      <c r="EF19" s="369">
        <f>SUMIFS(Collection!$O:$O, Collection!$K:$K, EF$2, Collection!$A:$A, "="&amp;$A19)</f>
        <v>0</v>
      </c>
      <c r="EG19" s="116">
        <f>(SUMIFS('Bucket Counts'!$P:$P, 'Bucket Counts'!$B:$B, EG$2, 'Bucket Counts'!$A:$A, "="&amp;$A19,  'Bucket Counts'!$F:$F, "&lt;&gt;100 Morts",  'Bucket Counts'!$F:$F, "&lt;&gt;224"))</f>
        <v>0</v>
      </c>
      <c r="EH19" s="116">
        <f>(SUMIFS('Bucket Counts'!$P:$P, 'Bucket Counts'!$B:$B, EH$2, 'Bucket Counts'!$A:$A, "="&amp;$A19,  'Bucket Counts'!$F:$F, "100 Morts"))</f>
        <v>0</v>
      </c>
      <c r="EI19" s="116">
        <f>(SUMIFS('Bucket Counts'!$P:$P, 'Bucket Counts'!$B:$B, EI$2, 'Bucket Counts'!$A:$A, "="&amp;$A19,  'Bucket Counts'!$F:$F, "224"))</f>
        <v>0</v>
      </c>
      <c r="EJ19" s="116"/>
      <c r="EK19" s="426" t="e">
        <f>(EI19+EG19)/EL18</f>
        <v>#DIV/0!</v>
      </c>
      <c r="EL19" s="370">
        <f>EG17+SUM(EF17:EF19)</f>
        <v>0</v>
      </c>
    </row>
    <row r="20" spans="1:142" s="362" customFormat="1" x14ac:dyDescent="0.2">
      <c r="A20" s="16">
        <v>42889</v>
      </c>
      <c r="B20" s="16" t="s">
        <v>487</v>
      </c>
      <c r="C20" s="369">
        <f>SUMIFS(Collection!$O:$O, Collection!$K:$K, C$2, Collection!$A:$A, "="&amp;$A20)</f>
        <v>58726.666666666672</v>
      </c>
      <c r="D20" s="116">
        <f>(SUMIFS('Bucket Counts'!$P:$P, 'Bucket Counts'!$B:$B, D$2, 'Bucket Counts'!$A:$A, "="&amp;$A20,  'Bucket Counts'!$F:$F, "&lt;&gt;100 Morts",  'Bucket Counts'!$F:$F, "&lt;&gt;224"))</f>
        <v>0</v>
      </c>
      <c r="E20" s="116">
        <f>(SUMIFS('Bucket Counts'!$P:$P, 'Bucket Counts'!$B:$B, E$2, 'Bucket Counts'!$A:$A, "="&amp;$A20,  'Bucket Counts'!$F:$F, "100 Morts"))</f>
        <v>0</v>
      </c>
      <c r="F20" s="116">
        <f>(SUMIFS('Bucket Counts'!$P:$P, 'Bucket Counts'!$B:$B, F$2, 'Bucket Counts'!$A:$A, "="&amp;$A20,  'Bucket Counts'!$F:$F, "224"))</f>
        <v>0</v>
      </c>
      <c r="G20" s="116"/>
      <c r="H20" s="426">
        <f>(F20+D20)/I19</f>
        <v>0</v>
      </c>
      <c r="I20" s="370">
        <f>D17+SUM(C17:C20)</f>
        <v>74726.666666666672</v>
      </c>
      <c r="J20" s="369">
        <f>SUMIFS(Collection!$O:$O, Collection!$K:$K, J$2, Collection!$A:$A, "="&amp;$A20)</f>
        <v>51333.333333333328</v>
      </c>
      <c r="K20" s="116">
        <f>(SUMIFS('Bucket Counts'!$P:$P, 'Bucket Counts'!$B:$B, K$2, 'Bucket Counts'!$A:$A, "="&amp;$A20,  'Bucket Counts'!$F:$F, "&lt;&gt;100 Morts",  'Bucket Counts'!$F:$F, "&lt;&gt;224"))</f>
        <v>0</v>
      </c>
      <c r="L20" s="116">
        <f>(SUMIFS('Bucket Counts'!$P:$P, 'Bucket Counts'!$B:$B, L$2, 'Bucket Counts'!$A:$A, "="&amp;$A20,  'Bucket Counts'!$F:$F, "100 Morts"))</f>
        <v>0</v>
      </c>
      <c r="M20" s="116">
        <f>(SUMIFS('Bucket Counts'!$P:$P, 'Bucket Counts'!$B:$B, M$2, 'Bucket Counts'!$A:$A, "="&amp;$A20,  'Bucket Counts'!$F:$F, "224"))</f>
        <v>0</v>
      </c>
      <c r="N20" s="116"/>
      <c r="O20" s="426">
        <f>(M20+K20)/P19</f>
        <v>0</v>
      </c>
      <c r="P20" s="370">
        <f>K17+SUM(J17:J20)</f>
        <v>66400</v>
      </c>
      <c r="Q20" s="369">
        <f>SUMIFS(Collection!$O:$O, Collection!$K:$K, Q$2, Collection!$A:$A, "="&amp;$A20)</f>
        <v>0</v>
      </c>
      <c r="R20" s="116">
        <f>(SUMIFS('Bucket Counts'!$P:$P, 'Bucket Counts'!$B:$B, R$2, 'Bucket Counts'!$A:$A, "="&amp;$A20,  'Bucket Counts'!$F:$F, "&lt;&gt;100 Morts",  'Bucket Counts'!$F:$F, "&lt;&gt;224"))</f>
        <v>0</v>
      </c>
      <c r="S20" s="116">
        <f>(SUMIFS('Bucket Counts'!$P:$P, 'Bucket Counts'!$B:$B, S$2, 'Bucket Counts'!$A:$A, "="&amp;$A20,  'Bucket Counts'!$F:$F, "100 Morts"))</f>
        <v>0</v>
      </c>
      <c r="T20" s="116">
        <f>(SUMIFS('Bucket Counts'!$P:$P, 'Bucket Counts'!$B:$B, T$2, 'Bucket Counts'!$A:$A, "="&amp;$A20,  'Bucket Counts'!$F:$F, "224"))</f>
        <v>0</v>
      </c>
      <c r="U20" s="116"/>
      <c r="V20" s="426">
        <f>(T20+R20)/W19</f>
        <v>0</v>
      </c>
      <c r="W20" s="370">
        <f>R17+SUM(Q17:Q20)</f>
        <v>68533.333333333328</v>
      </c>
      <c r="X20" s="369">
        <f>SUMIFS(Collection!$O:$O, Collection!$K:$K, X$2, Collection!$A:$A, "="&amp;$A20)</f>
        <v>0</v>
      </c>
      <c r="Y20" s="116">
        <f>(SUMIFS('Bucket Counts'!$P:$P, 'Bucket Counts'!$B:$B, Y$2, 'Bucket Counts'!$A:$A, "="&amp;$A20,  'Bucket Counts'!$F:$F, "&lt;&gt;100 Morts",  'Bucket Counts'!$F:$F, "&lt;&gt;224"))</f>
        <v>0</v>
      </c>
      <c r="Z20" s="116">
        <f>(SUMIFS('Bucket Counts'!$P:$P, 'Bucket Counts'!$B:$B, Z$2, 'Bucket Counts'!$A:$A, "="&amp;$A20,  'Bucket Counts'!$F:$F, "100 Morts"))</f>
        <v>0</v>
      </c>
      <c r="AA20" s="116">
        <f>(SUMIFS('Bucket Counts'!$P:$P, 'Bucket Counts'!$B:$B, AA$2, 'Bucket Counts'!$A:$A, "="&amp;$A20,  'Bucket Counts'!$F:$F, "224"))</f>
        <v>0</v>
      </c>
      <c r="AB20" s="116"/>
      <c r="AC20" s="426">
        <f>(AA20+Y20)/AD19</f>
        <v>0</v>
      </c>
      <c r="AD20" s="370">
        <f>Y17+SUM(X17:X20)</f>
        <v>16800</v>
      </c>
      <c r="AE20" s="369">
        <f>SUMIFS(Collection!$O:$O, Collection!$K:$K, AE$2, Collection!$A:$A, "="&amp;$A20)</f>
        <v>152093.33333333334</v>
      </c>
      <c r="AF20" s="116">
        <f>(SUMIFS('Bucket Counts'!$P:$P, 'Bucket Counts'!$B:$B, AF$2, 'Bucket Counts'!$A:$A, "="&amp;$A20,  'Bucket Counts'!$F:$F, "&lt;&gt;100 Morts",  'Bucket Counts'!$F:$F, "&lt;&gt;224"))</f>
        <v>0</v>
      </c>
      <c r="AG20" s="116">
        <f>(SUMIFS('Bucket Counts'!$P:$P, 'Bucket Counts'!$B:$B, AG$2, 'Bucket Counts'!$A:$A, "="&amp;$A20,  'Bucket Counts'!$F:$F, "100 Morts"))</f>
        <v>0</v>
      </c>
      <c r="AH20" s="116">
        <f>(SUMIFS('Bucket Counts'!$P:$P, 'Bucket Counts'!$B:$B, AH$2, 'Bucket Counts'!$A:$A, "="&amp;$A20,  'Bucket Counts'!$F:$F, "224"))</f>
        <v>0</v>
      </c>
      <c r="AI20" s="116"/>
      <c r="AJ20" s="426">
        <f>(AH20+AF20)/AK19</f>
        <v>0</v>
      </c>
      <c r="AK20" s="370">
        <f>AF17+SUM(AE17:AE20)</f>
        <v>232793.33333333334</v>
      </c>
      <c r="AL20" s="369">
        <f>SUMIFS(Collection!$O:$O, Collection!$K:$K, AL$2, Collection!$A:$A, "="&amp;$A20)</f>
        <v>0</v>
      </c>
      <c r="AM20" s="116">
        <f>(SUMIFS('Bucket Counts'!$P:$P, 'Bucket Counts'!$B:$B, AM$2, 'Bucket Counts'!$A:$A, "="&amp;$A20,  'Bucket Counts'!$F:$F, "&lt;&gt;100 Morts",  'Bucket Counts'!$F:$F, "&lt;&gt;224"))</f>
        <v>0</v>
      </c>
      <c r="AN20" s="116">
        <f>(SUMIFS('Bucket Counts'!$P:$P, 'Bucket Counts'!$B:$B, AN$2, 'Bucket Counts'!$A:$A, "="&amp;$A20,  'Bucket Counts'!$F:$F, "100 Morts"))</f>
        <v>0</v>
      </c>
      <c r="AO20" s="116">
        <f>(SUMIFS('Bucket Counts'!$P:$P, 'Bucket Counts'!$B:$B, AO$2, 'Bucket Counts'!$A:$A, "="&amp;$A20,  'Bucket Counts'!$F:$F, "224"))</f>
        <v>0</v>
      </c>
      <c r="AP20" s="116"/>
      <c r="AQ20" s="426">
        <f>(AO20+AM20)/AR19</f>
        <v>0</v>
      </c>
      <c r="AR20" s="370">
        <f>AM17+SUM(AL17:AL20)</f>
        <v>73400</v>
      </c>
      <c r="AS20" s="369">
        <f>SUMIFS(Collection!$O:$O, Collection!$K:$K, AS$2, Collection!$A:$A, "="&amp;$A20)</f>
        <v>57416.666666666664</v>
      </c>
      <c r="AT20" s="116">
        <f>(SUMIFS('Bucket Counts'!$P:$P, 'Bucket Counts'!$B:$B, AT$2, 'Bucket Counts'!$A:$A, "="&amp;$A20,  'Bucket Counts'!$F:$F, "&lt;&gt;100 Morts",  'Bucket Counts'!$F:$F, "&lt;&gt;224"))</f>
        <v>0</v>
      </c>
      <c r="AU20" s="116">
        <f>(SUMIFS('Bucket Counts'!$P:$P, 'Bucket Counts'!$B:$B, AU$2, 'Bucket Counts'!$A:$A, "="&amp;$A20,  'Bucket Counts'!$F:$F, "100 Morts"))</f>
        <v>0</v>
      </c>
      <c r="AV20" s="116">
        <f>(SUMIFS('Bucket Counts'!$P:$P, 'Bucket Counts'!$B:$B, AV$2, 'Bucket Counts'!$A:$A, "="&amp;$A20,  'Bucket Counts'!$F:$F, "224"))</f>
        <v>0</v>
      </c>
      <c r="AW20" s="116"/>
      <c r="AX20" s="426">
        <f>(AV20+AT20)/AY19</f>
        <v>0</v>
      </c>
      <c r="AY20" s="370">
        <f>AT17+SUM(AS17:AS20)</f>
        <v>57816.666666666664</v>
      </c>
      <c r="AZ20" s="369">
        <f>SUMIFS(Collection!$O:$O, Collection!$K:$K, AZ$2, Collection!$A:$A, "="&amp;$A20)</f>
        <v>0</v>
      </c>
      <c r="BA20" s="116">
        <f>(SUMIFS('Bucket Counts'!$P:$P, 'Bucket Counts'!$B:$B, BA$2, 'Bucket Counts'!$A:$A, "="&amp;$A20,  'Bucket Counts'!$F:$F, "&lt;&gt;100 Morts",  'Bucket Counts'!$F:$F, "&lt;&gt;224"))</f>
        <v>0</v>
      </c>
      <c r="BB20" s="116">
        <f>(SUMIFS('Bucket Counts'!$P:$P, 'Bucket Counts'!$B:$B, BB$2, 'Bucket Counts'!$A:$A, "="&amp;$A20,  'Bucket Counts'!$F:$F, "100 Morts"))</f>
        <v>0</v>
      </c>
      <c r="BC20" s="116">
        <f>(SUMIFS('Bucket Counts'!$P:$P, 'Bucket Counts'!$B:$B, BC$2, 'Bucket Counts'!$A:$A, "="&amp;$A20,  'Bucket Counts'!$F:$F, "224"))</f>
        <v>0</v>
      </c>
      <c r="BD20" s="116"/>
      <c r="BE20" s="426" t="e">
        <f>(BC20+BA20)/BF19</f>
        <v>#VALUE!</v>
      </c>
      <c r="BF20" s="370" t="e">
        <f>BA17+SUM(AZ17:AZ20)</f>
        <v>#VALUE!</v>
      </c>
      <c r="BG20" s="369">
        <f>SUMIFS(Collection!$O:$O, Collection!$K:$K, BG$2, Collection!$A:$A, "="&amp;$A20)</f>
        <v>0</v>
      </c>
      <c r="BH20" s="116">
        <f>(SUMIFS('Bucket Counts'!$P:$P, 'Bucket Counts'!$B:$B, BH$2, 'Bucket Counts'!$A:$A, "="&amp;$A20,  'Bucket Counts'!$F:$F, "&lt;&gt;100 Morts",  'Bucket Counts'!$F:$F, "&lt;&gt;224"))</f>
        <v>0</v>
      </c>
      <c r="BI20" s="116">
        <f>(SUMIFS('Bucket Counts'!$P:$P, 'Bucket Counts'!$B:$B, BI$2, 'Bucket Counts'!$A:$A, "="&amp;$A20,  'Bucket Counts'!$F:$F, "100 Morts"))</f>
        <v>0</v>
      </c>
      <c r="BJ20" s="116">
        <f>(SUMIFS('Bucket Counts'!$P:$P, 'Bucket Counts'!$B:$B, BJ$2, 'Bucket Counts'!$A:$A, "="&amp;$A20,  'Bucket Counts'!$F:$F, "224"))</f>
        <v>0</v>
      </c>
      <c r="BK20" s="116"/>
      <c r="BL20" s="426" t="e">
        <f>(BJ20+BH20)/BM19</f>
        <v>#VALUE!</v>
      </c>
      <c r="BM20" s="370" t="e">
        <f>BH17+SUM(BG17:BG20)</f>
        <v>#VALUE!</v>
      </c>
      <c r="BN20" s="369">
        <f>SUMIFS(Collection!$O:$O, Collection!$K:$K, BN$2, Collection!$A:$A, "="&amp;$A20)</f>
        <v>0</v>
      </c>
      <c r="BO20" s="116">
        <f>(SUMIFS('Bucket Counts'!$P:$P, 'Bucket Counts'!$B:$B, BO$2, 'Bucket Counts'!$A:$A, "="&amp;$A20,  'Bucket Counts'!$F:$F, "&lt;&gt;100 Morts",  'Bucket Counts'!$F:$F, "&lt;&gt;224"))</f>
        <v>0</v>
      </c>
      <c r="BP20" s="116">
        <f>(SUMIFS('Bucket Counts'!$P:$P, 'Bucket Counts'!$B:$B, BP$2, 'Bucket Counts'!$A:$A, "="&amp;$A20,  'Bucket Counts'!$F:$F, "100 Morts"))</f>
        <v>0</v>
      </c>
      <c r="BQ20" s="116">
        <f>(SUMIFS('Bucket Counts'!$P:$P, 'Bucket Counts'!$B:$B, BQ$2, 'Bucket Counts'!$A:$A, "="&amp;$A20,  'Bucket Counts'!$F:$F, "224"))</f>
        <v>0</v>
      </c>
      <c r="BR20" s="116"/>
      <c r="BS20" s="426">
        <f>(BQ20+BO20)/BT19</f>
        <v>0</v>
      </c>
      <c r="BT20" s="370">
        <f>BO17+SUM(BN17:BN20)</f>
        <v>50400</v>
      </c>
      <c r="BU20" s="369">
        <f>SUMIFS(Collection!$O:$O, Collection!$K:$K, BU$2, Collection!$A:$A, "="&amp;$A20)</f>
        <v>0</v>
      </c>
      <c r="BV20" s="116">
        <f>(SUMIFS('Bucket Counts'!$P:$P, 'Bucket Counts'!$B:$B, BV$2, 'Bucket Counts'!$A:$A, "="&amp;$A20,  'Bucket Counts'!$F:$F, "&lt;&gt;100 Morts",  'Bucket Counts'!$F:$F, "&lt;&gt;224"))</f>
        <v>0</v>
      </c>
      <c r="BW20" s="116">
        <f>(SUMIFS('Bucket Counts'!$P:$P, 'Bucket Counts'!$B:$B, BW$2, 'Bucket Counts'!$A:$A, "="&amp;$A20,  'Bucket Counts'!$F:$F, "100 Morts"))</f>
        <v>0</v>
      </c>
      <c r="BX20" s="116">
        <f>(SUMIFS('Bucket Counts'!$P:$P, 'Bucket Counts'!$B:$B, BX$2, 'Bucket Counts'!$A:$A, "="&amp;$A20,  'Bucket Counts'!$F:$F, "224"))</f>
        <v>0</v>
      </c>
      <c r="BY20" s="116"/>
      <c r="BZ20" s="426" t="e">
        <f>(BX20+BV20)/CA19</f>
        <v>#DIV/0!</v>
      </c>
      <c r="CA20" s="370">
        <f>BV17+SUM(BU17:BU20)</f>
        <v>0</v>
      </c>
      <c r="CB20" s="369">
        <f>SUMIFS(Collection!$O:$O, Collection!$K:$K, CB$2, Collection!$A:$A, "="&amp;$A20)</f>
        <v>0</v>
      </c>
      <c r="CC20" s="116">
        <f>(SUMIFS('Bucket Counts'!$P:$P, 'Bucket Counts'!$B:$B, CC$2, 'Bucket Counts'!$A:$A, "="&amp;$A20,  'Bucket Counts'!$F:$F, "&lt;&gt;100 Morts",  'Bucket Counts'!$F:$F, "&lt;&gt;224"))</f>
        <v>0</v>
      </c>
      <c r="CD20" s="116">
        <f>(SUMIFS('Bucket Counts'!$P:$P, 'Bucket Counts'!$B:$B, CD$2, 'Bucket Counts'!$A:$A, "="&amp;$A20,  'Bucket Counts'!$F:$F, "100 Morts"))</f>
        <v>0</v>
      </c>
      <c r="CE20" s="116">
        <f>(SUMIFS('Bucket Counts'!$P:$P, 'Bucket Counts'!$B:$B, CE$2, 'Bucket Counts'!$A:$A, "="&amp;$A20,  'Bucket Counts'!$F:$F, "224"))</f>
        <v>0</v>
      </c>
      <c r="CF20" s="116"/>
      <c r="CG20" s="426" t="e">
        <f>(CE20+CC20)/CH19</f>
        <v>#DIV/0!</v>
      </c>
      <c r="CH20" s="370">
        <f>CC17+SUM(CB17:CB20)</f>
        <v>0</v>
      </c>
      <c r="CI20" s="369">
        <f>SUMIFS(Collection!$O:$O, Collection!$K:$K, CI$2, Collection!$A:$A, "="&amp;$A20)</f>
        <v>50266.666666666664</v>
      </c>
      <c r="CJ20" s="116">
        <f>(SUMIFS('Bucket Counts'!$P:$P, 'Bucket Counts'!$B:$B, CJ$2, 'Bucket Counts'!$A:$A, "="&amp;$A20,  'Bucket Counts'!$F:$F, "&lt;&gt;100 Morts",  'Bucket Counts'!$F:$F, "&lt;&gt;224"))</f>
        <v>0</v>
      </c>
      <c r="CK20" s="116">
        <f>(SUMIFS('Bucket Counts'!$P:$P, 'Bucket Counts'!$B:$B, CK$2, 'Bucket Counts'!$A:$A, "="&amp;$A20,  'Bucket Counts'!$F:$F, "100 Morts"))</f>
        <v>0</v>
      </c>
      <c r="CL20" s="116">
        <f>(SUMIFS('Bucket Counts'!$P:$P, 'Bucket Counts'!$B:$B, CL$2, 'Bucket Counts'!$A:$A, "="&amp;$A20,  'Bucket Counts'!$F:$F, "224"))</f>
        <v>0</v>
      </c>
      <c r="CM20" s="116"/>
      <c r="CN20" s="426">
        <f>(CL20+CJ20)/CO19</f>
        <v>0</v>
      </c>
      <c r="CO20" s="370">
        <f>CJ17+SUM(CI17:CI20)</f>
        <v>162800</v>
      </c>
      <c r="CP20" s="369">
        <f>SUMIFS(Collection!$O:$O, Collection!$K:$K, CP$2, Collection!$A:$A, "="&amp;$A20)</f>
        <v>0</v>
      </c>
      <c r="CQ20" s="116">
        <f>(SUMIFS('Bucket Counts'!$P:$P, 'Bucket Counts'!$B:$B, CQ$2, 'Bucket Counts'!$A:$A, "="&amp;$A20,  'Bucket Counts'!$F:$F, "&lt;&gt;100 Morts",  'Bucket Counts'!$F:$F, "&lt;&gt;224"))</f>
        <v>0</v>
      </c>
      <c r="CR20" s="116">
        <f>(SUMIFS('Bucket Counts'!$P:$P, 'Bucket Counts'!$B:$B, CR$2, 'Bucket Counts'!$A:$A, "="&amp;$A20,  'Bucket Counts'!$F:$F, "100 Morts"))</f>
        <v>0</v>
      </c>
      <c r="CS20" s="116">
        <f>(SUMIFS('Bucket Counts'!$P:$P, 'Bucket Counts'!$B:$B, CS$2, 'Bucket Counts'!$A:$A, "="&amp;$A20,  'Bucket Counts'!$F:$F, "224"))</f>
        <v>0</v>
      </c>
      <c r="CT20" s="116"/>
      <c r="CU20" s="426">
        <f>(CS20+CQ20)/CV19</f>
        <v>0</v>
      </c>
      <c r="CV20" s="370">
        <f>CQ17+SUM(CP17:CP20)</f>
        <v>53600</v>
      </c>
      <c r="CW20" s="369">
        <f>SUMIFS(Collection!$O:$O, Collection!$K:$K, CW$2, Collection!$A:$A, "="&amp;$A20)</f>
        <v>52650</v>
      </c>
      <c r="CX20" s="116">
        <f>(SUMIFS('Bucket Counts'!$P:$P, 'Bucket Counts'!$B:$B, CX$2, 'Bucket Counts'!$A:$A, "="&amp;$A20,  'Bucket Counts'!$F:$F, "&lt;&gt;100 Morts",  'Bucket Counts'!$F:$F, "&lt;&gt;224"))</f>
        <v>0</v>
      </c>
      <c r="CY20" s="116">
        <f>(SUMIFS('Bucket Counts'!$P:$P, 'Bucket Counts'!$B:$B, CY$2, 'Bucket Counts'!$A:$A, "="&amp;$A20,  'Bucket Counts'!$F:$F, "100 Morts"))</f>
        <v>0</v>
      </c>
      <c r="CZ20" s="116">
        <f>(SUMIFS('Bucket Counts'!$P:$P, 'Bucket Counts'!$B:$B, CZ$2, 'Bucket Counts'!$A:$A, "="&amp;$A20,  'Bucket Counts'!$F:$F, "224"))</f>
        <v>0</v>
      </c>
      <c r="DA20" s="116"/>
      <c r="DB20" s="426">
        <f>(CZ20+CX20)/DC19</f>
        <v>0</v>
      </c>
      <c r="DC20" s="370">
        <f>CX17+SUM(CW17:CW20)</f>
        <v>119316.66666666667</v>
      </c>
      <c r="DD20" s="369">
        <f>SUMIFS(Collection!$O:$O, Collection!$K:$K, DD$2, Collection!$A:$A, "="&amp;$A20)</f>
        <v>0</v>
      </c>
      <c r="DE20" s="116">
        <f>(SUMIFS('Bucket Counts'!$P:$P, 'Bucket Counts'!$B:$B, DE$2, 'Bucket Counts'!$A:$A, "="&amp;$A20,  'Bucket Counts'!$F:$F, "&lt;&gt;100 Morts",  'Bucket Counts'!$F:$F, "&lt;&gt;224"))</f>
        <v>0</v>
      </c>
      <c r="DF20" s="116">
        <f>(SUMIFS('Bucket Counts'!$P:$P, 'Bucket Counts'!$B:$B, DF$2, 'Bucket Counts'!$A:$A, "="&amp;$A20,  'Bucket Counts'!$F:$F, "100 Morts"))</f>
        <v>0</v>
      </c>
      <c r="DG20" s="116">
        <f>(SUMIFS('Bucket Counts'!$P:$P, 'Bucket Counts'!$B:$B, DG$2, 'Bucket Counts'!$A:$A, "="&amp;$A20,  'Bucket Counts'!$F:$F, "224"))</f>
        <v>0</v>
      </c>
      <c r="DH20" s="116"/>
      <c r="DI20" s="426">
        <f>(DG20+DE20)/DJ19</f>
        <v>0</v>
      </c>
      <c r="DJ20" s="370">
        <f>DE17+SUM(DD17:DD20)</f>
        <v>20800</v>
      </c>
      <c r="DK20" s="369">
        <f>SUMIFS(Collection!$O:$O, Collection!$K:$K, DK$2, Collection!$A:$A, "="&amp;$A20)</f>
        <v>0</v>
      </c>
      <c r="DL20" s="116">
        <f>(SUMIFS('Bucket Counts'!$P:$P, 'Bucket Counts'!$B:$B, DL$2, 'Bucket Counts'!$A:$A, "="&amp;$A20,  'Bucket Counts'!$F:$F, "&lt;&gt;100 Morts",  'Bucket Counts'!$F:$F, "&lt;&gt;224"))</f>
        <v>0</v>
      </c>
      <c r="DM20" s="116">
        <f>(SUMIFS('Bucket Counts'!$P:$P, 'Bucket Counts'!$B:$B, DM$2, 'Bucket Counts'!$A:$A, "="&amp;$A20,  'Bucket Counts'!$F:$F, "100 Morts"))</f>
        <v>0</v>
      </c>
      <c r="DN20" s="116">
        <f>(SUMIFS('Bucket Counts'!$P:$P, 'Bucket Counts'!$B:$B, DN$2, 'Bucket Counts'!$A:$A, "="&amp;$A20,  'Bucket Counts'!$F:$F, "224"))</f>
        <v>0</v>
      </c>
      <c r="DO20" s="116"/>
      <c r="DP20" s="426" t="e">
        <f>(DN20+DL20)/DQ19</f>
        <v>#DIV/0!</v>
      </c>
      <c r="DQ20" s="370">
        <f>DL17+SUM(DK17:DK20)</f>
        <v>0</v>
      </c>
      <c r="DR20" s="369">
        <f>SUMIFS(Collection!$O:$O, Collection!$K:$K, DR$2, Collection!$A:$A, "="&amp;$A20)</f>
        <v>0</v>
      </c>
      <c r="DS20" s="116">
        <f>(SUMIFS('Bucket Counts'!$P:$P, 'Bucket Counts'!$B:$B, DS$2, 'Bucket Counts'!$A:$A, "="&amp;$A20,  'Bucket Counts'!$F:$F, "&lt;&gt;100 Morts",  'Bucket Counts'!$F:$F, "&lt;&gt;224"))</f>
        <v>0</v>
      </c>
      <c r="DT20" s="116">
        <f>(SUMIFS('Bucket Counts'!$P:$P, 'Bucket Counts'!$B:$B, DT$2, 'Bucket Counts'!$A:$A, "="&amp;$A20,  'Bucket Counts'!$F:$F, "100 Morts"))</f>
        <v>0</v>
      </c>
      <c r="DU20" s="116">
        <f>(SUMIFS('Bucket Counts'!$P:$P, 'Bucket Counts'!$B:$B, DU$2, 'Bucket Counts'!$A:$A, "="&amp;$A20,  'Bucket Counts'!$F:$F, "224"))</f>
        <v>0</v>
      </c>
      <c r="DV20" s="116"/>
      <c r="DW20" s="426">
        <f>(DU20+DS20)/DX19</f>
        <v>0</v>
      </c>
      <c r="DX20" s="370">
        <f>DS17+SUM(DR17:DR20)</f>
        <v>48800</v>
      </c>
      <c r="DY20" s="369">
        <f>SUMIFS(Collection!$O:$O, Collection!$K:$K, DY$2, Collection!$A:$A, "="&amp;$A20)</f>
        <v>0</v>
      </c>
      <c r="DZ20" s="116">
        <f>(SUMIFS('Bucket Counts'!$P:$P, 'Bucket Counts'!$B:$B, DZ$2, 'Bucket Counts'!$A:$A, "="&amp;$A20,  'Bucket Counts'!$F:$F, "&lt;&gt;100 Morts",  'Bucket Counts'!$F:$F, "&lt;&gt;224"))</f>
        <v>0</v>
      </c>
      <c r="EA20" s="116">
        <f>(SUMIFS('Bucket Counts'!$P:$P, 'Bucket Counts'!$B:$B, EA$2, 'Bucket Counts'!$A:$A, "="&amp;$A20,  'Bucket Counts'!$F:$F, "100 Morts"))</f>
        <v>0</v>
      </c>
      <c r="EB20" s="116">
        <f>(SUMIFS('Bucket Counts'!$P:$P, 'Bucket Counts'!$B:$B, EB$2, 'Bucket Counts'!$A:$A, "="&amp;$A20,  'Bucket Counts'!$F:$F, "224"))</f>
        <v>0</v>
      </c>
      <c r="EC20" s="116"/>
      <c r="ED20" s="426">
        <f>(EB20+DZ20)/EE19</f>
        <v>0</v>
      </c>
      <c r="EE20" s="370">
        <f>DZ17+SUM(DY17:DY20)</f>
        <v>3200</v>
      </c>
      <c r="EF20" s="369">
        <f>SUMIFS(Collection!$O:$O, Collection!$K:$K, EF$2, Collection!$A:$A, "="&amp;$A20)</f>
        <v>0</v>
      </c>
      <c r="EG20" s="116">
        <f>(SUMIFS('Bucket Counts'!$P:$P, 'Bucket Counts'!$B:$B, EG$2, 'Bucket Counts'!$A:$A, "="&amp;$A20,  'Bucket Counts'!$F:$F, "&lt;&gt;100 Morts",  'Bucket Counts'!$F:$F, "&lt;&gt;224"))</f>
        <v>0</v>
      </c>
      <c r="EH20" s="116">
        <f>(SUMIFS('Bucket Counts'!$P:$P, 'Bucket Counts'!$B:$B, EH$2, 'Bucket Counts'!$A:$A, "="&amp;$A20,  'Bucket Counts'!$F:$F, "100 Morts"))</f>
        <v>0</v>
      </c>
      <c r="EI20" s="116">
        <f>(SUMIFS('Bucket Counts'!$P:$P, 'Bucket Counts'!$B:$B, EI$2, 'Bucket Counts'!$A:$A, "="&amp;$A20,  'Bucket Counts'!$F:$F, "224"))</f>
        <v>0</v>
      </c>
      <c r="EJ20" s="116"/>
      <c r="EK20" s="426" t="e">
        <f>(EI20+EG20)/EL19</f>
        <v>#DIV/0!</v>
      </c>
      <c r="EL20" s="370">
        <f>EG17+SUM(EF17:EF20)</f>
        <v>0</v>
      </c>
    </row>
    <row r="21" spans="1:142" s="362" customFormat="1" x14ac:dyDescent="0.2">
      <c r="A21" s="16">
        <v>42890</v>
      </c>
      <c r="B21" s="16" t="s">
        <v>487</v>
      </c>
      <c r="C21" s="369">
        <f>SUMIFS(Collection!$O:$O, Collection!$K:$K, C$2, Collection!$A:$A, "="&amp;$A21)</f>
        <v>2933.333333333333</v>
      </c>
      <c r="D21" s="116">
        <f>(SUMIFS('Bucket Counts'!$P:$P, 'Bucket Counts'!$B:$B, D$2, 'Bucket Counts'!$A:$A, "="&amp;$A21,  'Bucket Counts'!$F:$F, "&lt;&gt;100 Morts",  'Bucket Counts'!$F:$F, "&lt;&gt;224"))</f>
        <v>0</v>
      </c>
      <c r="E21" s="116">
        <f>(SUMIFS('Bucket Counts'!$P:$P, 'Bucket Counts'!$B:$B, E$2, 'Bucket Counts'!$A:$A, "="&amp;$A21,  'Bucket Counts'!$F:$F, "100 Morts"))</f>
        <v>0</v>
      </c>
      <c r="F21" s="116">
        <f>(SUMIFS('Bucket Counts'!$P:$P, 'Bucket Counts'!$B:$B, F$2, 'Bucket Counts'!$A:$A, "="&amp;$A21,  'Bucket Counts'!$F:$F, "224"))</f>
        <v>0</v>
      </c>
      <c r="G21" s="116"/>
      <c r="H21" s="426">
        <f>(F21+D21)/I20</f>
        <v>0</v>
      </c>
      <c r="I21" s="370">
        <f>D17+SUM(C17:C21)</f>
        <v>77660</v>
      </c>
      <c r="J21" s="369">
        <f>SUMIFS(Collection!$O:$O, Collection!$K:$K, J$2, Collection!$A:$A, "="&amp;$A21)</f>
        <v>1200</v>
      </c>
      <c r="K21" s="116">
        <f>(SUMIFS('Bucket Counts'!$P:$P, 'Bucket Counts'!$B:$B, K$2, 'Bucket Counts'!$A:$A, "="&amp;$A21,  'Bucket Counts'!$F:$F, "&lt;&gt;100 Morts",  'Bucket Counts'!$F:$F, "&lt;&gt;224"))</f>
        <v>0</v>
      </c>
      <c r="L21" s="116">
        <f>(SUMIFS('Bucket Counts'!$P:$P, 'Bucket Counts'!$B:$B, L$2, 'Bucket Counts'!$A:$A, "="&amp;$A21,  'Bucket Counts'!$F:$F, "100 Morts"))</f>
        <v>0</v>
      </c>
      <c r="M21" s="116">
        <f>(SUMIFS('Bucket Counts'!$P:$P, 'Bucket Counts'!$B:$B, M$2, 'Bucket Counts'!$A:$A, "="&amp;$A21,  'Bucket Counts'!$F:$F, "224"))</f>
        <v>0</v>
      </c>
      <c r="N21" s="116"/>
      <c r="O21" s="426">
        <f>(M21+K21)/P20</f>
        <v>0</v>
      </c>
      <c r="P21" s="370">
        <f>K17+SUM(J17:J21)</f>
        <v>67600</v>
      </c>
      <c r="Q21" s="369">
        <f>SUMIFS(Collection!$O:$O, Collection!$K:$K, Q$2, Collection!$A:$A, "="&amp;$A21)</f>
        <v>0</v>
      </c>
      <c r="R21" s="116">
        <f>(SUMIFS('Bucket Counts'!$P:$P, 'Bucket Counts'!$B:$B, R$2, 'Bucket Counts'!$A:$A, "="&amp;$A21,  'Bucket Counts'!$F:$F, "&lt;&gt;100 Morts",  'Bucket Counts'!$F:$F, "&lt;&gt;224"))</f>
        <v>0</v>
      </c>
      <c r="S21" s="116">
        <f>(SUMIFS('Bucket Counts'!$P:$P, 'Bucket Counts'!$B:$B, S$2, 'Bucket Counts'!$A:$A, "="&amp;$A21,  'Bucket Counts'!$F:$F, "100 Morts"))</f>
        <v>0</v>
      </c>
      <c r="T21" s="116">
        <f>(SUMIFS('Bucket Counts'!$P:$P, 'Bucket Counts'!$B:$B, T$2, 'Bucket Counts'!$A:$A, "="&amp;$A21,  'Bucket Counts'!$F:$F, "224"))</f>
        <v>0</v>
      </c>
      <c r="U21" s="116"/>
      <c r="V21" s="426">
        <f>(T21+R21)/W20</f>
        <v>0</v>
      </c>
      <c r="W21" s="370">
        <f>R17+SUM(Q17:Q21)</f>
        <v>68533.333333333328</v>
      </c>
      <c r="X21" s="369">
        <f>SUMIFS(Collection!$O:$O, Collection!$K:$K, X$2, Collection!$A:$A, "="&amp;$A21)</f>
        <v>0</v>
      </c>
      <c r="Y21" s="116">
        <f>(SUMIFS('Bucket Counts'!$P:$P, 'Bucket Counts'!$B:$B, Y$2, 'Bucket Counts'!$A:$A, "="&amp;$A21,  'Bucket Counts'!$F:$F, "&lt;&gt;100 Morts",  'Bucket Counts'!$F:$F, "&lt;&gt;224"))</f>
        <v>0</v>
      </c>
      <c r="Z21" s="116">
        <f>(SUMIFS('Bucket Counts'!$P:$P, 'Bucket Counts'!$B:$B, Z$2, 'Bucket Counts'!$A:$A, "="&amp;$A21,  'Bucket Counts'!$F:$F, "100 Morts"))</f>
        <v>0</v>
      </c>
      <c r="AA21" s="116">
        <f>(SUMIFS('Bucket Counts'!$P:$P, 'Bucket Counts'!$B:$B, AA$2, 'Bucket Counts'!$A:$A, "="&amp;$A21,  'Bucket Counts'!$F:$F, "224"))</f>
        <v>0</v>
      </c>
      <c r="AB21" s="116"/>
      <c r="AC21" s="426">
        <f>(AA21+Y21)/AD20</f>
        <v>0</v>
      </c>
      <c r="AD21" s="370">
        <f>Y17+SUM(X17:X21)</f>
        <v>16800</v>
      </c>
      <c r="AE21" s="369">
        <f>SUMIFS(Collection!$O:$O, Collection!$K:$K, AE$2, Collection!$A:$A, "="&amp;$A21)</f>
        <v>0</v>
      </c>
      <c r="AF21" s="116">
        <f>(SUMIFS('Bucket Counts'!$P:$P, 'Bucket Counts'!$B:$B, AF$2, 'Bucket Counts'!$A:$A, "="&amp;$A21,  'Bucket Counts'!$F:$F, "&lt;&gt;100 Morts",  'Bucket Counts'!$F:$F, "&lt;&gt;224"))</f>
        <v>0</v>
      </c>
      <c r="AG21" s="116">
        <f>(SUMIFS('Bucket Counts'!$P:$P, 'Bucket Counts'!$B:$B, AG$2, 'Bucket Counts'!$A:$A, "="&amp;$A21,  'Bucket Counts'!$F:$F, "100 Morts"))</f>
        <v>0</v>
      </c>
      <c r="AH21" s="116">
        <f>(SUMIFS('Bucket Counts'!$P:$P, 'Bucket Counts'!$B:$B, AH$2, 'Bucket Counts'!$A:$A, "="&amp;$A21,  'Bucket Counts'!$F:$F, "224"))</f>
        <v>0</v>
      </c>
      <c r="AI21" s="116"/>
      <c r="AJ21" s="426">
        <f>(AH21+AF21)/AK20</f>
        <v>0</v>
      </c>
      <c r="AK21" s="370">
        <f>AF17+SUM(AE17:AE21)</f>
        <v>232793.33333333334</v>
      </c>
      <c r="AL21" s="369">
        <f>SUMIFS(Collection!$O:$O, Collection!$K:$K, AL$2, Collection!$A:$A, "="&amp;$A21)</f>
        <v>0</v>
      </c>
      <c r="AM21" s="116">
        <f>(SUMIFS('Bucket Counts'!$P:$P, 'Bucket Counts'!$B:$B, AM$2, 'Bucket Counts'!$A:$A, "="&amp;$A21,  'Bucket Counts'!$F:$F, "&lt;&gt;100 Morts",  'Bucket Counts'!$F:$F, "&lt;&gt;224"))</f>
        <v>0</v>
      </c>
      <c r="AN21" s="116">
        <f>(SUMIFS('Bucket Counts'!$P:$P, 'Bucket Counts'!$B:$B, AN$2, 'Bucket Counts'!$A:$A, "="&amp;$A21,  'Bucket Counts'!$F:$F, "100 Morts"))</f>
        <v>0</v>
      </c>
      <c r="AO21" s="116">
        <f>(SUMIFS('Bucket Counts'!$P:$P, 'Bucket Counts'!$B:$B, AO$2, 'Bucket Counts'!$A:$A, "="&amp;$A21,  'Bucket Counts'!$F:$F, "224"))</f>
        <v>0</v>
      </c>
      <c r="AP21" s="116"/>
      <c r="AQ21" s="426">
        <f>(AO21+AM21)/AR20</f>
        <v>0</v>
      </c>
      <c r="AR21" s="370">
        <f>AM17+SUM(AL17:AL21)</f>
        <v>73400</v>
      </c>
      <c r="AS21" s="369">
        <f>SUMIFS(Collection!$O:$O, Collection!$K:$K, AS$2, Collection!$A:$A, "="&amp;$A21)</f>
        <v>0</v>
      </c>
      <c r="AT21" s="116">
        <f>(SUMIFS('Bucket Counts'!$P:$P, 'Bucket Counts'!$B:$B, AT$2, 'Bucket Counts'!$A:$A, "="&amp;$A21,  'Bucket Counts'!$F:$F, "&lt;&gt;100 Morts",  'Bucket Counts'!$F:$F, "&lt;&gt;224"))</f>
        <v>0</v>
      </c>
      <c r="AU21" s="116">
        <f>(SUMIFS('Bucket Counts'!$P:$P, 'Bucket Counts'!$B:$B, AU$2, 'Bucket Counts'!$A:$A, "="&amp;$A21,  'Bucket Counts'!$F:$F, "100 Morts"))</f>
        <v>0</v>
      </c>
      <c r="AV21" s="116">
        <f>(SUMIFS('Bucket Counts'!$P:$P, 'Bucket Counts'!$B:$B, AV$2, 'Bucket Counts'!$A:$A, "="&amp;$A21,  'Bucket Counts'!$F:$F, "224"))</f>
        <v>0</v>
      </c>
      <c r="AW21" s="116"/>
      <c r="AX21" s="426">
        <f>(AV21+AT21)/AY20</f>
        <v>0</v>
      </c>
      <c r="AY21" s="370">
        <f>AT17+SUM(AS17:AS21)</f>
        <v>57816.666666666664</v>
      </c>
      <c r="AZ21" s="369">
        <f>SUMIFS(Collection!$O:$O, Collection!$K:$K, AZ$2, Collection!$A:$A, "="&amp;$A21)</f>
        <v>0</v>
      </c>
      <c r="BA21" s="116">
        <f>(SUMIFS('Bucket Counts'!$P:$P, 'Bucket Counts'!$B:$B, BA$2, 'Bucket Counts'!$A:$A, "="&amp;$A21,  'Bucket Counts'!$F:$F, "&lt;&gt;100 Morts",  'Bucket Counts'!$F:$F, "&lt;&gt;224"))</f>
        <v>0</v>
      </c>
      <c r="BB21" s="116">
        <f>(SUMIFS('Bucket Counts'!$P:$P, 'Bucket Counts'!$B:$B, BB$2, 'Bucket Counts'!$A:$A, "="&amp;$A21,  'Bucket Counts'!$F:$F, "100 Morts"))</f>
        <v>0</v>
      </c>
      <c r="BC21" s="116">
        <f>(SUMIFS('Bucket Counts'!$P:$P, 'Bucket Counts'!$B:$B, BC$2, 'Bucket Counts'!$A:$A, "="&amp;$A21,  'Bucket Counts'!$F:$F, "224"))</f>
        <v>0</v>
      </c>
      <c r="BD21" s="116"/>
      <c r="BE21" s="426" t="e">
        <f>(BC21+BA21)/BF20</f>
        <v>#VALUE!</v>
      </c>
      <c r="BF21" s="370" t="e">
        <f>BA17+SUM(AZ17:AZ21)</f>
        <v>#VALUE!</v>
      </c>
      <c r="BG21" s="369">
        <f>SUMIFS(Collection!$O:$O, Collection!$K:$K, BG$2, Collection!$A:$A, "="&amp;$A21)</f>
        <v>0</v>
      </c>
      <c r="BH21" s="116">
        <f>(SUMIFS('Bucket Counts'!$P:$P, 'Bucket Counts'!$B:$B, BH$2, 'Bucket Counts'!$A:$A, "="&amp;$A21,  'Bucket Counts'!$F:$F, "&lt;&gt;100 Morts",  'Bucket Counts'!$F:$F, "&lt;&gt;224"))</f>
        <v>0</v>
      </c>
      <c r="BI21" s="116">
        <f>(SUMIFS('Bucket Counts'!$P:$P, 'Bucket Counts'!$B:$B, BI$2, 'Bucket Counts'!$A:$A, "="&amp;$A21,  'Bucket Counts'!$F:$F, "100 Morts"))</f>
        <v>0</v>
      </c>
      <c r="BJ21" s="116">
        <f>(SUMIFS('Bucket Counts'!$P:$P, 'Bucket Counts'!$B:$B, BJ$2, 'Bucket Counts'!$A:$A, "="&amp;$A21,  'Bucket Counts'!$F:$F, "224"))</f>
        <v>0</v>
      </c>
      <c r="BK21" s="116"/>
      <c r="BL21" s="426" t="e">
        <f>(BJ21+BH21)/BM20</f>
        <v>#VALUE!</v>
      </c>
      <c r="BM21" s="370" t="e">
        <f>BH17+SUM(BG17:BG21)</f>
        <v>#VALUE!</v>
      </c>
      <c r="BN21" s="369">
        <f>SUMIFS(Collection!$O:$O, Collection!$K:$K, BN$2, Collection!$A:$A, "="&amp;$A21)</f>
        <v>0</v>
      </c>
      <c r="BO21" s="116">
        <f>(SUMIFS('Bucket Counts'!$P:$P, 'Bucket Counts'!$B:$B, BO$2, 'Bucket Counts'!$A:$A, "="&amp;$A21,  'Bucket Counts'!$F:$F, "&lt;&gt;100 Morts",  'Bucket Counts'!$F:$F, "&lt;&gt;224"))</f>
        <v>0</v>
      </c>
      <c r="BP21" s="116">
        <f>(SUMIFS('Bucket Counts'!$P:$P, 'Bucket Counts'!$B:$B, BP$2, 'Bucket Counts'!$A:$A, "="&amp;$A21,  'Bucket Counts'!$F:$F, "100 Morts"))</f>
        <v>0</v>
      </c>
      <c r="BQ21" s="116">
        <f>(SUMIFS('Bucket Counts'!$P:$P, 'Bucket Counts'!$B:$B, BQ$2, 'Bucket Counts'!$A:$A, "="&amp;$A21,  'Bucket Counts'!$F:$F, "224"))</f>
        <v>0</v>
      </c>
      <c r="BR21" s="116"/>
      <c r="BS21" s="426">
        <f>(BQ21+BO21)/BT20</f>
        <v>0</v>
      </c>
      <c r="BT21" s="370">
        <f>BO17+SUM(BN17:BN21)</f>
        <v>50400</v>
      </c>
      <c r="BU21" s="369">
        <f>SUMIFS(Collection!$O:$O, Collection!$K:$K, BU$2, Collection!$A:$A, "="&amp;$A21)</f>
        <v>0</v>
      </c>
      <c r="BV21" s="116">
        <f>(SUMIFS('Bucket Counts'!$P:$P, 'Bucket Counts'!$B:$B, BV$2, 'Bucket Counts'!$A:$A, "="&amp;$A21,  'Bucket Counts'!$F:$F, "&lt;&gt;100 Morts",  'Bucket Counts'!$F:$F, "&lt;&gt;224"))</f>
        <v>0</v>
      </c>
      <c r="BW21" s="116">
        <f>(SUMIFS('Bucket Counts'!$P:$P, 'Bucket Counts'!$B:$B, BW$2, 'Bucket Counts'!$A:$A, "="&amp;$A21,  'Bucket Counts'!$F:$F, "100 Morts"))</f>
        <v>0</v>
      </c>
      <c r="BX21" s="116">
        <f>(SUMIFS('Bucket Counts'!$P:$P, 'Bucket Counts'!$B:$B, BX$2, 'Bucket Counts'!$A:$A, "="&amp;$A21,  'Bucket Counts'!$F:$F, "224"))</f>
        <v>0</v>
      </c>
      <c r="BY21" s="116"/>
      <c r="BZ21" s="426" t="e">
        <f>(BX21+BV21)/CA20</f>
        <v>#DIV/0!</v>
      </c>
      <c r="CA21" s="370">
        <f>BV17+SUM(BU17:BU21)</f>
        <v>0</v>
      </c>
      <c r="CB21" s="369">
        <f>SUMIFS(Collection!$O:$O, Collection!$K:$K, CB$2, Collection!$A:$A, "="&amp;$A21)</f>
        <v>0</v>
      </c>
      <c r="CC21" s="116">
        <f>(SUMIFS('Bucket Counts'!$P:$P, 'Bucket Counts'!$B:$B, CC$2, 'Bucket Counts'!$A:$A, "="&amp;$A21,  'Bucket Counts'!$F:$F, "&lt;&gt;100 Morts",  'Bucket Counts'!$F:$F, "&lt;&gt;224"))</f>
        <v>0</v>
      </c>
      <c r="CD21" s="116">
        <f>(SUMIFS('Bucket Counts'!$P:$P, 'Bucket Counts'!$B:$B, CD$2, 'Bucket Counts'!$A:$A, "="&amp;$A21,  'Bucket Counts'!$F:$F, "100 Morts"))</f>
        <v>0</v>
      </c>
      <c r="CE21" s="116">
        <f>(SUMIFS('Bucket Counts'!$P:$P, 'Bucket Counts'!$B:$B, CE$2, 'Bucket Counts'!$A:$A, "="&amp;$A21,  'Bucket Counts'!$F:$F, "224"))</f>
        <v>0</v>
      </c>
      <c r="CF21" s="116"/>
      <c r="CG21" s="426" t="e">
        <f>(CE21+CC21)/CH20</f>
        <v>#DIV/0!</v>
      </c>
      <c r="CH21" s="370">
        <f>CC17+SUM(CB17:CB21)</f>
        <v>0</v>
      </c>
      <c r="CI21" s="369">
        <f>SUMIFS(Collection!$O:$O, Collection!$K:$K, CI$2, Collection!$A:$A, "="&amp;$A21)</f>
        <v>0</v>
      </c>
      <c r="CJ21" s="116">
        <f>(SUMIFS('Bucket Counts'!$P:$P, 'Bucket Counts'!$B:$B, CJ$2, 'Bucket Counts'!$A:$A, "="&amp;$A21,  'Bucket Counts'!$F:$F, "&lt;&gt;100 Morts",  'Bucket Counts'!$F:$F, "&lt;&gt;224"))</f>
        <v>0</v>
      </c>
      <c r="CK21" s="116">
        <f>(SUMIFS('Bucket Counts'!$P:$P, 'Bucket Counts'!$B:$B, CK$2, 'Bucket Counts'!$A:$A, "="&amp;$A21,  'Bucket Counts'!$F:$F, "100 Morts"))</f>
        <v>0</v>
      </c>
      <c r="CL21" s="116">
        <f>(SUMIFS('Bucket Counts'!$P:$P, 'Bucket Counts'!$B:$B, CL$2, 'Bucket Counts'!$A:$A, "="&amp;$A21,  'Bucket Counts'!$F:$F, "224"))</f>
        <v>0</v>
      </c>
      <c r="CM21" s="116"/>
      <c r="CN21" s="426">
        <f>(CL21+CJ21)/CO20</f>
        <v>0</v>
      </c>
      <c r="CO21" s="370">
        <f>CJ17+SUM(CI17:CI21)</f>
        <v>162800</v>
      </c>
      <c r="CP21" s="369">
        <f>SUMIFS(Collection!$O:$O, Collection!$K:$K, CP$2, Collection!$A:$A, "="&amp;$A21)</f>
        <v>57833.333333333336</v>
      </c>
      <c r="CQ21" s="116">
        <f>(SUMIFS('Bucket Counts'!$P:$P, 'Bucket Counts'!$B:$B, CQ$2, 'Bucket Counts'!$A:$A, "="&amp;$A21,  'Bucket Counts'!$F:$F, "&lt;&gt;100 Morts",  'Bucket Counts'!$F:$F, "&lt;&gt;224"))</f>
        <v>0</v>
      </c>
      <c r="CR21" s="116">
        <f>(SUMIFS('Bucket Counts'!$P:$P, 'Bucket Counts'!$B:$B, CR$2, 'Bucket Counts'!$A:$A, "="&amp;$A21,  'Bucket Counts'!$F:$F, "100 Morts"))</f>
        <v>0</v>
      </c>
      <c r="CS21" s="116">
        <f>(SUMIFS('Bucket Counts'!$P:$P, 'Bucket Counts'!$B:$B, CS$2, 'Bucket Counts'!$A:$A, "="&amp;$A21,  'Bucket Counts'!$F:$F, "224"))</f>
        <v>0</v>
      </c>
      <c r="CT21" s="116"/>
      <c r="CU21" s="426">
        <f>(CS21+CQ21)/CV20</f>
        <v>0</v>
      </c>
      <c r="CV21" s="370">
        <f>CQ17+SUM(CP17:CP21)</f>
        <v>111433.33333333334</v>
      </c>
      <c r="CW21" s="369">
        <f>SUMIFS(Collection!$O:$O, Collection!$K:$K, CW$2, Collection!$A:$A, "="&amp;$A21)</f>
        <v>0</v>
      </c>
      <c r="CX21" s="116">
        <f>(SUMIFS('Bucket Counts'!$P:$P, 'Bucket Counts'!$B:$B, CX$2, 'Bucket Counts'!$A:$A, "="&amp;$A21,  'Bucket Counts'!$F:$F, "&lt;&gt;100 Morts",  'Bucket Counts'!$F:$F, "&lt;&gt;224"))</f>
        <v>0</v>
      </c>
      <c r="CY21" s="116">
        <f>(SUMIFS('Bucket Counts'!$P:$P, 'Bucket Counts'!$B:$B, CY$2, 'Bucket Counts'!$A:$A, "="&amp;$A21,  'Bucket Counts'!$F:$F, "100 Morts"))</f>
        <v>0</v>
      </c>
      <c r="CZ21" s="116">
        <f>(SUMIFS('Bucket Counts'!$P:$P, 'Bucket Counts'!$B:$B, CZ$2, 'Bucket Counts'!$A:$A, "="&amp;$A21,  'Bucket Counts'!$F:$F, "224"))</f>
        <v>0</v>
      </c>
      <c r="DA21" s="116"/>
      <c r="DB21" s="426">
        <f>(CZ21+CX21)/DC20</f>
        <v>0</v>
      </c>
      <c r="DC21" s="370">
        <f>CX17+SUM(CW17:CW21)</f>
        <v>119316.66666666667</v>
      </c>
      <c r="DD21" s="369">
        <f>SUMIFS(Collection!$O:$O, Collection!$K:$K, DD$2, Collection!$A:$A, "="&amp;$A21)</f>
        <v>0</v>
      </c>
      <c r="DE21" s="116">
        <f>(SUMIFS('Bucket Counts'!$P:$P, 'Bucket Counts'!$B:$B, DE$2, 'Bucket Counts'!$A:$A, "="&amp;$A21,  'Bucket Counts'!$F:$F, "&lt;&gt;100 Morts",  'Bucket Counts'!$F:$F, "&lt;&gt;224"))</f>
        <v>0</v>
      </c>
      <c r="DF21" s="116">
        <f>(SUMIFS('Bucket Counts'!$P:$P, 'Bucket Counts'!$B:$B, DF$2, 'Bucket Counts'!$A:$A, "="&amp;$A21,  'Bucket Counts'!$F:$F, "100 Morts"))</f>
        <v>0</v>
      </c>
      <c r="DG21" s="116">
        <f>(SUMIFS('Bucket Counts'!$P:$P, 'Bucket Counts'!$B:$B, DG$2, 'Bucket Counts'!$A:$A, "="&amp;$A21,  'Bucket Counts'!$F:$F, "224"))</f>
        <v>0</v>
      </c>
      <c r="DH21" s="116"/>
      <c r="DI21" s="426">
        <f>(DG21+DE21)/DJ20</f>
        <v>0</v>
      </c>
      <c r="DJ21" s="370">
        <f>DE17+SUM(DD17:DD21)</f>
        <v>20800</v>
      </c>
      <c r="DK21" s="369">
        <f>SUMIFS(Collection!$O:$O, Collection!$K:$K, DK$2, Collection!$A:$A, "="&amp;$A21)</f>
        <v>0</v>
      </c>
      <c r="DL21" s="116">
        <f>(SUMIFS('Bucket Counts'!$P:$P, 'Bucket Counts'!$B:$B, DL$2, 'Bucket Counts'!$A:$A, "="&amp;$A21,  'Bucket Counts'!$F:$F, "&lt;&gt;100 Morts",  'Bucket Counts'!$F:$F, "&lt;&gt;224"))</f>
        <v>0</v>
      </c>
      <c r="DM21" s="116">
        <f>(SUMIFS('Bucket Counts'!$P:$P, 'Bucket Counts'!$B:$B, DM$2, 'Bucket Counts'!$A:$A, "="&amp;$A21,  'Bucket Counts'!$F:$F, "100 Morts"))</f>
        <v>0</v>
      </c>
      <c r="DN21" s="116">
        <f>(SUMIFS('Bucket Counts'!$P:$P, 'Bucket Counts'!$B:$B, DN$2, 'Bucket Counts'!$A:$A, "="&amp;$A21,  'Bucket Counts'!$F:$F, "224"))</f>
        <v>0</v>
      </c>
      <c r="DO21" s="116"/>
      <c r="DP21" s="426" t="e">
        <f>(DN21+DL21)/DQ20</f>
        <v>#DIV/0!</v>
      </c>
      <c r="DQ21" s="370">
        <f>DL17+SUM(DK17:DK21)</f>
        <v>0</v>
      </c>
      <c r="DR21" s="369">
        <f>SUMIFS(Collection!$O:$O, Collection!$K:$K, DR$2, Collection!$A:$A, "="&amp;$A21)</f>
        <v>0</v>
      </c>
      <c r="DS21" s="116">
        <f>(SUMIFS('Bucket Counts'!$P:$P, 'Bucket Counts'!$B:$B, DS$2, 'Bucket Counts'!$A:$A, "="&amp;$A21,  'Bucket Counts'!$F:$F, "&lt;&gt;100 Morts",  'Bucket Counts'!$F:$F, "&lt;&gt;224"))</f>
        <v>0</v>
      </c>
      <c r="DT21" s="116">
        <f>(SUMIFS('Bucket Counts'!$P:$P, 'Bucket Counts'!$B:$B, DT$2, 'Bucket Counts'!$A:$A, "="&amp;$A21,  'Bucket Counts'!$F:$F, "100 Morts"))</f>
        <v>0</v>
      </c>
      <c r="DU21" s="116">
        <f>(SUMIFS('Bucket Counts'!$P:$P, 'Bucket Counts'!$B:$B, DU$2, 'Bucket Counts'!$A:$A, "="&amp;$A21,  'Bucket Counts'!$F:$F, "224"))</f>
        <v>0</v>
      </c>
      <c r="DV21" s="116"/>
      <c r="DW21" s="426">
        <f>(DU21+DS21)/DX20</f>
        <v>0</v>
      </c>
      <c r="DX21" s="370">
        <f>DS17+SUM(DR17:DR21)</f>
        <v>48800</v>
      </c>
      <c r="DY21" s="369">
        <f>SUMIFS(Collection!$O:$O, Collection!$K:$K, DY$2, Collection!$A:$A, "="&amp;$A21)</f>
        <v>0</v>
      </c>
      <c r="DZ21" s="116">
        <f>(SUMIFS('Bucket Counts'!$P:$P, 'Bucket Counts'!$B:$B, DZ$2, 'Bucket Counts'!$A:$A, "="&amp;$A21,  'Bucket Counts'!$F:$F, "&lt;&gt;100 Morts",  'Bucket Counts'!$F:$F, "&lt;&gt;224"))</f>
        <v>0</v>
      </c>
      <c r="EA21" s="116">
        <f>(SUMIFS('Bucket Counts'!$P:$P, 'Bucket Counts'!$B:$B, EA$2, 'Bucket Counts'!$A:$A, "="&amp;$A21,  'Bucket Counts'!$F:$F, "100 Morts"))</f>
        <v>0</v>
      </c>
      <c r="EB21" s="116">
        <f>(SUMIFS('Bucket Counts'!$P:$P, 'Bucket Counts'!$B:$B, EB$2, 'Bucket Counts'!$A:$A, "="&amp;$A21,  'Bucket Counts'!$F:$F, "224"))</f>
        <v>0</v>
      </c>
      <c r="EC21" s="116"/>
      <c r="ED21" s="426">
        <f>(EB21+DZ21)/EE20</f>
        <v>0</v>
      </c>
      <c r="EE21" s="370">
        <f>DZ17+SUM(DY17:DY21)</f>
        <v>3200</v>
      </c>
      <c r="EF21" s="369">
        <f>SUMIFS(Collection!$O:$O, Collection!$K:$K, EF$2, Collection!$A:$A, "="&amp;$A21)</f>
        <v>0</v>
      </c>
      <c r="EG21" s="116">
        <f>(SUMIFS('Bucket Counts'!$P:$P, 'Bucket Counts'!$B:$B, EG$2, 'Bucket Counts'!$A:$A, "="&amp;$A21,  'Bucket Counts'!$F:$F, "&lt;&gt;100 Morts",  'Bucket Counts'!$F:$F, "&lt;&gt;224"))</f>
        <v>0</v>
      </c>
      <c r="EH21" s="116">
        <f>(SUMIFS('Bucket Counts'!$P:$P, 'Bucket Counts'!$B:$B, EH$2, 'Bucket Counts'!$A:$A, "="&amp;$A21,  'Bucket Counts'!$F:$F, "100 Morts"))</f>
        <v>0</v>
      </c>
      <c r="EI21" s="116">
        <f>(SUMIFS('Bucket Counts'!$P:$P, 'Bucket Counts'!$B:$B, EI$2, 'Bucket Counts'!$A:$A, "="&amp;$A21,  'Bucket Counts'!$F:$F, "224"))</f>
        <v>0</v>
      </c>
      <c r="EJ21" s="116"/>
      <c r="EK21" s="426" t="e">
        <f>(EI21+EG21)/EL20</f>
        <v>#DIV/0!</v>
      </c>
      <c r="EL21" s="370">
        <f>EG17+SUM(EF17:EF21)</f>
        <v>0</v>
      </c>
    </row>
    <row r="22" spans="1:142" s="434" customFormat="1" x14ac:dyDescent="0.2">
      <c r="A22" s="428">
        <v>42891</v>
      </c>
      <c r="B22" s="428" t="s">
        <v>486</v>
      </c>
      <c r="C22" s="429">
        <f>SUMIFS(Collection!$O:$O, Collection!$K:$K, C$2, Collection!$A:$A, "="&amp;$A22)</f>
        <v>0</v>
      </c>
      <c r="D22" s="430">
        <f>(SUMIFS('Bucket Counts'!$P:$P, 'Bucket Counts'!$B:$B, D$2, 'Bucket Counts'!$A:$A, "="&amp;$A22,  'Bucket Counts'!$F:$F, "&lt;&gt;100 Morts",  'Bucket Counts'!$F:$F, "&lt;&gt;224"))</f>
        <v>58806.666666666672</v>
      </c>
      <c r="E22" s="430">
        <f>(SUMIFS('Bucket Counts'!$P:$P, 'Bucket Counts'!$B:$B, E$2, 'Bucket Counts'!$A:$A, "="&amp;$A22,  'Bucket Counts'!$F:$F, "100 Morts"))</f>
        <v>0</v>
      </c>
      <c r="F22" s="430">
        <f>(SUMIFS('Bucket Counts'!$P:$P, 'Bucket Counts'!$B:$B, F$2, 'Bucket Counts'!$A:$A, "="&amp;$A22,  'Bucket Counts'!$F:$F, "224"))</f>
        <v>0</v>
      </c>
      <c r="G22" s="430">
        <f>I21</f>
        <v>77660</v>
      </c>
      <c r="H22" s="431">
        <f>SUM(D22+F22)</f>
        <v>58806.666666666672</v>
      </c>
      <c r="I22" s="432">
        <f>D22+C22</f>
        <v>58806.666666666672</v>
      </c>
      <c r="J22" s="429">
        <f>SUMIFS(Collection!$O:$O, Collection!$K:$K, J$2, Collection!$A:$A, "="&amp;$A22)</f>
        <v>0</v>
      </c>
      <c r="K22" s="430">
        <f>(SUMIFS('Bucket Counts'!$P:$P, 'Bucket Counts'!$B:$B, K$2, 'Bucket Counts'!$A:$A, "="&amp;$A22,  'Bucket Counts'!$F:$F, "&lt;&gt;100 Morts",  'Bucket Counts'!$F:$F, "&lt;&gt;224"))</f>
        <v>48306.666666666672</v>
      </c>
      <c r="L22" s="430">
        <f>(SUMIFS('Bucket Counts'!$P:$P, 'Bucket Counts'!$B:$B, L$2, 'Bucket Counts'!$A:$A, "="&amp;$A22,  'Bucket Counts'!$F:$F, "100 Morts"))</f>
        <v>0</v>
      </c>
      <c r="M22" s="430">
        <f>(SUMIFS('Bucket Counts'!$P:$P, 'Bucket Counts'!$B:$B, M$2, 'Bucket Counts'!$A:$A, "="&amp;$A22,  'Bucket Counts'!$F:$F, "224"))</f>
        <v>90</v>
      </c>
      <c r="N22" s="430">
        <f>P21</f>
        <v>67600</v>
      </c>
      <c r="O22" s="431">
        <f>SUM(K22+M22)</f>
        <v>48396.666666666672</v>
      </c>
      <c r="P22" s="432">
        <f>K22+J22</f>
        <v>48306.666666666672</v>
      </c>
      <c r="Q22" s="429">
        <f>SUMIFS(Collection!$O:$O, Collection!$K:$K, Q$2, Collection!$A:$A, "="&amp;$A22)</f>
        <v>0</v>
      </c>
      <c r="R22" s="430">
        <f>(SUMIFS('Bucket Counts'!$P:$P, 'Bucket Counts'!$B:$B, R$2, 'Bucket Counts'!$A:$A, "="&amp;$A22,  'Bucket Counts'!$F:$F, "&lt;&gt;100 Morts",  'Bucket Counts'!$F:$F, "&lt;&gt;224"))</f>
        <v>53218.333333333336</v>
      </c>
      <c r="S22" s="430">
        <f>(SUMIFS('Bucket Counts'!$P:$P, 'Bucket Counts'!$B:$B, S$2, 'Bucket Counts'!$A:$A, "="&amp;$A22,  'Bucket Counts'!$F:$F, "100 Morts"))</f>
        <v>0</v>
      </c>
      <c r="T22" s="430">
        <f>(SUMIFS('Bucket Counts'!$P:$P, 'Bucket Counts'!$B:$B, T$2, 'Bucket Counts'!$A:$A, "="&amp;$A22,  'Bucket Counts'!$F:$F, "224"))</f>
        <v>90</v>
      </c>
      <c r="U22" s="430">
        <f>W21</f>
        <v>68533.333333333328</v>
      </c>
      <c r="V22" s="431">
        <f>SUM(R22+T22)</f>
        <v>53308.333333333336</v>
      </c>
      <c r="W22" s="432">
        <f>R22+Q22</f>
        <v>53218.333333333336</v>
      </c>
      <c r="X22" s="429">
        <f>SUMIFS(Collection!$O:$O, Collection!$K:$K, X$2, Collection!$A:$A, "="&amp;$A22)</f>
        <v>100000</v>
      </c>
      <c r="Y22" s="430">
        <f>(SUMIFS('Bucket Counts'!$P:$P, 'Bucket Counts'!$B:$B, Y$2, 'Bucket Counts'!$A:$A, "="&amp;$A22,  'Bucket Counts'!$F:$F, "&lt;&gt;100 Morts",  'Bucket Counts'!$F:$F, "&lt;&gt;224"))</f>
        <v>7870</v>
      </c>
      <c r="Z22" s="430">
        <f>(SUMIFS('Bucket Counts'!$P:$P, 'Bucket Counts'!$B:$B, Z$2, 'Bucket Counts'!$A:$A, "="&amp;$A22,  'Bucket Counts'!$F:$F, "100 Morts"))</f>
        <v>0</v>
      </c>
      <c r="AA22" s="430">
        <f>(SUMIFS('Bucket Counts'!$P:$P, 'Bucket Counts'!$B:$B, AA$2, 'Bucket Counts'!$A:$A, "="&amp;$A22,  'Bucket Counts'!$F:$F, "224"))</f>
        <v>38.888888888888886</v>
      </c>
      <c r="AB22" s="430">
        <f>AD21</f>
        <v>16800</v>
      </c>
      <c r="AC22" s="431">
        <f>SUM(Y22+AA22)</f>
        <v>7908.8888888888887</v>
      </c>
      <c r="AD22" s="432">
        <f>Y22+X22</f>
        <v>107870</v>
      </c>
      <c r="AE22" s="429">
        <f>SUMIFS(Collection!$O:$O, Collection!$K:$K, AE$2, Collection!$A:$A, "="&amp;$A22)</f>
        <v>42293.333333333328</v>
      </c>
      <c r="AF22" s="430">
        <f>(SUMIFS('Bucket Counts'!$P:$P, 'Bucket Counts'!$B:$B, AF$2, 'Bucket Counts'!$A:$A, "="&amp;$A22,  'Bucket Counts'!$F:$F, "&lt;&gt;100 Morts",  'Bucket Counts'!$F:$F, "&lt;&gt;224"))</f>
        <v>138919.99999999997</v>
      </c>
      <c r="AG22" s="430">
        <f>(SUMIFS('Bucket Counts'!$P:$P, 'Bucket Counts'!$B:$B, AG$2, 'Bucket Counts'!$A:$A, "="&amp;$A22,  'Bucket Counts'!$F:$F, "100 Morts"))</f>
        <v>0</v>
      </c>
      <c r="AH22" s="430">
        <f>(SUMIFS('Bucket Counts'!$P:$P, 'Bucket Counts'!$B:$B, AH$2, 'Bucket Counts'!$A:$A, "="&amp;$A22,  'Bucket Counts'!$F:$F, "224"))</f>
        <v>0</v>
      </c>
      <c r="AI22" s="430">
        <f>AK21</f>
        <v>232793.33333333334</v>
      </c>
      <c r="AJ22" s="431">
        <f>SUM(AF22+AH22)</f>
        <v>138919.99999999997</v>
      </c>
      <c r="AK22" s="432">
        <f>AF22+AE22</f>
        <v>181213.33333333331</v>
      </c>
      <c r="AL22" s="429">
        <f>SUMIFS(Collection!$O:$O, Collection!$K:$K, AL$2, Collection!$A:$A, "="&amp;$A22)</f>
        <v>0</v>
      </c>
      <c r="AM22" s="430">
        <f>(SUMIFS('Bucket Counts'!$P:$P, 'Bucket Counts'!$B:$B, AM$2, 'Bucket Counts'!$A:$A, "="&amp;$A22,  'Bucket Counts'!$F:$F, "&lt;&gt;100 Morts",  'Bucket Counts'!$F:$F, "&lt;&gt;224"))</f>
        <v>39093.333333333328</v>
      </c>
      <c r="AN22" s="430">
        <f>(SUMIFS('Bucket Counts'!$P:$P, 'Bucket Counts'!$B:$B, AN$2, 'Bucket Counts'!$A:$A, "="&amp;$A22,  'Bucket Counts'!$F:$F, "100 Morts"))</f>
        <v>0</v>
      </c>
      <c r="AO22" s="430">
        <f>(SUMIFS('Bucket Counts'!$P:$P, 'Bucket Counts'!$B:$B, AO$2, 'Bucket Counts'!$A:$A, "="&amp;$A22,  'Bucket Counts'!$F:$F, "224"))</f>
        <v>115.83333333333333</v>
      </c>
      <c r="AP22" s="430">
        <f>AR21</f>
        <v>73400</v>
      </c>
      <c r="AQ22" s="431">
        <f>SUM(AM22+AO22)</f>
        <v>39209.166666666664</v>
      </c>
      <c r="AR22" s="432">
        <f>AM22+AL22</f>
        <v>39093.333333333328</v>
      </c>
      <c r="AS22" s="429">
        <f>SUMIFS(Collection!$O:$O, Collection!$K:$K, AS$2, Collection!$A:$A, "="&amp;$A22)</f>
        <v>105933.33333333334</v>
      </c>
      <c r="AT22" s="430">
        <f>(SUMIFS('Bucket Counts'!$P:$P, 'Bucket Counts'!$B:$B, AT$2, 'Bucket Counts'!$A:$A, "="&amp;$A22,  'Bucket Counts'!$F:$F, "&lt;&gt;100 Morts",  'Bucket Counts'!$F:$F, "&lt;&gt;224"))</f>
        <v>38973.333333333328</v>
      </c>
      <c r="AU22" s="430">
        <f>(SUMIFS('Bucket Counts'!$P:$P, 'Bucket Counts'!$B:$B, AU$2, 'Bucket Counts'!$A:$A, "="&amp;$A22,  'Bucket Counts'!$F:$F, "100 Morts"))</f>
        <v>0</v>
      </c>
      <c r="AV22" s="430">
        <f>(SUMIFS('Bucket Counts'!$P:$P, 'Bucket Counts'!$B:$B, AV$2, 'Bucket Counts'!$A:$A, "="&amp;$A22,  'Bucket Counts'!$F:$F, "224"))</f>
        <v>123.33333333333333</v>
      </c>
      <c r="AW22" s="430">
        <f>AY21</f>
        <v>57816.666666666664</v>
      </c>
      <c r="AX22" s="431">
        <f>SUM(AT22+AV22)</f>
        <v>39096.666666666664</v>
      </c>
      <c r="AY22" s="432">
        <f>AT22+AS22</f>
        <v>144906.66666666669</v>
      </c>
      <c r="AZ22" s="429">
        <f>SUMIFS(Collection!$O:$O, Collection!$K:$K, AZ$2, Collection!$A:$A, "="&amp;$A22)</f>
        <v>0</v>
      </c>
      <c r="BA22" s="430">
        <f>(SUMIFS('Bucket Counts'!$P:$P, 'Bucket Counts'!$B:$B, BA$2, 'Bucket Counts'!$A:$A, "="&amp;$A22,  'Bucket Counts'!$F:$F, "&lt;&gt;100 Morts",  'Bucket Counts'!$F:$F, "&lt;&gt;224"))</f>
        <v>95320</v>
      </c>
      <c r="BB22" s="430">
        <f>(SUMIFS('Bucket Counts'!$P:$P, 'Bucket Counts'!$B:$B, BB$2, 'Bucket Counts'!$A:$A, "="&amp;$A22,  'Bucket Counts'!$F:$F, "100 Morts"))</f>
        <v>0</v>
      </c>
      <c r="BC22" s="430">
        <f>(SUMIFS('Bucket Counts'!$P:$P, 'Bucket Counts'!$B:$B, BC$2, 'Bucket Counts'!$A:$A, "="&amp;$A22,  'Bucket Counts'!$F:$F, "224"))</f>
        <v>27.222222222222221</v>
      </c>
      <c r="BD22" s="430" t="e">
        <f>BF21</f>
        <v>#VALUE!</v>
      </c>
      <c r="BE22" s="431">
        <f>SUM(BA22+BC22)</f>
        <v>95347.222222222219</v>
      </c>
      <c r="BF22" s="432">
        <f>BA22+AZ22</f>
        <v>95320</v>
      </c>
      <c r="BG22" s="429">
        <f>SUMIFS(Collection!$O:$O, Collection!$K:$K, BG$2, Collection!$A:$A, "="&amp;$A22)</f>
        <v>0</v>
      </c>
      <c r="BH22" s="430">
        <f>(SUMIFS('Bucket Counts'!$P:$P, 'Bucket Counts'!$B:$B, BH$2, 'Bucket Counts'!$A:$A, "="&amp;$A22,  'Bucket Counts'!$F:$F, "&lt;&gt;100 Morts",  'Bucket Counts'!$F:$F, "&lt;&gt;224"))</f>
        <v>88226.666666666672</v>
      </c>
      <c r="BI22" s="430">
        <f>(SUMIFS('Bucket Counts'!$P:$P, 'Bucket Counts'!$B:$B, BI$2, 'Bucket Counts'!$A:$A, "="&amp;$A22,  'Bucket Counts'!$F:$F, "100 Morts"))</f>
        <v>0</v>
      </c>
      <c r="BJ22" s="430">
        <f>(SUMIFS('Bucket Counts'!$P:$P, 'Bucket Counts'!$B:$B, BJ$2, 'Bucket Counts'!$A:$A, "="&amp;$A22,  'Bucket Counts'!$F:$F, "224"))</f>
        <v>0</v>
      </c>
      <c r="BK22" s="430" t="e">
        <f>BM21</f>
        <v>#VALUE!</v>
      </c>
      <c r="BL22" s="431">
        <f>SUM(BH22+BJ22)</f>
        <v>88226.666666666672</v>
      </c>
      <c r="BM22" s="432">
        <f>BH22+BG22</f>
        <v>88226.666666666672</v>
      </c>
      <c r="BN22" s="429">
        <f>SUMIFS(Collection!$O:$O, Collection!$K:$K, BN$2, Collection!$A:$A, "="&amp;$A22)</f>
        <v>0</v>
      </c>
      <c r="BO22" s="430">
        <f>(SUMIFS('Bucket Counts'!$P:$P, 'Bucket Counts'!$B:$B, BO$2, 'Bucket Counts'!$A:$A, "="&amp;$A22,  'Bucket Counts'!$F:$F, "&lt;&gt;100 Morts",  'Bucket Counts'!$F:$F, "&lt;&gt;224"))</f>
        <v>70563.333333333328</v>
      </c>
      <c r="BP22" s="430">
        <f>(SUMIFS('Bucket Counts'!$P:$P, 'Bucket Counts'!$B:$B, BP$2, 'Bucket Counts'!$A:$A, "="&amp;$A22,  'Bucket Counts'!$F:$F, "100 Morts"))</f>
        <v>0</v>
      </c>
      <c r="BQ22" s="430">
        <f>(SUMIFS('Bucket Counts'!$P:$P, 'Bucket Counts'!$B:$B, BQ$2, 'Bucket Counts'!$A:$A, "="&amp;$A22,  'Bucket Counts'!$F:$F, "224"))</f>
        <v>0</v>
      </c>
      <c r="BR22" s="430">
        <f>BT21</f>
        <v>50400</v>
      </c>
      <c r="BS22" s="431">
        <f>SUM(BO22+BQ22)</f>
        <v>70563.333333333328</v>
      </c>
      <c r="BT22" s="432">
        <f>BO22+BN22</f>
        <v>70563.333333333328</v>
      </c>
      <c r="BU22" s="429">
        <f>SUMIFS(Collection!$O:$O, Collection!$K:$K, BU$2, Collection!$A:$A, "="&amp;$A22)</f>
        <v>0</v>
      </c>
      <c r="BV22" s="430">
        <f>(SUMIFS('Bucket Counts'!$P:$P, 'Bucket Counts'!$B:$B, BV$2, 'Bucket Counts'!$A:$A, "="&amp;$A22,  'Bucket Counts'!$F:$F, "&lt;&gt;100 Morts",  'Bucket Counts'!$F:$F, "&lt;&gt;224"))</f>
        <v>0</v>
      </c>
      <c r="BW22" s="430">
        <f>(SUMIFS('Bucket Counts'!$P:$P, 'Bucket Counts'!$B:$B, BW$2, 'Bucket Counts'!$A:$A, "="&amp;$A22,  'Bucket Counts'!$F:$F, "100 Morts"))</f>
        <v>0</v>
      </c>
      <c r="BX22" s="430">
        <f>(SUMIFS('Bucket Counts'!$P:$P, 'Bucket Counts'!$B:$B, BX$2, 'Bucket Counts'!$A:$A, "="&amp;$A22,  'Bucket Counts'!$F:$F, "224"))</f>
        <v>0</v>
      </c>
      <c r="BY22" s="430">
        <f>CA21</f>
        <v>0</v>
      </c>
      <c r="BZ22" s="431">
        <f>SUM(BV22+BX22)</f>
        <v>0</v>
      </c>
      <c r="CA22" s="432">
        <f>BV22+BU22</f>
        <v>0</v>
      </c>
      <c r="CB22" s="429">
        <f>SUMIFS(Collection!$O:$O, Collection!$K:$K, CB$2, Collection!$A:$A, "="&amp;$A22)</f>
        <v>0</v>
      </c>
      <c r="CC22" s="430">
        <f>(SUMIFS('Bucket Counts'!$P:$P, 'Bucket Counts'!$B:$B, CC$2, 'Bucket Counts'!$A:$A, "="&amp;$A22,  'Bucket Counts'!$F:$F, "&lt;&gt;100 Morts",  'Bucket Counts'!$F:$F, "&lt;&gt;224"))</f>
        <v>0</v>
      </c>
      <c r="CD22" s="430">
        <f>(SUMIFS('Bucket Counts'!$P:$P, 'Bucket Counts'!$B:$B, CD$2, 'Bucket Counts'!$A:$A, "="&amp;$A22,  'Bucket Counts'!$F:$F, "100 Morts"))</f>
        <v>0</v>
      </c>
      <c r="CE22" s="430">
        <f>(SUMIFS('Bucket Counts'!$P:$P, 'Bucket Counts'!$B:$B, CE$2, 'Bucket Counts'!$A:$A, "="&amp;$A22,  'Bucket Counts'!$F:$F, "224"))</f>
        <v>0</v>
      </c>
      <c r="CF22" s="430">
        <f>CH21</f>
        <v>0</v>
      </c>
      <c r="CG22" s="431">
        <f>SUM(CC22+CE22)</f>
        <v>0</v>
      </c>
      <c r="CH22" s="432">
        <f>CC22+CB22</f>
        <v>0</v>
      </c>
      <c r="CI22" s="429">
        <f>SUMIFS(Collection!$O:$O, Collection!$K:$K, CI$2, Collection!$A:$A, "="&amp;$A22)</f>
        <v>0</v>
      </c>
      <c r="CJ22" s="430">
        <f>(SUMIFS('Bucket Counts'!$P:$P, 'Bucket Counts'!$B:$B, CJ$2, 'Bucket Counts'!$A:$A, "="&amp;$A22,  'Bucket Counts'!$F:$F, "&lt;&gt;100 Morts",  'Bucket Counts'!$F:$F, "&lt;&gt;224"))</f>
        <v>89273.333333333328</v>
      </c>
      <c r="CK22" s="430">
        <f>(SUMIFS('Bucket Counts'!$P:$P, 'Bucket Counts'!$B:$B, CK$2, 'Bucket Counts'!$A:$A, "="&amp;$A22,  'Bucket Counts'!$F:$F, "100 Morts"))</f>
        <v>0</v>
      </c>
      <c r="CL22" s="430">
        <f>(SUMIFS('Bucket Counts'!$P:$P, 'Bucket Counts'!$B:$B, CL$2, 'Bucket Counts'!$A:$A, "="&amp;$A22,  'Bucket Counts'!$F:$F, "224"))</f>
        <v>200</v>
      </c>
      <c r="CM22" s="430">
        <f>CO21</f>
        <v>162800</v>
      </c>
      <c r="CN22" s="431">
        <f>SUM(CJ22+CL22)</f>
        <v>89473.333333333328</v>
      </c>
      <c r="CO22" s="432">
        <f>CJ22+CI22</f>
        <v>89273.333333333328</v>
      </c>
      <c r="CP22" s="429">
        <f>SUMIFS(Collection!$O:$O, Collection!$K:$K, CP$2, Collection!$A:$A, "="&amp;$A22)</f>
        <v>17306.666666666668</v>
      </c>
      <c r="CQ22" s="430">
        <f>(SUMIFS('Bucket Counts'!$P:$P, 'Bucket Counts'!$B:$B, CQ$2, 'Bucket Counts'!$A:$A, "="&amp;$A22,  'Bucket Counts'!$F:$F, "&lt;&gt;100 Morts",  'Bucket Counts'!$F:$F, "&lt;&gt;224"))</f>
        <v>96013.333333333314</v>
      </c>
      <c r="CR22" s="430">
        <f>(SUMIFS('Bucket Counts'!$P:$P, 'Bucket Counts'!$B:$B, CR$2, 'Bucket Counts'!$A:$A, "="&amp;$A22,  'Bucket Counts'!$F:$F, "100 Morts"))</f>
        <v>0</v>
      </c>
      <c r="CS22" s="430">
        <f>(SUMIFS('Bucket Counts'!$P:$P, 'Bucket Counts'!$B:$B, CS$2, 'Bucket Counts'!$A:$A, "="&amp;$A22,  'Bucket Counts'!$F:$F, "224"))</f>
        <v>940</v>
      </c>
      <c r="CT22" s="430">
        <f>CV21</f>
        <v>111433.33333333334</v>
      </c>
      <c r="CU22" s="431">
        <f>SUM(CQ22+CS22)</f>
        <v>96953.333333333314</v>
      </c>
      <c r="CV22" s="432">
        <f>CQ22+CP22</f>
        <v>113319.99999999999</v>
      </c>
      <c r="CW22" s="429">
        <f>SUMIFS(Collection!$O:$O, Collection!$K:$K, CW$2, Collection!$A:$A, "="&amp;$A22)</f>
        <v>0</v>
      </c>
      <c r="CX22" s="430">
        <f>(SUMIFS('Bucket Counts'!$P:$P, 'Bucket Counts'!$B:$B, CX$2, 'Bucket Counts'!$A:$A, "="&amp;$A22,  'Bucket Counts'!$F:$F, "&lt;&gt;100 Morts",  'Bucket Counts'!$F:$F, "&lt;&gt;224"))</f>
        <v>64220.000000000007</v>
      </c>
      <c r="CY22" s="430">
        <f>(SUMIFS('Bucket Counts'!$P:$P, 'Bucket Counts'!$B:$B, CY$2, 'Bucket Counts'!$A:$A, "="&amp;$A22,  'Bucket Counts'!$F:$F, "100 Morts"))</f>
        <v>0</v>
      </c>
      <c r="CZ22" s="430">
        <f>(SUMIFS('Bucket Counts'!$P:$P, 'Bucket Counts'!$B:$B, CZ$2, 'Bucket Counts'!$A:$A, "="&amp;$A22,  'Bucket Counts'!$F:$F, "224"))</f>
        <v>55.55555555555555</v>
      </c>
      <c r="DA22" s="430">
        <f>DC21</f>
        <v>119316.66666666667</v>
      </c>
      <c r="DB22" s="431">
        <f>SUM(CX22+CZ22)</f>
        <v>64275.555555555562</v>
      </c>
      <c r="DC22" s="432">
        <f>CX22+CW22</f>
        <v>64220.000000000007</v>
      </c>
      <c r="DD22" s="429">
        <f>SUMIFS(Collection!$O:$O, Collection!$K:$K, DD$2, Collection!$A:$A, "="&amp;$A22)</f>
        <v>0</v>
      </c>
      <c r="DE22" s="430">
        <f>(SUMIFS('Bucket Counts'!$P:$P, 'Bucket Counts'!$B:$B, DE$2, 'Bucket Counts'!$A:$A, "="&amp;$A22,  'Bucket Counts'!$F:$F, "&lt;&gt;100 Morts",  'Bucket Counts'!$F:$F, "&lt;&gt;224"))</f>
        <v>2175</v>
      </c>
      <c r="DF22" s="430">
        <f>(SUMIFS('Bucket Counts'!$P:$P, 'Bucket Counts'!$B:$B, DF$2, 'Bucket Counts'!$A:$A, "="&amp;$A22,  'Bucket Counts'!$F:$F, "100 Morts"))</f>
        <v>0</v>
      </c>
      <c r="DG22" s="430">
        <f>(SUMIFS('Bucket Counts'!$P:$P, 'Bucket Counts'!$B:$B, DG$2, 'Bucket Counts'!$A:$A, "="&amp;$A22,  'Bucket Counts'!$F:$F, "224"))</f>
        <v>0</v>
      </c>
      <c r="DH22" s="430">
        <f>DJ21</f>
        <v>20800</v>
      </c>
      <c r="DI22" s="431">
        <f>SUM(DE22+DG22)</f>
        <v>2175</v>
      </c>
      <c r="DJ22" s="432">
        <f>DE22+DD22</f>
        <v>2175</v>
      </c>
      <c r="DK22" s="429">
        <f>SUMIFS(Collection!$O:$O, Collection!$K:$K, DK$2, Collection!$A:$A, "="&amp;$A22)</f>
        <v>0</v>
      </c>
      <c r="DL22" s="430">
        <f>(SUMIFS('Bucket Counts'!$P:$P, 'Bucket Counts'!$B:$B, DL$2, 'Bucket Counts'!$A:$A, "="&amp;$A22,  'Bucket Counts'!$F:$F, "&lt;&gt;100 Morts",  'Bucket Counts'!$F:$F, "&lt;&gt;224"))</f>
        <v>0</v>
      </c>
      <c r="DM22" s="430">
        <f>(SUMIFS('Bucket Counts'!$P:$P, 'Bucket Counts'!$B:$B, DM$2, 'Bucket Counts'!$A:$A, "="&amp;$A22,  'Bucket Counts'!$F:$F, "100 Morts"))</f>
        <v>0</v>
      </c>
      <c r="DN22" s="430">
        <f>(SUMIFS('Bucket Counts'!$P:$P, 'Bucket Counts'!$B:$B, DN$2, 'Bucket Counts'!$A:$A, "="&amp;$A22,  'Bucket Counts'!$F:$F, "224"))</f>
        <v>0</v>
      </c>
      <c r="DO22" s="430">
        <f>DQ21</f>
        <v>0</v>
      </c>
      <c r="DP22" s="431">
        <f>SUM(DL22+DN22)</f>
        <v>0</v>
      </c>
      <c r="DQ22" s="432">
        <f>DL22+DK22</f>
        <v>0</v>
      </c>
      <c r="DR22" s="429">
        <f>SUMIFS(Collection!$O:$O, Collection!$K:$K, DR$2, Collection!$A:$A, "="&amp;$A22)</f>
        <v>0</v>
      </c>
      <c r="DS22" s="430">
        <f>(SUMIFS('Bucket Counts'!$P:$P, 'Bucket Counts'!$B:$B, DS$2, 'Bucket Counts'!$A:$A, "="&amp;$A22,  'Bucket Counts'!$F:$F, "&lt;&gt;100 Morts",  'Bucket Counts'!$F:$F, "&lt;&gt;224"))</f>
        <v>6940</v>
      </c>
      <c r="DT22" s="430">
        <f>(SUMIFS('Bucket Counts'!$P:$P, 'Bucket Counts'!$B:$B, DT$2, 'Bucket Counts'!$A:$A, "="&amp;$A22,  'Bucket Counts'!$F:$F, "100 Morts"))</f>
        <v>0</v>
      </c>
      <c r="DU22" s="430">
        <f>(SUMIFS('Bucket Counts'!$P:$P, 'Bucket Counts'!$B:$B, DU$2, 'Bucket Counts'!$A:$A, "="&amp;$A22,  'Bucket Counts'!$F:$F, "224"))</f>
        <v>155.55555555555557</v>
      </c>
      <c r="DV22" s="430">
        <f>DX21</f>
        <v>48800</v>
      </c>
      <c r="DW22" s="431">
        <f>SUM(DS22+DU22)</f>
        <v>7095.5555555555557</v>
      </c>
      <c r="DX22" s="432">
        <f>DS22+DR22</f>
        <v>6940</v>
      </c>
      <c r="DY22" s="429">
        <f>SUMIFS(Collection!$O:$O, Collection!$K:$K, DY$2, Collection!$A:$A, "="&amp;$A22)</f>
        <v>0</v>
      </c>
      <c r="DZ22" s="430">
        <f>(SUMIFS('Bucket Counts'!$P:$P, 'Bucket Counts'!$B:$B, DZ$2, 'Bucket Counts'!$A:$A, "="&amp;$A22,  'Bucket Counts'!$F:$F, "&lt;&gt;100 Morts",  'Bucket Counts'!$F:$F, "&lt;&gt;224"))</f>
        <v>0</v>
      </c>
      <c r="EA22" s="430">
        <f>(SUMIFS('Bucket Counts'!$P:$P, 'Bucket Counts'!$B:$B, EA$2, 'Bucket Counts'!$A:$A, "="&amp;$A22,  'Bucket Counts'!$F:$F, "100 Morts"))</f>
        <v>0</v>
      </c>
      <c r="EB22" s="430">
        <f>(SUMIFS('Bucket Counts'!$P:$P, 'Bucket Counts'!$B:$B, EB$2, 'Bucket Counts'!$A:$A, "="&amp;$A22,  'Bucket Counts'!$F:$F, "224"))</f>
        <v>0</v>
      </c>
      <c r="EC22" s="430">
        <f>EE21</f>
        <v>3200</v>
      </c>
      <c r="ED22" s="431">
        <f>SUM(DZ22+EB22)</f>
        <v>0</v>
      </c>
      <c r="EE22" s="432">
        <f>DZ22+DY22</f>
        <v>0</v>
      </c>
      <c r="EF22" s="429">
        <f>SUMIFS(Collection!$O:$O, Collection!$K:$K, EF$2, Collection!$A:$A, "="&amp;$A22)</f>
        <v>0</v>
      </c>
      <c r="EG22" s="430">
        <f>(SUMIFS('Bucket Counts'!$P:$P, 'Bucket Counts'!$B:$B, EG$2, 'Bucket Counts'!$A:$A, "="&amp;$A22,  'Bucket Counts'!$F:$F, "&lt;&gt;100 Morts",  'Bucket Counts'!$F:$F, "&lt;&gt;224"))</f>
        <v>0</v>
      </c>
      <c r="EH22" s="430">
        <f>(SUMIFS('Bucket Counts'!$P:$P, 'Bucket Counts'!$B:$B, EH$2, 'Bucket Counts'!$A:$A, "="&amp;$A22,  'Bucket Counts'!$F:$F, "100 Morts"))</f>
        <v>0</v>
      </c>
      <c r="EI22" s="430">
        <f>(SUMIFS('Bucket Counts'!$P:$P, 'Bucket Counts'!$B:$B, EI$2, 'Bucket Counts'!$A:$A, "="&amp;$A22,  'Bucket Counts'!$F:$F, "224"))</f>
        <v>0</v>
      </c>
      <c r="EJ22" s="430">
        <f>EL21</f>
        <v>0</v>
      </c>
      <c r="EK22" s="431">
        <f>SUM(EG22+EI22)</f>
        <v>0</v>
      </c>
      <c r="EL22" s="432">
        <f>EG22+EF22</f>
        <v>0</v>
      </c>
    </row>
    <row r="23" spans="1:142" x14ac:dyDescent="0.2">
      <c r="A23" s="16">
        <f>1+A22</f>
        <v>42892</v>
      </c>
      <c r="B23" s="16" t="s">
        <v>487</v>
      </c>
      <c r="C23" s="369">
        <f>SUMIFS(Collection!$O:$O, Collection!$K:$K, C$2, Collection!$A:$A, "="&amp;$A23)</f>
        <v>0</v>
      </c>
      <c r="D23" s="116">
        <f>(SUMIFS('Bucket Counts'!$P:$P, 'Bucket Counts'!$B:$B, D$2, 'Bucket Counts'!$A:$A, "="&amp;$A23,  'Bucket Counts'!$F:$F, "&lt;&gt;100 Morts",  'Bucket Counts'!$F:$F, "&lt;&gt;224"))</f>
        <v>0</v>
      </c>
      <c r="E23" s="116">
        <f>(SUMIFS('Bucket Counts'!$P:$P, 'Bucket Counts'!$B:$B, E$2, 'Bucket Counts'!$A:$A, "="&amp;$A23,  'Bucket Counts'!$F:$F, "100 Morts"))</f>
        <v>0</v>
      </c>
      <c r="F23" s="116">
        <f>(SUMIFS('Bucket Counts'!$P:$P, 'Bucket Counts'!$B:$B, F$2, 'Bucket Counts'!$A:$A, "="&amp;$A23,  'Bucket Counts'!$F:$F, "224"))</f>
        <v>0</v>
      </c>
      <c r="G23" s="116"/>
      <c r="H23" s="426">
        <f>(F23+D23)/I22</f>
        <v>0</v>
      </c>
      <c r="I23" s="370">
        <f>D22+SUM(C22:C23)</f>
        <v>58806.666666666672</v>
      </c>
      <c r="J23" s="369">
        <f>SUMIFS(Collection!$O:$O, Collection!$K:$K, J$2, Collection!$A:$A, "="&amp;$A23)</f>
        <v>0</v>
      </c>
      <c r="K23" s="116">
        <f>(SUMIFS('Bucket Counts'!$P:$P, 'Bucket Counts'!$B:$B, K$2, 'Bucket Counts'!$A:$A, "="&amp;$A23,  'Bucket Counts'!$F:$F, "&lt;&gt;100 Morts",  'Bucket Counts'!$F:$F, "&lt;&gt;224"))</f>
        <v>0</v>
      </c>
      <c r="L23" s="116">
        <f>(SUMIFS('Bucket Counts'!$P:$P, 'Bucket Counts'!$B:$B, L$2, 'Bucket Counts'!$A:$A, "="&amp;$A23,  'Bucket Counts'!$F:$F, "100 Morts"))</f>
        <v>0</v>
      </c>
      <c r="M23" s="116">
        <f>(SUMIFS('Bucket Counts'!$P:$P, 'Bucket Counts'!$B:$B, M$2, 'Bucket Counts'!$A:$A, "="&amp;$A23,  'Bucket Counts'!$F:$F, "224"))</f>
        <v>0</v>
      </c>
      <c r="N23" s="116"/>
      <c r="O23" s="426">
        <f>(M23+K23)/P22</f>
        <v>0</v>
      </c>
      <c r="P23" s="370">
        <f>K22+SUM(J22:J23)</f>
        <v>48306.666666666672</v>
      </c>
      <c r="Q23" s="369">
        <f>SUMIFS(Collection!$O:$O, Collection!$K:$K, Q$2, Collection!$A:$A, "="&amp;$A23)</f>
        <v>37800</v>
      </c>
      <c r="R23" s="116">
        <f>(SUMIFS('Bucket Counts'!$P:$P, 'Bucket Counts'!$B:$B, R$2, 'Bucket Counts'!$A:$A, "="&amp;$A23,  'Bucket Counts'!$F:$F, "&lt;&gt;100 Morts",  'Bucket Counts'!$F:$F, "&lt;&gt;224"))</f>
        <v>0</v>
      </c>
      <c r="S23" s="116">
        <f>(SUMIFS('Bucket Counts'!$P:$P, 'Bucket Counts'!$B:$B, S$2, 'Bucket Counts'!$A:$A, "="&amp;$A23,  'Bucket Counts'!$F:$F, "100 Morts"))</f>
        <v>0</v>
      </c>
      <c r="T23" s="116">
        <f>(SUMIFS('Bucket Counts'!$P:$P, 'Bucket Counts'!$B:$B, T$2, 'Bucket Counts'!$A:$A, "="&amp;$A23,  'Bucket Counts'!$F:$F, "224"))</f>
        <v>0</v>
      </c>
      <c r="U23" s="116"/>
      <c r="V23" s="426">
        <f>(T23+R23)/W22</f>
        <v>0</v>
      </c>
      <c r="W23" s="370">
        <f>R22+SUM(Q22:Q23)</f>
        <v>91018.333333333343</v>
      </c>
      <c r="X23" s="369">
        <f>SUMIFS(Collection!$O:$O, Collection!$K:$K, X$2, Collection!$A:$A, "="&amp;$A23)</f>
        <v>1586.6666666666667</v>
      </c>
      <c r="Y23" s="116">
        <f>(SUMIFS('Bucket Counts'!$P:$P, 'Bucket Counts'!$B:$B, Y$2, 'Bucket Counts'!$A:$A, "="&amp;$A23,  'Bucket Counts'!$F:$F, "&lt;&gt;100 Morts",  'Bucket Counts'!$F:$F, "&lt;&gt;224"))</f>
        <v>0</v>
      </c>
      <c r="Z23" s="116">
        <f>(SUMIFS('Bucket Counts'!$P:$P, 'Bucket Counts'!$B:$B, Z$2, 'Bucket Counts'!$A:$A, "="&amp;$A23,  'Bucket Counts'!$F:$F, "100 Morts"))</f>
        <v>0</v>
      </c>
      <c r="AA23" s="116">
        <f>(SUMIFS('Bucket Counts'!$P:$P, 'Bucket Counts'!$B:$B, AA$2, 'Bucket Counts'!$A:$A, "="&amp;$A23,  'Bucket Counts'!$F:$F, "224"))</f>
        <v>0</v>
      </c>
      <c r="AB23" s="116"/>
      <c r="AC23" s="426">
        <f>(AA23+Y23)/AD22</f>
        <v>0</v>
      </c>
      <c r="AD23" s="370">
        <f>Y22+SUM(X22:X23)</f>
        <v>109456.66666666667</v>
      </c>
      <c r="AE23" s="369">
        <f>SUMIFS(Collection!$O:$O, Collection!$K:$K, AE$2, Collection!$A:$A, "="&amp;$A23)</f>
        <v>0</v>
      </c>
      <c r="AF23" s="116">
        <f>(SUMIFS('Bucket Counts'!$P:$P, 'Bucket Counts'!$B:$B, AF$2, 'Bucket Counts'!$A:$A, "="&amp;$A23,  'Bucket Counts'!$F:$F, "&lt;&gt;100 Morts",  'Bucket Counts'!$F:$F, "&lt;&gt;224"))</f>
        <v>0</v>
      </c>
      <c r="AG23" s="116">
        <f>(SUMIFS('Bucket Counts'!$P:$P, 'Bucket Counts'!$B:$B, AG$2, 'Bucket Counts'!$A:$A, "="&amp;$A23,  'Bucket Counts'!$F:$F, "100 Morts"))</f>
        <v>0</v>
      </c>
      <c r="AH23" s="116">
        <f>(SUMIFS('Bucket Counts'!$P:$P, 'Bucket Counts'!$B:$B, AH$2, 'Bucket Counts'!$A:$A, "="&amp;$A23,  'Bucket Counts'!$F:$F, "224"))</f>
        <v>0</v>
      </c>
      <c r="AI23" s="116"/>
      <c r="AJ23" s="426">
        <f>(AH23+AF23)/AK22</f>
        <v>0</v>
      </c>
      <c r="AK23" s="370">
        <f>AF22+SUM(AE22:AE23)</f>
        <v>181213.33333333331</v>
      </c>
      <c r="AL23" s="369">
        <f>SUMIFS(Collection!$O:$O, Collection!$K:$K, AL$2, Collection!$A:$A, "="&amp;$A23)</f>
        <v>0</v>
      </c>
      <c r="AM23" s="116">
        <f>(SUMIFS('Bucket Counts'!$P:$P, 'Bucket Counts'!$B:$B, AM$2, 'Bucket Counts'!$A:$A, "="&amp;$A23,  'Bucket Counts'!$F:$F, "&lt;&gt;100 Morts",  'Bucket Counts'!$F:$F, "&lt;&gt;224"))</f>
        <v>0</v>
      </c>
      <c r="AN23" s="116">
        <f>(SUMIFS('Bucket Counts'!$P:$P, 'Bucket Counts'!$B:$B, AN$2, 'Bucket Counts'!$A:$A, "="&amp;$A23,  'Bucket Counts'!$F:$F, "100 Morts"))</f>
        <v>0</v>
      </c>
      <c r="AO23" s="116">
        <f>(SUMIFS('Bucket Counts'!$P:$P, 'Bucket Counts'!$B:$B, AO$2, 'Bucket Counts'!$A:$A, "="&amp;$A23,  'Bucket Counts'!$F:$F, "224"))</f>
        <v>0</v>
      </c>
      <c r="AP23" s="116"/>
      <c r="AQ23" s="426">
        <f>(AO23+AM23)/AR22</f>
        <v>0</v>
      </c>
      <c r="AR23" s="370">
        <f>AM22+SUM(AL22:AL23)</f>
        <v>39093.333333333328</v>
      </c>
      <c r="AS23" s="369">
        <f>SUMIFS(Collection!$O:$O, Collection!$K:$K, AS$2, Collection!$A:$A, "="&amp;$A23)</f>
        <v>0</v>
      </c>
      <c r="AT23" s="116">
        <f>(SUMIFS('Bucket Counts'!$P:$P, 'Bucket Counts'!$B:$B, AT$2, 'Bucket Counts'!$A:$A, "="&amp;$A23,  'Bucket Counts'!$F:$F, "&lt;&gt;100 Morts",  'Bucket Counts'!$F:$F, "&lt;&gt;224"))</f>
        <v>0</v>
      </c>
      <c r="AU23" s="116">
        <f>(SUMIFS('Bucket Counts'!$P:$P, 'Bucket Counts'!$B:$B, AU$2, 'Bucket Counts'!$A:$A, "="&amp;$A23,  'Bucket Counts'!$F:$F, "100 Morts"))</f>
        <v>0</v>
      </c>
      <c r="AV23" s="116">
        <f>(SUMIFS('Bucket Counts'!$P:$P, 'Bucket Counts'!$B:$B, AV$2, 'Bucket Counts'!$A:$A, "="&amp;$A23,  'Bucket Counts'!$F:$F, "224"))</f>
        <v>0</v>
      </c>
      <c r="AW23" s="116"/>
      <c r="AX23" s="426">
        <f>(AV23+AT23)/AY22</f>
        <v>0</v>
      </c>
      <c r="AY23" s="370">
        <f>AT22+SUM(AS22:AS23)</f>
        <v>144906.66666666669</v>
      </c>
      <c r="AZ23" s="369">
        <f>SUMIFS(Collection!$O:$O, Collection!$K:$K, AZ$2, Collection!$A:$A, "="&amp;$A23)</f>
        <v>0</v>
      </c>
      <c r="BA23" s="116">
        <f>(SUMIFS('Bucket Counts'!$P:$P, 'Bucket Counts'!$B:$B, BA$2, 'Bucket Counts'!$A:$A, "="&amp;$A23,  'Bucket Counts'!$F:$F, "&lt;&gt;100 Morts",  'Bucket Counts'!$F:$F, "&lt;&gt;224"))</f>
        <v>0</v>
      </c>
      <c r="BB23" s="116">
        <f>(SUMIFS('Bucket Counts'!$P:$P, 'Bucket Counts'!$B:$B, BB$2, 'Bucket Counts'!$A:$A, "="&amp;$A23,  'Bucket Counts'!$F:$F, "100 Morts"))</f>
        <v>0</v>
      </c>
      <c r="BC23" s="116">
        <f>(SUMIFS('Bucket Counts'!$P:$P, 'Bucket Counts'!$B:$B, BC$2, 'Bucket Counts'!$A:$A, "="&amp;$A23,  'Bucket Counts'!$F:$F, "224"))</f>
        <v>0</v>
      </c>
      <c r="BD23" s="116"/>
      <c r="BE23" s="426">
        <f>(BC23+BA23)/BF22</f>
        <v>0</v>
      </c>
      <c r="BF23" s="370">
        <f>BA22+SUM(AZ22:AZ23)</f>
        <v>95320</v>
      </c>
      <c r="BG23" s="369">
        <f>SUMIFS(Collection!$O:$O, Collection!$K:$K, BG$2, Collection!$A:$A, "="&amp;$A23)</f>
        <v>0</v>
      </c>
      <c r="BH23" s="116">
        <f>(SUMIFS('Bucket Counts'!$P:$P, 'Bucket Counts'!$B:$B, BH$2, 'Bucket Counts'!$A:$A, "="&amp;$A23,  'Bucket Counts'!$F:$F, "&lt;&gt;100 Morts",  'Bucket Counts'!$F:$F, "&lt;&gt;224"))</f>
        <v>0</v>
      </c>
      <c r="BI23" s="116">
        <f>(SUMIFS('Bucket Counts'!$P:$P, 'Bucket Counts'!$B:$B, BI$2, 'Bucket Counts'!$A:$A, "="&amp;$A23,  'Bucket Counts'!$F:$F, "100 Morts"))</f>
        <v>0</v>
      </c>
      <c r="BJ23" s="116">
        <f>(SUMIFS('Bucket Counts'!$P:$P, 'Bucket Counts'!$B:$B, BJ$2, 'Bucket Counts'!$A:$A, "="&amp;$A23,  'Bucket Counts'!$F:$F, "224"))</f>
        <v>0</v>
      </c>
      <c r="BK23" s="116"/>
      <c r="BL23" s="426">
        <f>(BJ23+BH23)/BM22</f>
        <v>0</v>
      </c>
      <c r="BM23" s="370">
        <f>BH22+SUM(BG22:BG23)</f>
        <v>88226.666666666672</v>
      </c>
      <c r="BN23" s="369">
        <f>SUMIFS(Collection!$O:$O, Collection!$K:$K, BN$2, Collection!$A:$A, "="&amp;$A23)</f>
        <v>0</v>
      </c>
      <c r="BO23" s="116">
        <f>(SUMIFS('Bucket Counts'!$P:$P, 'Bucket Counts'!$B:$B, BO$2, 'Bucket Counts'!$A:$A, "="&amp;$A23,  'Bucket Counts'!$F:$F, "&lt;&gt;100 Morts",  'Bucket Counts'!$F:$F, "&lt;&gt;224"))</f>
        <v>0</v>
      </c>
      <c r="BP23" s="116">
        <f>(SUMIFS('Bucket Counts'!$P:$P, 'Bucket Counts'!$B:$B, BP$2, 'Bucket Counts'!$A:$A, "="&amp;$A23,  'Bucket Counts'!$F:$F, "100 Morts"))</f>
        <v>0</v>
      </c>
      <c r="BQ23" s="116">
        <f>(SUMIFS('Bucket Counts'!$P:$P, 'Bucket Counts'!$B:$B, BQ$2, 'Bucket Counts'!$A:$A, "="&amp;$A23,  'Bucket Counts'!$F:$F, "224"))</f>
        <v>0</v>
      </c>
      <c r="BR23" s="116"/>
      <c r="BS23" s="426">
        <f>(BQ23+BO23)/BT22</f>
        <v>0</v>
      </c>
      <c r="BT23" s="370">
        <f>BO22+SUM(BN22:BN23)</f>
        <v>70563.333333333328</v>
      </c>
      <c r="BU23" s="369">
        <f>SUMIFS(Collection!$O:$O, Collection!$K:$K, BU$2, Collection!$A:$A, "="&amp;$A23)</f>
        <v>0</v>
      </c>
      <c r="BV23" s="116">
        <f>(SUMIFS('Bucket Counts'!$P:$P, 'Bucket Counts'!$B:$B, BV$2, 'Bucket Counts'!$A:$A, "="&amp;$A23,  'Bucket Counts'!$F:$F, "&lt;&gt;100 Morts",  'Bucket Counts'!$F:$F, "&lt;&gt;224"))</f>
        <v>0</v>
      </c>
      <c r="BW23" s="116">
        <f>(SUMIFS('Bucket Counts'!$P:$P, 'Bucket Counts'!$B:$B, BW$2, 'Bucket Counts'!$A:$A, "="&amp;$A23,  'Bucket Counts'!$F:$F, "100 Morts"))</f>
        <v>0</v>
      </c>
      <c r="BX23" s="116">
        <f>(SUMIFS('Bucket Counts'!$P:$P, 'Bucket Counts'!$B:$B, BX$2, 'Bucket Counts'!$A:$A, "="&amp;$A23,  'Bucket Counts'!$F:$F, "224"))</f>
        <v>0</v>
      </c>
      <c r="BY23" s="116"/>
      <c r="BZ23" s="426" t="e">
        <f>(BX23+BV23)/CA22</f>
        <v>#DIV/0!</v>
      </c>
      <c r="CA23" s="370">
        <f>BV22+SUM(BU22:BU23)</f>
        <v>0</v>
      </c>
      <c r="CB23" s="369">
        <f>SUMIFS(Collection!$O:$O, Collection!$K:$K, CB$2, Collection!$A:$A, "="&amp;$A23)</f>
        <v>0</v>
      </c>
      <c r="CC23" s="116">
        <f>(SUMIFS('Bucket Counts'!$P:$P, 'Bucket Counts'!$B:$B, CC$2, 'Bucket Counts'!$A:$A, "="&amp;$A23,  'Bucket Counts'!$F:$F, "&lt;&gt;100 Morts",  'Bucket Counts'!$F:$F, "&lt;&gt;224"))</f>
        <v>0</v>
      </c>
      <c r="CD23" s="116">
        <f>(SUMIFS('Bucket Counts'!$P:$P, 'Bucket Counts'!$B:$B, CD$2, 'Bucket Counts'!$A:$A, "="&amp;$A23,  'Bucket Counts'!$F:$F, "100 Morts"))</f>
        <v>0</v>
      </c>
      <c r="CE23" s="116">
        <f>(SUMIFS('Bucket Counts'!$P:$P, 'Bucket Counts'!$B:$B, CE$2, 'Bucket Counts'!$A:$A, "="&amp;$A23,  'Bucket Counts'!$F:$F, "224"))</f>
        <v>0</v>
      </c>
      <c r="CF23" s="116"/>
      <c r="CG23" s="426" t="e">
        <f>(CE23+CC23)/CH22</f>
        <v>#DIV/0!</v>
      </c>
      <c r="CH23" s="370">
        <f>CC22+SUM(CB22:CB23)</f>
        <v>0</v>
      </c>
      <c r="CI23" s="369">
        <f>SUMIFS(Collection!$O:$O, Collection!$K:$K, CI$2, Collection!$A:$A, "="&amp;$A23)</f>
        <v>0</v>
      </c>
      <c r="CJ23" s="116">
        <f>(SUMIFS('Bucket Counts'!$P:$P, 'Bucket Counts'!$B:$B, CJ$2, 'Bucket Counts'!$A:$A, "="&amp;$A23,  'Bucket Counts'!$F:$F, "&lt;&gt;100 Morts",  'Bucket Counts'!$F:$F, "&lt;&gt;224"))</f>
        <v>0</v>
      </c>
      <c r="CK23" s="116">
        <f>(SUMIFS('Bucket Counts'!$P:$P, 'Bucket Counts'!$B:$B, CK$2, 'Bucket Counts'!$A:$A, "="&amp;$A23,  'Bucket Counts'!$F:$F, "100 Morts"))</f>
        <v>0</v>
      </c>
      <c r="CL23" s="116">
        <f>(SUMIFS('Bucket Counts'!$P:$P, 'Bucket Counts'!$B:$B, CL$2, 'Bucket Counts'!$A:$A, "="&amp;$A23,  'Bucket Counts'!$F:$F, "224"))</f>
        <v>0</v>
      </c>
      <c r="CM23" s="116"/>
      <c r="CN23" s="426">
        <f>(CL23+CJ23)/CO22</f>
        <v>0</v>
      </c>
      <c r="CO23" s="370">
        <f>CJ22+SUM(CI22:CI23)</f>
        <v>89273.333333333328</v>
      </c>
      <c r="CP23" s="369">
        <f>SUMIFS(Collection!$O:$O, Collection!$K:$K, CP$2, Collection!$A:$A, "="&amp;$A23)</f>
        <v>0</v>
      </c>
      <c r="CQ23" s="116">
        <f>(SUMIFS('Bucket Counts'!$P:$P, 'Bucket Counts'!$B:$B, CQ$2, 'Bucket Counts'!$A:$A, "="&amp;$A23,  'Bucket Counts'!$F:$F, "&lt;&gt;100 Morts",  'Bucket Counts'!$F:$F, "&lt;&gt;224"))</f>
        <v>0</v>
      </c>
      <c r="CR23" s="116">
        <f>(SUMIFS('Bucket Counts'!$P:$P, 'Bucket Counts'!$B:$B, CR$2, 'Bucket Counts'!$A:$A, "="&amp;$A23,  'Bucket Counts'!$F:$F, "100 Morts"))</f>
        <v>0</v>
      </c>
      <c r="CS23" s="116">
        <f>(SUMIFS('Bucket Counts'!$P:$P, 'Bucket Counts'!$B:$B, CS$2, 'Bucket Counts'!$A:$A, "="&amp;$A23,  'Bucket Counts'!$F:$F, "224"))</f>
        <v>0</v>
      </c>
      <c r="CT23" s="116"/>
      <c r="CU23" s="426">
        <f>(CS23+CQ23)/CV22</f>
        <v>0</v>
      </c>
      <c r="CV23" s="370">
        <f>CQ22+SUM(CP22:CP23)</f>
        <v>113319.99999999999</v>
      </c>
      <c r="CW23" s="369">
        <f>SUMIFS(Collection!$O:$O, Collection!$K:$K, CW$2, Collection!$A:$A, "="&amp;$A23)</f>
        <v>0</v>
      </c>
      <c r="CX23" s="116">
        <f>(SUMIFS('Bucket Counts'!$P:$P, 'Bucket Counts'!$B:$B, CX$2, 'Bucket Counts'!$A:$A, "="&amp;$A23,  'Bucket Counts'!$F:$F, "&lt;&gt;100 Morts",  'Bucket Counts'!$F:$F, "&lt;&gt;224"))</f>
        <v>0</v>
      </c>
      <c r="CY23" s="116">
        <f>(SUMIFS('Bucket Counts'!$P:$P, 'Bucket Counts'!$B:$B, CY$2, 'Bucket Counts'!$A:$A, "="&amp;$A23,  'Bucket Counts'!$F:$F, "100 Morts"))</f>
        <v>0</v>
      </c>
      <c r="CZ23" s="116">
        <f>(SUMIFS('Bucket Counts'!$P:$P, 'Bucket Counts'!$B:$B, CZ$2, 'Bucket Counts'!$A:$A, "="&amp;$A23,  'Bucket Counts'!$F:$F, "224"))</f>
        <v>0</v>
      </c>
      <c r="DA23" s="116"/>
      <c r="DB23" s="426">
        <f>(CZ23+CX23)/DC22</f>
        <v>0</v>
      </c>
      <c r="DC23" s="370">
        <f>CX22+SUM(CW22:CW23)</f>
        <v>64220.000000000007</v>
      </c>
      <c r="DD23" s="369">
        <f>SUMIFS(Collection!$O:$O, Collection!$K:$K, DD$2, Collection!$A:$A, "="&amp;$A23)</f>
        <v>0</v>
      </c>
      <c r="DE23" s="116">
        <f>(SUMIFS('Bucket Counts'!$P:$P, 'Bucket Counts'!$B:$B, DE$2, 'Bucket Counts'!$A:$A, "="&amp;$A23,  'Bucket Counts'!$F:$F, "&lt;&gt;100 Morts",  'Bucket Counts'!$F:$F, "&lt;&gt;224"))</f>
        <v>0</v>
      </c>
      <c r="DF23" s="116">
        <f>(SUMIFS('Bucket Counts'!$P:$P, 'Bucket Counts'!$B:$B, DF$2, 'Bucket Counts'!$A:$A, "="&amp;$A23,  'Bucket Counts'!$F:$F, "100 Morts"))</f>
        <v>0</v>
      </c>
      <c r="DG23" s="116">
        <f>(SUMIFS('Bucket Counts'!$P:$P, 'Bucket Counts'!$B:$B, DG$2, 'Bucket Counts'!$A:$A, "="&amp;$A23,  'Bucket Counts'!$F:$F, "224"))</f>
        <v>0</v>
      </c>
      <c r="DH23" s="116"/>
      <c r="DI23" s="426">
        <f>(DG23+DE23)/DJ22</f>
        <v>0</v>
      </c>
      <c r="DJ23" s="370">
        <f>DE22+SUM(DD22:DD23)</f>
        <v>2175</v>
      </c>
      <c r="DK23" s="369">
        <f>SUMIFS(Collection!$O:$O, Collection!$K:$K, DK$2, Collection!$A:$A, "="&amp;$A23)</f>
        <v>0</v>
      </c>
      <c r="DL23" s="116">
        <f>(SUMIFS('Bucket Counts'!$P:$P, 'Bucket Counts'!$B:$B, DL$2, 'Bucket Counts'!$A:$A, "="&amp;$A23,  'Bucket Counts'!$F:$F, "&lt;&gt;100 Morts",  'Bucket Counts'!$F:$F, "&lt;&gt;224"))</f>
        <v>0</v>
      </c>
      <c r="DM23" s="116">
        <f>(SUMIFS('Bucket Counts'!$P:$P, 'Bucket Counts'!$B:$B, DM$2, 'Bucket Counts'!$A:$A, "="&amp;$A23,  'Bucket Counts'!$F:$F, "100 Morts"))</f>
        <v>0</v>
      </c>
      <c r="DN23" s="116">
        <f>(SUMIFS('Bucket Counts'!$P:$P, 'Bucket Counts'!$B:$B, DN$2, 'Bucket Counts'!$A:$A, "="&amp;$A23,  'Bucket Counts'!$F:$F, "224"))</f>
        <v>0</v>
      </c>
      <c r="DO23" s="116"/>
      <c r="DP23" s="426" t="e">
        <f>(DN23+DL23)/DQ22</f>
        <v>#DIV/0!</v>
      </c>
      <c r="DQ23" s="370">
        <f>DL22+SUM(DK22:DK23)</f>
        <v>0</v>
      </c>
      <c r="DR23" s="369">
        <f>SUMIFS(Collection!$O:$O, Collection!$K:$K, DR$2, Collection!$A:$A, "="&amp;$A23)</f>
        <v>0</v>
      </c>
      <c r="DS23" s="116">
        <f>(SUMIFS('Bucket Counts'!$P:$P, 'Bucket Counts'!$B:$B, DS$2, 'Bucket Counts'!$A:$A, "="&amp;$A23,  'Bucket Counts'!$F:$F, "&lt;&gt;100 Morts",  'Bucket Counts'!$F:$F, "&lt;&gt;224"))</f>
        <v>0</v>
      </c>
      <c r="DT23" s="116">
        <f>(SUMIFS('Bucket Counts'!$P:$P, 'Bucket Counts'!$B:$B, DT$2, 'Bucket Counts'!$A:$A, "="&amp;$A23,  'Bucket Counts'!$F:$F, "100 Morts"))</f>
        <v>0</v>
      </c>
      <c r="DU23" s="116">
        <f>(SUMIFS('Bucket Counts'!$P:$P, 'Bucket Counts'!$B:$B, DU$2, 'Bucket Counts'!$A:$A, "="&amp;$A23,  'Bucket Counts'!$F:$F, "224"))</f>
        <v>0</v>
      </c>
      <c r="DV23" s="116"/>
      <c r="DW23" s="426">
        <f>(DU23+DS23)/DX22</f>
        <v>0</v>
      </c>
      <c r="DX23" s="370">
        <f>DS22+SUM(DR22:DR23)</f>
        <v>6940</v>
      </c>
      <c r="DY23" s="369">
        <f>SUMIFS(Collection!$O:$O, Collection!$K:$K, DY$2, Collection!$A:$A, "="&amp;$A23)</f>
        <v>0</v>
      </c>
      <c r="DZ23" s="116">
        <f>(SUMIFS('Bucket Counts'!$P:$P, 'Bucket Counts'!$B:$B, DZ$2, 'Bucket Counts'!$A:$A, "="&amp;$A23,  'Bucket Counts'!$F:$F, "&lt;&gt;100 Morts",  'Bucket Counts'!$F:$F, "&lt;&gt;224"))</f>
        <v>0</v>
      </c>
      <c r="EA23" s="116">
        <f>(SUMIFS('Bucket Counts'!$P:$P, 'Bucket Counts'!$B:$B, EA$2, 'Bucket Counts'!$A:$A, "="&amp;$A23,  'Bucket Counts'!$F:$F, "100 Morts"))</f>
        <v>0</v>
      </c>
      <c r="EB23" s="116">
        <f>(SUMIFS('Bucket Counts'!$P:$P, 'Bucket Counts'!$B:$B, EB$2, 'Bucket Counts'!$A:$A, "="&amp;$A23,  'Bucket Counts'!$F:$F, "224"))</f>
        <v>0</v>
      </c>
      <c r="EC23" s="116"/>
      <c r="ED23" s="426" t="e">
        <f>(EB23+DZ23)/EE22</f>
        <v>#DIV/0!</v>
      </c>
      <c r="EE23" s="370">
        <f>DZ22+SUM(DY22:DY23)</f>
        <v>0</v>
      </c>
      <c r="EF23" s="369">
        <f>SUMIFS(Collection!$O:$O, Collection!$K:$K, EF$2, Collection!$A:$A, "="&amp;$A23)</f>
        <v>0</v>
      </c>
      <c r="EG23" s="116">
        <f>(SUMIFS('Bucket Counts'!$P:$P, 'Bucket Counts'!$B:$B, EG$2, 'Bucket Counts'!$A:$A, "="&amp;$A23,  'Bucket Counts'!$F:$F, "&lt;&gt;100 Morts",  'Bucket Counts'!$F:$F, "&lt;&gt;224"))</f>
        <v>0</v>
      </c>
      <c r="EH23" s="116">
        <f>(SUMIFS('Bucket Counts'!$P:$P, 'Bucket Counts'!$B:$B, EH$2, 'Bucket Counts'!$A:$A, "="&amp;$A23,  'Bucket Counts'!$F:$F, "100 Morts"))</f>
        <v>0</v>
      </c>
      <c r="EI23" s="116">
        <f>(SUMIFS('Bucket Counts'!$P:$P, 'Bucket Counts'!$B:$B, EI$2, 'Bucket Counts'!$A:$A, "="&amp;$A23,  'Bucket Counts'!$F:$F, "224"))</f>
        <v>0</v>
      </c>
      <c r="EJ23" s="116"/>
      <c r="EK23" s="426" t="e">
        <f>(EI23+EG23)/EL22</f>
        <v>#DIV/0!</v>
      </c>
      <c r="EL23" s="370">
        <f>EG22+SUM(EF22:EF23)</f>
        <v>0</v>
      </c>
    </row>
    <row r="24" spans="1:142" x14ac:dyDescent="0.2">
      <c r="A24" s="16">
        <f t="shared" ref="A24:A77" si="0">1+A23</f>
        <v>42893</v>
      </c>
      <c r="B24" s="16" t="s">
        <v>487</v>
      </c>
      <c r="C24" s="369">
        <f>SUMIFS(Collection!$O:$O, Collection!$K:$K, C$2, Collection!$A:$A, "="&amp;$A24)</f>
        <v>77183.333333333343</v>
      </c>
      <c r="D24" s="116">
        <f>(SUMIFS('Bucket Counts'!$P:$P, 'Bucket Counts'!$B:$B, D$2, 'Bucket Counts'!$A:$A, "="&amp;$A24,  'Bucket Counts'!$F:$F, "&lt;&gt;100 Morts",  'Bucket Counts'!$F:$F, "&lt;&gt;224"))</f>
        <v>0</v>
      </c>
      <c r="E24" s="116">
        <f>(SUMIFS('Bucket Counts'!$P:$P, 'Bucket Counts'!$B:$B, E$2, 'Bucket Counts'!$A:$A, "="&amp;$A24,  'Bucket Counts'!$F:$F, "100 Morts"))</f>
        <v>0</v>
      </c>
      <c r="F24" s="116">
        <f>(SUMIFS('Bucket Counts'!$P:$P, 'Bucket Counts'!$B:$B, F$2, 'Bucket Counts'!$A:$A, "="&amp;$A24,  'Bucket Counts'!$F:$F, "224"))</f>
        <v>0</v>
      </c>
      <c r="G24" s="116"/>
      <c r="H24" s="426">
        <f>(F24+D24)/I23</f>
        <v>0</v>
      </c>
      <c r="I24" s="370">
        <f>D22+SUM(C22:C24)</f>
        <v>135990</v>
      </c>
      <c r="J24" s="369">
        <f>SUMIFS(Collection!$O:$O, Collection!$K:$K, J$2, Collection!$A:$A, "="&amp;$A24)</f>
        <v>0</v>
      </c>
      <c r="K24" s="116">
        <f>(SUMIFS('Bucket Counts'!$P:$P, 'Bucket Counts'!$B:$B, K$2, 'Bucket Counts'!$A:$A, "="&amp;$A24,  'Bucket Counts'!$F:$F, "&lt;&gt;100 Morts",  'Bucket Counts'!$F:$F, "&lt;&gt;224"))</f>
        <v>0</v>
      </c>
      <c r="L24" s="116">
        <f>(SUMIFS('Bucket Counts'!$P:$P, 'Bucket Counts'!$B:$B, L$2, 'Bucket Counts'!$A:$A, "="&amp;$A24,  'Bucket Counts'!$F:$F, "100 Morts"))</f>
        <v>0</v>
      </c>
      <c r="M24" s="116">
        <f>(SUMIFS('Bucket Counts'!$P:$P, 'Bucket Counts'!$B:$B, M$2, 'Bucket Counts'!$A:$A, "="&amp;$A24,  'Bucket Counts'!$F:$F, "224"))</f>
        <v>0</v>
      </c>
      <c r="N24" s="116"/>
      <c r="O24" s="426">
        <f>(M24+K24)/P23</f>
        <v>0</v>
      </c>
      <c r="P24" s="370">
        <f>K22+SUM(J22:J24)</f>
        <v>48306.666666666672</v>
      </c>
      <c r="Q24" s="369">
        <f>SUMIFS(Collection!$O:$O, Collection!$K:$K, Q$2, Collection!$A:$A, "="&amp;$A24)</f>
        <v>0</v>
      </c>
      <c r="R24" s="116">
        <f>(SUMIFS('Bucket Counts'!$P:$P, 'Bucket Counts'!$B:$B, R$2, 'Bucket Counts'!$A:$A, "="&amp;$A24,  'Bucket Counts'!$F:$F, "&lt;&gt;100 Morts",  'Bucket Counts'!$F:$F, "&lt;&gt;224"))</f>
        <v>0</v>
      </c>
      <c r="S24" s="116">
        <f>(SUMIFS('Bucket Counts'!$P:$P, 'Bucket Counts'!$B:$B, S$2, 'Bucket Counts'!$A:$A, "="&amp;$A24,  'Bucket Counts'!$F:$F, "100 Morts"))</f>
        <v>0</v>
      </c>
      <c r="T24" s="116">
        <f>(SUMIFS('Bucket Counts'!$P:$P, 'Bucket Counts'!$B:$B, T$2, 'Bucket Counts'!$A:$A, "="&amp;$A24,  'Bucket Counts'!$F:$F, "224"))</f>
        <v>0</v>
      </c>
      <c r="U24" s="116"/>
      <c r="V24" s="426">
        <f>(T24+R24)/W23</f>
        <v>0</v>
      </c>
      <c r="W24" s="370">
        <f>R22+SUM(Q22:Q24)</f>
        <v>91018.333333333343</v>
      </c>
      <c r="X24" s="369">
        <f>SUMIFS(Collection!$O:$O, Collection!$K:$K, X$2, Collection!$A:$A, "="&amp;$A24)</f>
        <v>0</v>
      </c>
      <c r="Y24" s="116">
        <f>(SUMIFS('Bucket Counts'!$P:$P, 'Bucket Counts'!$B:$B, Y$2, 'Bucket Counts'!$A:$A, "="&amp;$A24,  'Bucket Counts'!$F:$F, "&lt;&gt;100 Morts",  'Bucket Counts'!$F:$F, "&lt;&gt;224"))</f>
        <v>0</v>
      </c>
      <c r="Z24" s="116">
        <f>(SUMIFS('Bucket Counts'!$P:$P, 'Bucket Counts'!$B:$B, Z$2, 'Bucket Counts'!$A:$A, "="&amp;$A24,  'Bucket Counts'!$F:$F, "100 Morts"))</f>
        <v>0</v>
      </c>
      <c r="AA24" s="116">
        <f>(SUMIFS('Bucket Counts'!$P:$P, 'Bucket Counts'!$B:$B, AA$2, 'Bucket Counts'!$A:$A, "="&amp;$A24,  'Bucket Counts'!$F:$F, "224"))</f>
        <v>0</v>
      </c>
      <c r="AB24" s="116"/>
      <c r="AC24" s="426">
        <f>(AA24+Y24)/AD23</f>
        <v>0</v>
      </c>
      <c r="AD24" s="370">
        <f>Y22+SUM(X22:X24)</f>
        <v>109456.66666666667</v>
      </c>
      <c r="AE24" s="369">
        <f>SUMIFS(Collection!$O:$O, Collection!$K:$K, AE$2, Collection!$A:$A, "="&amp;$A24)</f>
        <v>0</v>
      </c>
      <c r="AF24" s="116">
        <f>(SUMIFS('Bucket Counts'!$P:$P, 'Bucket Counts'!$B:$B, AF$2, 'Bucket Counts'!$A:$A, "="&amp;$A24,  'Bucket Counts'!$F:$F, "&lt;&gt;100 Morts",  'Bucket Counts'!$F:$F, "&lt;&gt;224"))</f>
        <v>0</v>
      </c>
      <c r="AG24" s="116">
        <f>(SUMIFS('Bucket Counts'!$P:$P, 'Bucket Counts'!$B:$B, AG$2, 'Bucket Counts'!$A:$A, "="&amp;$A24,  'Bucket Counts'!$F:$F, "100 Morts"))</f>
        <v>0</v>
      </c>
      <c r="AH24" s="116">
        <f>(SUMIFS('Bucket Counts'!$P:$P, 'Bucket Counts'!$B:$B, AH$2, 'Bucket Counts'!$A:$A, "="&amp;$A24,  'Bucket Counts'!$F:$F, "224"))</f>
        <v>0</v>
      </c>
      <c r="AI24" s="116"/>
      <c r="AJ24" s="426">
        <f>(AH24+AF24)/AK23</f>
        <v>0</v>
      </c>
      <c r="AK24" s="370">
        <f>AF22+SUM(AE22:AE24)</f>
        <v>181213.33333333331</v>
      </c>
      <c r="AL24" s="369">
        <f>SUMIFS(Collection!$O:$O, Collection!$K:$K, AL$2, Collection!$A:$A, "="&amp;$A24)</f>
        <v>0</v>
      </c>
      <c r="AM24" s="116">
        <f>(SUMIFS('Bucket Counts'!$P:$P, 'Bucket Counts'!$B:$B, AM$2, 'Bucket Counts'!$A:$A, "="&amp;$A24,  'Bucket Counts'!$F:$F, "&lt;&gt;100 Morts",  'Bucket Counts'!$F:$F, "&lt;&gt;224"))</f>
        <v>0</v>
      </c>
      <c r="AN24" s="116">
        <f>(SUMIFS('Bucket Counts'!$P:$P, 'Bucket Counts'!$B:$B, AN$2, 'Bucket Counts'!$A:$A, "="&amp;$A24,  'Bucket Counts'!$F:$F, "100 Morts"))</f>
        <v>0</v>
      </c>
      <c r="AO24" s="116">
        <f>(SUMIFS('Bucket Counts'!$P:$P, 'Bucket Counts'!$B:$B, AO$2, 'Bucket Counts'!$A:$A, "="&amp;$A24,  'Bucket Counts'!$F:$F, "224"))</f>
        <v>0</v>
      </c>
      <c r="AP24" s="116"/>
      <c r="AQ24" s="426">
        <f>(AO24+AM24)/AR23</f>
        <v>0</v>
      </c>
      <c r="AR24" s="370">
        <f>AM22+SUM(AL22:AL24)</f>
        <v>39093.333333333328</v>
      </c>
      <c r="AS24" s="369">
        <f>SUMIFS(Collection!$O:$O, Collection!$K:$K, AS$2, Collection!$A:$A, "="&amp;$A24)</f>
        <v>0</v>
      </c>
      <c r="AT24" s="116">
        <f>(SUMIFS('Bucket Counts'!$P:$P, 'Bucket Counts'!$B:$B, AT$2, 'Bucket Counts'!$A:$A, "="&amp;$A24,  'Bucket Counts'!$F:$F, "&lt;&gt;100 Morts",  'Bucket Counts'!$F:$F, "&lt;&gt;224"))</f>
        <v>0</v>
      </c>
      <c r="AU24" s="116">
        <f>(SUMIFS('Bucket Counts'!$P:$P, 'Bucket Counts'!$B:$B, AU$2, 'Bucket Counts'!$A:$A, "="&amp;$A24,  'Bucket Counts'!$F:$F, "100 Morts"))</f>
        <v>0</v>
      </c>
      <c r="AV24" s="116">
        <f>(SUMIFS('Bucket Counts'!$P:$P, 'Bucket Counts'!$B:$B, AV$2, 'Bucket Counts'!$A:$A, "="&amp;$A24,  'Bucket Counts'!$F:$F, "224"))</f>
        <v>0</v>
      </c>
      <c r="AW24" s="116"/>
      <c r="AX24" s="426">
        <f>(AV24+AT24)/AY23</f>
        <v>0</v>
      </c>
      <c r="AY24" s="370">
        <f>AT22+SUM(AS22:AS24)</f>
        <v>144906.66666666669</v>
      </c>
      <c r="AZ24" s="369">
        <f>SUMIFS(Collection!$O:$O, Collection!$K:$K, AZ$2, Collection!$A:$A, "="&amp;$A24)</f>
        <v>0</v>
      </c>
      <c r="BA24" s="116">
        <f>(SUMIFS('Bucket Counts'!$P:$P, 'Bucket Counts'!$B:$B, BA$2, 'Bucket Counts'!$A:$A, "="&amp;$A24,  'Bucket Counts'!$F:$F, "&lt;&gt;100 Morts",  'Bucket Counts'!$F:$F, "&lt;&gt;224"))</f>
        <v>0</v>
      </c>
      <c r="BB24" s="116">
        <f>(SUMIFS('Bucket Counts'!$P:$P, 'Bucket Counts'!$B:$B, BB$2, 'Bucket Counts'!$A:$A, "="&amp;$A24,  'Bucket Counts'!$F:$F, "100 Morts"))</f>
        <v>0</v>
      </c>
      <c r="BC24" s="116">
        <f>(SUMIFS('Bucket Counts'!$P:$P, 'Bucket Counts'!$B:$B, BC$2, 'Bucket Counts'!$A:$A, "="&amp;$A24,  'Bucket Counts'!$F:$F, "224"))</f>
        <v>0</v>
      </c>
      <c r="BD24" s="116"/>
      <c r="BE24" s="426">
        <f>(BC24+BA24)/BF23</f>
        <v>0</v>
      </c>
      <c r="BF24" s="370">
        <f>BA22+SUM(AZ22:AZ24)</f>
        <v>95320</v>
      </c>
      <c r="BG24" s="369">
        <f>SUMIFS(Collection!$O:$O, Collection!$K:$K, BG$2, Collection!$A:$A, "="&amp;$A24)</f>
        <v>0</v>
      </c>
      <c r="BH24" s="116">
        <f>(SUMIFS('Bucket Counts'!$P:$P, 'Bucket Counts'!$B:$B, BH$2, 'Bucket Counts'!$A:$A, "="&amp;$A24,  'Bucket Counts'!$F:$F, "&lt;&gt;100 Morts",  'Bucket Counts'!$F:$F, "&lt;&gt;224"))</f>
        <v>0</v>
      </c>
      <c r="BI24" s="116">
        <f>(SUMIFS('Bucket Counts'!$P:$P, 'Bucket Counts'!$B:$B, BI$2, 'Bucket Counts'!$A:$A, "="&amp;$A24,  'Bucket Counts'!$F:$F, "100 Morts"))</f>
        <v>0</v>
      </c>
      <c r="BJ24" s="116">
        <f>(SUMIFS('Bucket Counts'!$P:$P, 'Bucket Counts'!$B:$B, BJ$2, 'Bucket Counts'!$A:$A, "="&amp;$A24,  'Bucket Counts'!$F:$F, "224"))</f>
        <v>0</v>
      </c>
      <c r="BK24" s="116"/>
      <c r="BL24" s="426">
        <f>(BJ24+BH24)/BM23</f>
        <v>0</v>
      </c>
      <c r="BM24" s="370">
        <f>BH22+SUM(BG22:BG24)</f>
        <v>88226.666666666672</v>
      </c>
      <c r="BN24" s="369">
        <f>SUMIFS(Collection!$O:$O, Collection!$K:$K, BN$2, Collection!$A:$A, "="&amp;$A24)</f>
        <v>0</v>
      </c>
      <c r="BO24" s="116">
        <f>(SUMIFS('Bucket Counts'!$P:$P, 'Bucket Counts'!$B:$B, BO$2, 'Bucket Counts'!$A:$A, "="&amp;$A24,  'Bucket Counts'!$F:$F, "&lt;&gt;100 Morts",  'Bucket Counts'!$F:$F, "&lt;&gt;224"))</f>
        <v>0</v>
      </c>
      <c r="BP24" s="116">
        <f>(SUMIFS('Bucket Counts'!$P:$P, 'Bucket Counts'!$B:$B, BP$2, 'Bucket Counts'!$A:$A, "="&amp;$A24,  'Bucket Counts'!$F:$F, "100 Morts"))</f>
        <v>0</v>
      </c>
      <c r="BQ24" s="116">
        <f>(SUMIFS('Bucket Counts'!$P:$P, 'Bucket Counts'!$B:$B, BQ$2, 'Bucket Counts'!$A:$A, "="&amp;$A24,  'Bucket Counts'!$F:$F, "224"))</f>
        <v>0</v>
      </c>
      <c r="BR24" s="116"/>
      <c r="BS24" s="426">
        <f>(BQ24+BO24)/BT23</f>
        <v>0</v>
      </c>
      <c r="BT24" s="370">
        <f>BO22+SUM(BN22:BN24)</f>
        <v>70563.333333333328</v>
      </c>
      <c r="BU24" s="369">
        <f>SUMIFS(Collection!$O:$O, Collection!$K:$K, BU$2, Collection!$A:$A, "="&amp;$A24)</f>
        <v>0</v>
      </c>
      <c r="BV24" s="116">
        <f>(SUMIFS('Bucket Counts'!$P:$P, 'Bucket Counts'!$B:$B, BV$2, 'Bucket Counts'!$A:$A, "="&amp;$A24,  'Bucket Counts'!$F:$F, "&lt;&gt;100 Morts",  'Bucket Counts'!$F:$F, "&lt;&gt;224"))</f>
        <v>0</v>
      </c>
      <c r="BW24" s="116">
        <f>(SUMIFS('Bucket Counts'!$P:$P, 'Bucket Counts'!$B:$B, BW$2, 'Bucket Counts'!$A:$A, "="&amp;$A24,  'Bucket Counts'!$F:$F, "100 Morts"))</f>
        <v>0</v>
      </c>
      <c r="BX24" s="116">
        <f>(SUMIFS('Bucket Counts'!$P:$P, 'Bucket Counts'!$B:$B, BX$2, 'Bucket Counts'!$A:$A, "="&amp;$A24,  'Bucket Counts'!$F:$F, "224"))</f>
        <v>0</v>
      </c>
      <c r="BY24" s="116"/>
      <c r="BZ24" s="426" t="e">
        <f>(BX24+BV24)/CA23</f>
        <v>#DIV/0!</v>
      </c>
      <c r="CA24" s="370">
        <f>BV22+SUM(BU22:BU24)</f>
        <v>0</v>
      </c>
      <c r="CB24" s="369">
        <f>SUMIFS(Collection!$O:$O, Collection!$K:$K, CB$2, Collection!$A:$A, "="&amp;$A24)</f>
        <v>88166.666666666672</v>
      </c>
      <c r="CC24" s="116">
        <f>(SUMIFS('Bucket Counts'!$P:$P, 'Bucket Counts'!$B:$B, CC$2, 'Bucket Counts'!$A:$A, "="&amp;$A24,  'Bucket Counts'!$F:$F, "&lt;&gt;100 Morts",  'Bucket Counts'!$F:$F, "&lt;&gt;224"))</f>
        <v>0</v>
      </c>
      <c r="CD24" s="116">
        <f>(SUMIFS('Bucket Counts'!$P:$P, 'Bucket Counts'!$B:$B, CD$2, 'Bucket Counts'!$A:$A, "="&amp;$A24,  'Bucket Counts'!$F:$F, "100 Morts"))</f>
        <v>0</v>
      </c>
      <c r="CE24" s="116">
        <f>(SUMIFS('Bucket Counts'!$P:$P, 'Bucket Counts'!$B:$B, CE$2, 'Bucket Counts'!$A:$A, "="&amp;$A24,  'Bucket Counts'!$F:$F, "224"))</f>
        <v>0</v>
      </c>
      <c r="CF24" s="116"/>
      <c r="CG24" s="426" t="e">
        <f>(CE24+CC24)/CH23</f>
        <v>#DIV/0!</v>
      </c>
      <c r="CH24" s="370">
        <f>CC22+SUM(CB22:CB24)</f>
        <v>88166.666666666672</v>
      </c>
      <c r="CI24" s="369">
        <f>SUMIFS(Collection!$O:$O, Collection!$K:$K, CI$2, Collection!$A:$A, "="&amp;$A24)</f>
        <v>0</v>
      </c>
      <c r="CJ24" s="116">
        <f>(SUMIFS('Bucket Counts'!$P:$P, 'Bucket Counts'!$B:$B, CJ$2, 'Bucket Counts'!$A:$A, "="&amp;$A24,  'Bucket Counts'!$F:$F, "&lt;&gt;100 Morts",  'Bucket Counts'!$F:$F, "&lt;&gt;224"))</f>
        <v>0</v>
      </c>
      <c r="CK24" s="116">
        <f>(SUMIFS('Bucket Counts'!$P:$P, 'Bucket Counts'!$B:$B, CK$2, 'Bucket Counts'!$A:$A, "="&amp;$A24,  'Bucket Counts'!$F:$F, "100 Morts"))</f>
        <v>0</v>
      </c>
      <c r="CL24" s="116">
        <f>(SUMIFS('Bucket Counts'!$P:$P, 'Bucket Counts'!$B:$B, CL$2, 'Bucket Counts'!$A:$A, "="&amp;$A24,  'Bucket Counts'!$F:$F, "224"))</f>
        <v>0</v>
      </c>
      <c r="CM24" s="116"/>
      <c r="CN24" s="426">
        <f>(CL24+CJ24)/CO23</f>
        <v>0</v>
      </c>
      <c r="CO24" s="370">
        <f>CJ22+SUM(CI22:CI24)</f>
        <v>89273.333333333328</v>
      </c>
      <c r="CP24" s="369">
        <f>SUMIFS(Collection!$O:$O, Collection!$K:$K, CP$2, Collection!$A:$A, "="&amp;$A24)</f>
        <v>0</v>
      </c>
      <c r="CQ24" s="116">
        <f>(SUMIFS('Bucket Counts'!$P:$P, 'Bucket Counts'!$B:$B, CQ$2, 'Bucket Counts'!$A:$A, "="&amp;$A24,  'Bucket Counts'!$F:$F, "&lt;&gt;100 Morts",  'Bucket Counts'!$F:$F, "&lt;&gt;224"))</f>
        <v>0</v>
      </c>
      <c r="CR24" s="116">
        <f>(SUMIFS('Bucket Counts'!$P:$P, 'Bucket Counts'!$B:$B, CR$2, 'Bucket Counts'!$A:$A, "="&amp;$A24,  'Bucket Counts'!$F:$F, "100 Morts"))</f>
        <v>0</v>
      </c>
      <c r="CS24" s="116">
        <f>(SUMIFS('Bucket Counts'!$P:$P, 'Bucket Counts'!$B:$B, CS$2, 'Bucket Counts'!$A:$A, "="&amp;$A24,  'Bucket Counts'!$F:$F, "224"))</f>
        <v>0</v>
      </c>
      <c r="CT24" s="116"/>
      <c r="CU24" s="426">
        <f>(CS24+CQ24)/CV23</f>
        <v>0</v>
      </c>
      <c r="CV24" s="370">
        <f>CQ22+SUM(CP22:CP24)</f>
        <v>113319.99999999999</v>
      </c>
      <c r="CW24" s="369">
        <f>SUMIFS(Collection!$O:$O, Collection!$K:$K, CW$2, Collection!$A:$A, "="&amp;$A24)</f>
        <v>0</v>
      </c>
      <c r="CX24" s="116">
        <f>(SUMIFS('Bucket Counts'!$P:$P, 'Bucket Counts'!$B:$B, CX$2, 'Bucket Counts'!$A:$A, "="&amp;$A24,  'Bucket Counts'!$F:$F, "&lt;&gt;100 Morts",  'Bucket Counts'!$F:$F, "&lt;&gt;224"))</f>
        <v>0</v>
      </c>
      <c r="CY24" s="116">
        <f>(SUMIFS('Bucket Counts'!$P:$P, 'Bucket Counts'!$B:$B, CY$2, 'Bucket Counts'!$A:$A, "="&amp;$A24,  'Bucket Counts'!$F:$F, "100 Morts"))</f>
        <v>0</v>
      </c>
      <c r="CZ24" s="116">
        <f>(SUMIFS('Bucket Counts'!$P:$P, 'Bucket Counts'!$B:$B, CZ$2, 'Bucket Counts'!$A:$A, "="&amp;$A24,  'Bucket Counts'!$F:$F, "224"))</f>
        <v>0</v>
      </c>
      <c r="DA24" s="116"/>
      <c r="DB24" s="426">
        <f>(CZ24+CX24)/DC23</f>
        <v>0</v>
      </c>
      <c r="DC24" s="370">
        <f>CX22+SUM(CW22:CW24)</f>
        <v>64220.000000000007</v>
      </c>
      <c r="DD24" s="369">
        <f>SUMIFS(Collection!$O:$O, Collection!$K:$K, DD$2, Collection!$A:$A, "="&amp;$A24)</f>
        <v>38750</v>
      </c>
      <c r="DE24" s="116">
        <f>(SUMIFS('Bucket Counts'!$P:$P, 'Bucket Counts'!$B:$B, DE$2, 'Bucket Counts'!$A:$A, "="&amp;$A24,  'Bucket Counts'!$F:$F, "&lt;&gt;100 Morts",  'Bucket Counts'!$F:$F, "&lt;&gt;224"))</f>
        <v>0</v>
      </c>
      <c r="DF24" s="116">
        <f>(SUMIFS('Bucket Counts'!$P:$P, 'Bucket Counts'!$B:$B, DF$2, 'Bucket Counts'!$A:$A, "="&amp;$A24,  'Bucket Counts'!$F:$F, "100 Morts"))</f>
        <v>0</v>
      </c>
      <c r="DG24" s="116">
        <f>(SUMIFS('Bucket Counts'!$P:$P, 'Bucket Counts'!$B:$B, DG$2, 'Bucket Counts'!$A:$A, "="&amp;$A24,  'Bucket Counts'!$F:$F, "224"))</f>
        <v>0</v>
      </c>
      <c r="DH24" s="116"/>
      <c r="DI24" s="426">
        <f>(DG24+DE24)/DJ23</f>
        <v>0</v>
      </c>
      <c r="DJ24" s="370">
        <f>DE22+SUM(DD22:DD24)</f>
        <v>40925</v>
      </c>
      <c r="DK24" s="369">
        <f>SUMIFS(Collection!$O:$O, Collection!$K:$K, DK$2, Collection!$A:$A, "="&amp;$A24)</f>
        <v>0</v>
      </c>
      <c r="DL24" s="116">
        <f>(SUMIFS('Bucket Counts'!$P:$P, 'Bucket Counts'!$B:$B, DL$2, 'Bucket Counts'!$A:$A, "="&amp;$A24,  'Bucket Counts'!$F:$F, "&lt;&gt;100 Morts",  'Bucket Counts'!$F:$F, "&lt;&gt;224"))</f>
        <v>0</v>
      </c>
      <c r="DM24" s="116">
        <f>(SUMIFS('Bucket Counts'!$P:$P, 'Bucket Counts'!$B:$B, DM$2, 'Bucket Counts'!$A:$A, "="&amp;$A24,  'Bucket Counts'!$F:$F, "100 Morts"))</f>
        <v>0</v>
      </c>
      <c r="DN24" s="116">
        <f>(SUMIFS('Bucket Counts'!$P:$P, 'Bucket Counts'!$B:$B, DN$2, 'Bucket Counts'!$A:$A, "="&amp;$A24,  'Bucket Counts'!$F:$F, "224"))</f>
        <v>0</v>
      </c>
      <c r="DO24" s="116"/>
      <c r="DP24" s="426" t="e">
        <f>(DN24+DL24)/DQ23</f>
        <v>#DIV/0!</v>
      </c>
      <c r="DQ24" s="370">
        <f>DL22+SUM(DK22:DK24)</f>
        <v>0</v>
      </c>
      <c r="DR24" s="369">
        <f>SUMIFS(Collection!$O:$O, Collection!$K:$K, DR$2, Collection!$A:$A, "="&amp;$A24)</f>
        <v>0</v>
      </c>
      <c r="DS24" s="116">
        <f>(SUMIFS('Bucket Counts'!$P:$P, 'Bucket Counts'!$B:$B, DS$2, 'Bucket Counts'!$A:$A, "="&amp;$A24,  'Bucket Counts'!$F:$F, "&lt;&gt;100 Morts",  'Bucket Counts'!$F:$F, "&lt;&gt;224"))</f>
        <v>0</v>
      </c>
      <c r="DT24" s="116">
        <f>(SUMIFS('Bucket Counts'!$P:$P, 'Bucket Counts'!$B:$B, DT$2, 'Bucket Counts'!$A:$A, "="&amp;$A24,  'Bucket Counts'!$F:$F, "100 Morts"))</f>
        <v>0</v>
      </c>
      <c r="DU24" s="116">
        <f>(SUMIFS('Bucket Counts'!$P:$P, 'Bucket Counts'!$B:$B, DU$2, 'Bucket Counts'!$A:$A, "="&amp;$A24,  'Bucket Counts'!$F:$F, "224"))</f>
        <v>0</v>
      </c>
      <c r="DV24" s="116"/>
      <c r="DW24" s="426">
        <f>(DU24+DS24)/DX23</f>
        <v>0</v>
      </c>
      <c r="DX24" s="370">
        <f>DS22+SUM(DR22:DR24)</f>
        <v>6940</v>
      </c>
      <c r="DY24" s="369">
        <f>SUMIFS(Collection!$O:$O, Collection!$K:$K, DY$2, Collection!$A:$A, "="&amp;$A24)</f>
        <v>0</v>
      </c>
      <c r="DZ24" s="116">
        <f>(SUMIFS('Bucket Counts'!$P:$P, 'Bucket Counts'!$B:$B, DZ$2, 'Bucket Counts'!$A:$A, "="&amp;$A24,  'Bucket Counts'!$F:$F, "&lt;&gt;100 Morts",  'Bucket Counts'!$F:$F, "&lt;&gt;224"))</f>
        <v>0</v>
      </c>
      <c r="EA24" s="116">
        <f>(SUMIFS('Bucket Counts'!$P:$P, 'Bucket Counts'!$B:$B, EA$2, 'Bucket Counts'!$A:$A, "="&amp;$A24,  'Bucket Counts'!$F:$F, "100 Morts"))</f>
        <v>0</v>
      </c>
      <c r="EB24" s="116">
        <f>(SUMIFS('Bucket Counts'!$P:$P, 'Bucket Counts'!$B:$B, EB$2, 'Bucket Counts'!$A:$A, "="&amp;$A24,  'Bucket Counts'!$F:$F, "224"))</f>
        <v>0</v>
      </c>
      <c r="EC24" s="116"/>
      <c r="ED24" s="426" t="e">
        <f>(EB24+DZ24)/EE23</f>
        <v>#DIV/0!</v>
      </c>
      <c r="EE24" s="370">
        <f>DZ22+SUM(DY22:DY24)</f>
        <v>0</v>
      </c>
      <c r="EF24" s="369">
        <f>SUMIFS(Collection!$O:$O, Collection!$K:$K, EF$2, Collection!$A:$A, "="&amp;$A24)</f>
        <v>0</v>
      </c>
      <c r="EG24" s="116">
        <f>(SUMIFS('Bucket Counts'!$P:$P, 'Bucket Counts'!$B:$B, EG$2, 'Bucket Counts'!$A:$A, "="&amp;$A24,  'Bucket Counts'!$F:$F, "&lt;&gt;100 Morts",  'Bucket Counts'!$F:$F, "&lt;&gt;224"))</f>
        <v>0</v>
      </c>
      <c r="EH24" s="116">
        <f>(SUMIFS('Bucket Counts'!$P:$P, 'Bucket Counts'!$B:$B, EH$2, 'Bucket Counts'!$A:$A, "="&amp;$A24,  'Bucket Counts'!$F:$F, "100 Morts"))</f>
        <v>0</v>
      </c>
      <c r="EI24" s="116">
        <f>(SUMIFS('Bucket Counts'!$P:$P, 'Bucket Counts'!$B:$B, EI$2, 'Bucket Counts'!$A:$A, "="&amp;$A24,  'Bucket Counts'!$F:$F, "224"))</f>
        <v>0</v>
      </c>
      <c r="EJ24" s="116"/>
      <c r="EK24" s="426" t="e">
        <f>(EI24+EG24)/EL23</f>
        <v>#DIV/0!</v>
      </c>
      <c r="EL24" s="370">
        <f>EG22+SUM(EF22:EF24)</f>
        <v>0</v>
      </c>
    </row>
    <row r="25" spans="1:142" x14ac:dyDescent="0.2">
      <c r="A25" s="16">
        <f t="shared" si="0"/>
        <v>42894</v>
      </c>
      <c r="B25" s="16" t="s">
        <v>487</v>
      </c>
      <c r="C25" s="369">
        <f>SUMIFS(Collection!$O:$O, Collection!$K:$K, C$2, Collection!$A:$A, "="&amp;$A25)</f>
        <v>0</v>
      </c>
      <c r="D25" s="116">
        <f>(SUMIFS('Bucket Counts'!$P:$P, 'Bucket Counts'!$B:$B, D$2, 'Bucket Counts'!$A:$A, "="&amp;$A25,  'Bucket Counts'!$F:$F, "&lt;&gt;100 Morts",  'Bucket Counts'!$F:$F, "&lt;&gt;224"))</f>
        <v>0</v>
      </c>
      <c r="E25" s="116">
        <f>(SUMIFS('Bucket Counts'!$P:$P, 'Bucket Counts'!$B:$B, E$2, 'Bucket Counts'!$A:$A, "="&amp;$A25,  'Bucket Counts'!$F:$F, "100 Morts"))</f>
        <v>0</v>
      </c>
      <c r="F25" s="116">
        <f>(SUMIFS('Bucket Counts'!$P:$P, 'Bucket Counts'!$B:$B, F$2, 'Bucket Counts'!$A:$A, "="&amp;$A25,  'Bucket Counts'!$F:$F, "224"))</f>
        <v>0</v>
      </c>
      <c r="G25" s="116"/>
      <c r="H25" s="426">
        <f>(F25+D25)/I24</f>
        <v>0</v>
      </c>
      <c r="I25" s="370">
        <f>D22+SUM(C22:C25)</f>
        <v>135990</v>
      </c>
      <c r="J25" s="369">
        <f>SUMIFS(Collection!$O:$O, Collection!$K:$K, J$2, Collection!$A:$A, "="&amp;$A25)</f>
        <v>0</v>
      </c>
      <c r="K25" s="116">
        <f>(SUMIFS('Bucket Counts'!$P:$P, 'Bucket Counts'!$B:$B, K$2, 'Bucket Counts'!$A:$A, "="&amp;$A25,  'Bucket Counts'!$F:$F, "&lt;&gt;100 Morts",  'Bucket Counts'!$F:$F, "&lt;&gt;224"))</f>
        <v>0</v>
      </c>
      <c r="L25" s="116">
        <f>(SUMIFS('Bucket Counts'!$P:$P, 'Bucket Counts'!$B:$B, L$2, 'Bucket Counts'!$A:$A, "="&amp;$A25,  'Bucket Counts'!$F:$F, "100 Morts"))</f>
        <v>0</v>
      </c>
      <c r="M25" s="116">
        <f>(SUMIFS('Bucket Counts'!$P:$P, 'Bucket Counts'!$B:$B, M$2, 'Bucket Counts'!$A:$A, "="&amp;$A25,  'Bucket Counts'!$F:$F, "224"))</f>
        <v>0</v>
      </c>
      <c r="N25" s="116"/>
      <c r="O25" s="426">
        <f>(M25+K25)/P24</f>
        <v>0</v>
      </c>
      <c r="P25" s="370">
        <f>K22+SUM(J22:J25)</f>
        <v>48306.666666666672</v>
      </c>
      <c r="Q25" s="369">
        <f>SUMIFS(Collection!$O:$O, Collection!$K:$K, Q$2, Collection!$A:$A, "="&amp;$A25)</f>
        <v>0</v>
      </c>
      <c r="R25" s="116">
        <f>(SUMIFS('Bucket Counts'!$P:$P, 'Bucket Counts'!$B:$B, R$2, 'Bucket Counts'!$A:$A, "="&amp;$A25,  'Bucket Counts'!$F:$F, "&lt;&gt;100 Morts",  'Bucket Counts'!$F:$F, "&lt;&gt;224"))</f>
        <v>0</v>
      </c>
      <c r="S25" s="116">
        <f>(SUMIFS('Bucket Counts'!$P:$P, 'Bucket Counts'!$B:$B, S$2, 'Bucket Counts'!$A:$A, "="&amp;$A25,  'Bucket Counts'!$F:$F, "100 Morts"))</f>
        <v>0</v>
      </c>
      <c r="T25" s="116">
        <f>(SUMIFS('Bucket Counts'!$P:$P, 'Bucket Counts'!$B:$B, T$2, 'Bucket Counts'!$A:$A, "="&amp;$A25,  'Bucket Counts'!$F:$F, "224"))</f>
        <v>0</v>
      </c>
      <c r="U25" s="116"/>
      <c r="V25" s="426">
        <f>(T25+R25)/W24</f>
        <v>0</v>
      </c>
      <c r="W25" s="370">
        <f>R22+SUM(Q22:Q25)</f>
        <v>91018.333333333343</v>
      </c>
      <c r="X25" s="369">
        <f>SUMIFS(Collection!$O:$O, Collection!$K:$K, X$2, Collection!$A:$A, "="&amp;$A25)</f>
        <v>0</v>
      </c>
      <c r="Y25" s="116">
        <f>(SUMIFS('Bucket Counts'!$P:$P, 'Bucket Counts'!$B:$B, Y$2, 'Bucket Counts'!$A:$A, "="&amp;$A25,  'Bucket Counts'!$F:$F, "&lt;&gt;100 Morts",  'Bucket Counts'!$F:$F, "&lt;&gt;224"))</f>
        <v>0</v>
      </c>
      <c r="Z25" s="116">
        <f>(SUMIFS('Bucket Counts'!$P:$P, 'Bucket Counts'!$B:$B, Z$2, 'Bucket Counts'!$A:$A, "="&amp;$A25,  'Bucket Counts'!$F:$F, "100 Morts"))</f>
        <v>0</v>
      </c>
      <c r="AA25" s="116">
        <f>(SUMIFS('Bucket Counts'!$P:$P, 'Bucket Counts'!$B:$B, AA$2, 'Bucket Counts'!$A:$A, "="&amp;$A25,  'Bucket Counts'!$F:$F, "224"))</f>
        <v>0</v>
      </c>
      <c r="AB25" s="116"/>
      <c r="AC25" s="426">
        <f>(AA25+Y25)/AD24</f>
        <v>0</v>
      </c>
      <c r="AD25" s="370">
        <f>Y22+SUM(X22:X25)</f>
        <v>109456.66666666667</v>
      </c>
      <c r="AE25" s="369">
        <f>SUMIFS(Collection!$O:$O, Collection!$K:$K, AE$2, Collection!$A:$A, "="&amp;$A25)</f>
        <v>0</v>
      </c>
      <c r="AF25" s="116">
        <f>(SUMIFS('Bucket Counts'!$P:$P, 'Bucket Counts'!$B:$B, AF$2, 'Bucket Counts'!$A:$A, "="&amp;$A25,  'Bucket Counts'!$F:$F, "&lt;&gt;100 Morts",  'Bucket Counts'!$F:$F, "&lt;&gt;224"))</f>
        <v>0</v>
      </c>
      <c r="AG25" s="116">
        <f>(SUMIFS('Bucket Counts'!$P:$P, 'Bucket Counts'!$B:$B, AG$2, 'Bucket Counts'!$A:$A, "="&amp;$A25,  'Bucket Counts'!$F:$F, "100 Morts"))</f>
        <v>0</v>
      </c>
      <c r="AH25" s="116">
        <f>(SUMIFS('Bucket Counts'!$P:$P, 'Bucket Counts'!$B:$B, AH$2, 'Bucket Counts'!$A:$A, "="&amp;$A25,  'Bucket Counts'!$F:$F, "224"))</f>
        <v>0</v>
      </c>
      <c r="AI25" s="116"/>
      <c r="AJ25" s="426">
        <f>(AH25+AF25)/AK24</f>
        <v>0</v>
      </c>
      <c r="AK25" s="370">
        <f>AF22+SUM(AE22:AE25)</f>
        <v>181213.33333333331</v>
      </c>
      <c r="AL25" s="369">
        <f>SUMIFS(Collection!$O:$O, Collection!$K:$K, AL$2, Collection!$A:$A, "="&amp;$A25)</f>
        <v>0</v>
      </c>
      <c r="AM25" s="116">
        <f>(SUMIFS('Bucket Counts'!$P:$P, 'Bucket Counts'!$B:$B, AM$2, 'Bucket Counts'!$A:$A, "="&amp;$A25,  'Bucket Counts'!$F:$F, "&lt;&gt;100 Morts",  'Bucket Counts'!$F:$F, "&lt;&gt;224"))</f>
        <v>0</v>
      </c>
      <c r="AN25" s="116">
        <f>(SUMIFS('Bucket Counts'!$P:$P, 'Bucket Counts'!$B:$B, AN$2, 'Bucket Counts'!$A:$A, "="&amp;$A25,  'Bucket Counts'!$F:$F, "100 Morts"))</f>
        <v>0</v>
      </c>
      <c r="AO25" s="116">
        <f>(SUMIFS('Bucket Counts'!$P:$P, 'Bucket Counts'!$B:$B, AO$2, 'Bucket Counts'!$A:$A, "="&amp;$A25,  'Bucket Counts'!$F:$F, "224"))</f>
        <v>0</v>
      </c>
      <c r="AP25" s="116"/>
      <c r="AQ25" s="426">
        <f>(AO25+AM25)/AR24</f>
        <v>0</v>
      </c>
      <c r="AR25" s="370">
        <f>AM22+SUM(AL22:AL25)</f>
        <v>39093.333333333328</v>
      </c>
      <c r="AS25" s="369">
        <f>SUMIFS(Collection!$O:$O, Collection!$K:$K, AS$2, Collection!$A:$A, "="&amp;$A25)</f>
        <v>0</v>
      </c>
      <c r="AT25" s="116">
        <f>(SUMIFS('Bucket Counts'!$P:$P, 'Bucket Counts'!$B:$B, AT$2, 'Bucket Counts'!$A:$A, "="&amp;$A25,  'Bucket Counts'!$F:$F, "&lt;&gt;100 Morts",  'Bucket Counts'!$F:$F, "&lt;&gt;224"))</f>
        <v>0</v>
      </c>
      <c r="AU25" s="116">
        <f>(SUMIFS('Bucket Counts'!$P:$P, 'Bucket Counts'!$B:$B, AU$2, 'Bucket Counts'!$A:$A, "="&amp;$A25,  'Bucket Counts'!$F:$F, "100 Morts"))</f>
        <v>0</v>
      </c>
      <c r="AV25" s="116">
        <f>(SUMIFS('Bucket Counts'!$P:$P, 'Bucket Counts'!$B:$B, AV$2, 'Bucket Counts'!$A:$A, "="&amp;$A25,  'Bucket Counts'!$F:$F, "224"))</f>
        <v>0</v>
      </c>
      <c r="AW25" s="116"/>
      <c r="AX25" s="426">
        <f>(AV25+AT25)/AY24</f>
        <v>0</v>
      </c>
      <c r="AY25" s="370">
        <f>AT22+SUM(AS22:AS25)</f>
        <v>144906.66666666669</v>
      </c>
      <c r="AZ25" s="369">
        <f>SUMIFS(Collection!$O:$O, Collection!$K:$K, AZ$2, Collection!$A:$A, "="&amp;$A25)</f>
        <v>0</v>
      </c>
      <c r="BA25" s="116">
        <f>(SUMIFS('Bucket Counts'!$P:$P, 'Bucket Counts'!$B:$B, BA$2, 'Bucket Counts'!$A:$A, "="&amp;$A25,  'Bucket Counts'!$F:$F, "&lt;&gt;100 Morts",  'Bucket Counts'!$F:$F, "&lt;&gt;224"))</f>
        <v>0</v>
      </c>
      <c r="BB25" s="116">
        <f>(SUMIFS('Bucket Counts'!$P:$P, 'Bucket Counts'!$B:$B, BB$2, 'Bucket Counts'!$A:$A, "="&amp;$A25,  'Bucket Counts'!$F:$F, "100 Morts"))</f>
        <v>0</v>
      </c>
      <c r="BC25" s="116">
        <f>(SUMIFS('Bucket Counts'!$P:$P, 'Bucket Counts'!$B:$B, BC$2, 'Bucket Counts'!$A:$A, "="&amp;$A25,  'Bucket Counts'!$F:$F, "224"))</f>
        <v>0</v>
      </c>
      <c r="BD25" s="116"/>
      <c r="BE25" s="426">
        <f>(BC25+BA25)/BF24</f>
        <v>0</v>
      </c>
      <c r="BF25" s="370">
        <f>BA22+SUM(AZ22:AZ25)</f>
        <v>95320</v>
      </c>
      <c r="BG25" s="369">
        <f>SUMIFS(Collection!$O:$O, Collection!$K:$K, BG$2, Collection!$A:$A, "="&amp;$A25)</f>
        <v>0</v>
      </c>
      <c r="BH25" s="116">
        <f>(SUMIFS('Bucket Counts'!$P:$P, 'Bucket Counts'!$B:$B, BH$2, 'Bucket Counts'!$A:$A, "="&amp;$A25,  'Bucket Counts'!$F:$F, "&lt;&gt;100 Morts",  'Bucket Counts'!$F:$F, "&lt;&gt;224"))</f>
        <v>0</v>
      </c>
      <c r="BI25" s="116">
        <f>(SUMIFS('Bucket Counts'!$P:$P, 'Bucket Counts'!$B:$B, BI$2, 'Bucket Counts'!$A:$A, "="&amp;$A25,  'Bucket Counts'!$F:$F, "100 Morts"))</f>
        <v>0</v>
      </c>
      <c r="BJ25" s="116">
        <f>(SUMIFS('Bucket Counts'!$P:$P, 'Bucket Counts'!$B:$B, BJ$2, 'Bucket Counts'!$A:$A, "="&amp;$A25,  'Bucket Counts'!$F:$F, "224"))</f>
        <v>0</v>
      </c>
      <c r="BK25" s="116"/>
      <c r="BL25" s="426">
        <f>(BJ25+BH25)/BM24</f>
        <v>0</v>
      </c>
      <c r="BM25" s="370">
        <f>BH22+SUM(BG22:BG25)</f>
        <v>88226.666666666672</v>
      </c>
      <c r="BN25" s="369">
        <f>SUMIFS(Collection!$O:$O, Collection!$K:$K, BN$2, Collection!$A:$A, "="&amp;$A25)</f>
        <v>0</v>
      </c>
      <c r="BO25" s="116">
        <f>(SUMIFS('Bucket Counts'!$P:$P, 'Bucket Counts'!$B:$B, BO$2, 'Bucket Counts'!$A:$A, "="&amp;$A25,  'Bucket Counts'!$F:$F, "&lt;&gt;100 Morts",  'Bucket Counts'!$F:$F, "&lt;&gt;224"))</f>
        <v>0</v>
      </c>
      <c r="BP25" s="116">
        <f>(SUMIFS('Bucket Counts'!$P:$P, 'Bucket Counts'!$B:$B, BP$2, 'Bucket Counts'!$A:$A, "="&amp;$A25,  'Bucket Counts'!$F:$F, "100 Morts"))</f>
        <v>0</v>
      </c>
      <c r="BQ25" s="116">
        <f>(SUMIFS('Bucket Counts'!$P:$P, 'Bucket Counts'!$B:$B, BQ$2, 'Bucket Counts'!$A:$A, "="&amp;$A25,  'Bucket Counts'!$F:$F, "224"))</f>
        <v>0</v>
      </c>
      <c r="BR25" s="116"/>
      <c r="BS25" s="426">
        <f>(BQ25+BO25)/BT24</f>
        <v>0</v>
      </c>
      <c r="BT25" s="370">
        <f>BO22+SUM(BN22:BN25)</f>
        <v>70563.333333333328</v>
      </c>
      <c r="BU25" s="369">
        <f>SUMIFS(Collection!$O:$O, Collection!$K:$K, BU$2, Collection!$A:$A, "="&amp;$A25)</f>
        <v>0</v>
      </c>
      <c r="BV25" s="116">
        <f>(SUMIFS('Bucket Counts'!$P:$P, 'Bucket Counts'!$B:$B, BV$2, 'Bucket Counts'!$A:$A, "="&amp;$A25,  'Bucket Counts'!$F:$F, "&lt;&gt;100 Morts",  'Bucket Counts'!$F:$F, "&lt;&gt;224"))</f>
        <v>0</v>
      </c>
      <c r="BW25" s="116">
        <f>(SUMIFS('Bucket Counts'!$P:$P, 'Bucket Counts'!$B:$B, BW$2, 'Bucket Counts'!$A:$A, "="&amp;$A25,  'Bucket Counts'!$F:$F, "100 Morts"))</f>
        <v>0</v>
      </c>
      <c r="BX25" s="116">
        <f>(SUMIFS('Bucket Counts'!$P:$P, 'Bucket Counts'!$B:$B, BX$2, 'Bucket Counts'!$A:$A, "="&amp;$A25,  'Bucket Counts'!$F:$F, "224"))</f>
        <v>0</v>
      </c>
      <c r="BY25" s="116"/>
      <c r="BZ25" s="426" t="e">
        <f>(BX25+BV25)/CA24</f>
        <v>#DIV/0!</v>
      </c>
      <c r="CA25" s="370">
        <f>BV22+SUM(BU22:BU25)</f>
        <v>0</v>
      </c>
      <c r="CB25" s="369">
        <f>SUMIFS(Collection!$O:$O, Collection!$K:$K, CB$2, Collection!$A:$A, "="&amp;$A25)</f>
        <v>4391.666666666667</v>
      </c>
      <c r="CC25" s="116">
        <f>(SUMIFS('Bucket Counts'!$P:$P, 'Bucket Counts'!$B:$B, CC$2, 'Bucket Counts'!$A:$A, "="&amp;$A25,  'Bucket Counts'!$F:$F, "&lt;&gt;100 Morts",  'Bucket Counts'!$F:$F, "&lt;&gt;224"))</f>
        <v>0</v>
      </c>
      <c r="CD25" s="116">
        <f>(SUMIFS('Bucket Counts'!$P:$P, 'Bucket Counts'!$B:$B, CD$2, 'Bucket Counts'!$A:$A, "="&amp;$A25,  'Bucket Counts'!$F:$F, "100 Morts"))</f>
        <v>0</v>
      </c>
      <c r="CE25" s="116">
        <f>(SUMIFS('Bucket Counts'!$P:$P, 'Bucket Counts'!$B:$B, CE$2, 'Bucket Counts'!$A:$A, "="&amp;$A25,  'Bucket Counts'!$F:$F, "224"))</f>
        <v>0</v>
      </c>
      <c r="CF25" s="116"/>
      <c r="CG25" s="426">
        <f>(CE25+CC25)/CH24</f>
        <v>0</v>
      </c>
      <c r="CH25" s="370">
        <f>CC22+SUM(CB22:CB25)</f>
        <v>92558.333333333343</v>
      </c>
      <c r="CI25" s="369">
        <f>SUMIFS(Collection!$O:$O, Collection!$K:$K, CI$2, Collection!$A:$A, "="&amp;$A25)</f>
        <v>25166.666666666668</v>
      </c>
      <c r="CJ25" s="116">
        <f>(SUMIFS('Bucket Counts'!$P:$P, 'Bucket Counts'!$B:$B, CJ$2, 'Bucket Counts'!$A:$A, "="&amp;$A25,  'Bucket Counts'!$F:$F, "&lt;&gt;100 Morts",  'Bucket Counts'!$F:$F, "&lt;&gt;224"))</f>
        <v>0</v>
      </c>
      <c r="CK25" s="116">
        <f>(SUMIFS('Bucket Counts'!$P:$P, 'Bucket Counts'!$B:$B, CK$2, 'Bucket Counts'!$A:$A, "="&amp;$A25,  'Bucket Counts'!$F:$F, "100 Morts"))</f>
        <v>0</v>
      </c>
      <c r="CL25" s="116">
        <f>(SUMIFS('Bucket Counts'!$P:$P, 'Bucket Counts'!$B:$B, CL$2, 'Bucket Counts'!$A:$A, "="&amp;$A25,  'Bucket Counts'!$F:$F, "224"))</f>
        <v>0</v>
      </c>
      <c r="CM25" s="116"/>
      <c r="CN25" s="426">
        <f>(CL25+CJ25)/CO24</f>
        <v>0</v>
      </c>
      <c r="CO25" s="370">
        <f>CJ22+SUM(CI22:CI25)</f>
        <v>114440</v>
      </c>
      <c r="CP25" s="369">
        <f>SUMIFS(Collection!$O:$O, Collection!$K:$K, CP$2, Collection!$A:$A, "="&amp;$A25)</f>
        <v>0</v>
      </c>
      <c r="CQ25" s="116">
        <f>(SUMIFS('Bucket Counts'!$P:$P, 'Bucket Counts'!$B:$B, CQ$2, 'Bucket Counts'!$A:$A, "="&amp;$A25,  'Bucket Counts'!$F:$F, "&lt;&gt;100 Morts",  'Bucket Counts'!$F:$F, "&lt;&gt;224"))</f>
        <v>0</v>
      </c>
      <c r="CR25" s="116">
        <f>(SUMIFS('Bucket Counts'!$P:$P, 'Bucket Counts'!$B:$B, CR$2, 'Bucket Counts'!$A:$A, "="&amp;$A25,  'Bucket Counts'!$F:$F, "100 Morts"))</f>
        <v>0</v>
      </c>
      <c r="CS25" s="116">
        <f>(SUMIFS('Bucket Counts'!$P:$P, 'Bucket Counts'!$B:$B, CS$2, 'Bucket Counts'!$A:$A, "="&amp;$A25,  'Bucket Counts'!$F:$F, "224"))</f>
        <v>0</v>
      </c>
      <c r="CT25" s="116"/>
      <c r="CU25" s="426">
        <f>(CS25+CQ25)/CV24</f>
        <v>0</v>
      </c>
      <c r="CV25" s="370">
        <f>CQ22+SUM(CP22:CP25)</f>
        <v>113319.99999999999</v>
      </c>
      <c r="CW25" s="369">
        <f>SUMIFS(Collection!$O:$O, Collection!$K:$K, CW$2, Collection!$A:$A, "="&amp;$A25)</f>
        <v>0</v>
      </c>
      <c r="CX25" s="116">
        <f>(SUMIFS('Bucket Counts'!$P:$P, 'Bucket Counts'!$B:$B, CX$2, 'Bucket Counts'!$A:$A, "="&amp;$A25,  'Bucket Counts'!$F:$F, "&lt;&gt;100 Morts",  'Bucket Counts'!$F:$F, "&lt;&gt;224"))</f>
        <v>0</v>
      </c>
      <c r="CY25" s="116">
        <f>(SUMIFS('Bucket Counts'!$P:$P, 'Bucket Counts'!$B:$B, CY$2, 'Bucket Counts'!$A:$A, "="&amp;$A25,  'Bucket Counts'!$F:$F, "100 Morts"))</f>
        <v>0</v>
      </c>
      <c r="CZ25" s="116">
        <f>(SUMIFS('Bucket Counts'!$P:$P, 'Bucket Counts'!$B:$B, CZ$2, 'Bucket Counts'!$A:$A, "="&amp;$A25,  'Bucket Counts'!$F:$F, "224"))</f>
        <v>0</v>
      </c>
      <c r="DA25" s="116"/>
      <c r="DB25" s="426">
        <f>(CZ25+CX25)/DC24</f>
        <v>0</v>
      </c>
      <c r="DC25" s="370">
        <f>CX22+SUM(CW22:CW25)</f>
        <v>64220.000000000007</v>
      </c>
      <c r="DD25" s="369">
        <f>SUMIFS(Collection!$O:$O, Collection!$K:$K, DD$2, Collection!$A:$A, "="&amp;$A25)</f>
        <v>9066.6666666666679</v>
      </c>
      <c r="DE25" s="116">
        <f>(SUMIFS('Bucket Counts'!$P:$P, 'Bucket Counts'!$B:$B, DE$2, 'Bucket Counts'!$A:$A, "="&amp;$A25,  'Bucket Counts'!$F:$F, "&lt;&gt;100 Morts",  'Bucket Counts'!$F:$F, "&lt;&gt;224"))</f>
        <v>0</v>
      </c>
      <c r="DF25" s="116">
        <f>(SUMIFS('Bucket Counts'!$P:$P, 'Bucket Counts'!$B:$B, DF$2, 'Bucket Counts'!$A:$A, "="&amp;$A25,  'Bucket Counts'!$F:$F, "100 Morts"))</f>
        <v>0</v>
      </c>
      <c r="DG25" s="116">
        <f>(SUMIFS('Bucket Counts'!$P:$P, 'Bucket Counts'!$B:$B, DG$2, 'Bucket Counts'!$A:$A, "="&amp;$A25,  'Bucket Counts'!$F:$F, "224"))</f>
        <v>0</v>
      </c>
      <c r="DH25" s="116"/>
      <c r="DI25" s="426">
        <f>(DG25+DE25)/DJ24</f>
        <v>0</v>
      </c>
      <c r="DJ25" s="370">
        <f>DE22+SUM(DD22:DD25)</f>
        <v>49991.666666666672</v>
      </c>
      <c r="DK25" s="369">
        <f>SUMIFS(Collection!$O:$O, Collection!$K:$K, DK$2, Collection!$A:$A, "="&amp;$A25)</f>
        <v>0</v>
      </c>
      <c r="DL25" s="116">
        <f>(SUMIFS('Bucket Counts'!$P:$P, 'Bucket Counts'!$B:$B, DL$2, 'Bucket Counts'!$A:$A, "="&amp;$A25,  'Bucket Counts'!$F:$F, "&lt;&gt;100 Morts",  'Bucket Counts'!$F:$F, "&lt;&gt;224"))</f>
        <v>0</v>
      </c>
      <c r="DM25" s="116">
        <f>(SUMIFS('Bucket Counts'!$P:$P, 'Bucket Counts'!$B:$B, DM$2, 'Bucket Counts'!$A:$A, "="&amp;$A25,  'Bucket Counts'!$F:$F, "100 Morts"))</f>
        <v>0</v>
      </c>
      <c r="DN25" s="116">
        <f>(SUMIFS('Bucket Counts'!$P:$P, 'Bucket Counts'!$B:$B, DN$2, 'Bucket Counts'!$A:$A, "="&amp;$A25,  'Bucket Counts'!$F:$F, "224"))</f>
        <v>0</v>
      </c>
      <c r="DO25" s="116"/>
      <c r="DP25" s="426" t="e">
        <f>(DN25+DL25)/DQ24</f>
        <v>#DIV/0!</v>
      </c>
      <c r="DQ25" s="370">
        <f>DL22+SUM(DK22:DK25)</f>
        <v>0</v>
      </c>
      <c r="DR25" s="369">
        <f>SUMIFS(Collection!$O:$O, Collection!$K:$K, DR$2, Collection!$A:$A, "="&amp;$A25)</f>
        <v>0</v>
      </c>
      <c r="DS25" s="116">
        <f>(SUMIFS('Bucket Counts'!$P:$P, 'Bucket Counts'!$B:$B, DS$2, 'Bucket Counts'!$A:$A, "="&amp;$A25,  'Bucket Counts'!$F:$F, "&lt;&gt;100 Morts",  'Bucket Counts'!$F:$F, "&lt;&gt;224"))</f>
        <v>0</v>
      </c>
      <c r="DT25" s="116">
        <f>(SUMIFS('Bucket Counts'!$P:$P, 'Bucket Counts'!$B:$B, DT$2, 'Bucket Counts'!$A:$A, "="&amp;$A25,  'Bucket Counts'!$F:$F, "100 Morts"))</f>
        <v>0</v>
      </c>
      <c r="DU25" s="116">
        <f>(SUMIFS('Bucket Counts'!$P:$P, 'Bucket Counts'!$B:$B, DU$2, 'Bucket Counts'!$A:$A, "="&amp;$A25,  'Bucket Counts'!$F:$F, "224"))</f>
        <v>0</v>
      </c>
      <c r="DV25" s="116"/>
      <c r="DW25" s="426">
        <f>(DU25+DS25)/DX24</f>
        <v>0</v>
      </c>
      <c r="DX25" s="370">
        <f>DS22+SUM(DR22:DR25)</f>
        <v>6940</v>
      </c>
      <c r="DY25" s="369">
        <f>SUMIFS(Collection!$O:$O, Collection!$K:$K, DY$2, Collection!$A:$A, "="&amp;$A25)</f>
        <v>0</v>
      </c>
      <c r="DZ25" s="116">
        <f>(SUMIFS('Bucket Counts'!$P:$P, 'Bucket Counts'!$B:$B, DZ$2, 'Bucket Counts'!$A:$A, "="&amp;$A25,  'Bucket Counts'!$F:$F, "&lt;&gt;100 Morts",  'Bucket Counts'!$F:$F, "&lt;&gt;224"))</f>
        <v>0</v>
      </c>
      <c r="EA25" s="116">
        <f>(SUMIFS('Bucket Counts'!$P:$P, 'Bucket Counts'!$B:$B, EA$2, 'Bucket Counts'!$A:$A, "="&amp;$A25,  'Bucket Counts'!$F:$F, "100 Morts"))</f>
        <v>0</v>
      </c>
      <c r="EB25" s="116">
        <f>(SUMIFS('Bucket Counts'!$P:$P, 'Bucket Counts'!$B:$B, EB$2, 'Bucket Counts'!$A:$A, "="&amp;$A25,  'Bucket Counts'!$F:$F, "224"))</f>
        <v>0</v>
      </c>
      <c r="EC25" s="116"/>
      <c r="ED25" s="426" t="e">
        <f>(EB25+DZ25)/EE24</f>
        <v>#DIV/0!</v>
      </c>
      <c r="EE25" s="370">
        <f>DZ22+SUM(DY22:DY25)</f>
        <v>0</v>
      </c>
      <c r="EF25" s="369">
        <f>SUMIFS(Collection!$O:$O, Collection!$K:$K, EF$2, Collection!$A:$A, "="&amp;$A25)</f>
        <v>0</v>
      </c>
      <c r="EG25" s="116">
        <f>(SUMIFS('Bucket Counts'!$P:$P, 'Bucket Counts'!$B:$B, EG$2, 'Bucket Counts'!$A:$A, "="&amp;$A25,  'Bucket Counts'!$F:$F, "&lt;&gt;100 Morts",  'Bucket Counts'!$F:$F, "&lt;&gt;224"))</f>
        <v>0</v>
      </c>
      <c r="EH25" s="116">
        <f>(SUMIFS('Bucket Counts'!$P:$P, 'Bucket Counts'!$B:$B, EH$2, 'Bucket Counts'!$A:$A, "="&amp;$A25,  'Bucket Counts'!$F:$F, "100 Morts"))</f>
        <v>0</v>
      </c>
      <c r="EI25" s="116">
        <f>(SUMIFS('Bucket Counts'!$P:$P, 'Bucket Counts'!$B:$B, EI$2, 'Bucket Counts'!$A:$A, "="&amp;$A25,  'Bucket Counts'!$F:$F, "224"))</f>
        <v>0</v>
      </c>
      <c r="EJ25" s="116"/>
      <c r="EK25" s="426" t="e">
        <f>(EI25+EG25)/EL24</f>
        <v>#DIV/0!</v>
      </c>
      <c r="EL25" s="370">
        <f>EG22+SUM(EF22:EF25)</f>
        <v>0</v>
      </c>
    </row>
    <row r="26" spans="1:142" s="434" customFormat="1" x14ac:dyDescent="0.2">
      <c r="A26" s="428">
        <f t="shared" si="0"/>
        <v>42895</v>
      </c>
      <c r="B26" s="428" t="s">
        <v>486</v>
      </c>
      <c r="C26" s="429">
        <f>SUMIFS(Collection!$O:$O, Collection!$K:$K, C$2, Collection!$A:$A, "="&amp;$A26)</f>
        <v>0</v>
      </c>
      <c r="D26" s="430">
        <f>(SUMIFS('Bucket Counts'!$P:$P, 'Bucket Counts'!$B:$B, D$2, 'Bucket Counts'!$A:$A, "="&amp;$A26,  'Bucket Counts'!$F:$F, "&lt;&gt;100 Morts",  'Bucket Counts'!$F:$F, "&lt;&gt;224"))</f>
        <v>87146.666666666672</v>
      </c>
      <c r="E26" s="430">
        <f>(SUMIFS('Bucket Counts'!$P:$P, 'Bucket Counts'!$B:$B, E$2, 'Bucket Counts'!$A:$A, "="&amp;$A26,  'Bucket Counts'!$F:$F, "100 Morts"))</f>
        <v>0</v>
      </c>
      <c r="F26" s="430">
        <f>(SUMIFS('Bucket Counts'!$P:$P, 'Bucket Counts'!$B:$B, F$2, 'Bucket Counts'!$A:$A, "="&amp;$A26,  'Bucket Counts'!$F:$F, "224"))</f>
        <v>156.66666666666666</v>
      </c>
      <c r="G26" s="430">
        <f>I25</f>
        <v>135990</v>
      </c>
      <c r="H26" s="431">
        <f>SUM(D26+F26)</f>
        <v>87303.333333333343</v>
      </c>
      <c r="I26" s="432">
        <f>D26+C26</f>
        <v>87146.666666666672</v>
      </c>
      <c r="J26" s="429">
        <f>SUMIFS(Collection!$O:$O, Collection!$K:$K, J$2, Collection!$A:$A, "="&amp;$A26)</f>
        <v>0</v>
      </c>
      <c r="K26" s="430">
        <f>(SUMIFS('Bucket Counts'!$P:$P, 'Bucket Counts'!$B:$B, K$2, 'Bucket Counts'!$A:$A, "="&amp;$A26,  'Bucket Counts'!$F:$F, "&lt;&gt;100 Morts",  'Bucket Counts'!$F:$F, "&lt;&gt;224"))</f>
        <v>58426.666666666672</v>
      </c>
      <c r="L26" s="430">
        <f>(SUMIFS('Bucket Counts'!$P:$P, 'Bucket Counts'!$B:$B, L$2, 'Bucket Counts'!$A:$A, "="&amp;$A26,  'Bucket Counts'!$F:$F, "100 Morts"))</f>
        <v>0</v>
      </c>
      <c r="M26" s="430">
        <f>(SUMIFS('Bucket Counts'!$P:$P, 'Bucket Counts'!$B:$B, M$2, 'Bucket Counts'!$A:$A, "="&amp;$A26,  'Bucket Counts'!$F:$F, "224"))</f>
        <v>143.33333333333331</v>
      </c>
      <c r="N26" s="430">
        <f>P25</f>
        <v>48306.666666666672</v>
      </c>
      <c r="O26" s="431">
        <f>SUM(K26+M26)</f>
        <v>58570.000000000007</v>
      </c>
      <c r="P26" s="432">
        <f>K26+J26</f>
        <v>58426.666666666672</v>
      </c>
      <c r="Q26" s="429">
        <f>SUMIFS(Collection!$O:$O, Collection!$K:$K, Q$2, Collection!$A:$A, "="&amp;$A26)</f>
        <v>0</v>
      </c>
      <c r="R26" s="430">
        <f>(SUMIFS('Bucket Counts'!$P:$P, 'Bucket Counts'!$B:$B, R$2, 'Bucket Counts'!$A:$A, "="&amp;$A26,  'Bucket Counts'!$F:$F, "&lt;&gt;100 Morts",  'Bucket Counts'!$F:$F, "&lt;&gt;224"))</f>
        <v>49513.333333333328</v>
      </c>
      <c r="S26" s="430">
        <f>(SUMIFS('Bucket Counts'!$P:$P, 'Bucket Counts'!$B:$B, S$2, 'Bucket Counts'!$A:$A, "="&amp;$A26,  'Bucket Counts'!$F:$F, "100 Morts"))</f>
        <v>0</v>
      </c>
      <c r="T26" s="430">
        <f>(SUMIFS('Bucket Counts'!$P:$P, 'Bucket Counts'!$B:$B, T$2, 'Bucket Counts'!$A:$A, "="&amp;$A26,  'Bucket Counts'!$F:$F, "224"))</f>
        <v>613.33333333333326</v>
      </c>
      <c r="U26" s="430">
        <f>W25</f>
        <v>91018.333333333343</v>
      </c>
      <c r="V26" s="431">
        <f>SUM(R26+T26)</f>
        <v>50126.666666666664</v>
      </c>
      <c r="W26" s="432">
        <f>R26+Q26</f>
        <v>49513.333333333328</v>
      </c>
      <c r="X26" s="429">
        <f>SUMIFS(Collection!$O:$O, Collection!$K:$K, X$2, Collection!$A:$A, "="&amp;$A26)</f>
        <v>0</v>
      </c>
      <c r="Y26" s="430">
        <f>(SUMIFS('Bucket Counts'!$P:$P, 'Bucket Counts'!$B:$B, Y$2, 'Bucket Counts'!$A:$A, "="&amp;$A26,  'Bucket Counts'!$F:$F, "&lt;&gt;100 Morts",  'Bucket Counts'!$F:$F, "&lt;&gt;224"))</f>
        <v>38750</v>
      </c>
      <c r="Z26" s="430">
        <f>(SUMIFS('Bucket Counts'!$P:$P, 'Bucket Counts'!$B:$B, Z$2, 'Bucket Counts'!$A:$A, "="&amp;$A26,  'Bucket Counts'!$F:$F, "100 Morts"))</f>
        <v>366.66666666666663</v>
      </c>
      <c r="AA26" s="430">
        <f>(SUMIFS('Bucket Counts'!$P:$P, 'Bucket Counts'!$B:$B, AA$2, 'Bucket Counts'!$A:$A, "="&amp;$A26,  'Bucket Counts'!$F:$F, "224"))</f>
        <v>0</v>
      </c>
      <c r="AB26" s="430">
        <f>AD25</f>
        <v>109456.66666666667</v>
      </c>
      <c r="AC26" s="431">
        <f>SUM(Y26+AA26)</f>
        <v>38750</v>
      </c>
      <c r="AD26" s="432">
        <f>Y26+X26</f>
        <v>38750</v>
      </c>
      <c r="AE26" s="429">
        <f>SUMIFS(Collection!$O:$O, Collection!$K:$K, AE$2, Collection!$A:$A, "="&amp;$A26)</f>
        <v>0</v>
      </c>
      <c r="AF26" s="430">
        <f>(SUMIFS('Bucket Counts'!$P:$P, 'Bucket Counts'!$B:$B, AF$2, 'Bucket Counts'!$A:$A, "="&amp;$A26,  'Bucket Counts'!$F:$F, "&lt;&gt;100 Morts",  'Bucket Counts'!$F:$F, "&lt;&gt;224"))</f>
        <v>146166.66666666669</v>
      </c>
      <c r="AG26" s="430">
        <f>(SUMIFS('Bucket Counts'!$P:$P, 'Bucket Counts'!$B:$B, AG$2, 'Bucket Counts'!$A:$A, "="&amp;$A26,  'Bucket Counts'!$F:$F, "100 Morts"))</f>
        <v>1200</v>
      </c>
      <c r="AH26" s="430">
        <f>(SUMIFS('Bucket Counts'!$P:$P, 'Bucket Counts'!$B:$B, AH$2, 'Bucket Counts'!$A:$A, "="&amp;$A26,  'Bucket Counts'!$F:$F, "224"))</f>
        <v>150</v>
      </c>
      <c r="AI26" s="430">
        <f>AK25</f>
        <v>181213.33333333331</v>
      </c>
      <c r="AJ26" s="431">
        <f>SUM(AF26+AH26)</f>
        <v>146316.66666666669</v>
      </c>
      <c r="AK26" s="432">
        <f>AF26+AE26</f>
        <v>146166.66666666669</v>
      </c>
      <c r="AL26" s="429">
        <f>SUMIFS(Collection!$O:$O, Collection!$K:$K, AL$2, Collection!$A:$A, "="&amp;$A26)</f>
        <v>0</v>
      </c>
      <c r="AM26" s="430">
        <f>(SUMIFS('Bucket Counts'!$P:$P, 'Bucket Counts'!$B:$B, AM$2, 'Bucket Counts'!$A:$A, "="&amp;$A26,  'Bucket Counts'!$F:$F, "&lt;&gt;100 Morts",  'Bucket Counts'!$F:$F, "&lt;&gt;224"))</f>
        <v>48000</v>
      </c>
      <c r="AN26" s="430">
        <f>(SUMIFS('Bucket Counts'!$P:$P, 'Bucket Counts'!$B:$B, AN$2, 'Bucket Counts'!$A:$A, "="&amp;$A26,  'Bucket Counts'!$F:$F, "100 Morts"))</f>
        <v>360</v>
      </c>
      <c r="AO26" s="430">
        <f>(SUMIFS('Bucket Counts'!$P:$P, 'Bucket Counts'!$B:$B, AO$2, 'Bucket Counts'!$A:$A, "="&amp;$A26,  'Bucket Counts'!$F:$F, "224"))</f>
        <v>326.66666666666663</v>
      </c>
      <c r="AP26" s="430">
        <f>AR25</f>
        <v>39093.333333333328</v>
      </c>
      <c r="AQ26" s="431">
        <f>SUM(AM26+AO26)</f>
        <v>48326.666666666664</v>
      </c>
      <c r="AR26" s="432">
        <f>AM26+AL26</f>
        <v>48000</v>
      </c>
      <c r="AS26" s="429">
        <f>SUMIFS(Collection!$O:$O, Collection!$K:$K, AS$2, Collection!$A:$A, "="&amp;$A26)</f>
        <v>0</v>
      </c>
      <c r="AT26" s="430">
        <f>(SUMIFS('Bucket Counts'!$P:$P, 'Bucket Counts'!$B:$B, AT$2, 'Bucket Counts'!$A:$A, "="&amp;$A26,  'Bucket Counts'!$F:$F, "&lt;&gt;100 Morts",  'Bucket Counts'!$F:$F, "&lt;&gt;224"))</f>
        <v>32666.666666666668</v>
      </c>
      <c r="AU26" s="430">
        <f>(SUMIFS('Bucket Counts'!$P:$P, 'Bucket Counts'!$B:$B, AU$2, 'Bucket Counts'!$A:$A, "="&amp;$A26,  'Bucket Counts'!$F:$F, "100 Morts"))</f>
        <v>0</v>
      </c>
      <c r="AV26" s="430">
        <f>(SUMIFS('Bucket Counts'!$P:$P, 'Bucket Counts'!$B:$B, AV$2, 'Bucket Counts'!$A:$A, "="&amp;$A26,  'Bucket Counts'!$F:$F, "224"))</f>
        <v>0</v>
      </c>
      <c r="AW26" s="430">
        <f>AY25</f>
        <v>144906.66666666669</v>
      </c>
      <c r="AX26" s="431">
        <f>SUM(AT26+AV26)</f>
        <v>32666.666666666668</v>
      </c>
      <c r="AY26" s="432">
        <f>AT26+AS26</f>
        <v>32666.666666666668</v>
      </c>
      <c r="AZ26" s="429">
        <f>SUMIFS(Collection!$O:$O, Collection!$K:$K, AZ$2, Collection!$A:$A, "="&amp;$A26)</f>
        <v>0</v>
      </c>
      <c r="BA26" s="430">
        <f>(SUMIFS('Bucket Counts'!$P:$P, 'Bucket Counts'!$B:$B, BA$2, 'Bucket Counts'!$A:$A, "="&amp;$A26,  'Bucket Counts'!$F:$F, "&lt;&gt;100 Morts",  'Bucket Counts'!$F:$F, "&lt;&gt;224"))</f>
        <v>42216.666666666672</v>
      </c>
      <c r="BB26" s="430">
        <f>(SUMIFS('Bucket Counts'!$P:$P, 'Bucket Counts'!$B:$B, BB$2, 'Bucket Counts'!$A:$A, "="&amp;$A26,  'Bucket Counts'!$F:$F, "100 Morts"))</f>
        <v>0</v>
      </c>
      <c r="BC26" s="430">
        <f>(SUMIFS('Bucket Counts'!$P:$P, 'Bucket Counts'!$B:$B, BC$2, 'Bucket Counts'!$A:$A, "="&amp;$A26,  'Bucket Counts'!$F:$F, "224"))</f>
        <v>500</v>
      </c>
      <c r="BD26" s="430">
        <f>BF25</f>
        <v>95320</v>
      </c>
      <c r="BE26" s="431">
        <f>SUM(BA26+BC26)</f>
        <v>42716.666666666672</v>
      </c>
      <c r="BF26" s="432">
        <f>BA26+AZ26</f>
        <v>42216.666666666672</v>
      </c>
      <c r="BG26" s="429">
        <f>SUMIFS(Collection!$O:$O, Collection!$K:$K, BG$2, Collection!$A:$A, "="&amp;$A26)</f>
        <v>0</v>
      </c>
      <c r="BH26" s="430">
        <f>(SUMIFS('Bucket Counts'!$P:$P, 'Bucket Counts'!$B:$B, BH$2, 'Bucket Counts'!$A:$A, "="&amp;$A26,  'Bucket Counts'!$F:$F, "&lt;&gt;100 Morts",  'Bucket Counts'!$F:$F, "&lt;&gt;224"))</f>
        <v>93466.666666666672</v>
      </c>
      <c r="BI26" s="430">
        <f>(SUMIFS('Bucket Counts'!$P:$P, 'Bucket Counts'!$B:$B, BI$2, 'Bucket Counts'!$A:$A, "="&amp;$A26,  'Bucket Counts'!$F:$F, "100 Morts"))</f>
        <v>0</v>
      </c>
      <c r="BJ26" s="430">
        <f>(SUMIFS('Bucket Counts'!$P:$P, 'Bucket Counts'!$B:$B, BJ$2, 'Bucket Counts'!$A:$A, "="&amp;$A26,  'Bucket Counts'!$F:$F, "224"))</f>
        <v>30.555555555555554</v>
      </c>
      <c r="BK26" s="430">
        <f>BM25</f>
        <v>88226.666666666672</v>
      </c>
      <c r="BL26" s="431">
        <f>SUM(BH26+BJ26)</f>
        <v>93497.222222222234</v>
      </c>
      <c r="BM26" s="432">
        <f>BH26+BG26</f>
        <v>93466.666666666672</v>
      </c>
      <c r="BN26" s="429">
        <f>SUMIFS(Collection!$O:$O, Collection!$K:$K, BN$2, Collection!$A:$A, "="&amp;$A26)</f>
        <v>0</v>
      </c>
      <c r="BO26" s="430">
        <f>(SUMIFS('Bucket Counts'!$P:$P, 'Bucket Counts'!$B:$B, BO$2, 'Bucket Counts'!$A:$A, "="&amp;$A26,  'Bucket Counts'!$F:$F, "&lt;&gt;100 Morts",  'Bucket Counts'!$F:$F, "&lt;&gt;224"))</f>
        <v>56246.666666666664</v>
      </c>
      <c r="BP26" s="430">
        <f>(SUMIFS('Bucket Counts'!$P:$P, 'Bucket Counts'!$B:$B, BP$2, 'Bucket Counts'!$A:$A, "="&amp;$A26,  'Bucket Counts'!$F:$F, "100 Morts"))</f>
        <v>175</v>
      </c>
      <c r="BQ26" s="430">
        <f>(SUMIFS('Bucket Counts'!$P:$P, 'Bucket Counts'!$B:$B, BQ$2, 'Bucket Counts'!$A:$A, "="&amp;$A26,  'Bucket Counts'!$F:$F, "224"))</f>
        <v>87.5</v>
      </c>
      <c r="BR26" s="430">
        <f>BT25</f>
        <v>70563.333333333328</v>
      </c>
      <c r="BS26" s="431">
        <f>SUM(BO26+BQ26)</f>
        <v>56334.166666666664</v>
      </c>
      <c r="BT26" s="432">
        <f>BO26+BN26</f>
        <v>56246.666666666664</v>
      </c>
      <c r="BU26" s="429">
        <f>SUMIFS(Collection!$O:$O, Collection!$K:$K, BU$2, Collection!$A:$A, "="&amp;$A26)</f>
        <v>0</v>
      </c>
      <c r="BV26" s="430">
        <f>(SUMIFS('Bucket Counts'!$P:$P, 'Bucket Counts'!$B:$B, BV$2, 'Bucket Counts'!$A:$A, "="&amp;$A26,  'Bucket Counts'!$F:$F, "&lt;&gt;100 Morts",  'Bucket Counts'!$F:$F, "&lt;&gt;224"))</f>
        <v>0</v>
      </c>
      <c r="BW26" s="430">
        <f>(SUMIFS('Bucket Counts'!$P:$P, 'Bucket Counts'!$B:$B, BW$2, 'Bucket Counts'!$A:$A, "="&amp;$A26,  'Bucket Counts'!$F:$F, "100 Morts"))</f>
        <v>0</v>
      </c>
      <c r="BX26" s="430">
        <f>(SUMIFS('Bucket Counts'!$P:$P, 'Bucket Counts'!$B:$B, BX$2, 'Bucket Counts'!$A:$A, "="&amp;$A26,  'Bucket Counts'!$F:$F, "224"))</f>
        <v>0</v>
      </c>
      <c r="BY26" s="430">
        <f>CA25</f>
        <v>0</v>
      </c>
      <c r="BZ26" s="431">
        <f>SUM(BV26+BX26)</f>
        <v>0</v>
      </c>
      <c r="CA26" s="432">
        <f>BV26+BU26</f>
        <v>0</v>
      </c>
      <c r="CB26" s="429">
        <f>SUMIFS(Collection!$O:$O, Collection!$K:$K, CB$2, Collection!$A:$A, "="&amp;$A26)</f>
        <v>0</v>
      </c>
      <c r="CC26" s="430">
        <f>(SUMIFS('Bucket Counts'!$P:$P, 'Bucket Counts'!$B:$B, CC$2, 'Bucket Counts'!$A:$A, "="&amp;$A26,  'Bucket Counts'!$F:$F, "&lt;&gt;100 Morts",  'Bucket Counts'!$F:$F, "&lt;&gt;224"))</f>
        <v>64533.333333333336</v>
      </c>
      <c r="CD26" s="430">
        <f>(SUMIFS('Bucket Counts'!$P:$P, 'Bucket Counts'!$B:$B, CD$2, 'Bucket Counts'!$A:$A, "="&amp;$A26,  'Bucket Counts'!$F:$F, "100 Morts"))</f>
        <v>0</v>
      </c>
      <c r="CE26" s="430">
        <f>(SUMIFS('Bucket Counts'!$P:$P, 'Bucket Counts'!$B:$B, CE$2, 'Bucket Counts'!$A:$A, "="&amp;$A26,  'Bucket Counts'!$F:$F, "224"))</f>
        <v>0</v>
      </c>
      <c r="CF26" s="430">
        <f>CH25</f>
        <v>92558.333333333343</v>
      </c>
      <c r="CG26" s="431">
        <f>SUM(CC26+CE26)</f>
        <v>64533.333333333336</v>
      </c>
      <c r="CH26" s="432">
        <f>CC26+CB26</f>
        <v>64533.333333333336</v>
      </c>
      <c r="CI26" s="429">
        <f>SUMIFS(Collection!$O:$O, Collection!$K:$K, CI$2, Collection!$A:$A, "="&amp;$A26)</f>
        <v>0</v>
      </c>
      <c r="CJ26" s="430">
        <f>(SUMIFS('Bucket Counts'!$P:$P, 'Bucket Counts'!$B:$B, CJ$2, 'Bucket Counts'!$A:$A, "="&amp;$A26,  'Bucket Counts'!$F:$F, "&lt;&gt;100 Morts",  'Bucket Counts'!$F:$F, "&lt;&gt;224"))</f>
        <v>83333.333333333328</v>
      </c>
      <c r="CK26" s="430">
        <f>(SUMIFS('Bucket Counts'!$P:$P, 'Bucket Counts'!$B:$B, CK$2, 'Bucket Counts'!$A:$A, "="&amp;$A26,  'Bucket Counts'!$F:$F, "100 Morts"))</f>
        <v>3750</v>
      </c>
      <c r="CL26" s="430">
        <f>(SUMIFS('Bucket Counts'!$P:$P, 'Bucket Counts'!$B:$B, CL$2, 'Bucket Counts'!$A:$A, "="&amp;$A26,  'Bucket Counts'!$F:$F, "224"))</f>
        <v>2600</v>
      </c>
      <c r="CM26" s="430">
        <f>CO25</f>
        <v>114440</v>
      </c>
      <c r="CN26" s="431">
        <f>SUM(CJ26+CL26)</f>
        <v>85933.333333333328</v>
      </c>
      <c r="CO26" s="432">
        <f>CJ26+CI26</f>
        <v>83333.333333333328</v>
      </c>
      <c r="CP26" s="429">
        <f>SUMIFS(Collection!$O:$O, Collection!$K:$K, CP$2, Collection!$A:$A, "="&amp;$A26)</f>
        <v>0</v>
      </c>
      <c r="CQ26" s="430">
        <f>(SUMIFS('Bucket Counts'!$P:$P, 'Bucket Counts'!$B:$B, CQ$2, 'Bucket Counts'!$A:$A, "="&amp;$A26,  'Bucket Counts'!$F:$F, "&lt;&gt;100 Morts",  'Bucket Counts'!$F:$F, "&lt;&gt;224"))</f>
        <v>56746.666666666664</v>
      </c>
      <c r="CR26" s="430">
        <f>(SUMIFS('Bucket Counts'!$P:$P, 'Bucket Counts'!$B:$B, CR$2, 'Bucket Counts'!$A:$A, "="&amp;$A26,  'Bucket Counts'!$F:$F, "100 Morts"))</f>
        <v>2773.333333333333</v>
      </c>
      <c r="CS26" s="430">
        <f>(SUMIFS('Bucket Counts'!$P:$P, 'Bucket Counts'!$B:$B, CS$2, 'Bucket Counts'!$A:$A, "="&amp;$A26,  'Bucket Counts'!$F:$F, "224"))</f>
        <v>1400</v>
      </c>
      <c r="CT26" s="430">
        <f>CV25</f>
        <v>113319.99999999999</v>
      </c>
      <c r="CU26" s="431">
        <f>SUM(CQ26+CS26)</f>
        <v>58146.666666666664</v>
      </c>
      <c r="CV26" s="432">
        <f>CQ26+CP26</f>
        <v>56746.666666666664</v>
      </c>
      <c r="CW26" s="429">
        <f>SUMIFS(Collection!$O:$O, Collection!$K:$K, CW$2, Collection!$A:$A, "="&amp;$A26)</f>
        <v>0</v>
      </c>
      <c r="CX26" s="430">
        <f>(SUMIFS('Bucket Counts'!$P:$P, 'Bucket Counts'!$B:$B, CX$2, 'Bucket Counts'!$A:$A, "="&amp;$A26,  'Bucket Counts'!$F:$F, "&lt;&gt;100 Morts",  'Bucket Counts'!$F:$F, "&lt;&gt;224"))</f>
        <v>46446.666666666664</v>
      </c>
      <c r="CY26" s="430">
        <f>(SUMIFS('Bucket Counts'!$P:$P, 'Bucket Counts'!$B:$B, CY$2, 'Bucket Counts'!$A:$A, "="&amp;$A26,  'Bucket Counts'!$F:$F, "100 Morts"))</f>
        <v>0</v>
      </c>
      <c r="CZ26" s="430">
        <f>(SUMIFS('Bucket Counts'!$P:$P, 'Bucket Counts'!$B:$B, CZ$2, 'Bucket Counts'!$A:$A, "="&amp;$A26,  'Bucket Counts'!$F:$F, "224"))</f>
        <v>1050</v>
      </c>
      <c r="DA26" s="430">
        <f>DC25</f>
        <v>64220.000000000007</v>
      </c>
      <c r="DB26" s="431">
        <f>SUM(CX26+CZ26)</f>
        <v>47496.666666666664</v>
      </c>
      <c r="DC26" s="432">
        <f>CX26+CW26</f>
        <v>46446.666666666664</v>
      </c>
      <c r="DD26" s="429">
        <f>SUMIFS(Collection!$O:$O, Collection!$K:$K, DD$2, Collection!$A:$A, "="&amp;$A26)</f>
        <v>0</v>
      </c>
      <c r="DE26" s="430">
        <f>(SUMIFS('Bucket Counts'!$P:$P, 'Bucket Counts'!$B:$B, DE$2, 'Bucket Counts'!$A:$A, "="&amp;$A26,  'Bucket Counts'!$F:$F, "&lt;&gt;100 Morts",  'Bucket Counts'!$F:$F, "&lt;&gt;224"))</f>
        <v>55050</v>
      </c>
      <c r="DF26" s="430">
        <f>(SUMIFS('Bucket Counts'!$P:$P, 'Bucket Counts'!$B:$B, DF$2, 'Bucket Counts'!$A:$A, "="&amp;$A26,  'Bucket Counts'!$F:$F, "100 Morts"))</f>
        <v>1083.3333333333335</v>
      </c>
      <c r="DG26" s="430">
        <f>(SUMIFS('Bucket Counts'!$P:$P, 'Bucket Counts'!$B:$B, DG$2, 'Bucket Counts'!$A:$A, "="&amp;$A26,  'Bucket Counts'!$F:$F, "224"))</f>
        <v>183.33333333333331</v>
      </c>
      <c r="DH26" s="430">
        <f>DJ25</f>
        <v>49991.666666666672</v>
      </c>
      <c r="DI26" s="431">
        <f>SUM(DE26+DG26)</f>
        <v>55233.333333333336</v>
      </c>
      <c r="DJ26" s="432">
        <f>DE26+DD26</f>
        <v>55050</v>
      </c>
      <c r="DK26" s="429">
        <f>SUMIFS(Collection!$O:$O, Collection!$K:$K, DK$2, Collection!$A:$A, "="&amp;$A26)</f>
        <v>0</v>
      </c>
      <c r="DL26" s="430">
        <f>(SUMIFS('Bucket Counts'!$P:$P, 'Bucket Counts'!$B:$B, DL$2, 'Bucket Counts'!$A:$A, "="&amp;$A26,  'Bucket Counts'!$F:$F, "&lt;&gt;100 Morts",  'Bucket Counts'!$F:$F, "&lt;&gt;224"))</f>
        <v>0</v>
      </c>
      <c r="DM26" s="430">
        <f>(SUMIFS('Bucket Counts'!$P:$P, 'Bucket Counts'!$B:$B, DM$2, 'Bucket Counts'!$A:$A, "="&amp;$A26,  'Bucket Counts'!$F:$F, "100 Morts"))</f>
        <v>0</v>
      </c>
      <c r="DN26" s="430">
        <f>(SUMIFS('Bucket Counts'!$P:$P, 'Bucket Counts'!$B:$B, DN$2, 'Bucket Counts'!$A:$A, "="&amp;$A26,  'Bucket Counts'!$F:$F, "224"))</f>
        <v>0</v>
      </c>
      <c r="DO26" s="430">
        <f>DQ25</f>
        <v>0</v>
      </c>
      <c r="DP26" s="431">
        <f>SUM(DL26+DN26)</f>
        <v>0</v>
      </c>
      <c r="DQ26" s="432">
        <f>DL26+DK26</f>
        <v>0</v>
      </c>
      <c r="DR26" s="429">
        <f>SUMIFS(Collection!$O:$O, Collection!$K:$K, DR$2, Collection!$A:$A, "="&amp;$A26)</f>
        <v>0</v>
      </c>
      <c r="DS26" s="430">
        <f>(SUMIFS('Bucket Counts'!$P:$P, 'Bucket Counts'!$B:$B, DS$2, 'Bucket Counts'!$A:$A, "="&amp;$A26,  'Bucket Counts'!$F:$F, "&lt;&gt;100 Morts",  'Bucket Counts'!$F:$F, "&lt;&gt;224"))</f>
        <v>0</v>
      </c>
      <c r="DT26" s="430">
        <f>(SUMIFS('Bucket Counts'!$P:$P, 'Bucket Counts'!$B:$B, DT$2, 'Bucket Counts'!$A:$A, "="&amp;$A26,  'Bucket Counts'!$F:$F, "100 Morts"))</f>
        <v>0</v>
      </c>
      <c r="DU26" s="430">
        <f>(SUMIFS('Bucket Counts'!$P:$P, 'Bucket Counts'!$B:$B, DU$2, 'Bucket Counts'!$A:$A, "="&amp;$A26,  'Bucket Counts'!$F:$F, "224"))</f>
        <v>0</v>
      </c>
      <c r="DV26" s="430">
        <f>DX25</f>
        <v>6940</v>
      </c>
      <c r="DW26" s="431">
        <f>SUM(DS26+DU26)</f>
        <v>0</v>
      </c>
      <c r="DX26" s="432">
        <f>DS26+DR26</f>
        <v>0</v>
      </c>
      <c r="DY26" s="429">
        <f>SUMIFS(Collection!$O:$O, Collection!$K:$K, DY$2, Collection!$A:$A, "="&amp;$A26)</f>
        <v>0</v>
      </c>
      <c r="DZ26" s="430">
        <f>(SUMIFS('Bucket Counts'!$P:$P, 'Bucket Counts'!$B:$B, DZ$2, 'Bucket Counts'!$A:$A, "="&amp;$A26,  'Bucket Counts'!$F:$F, "&lt;&gt;100 Morts",  'Bucket Counts'!$F:$F, "&lt;&gt;224"))</f>
        <v>0</v>
      </c>
      <c r="EA26" s="430">
        <f>(SUMIFS('Bucket Counts'!$P:$P, 'Bucket Counts'!$B:$B, EA$2, 'Bucket Counts'!$A:$A, "="&amp;$A26,  'Bucket Counts'!$F:$F, "100 Morts"))</f>
        <v>0</v>
      </c>
      <c r="EB26" s="430">
        <f>(SUMIFS('Bucket Counts'!$P:$P, 'Bucket Counts'!$B:$B, EB$2, 'Bucket Counts'!$A:$A, "="&amp;$A26,  'Bucket Counts'!$F:$F, "224"))</f>
        <v>0</v>
      </c>
      <c r="EC26" s="430">
        <f>EE25</f>
        <v>0</v>
      </c>
      <c r="ED26" s="431">
        <f>SUM(DZ26+EB26)</f>
        <v>0</v>
      </c>
      <c r="EE26" s="432">
        <f>DZ26+DY26</f>
        <v>0</v>
      </c>
      <c r="EF26" s="429">
        <f>SUMIFS(Collection!$O:$O, Collection!$K:$K, EF$2, Collection!$A:$A, "="&amp;$A26)</f>
        <v>0</v>
      </c>
      <c r="EG26" s="430">
        <f>(SUMIFS('Bucket Counts'!$P:$P, 'Bucket Counts'!$B:$B, EG$2, 'Bucket Counts'!$A:$A, "="&amp;$A26,  'Bucket Counts'!$F:$F, "&lt;&gt;100 Morts",  'Bucket Counts'!$F:$F, "&lt;&gt;224"))</f>
        <v>0</v>
      </c>
      <c r="EH26" s="430">
        <f>(SUMIFS('Bucket Counts'!$P:$P, 'Bucket Counts'!$B:$B, EH$2, 'Bucket Counts'!$A:$A, "="&amp;$A26,  'Bucket Counts'!$F:$F, "100 Morts"))</f>
        <v>0</v>
      </c>
      <c r="EI26" s="430">
        <f>(SUMIFS('Bucket Counts'!$P:$P, 'Bucket Counts'!$B:$B, EI$2, 'Bucket Counts'!$A:$A, "="&amp;$A26,  'Bucket Counts'!$F:$F, "224"))</f>
        <v>0</v>
      </c>
      <c r="EJ26" s="430">
        <f>EL25</f>
        <v>0</v>
      </c>
      <c r="EK26" s="431">
        <f>SUM(EG26+EI26)</f>
        <v>0</v>
      </c>
      <c r="EL26" s="432">
        <f>EG26+EF26</f>
        <v>0</v>
      </c>
    </row>
    <row r="27" spans="1:142" x14ac:dyDescent="0.2">
      <c r="A27" s="16">
        <f t="shared" si="0"/>
        <v>42896</v>
      </c>
      <c r="B27" s="16" t="s">
        <v>487</v>
      </c>
      <c r="C27" s="369">
        <f>SUMIFS(Collection!$O:$O, Collection!$K:$K, C$2, Collection!$A:$A, "="&amp;$A27)</f>
        <v>0</v>
      </c>
      <c r="D27" s="116">
        <f>(SUMIFS('Bucket Counts'!$P:$P, 'Bucket Counts'!$B:$B, D$2, 'Bucket Counts'!$A:$A, "="&amp;$A27,  'Bucket Counts'!$F:$F, "&lt;&gt;100 Morts",  'Bucket Counts'!$F:$F, "&lt;&gt;224"))</f>
        <v>0</v>
      </c>
      <c r="E27" s="116">
        <f>(SUMIFS('Bucket Counts'!$P:$P, 'Bucket Counts'!$B:$B, E$2, 'Bucket Counts'!$A:$A, "="&amp;$A27,  'Bucket Counts'!$F:$F, "100 Morts"))</f>
        <v>0</v>
      </c>
      <c r="F27" s="116">
        <f>(SUMIFS('Bucket Counts'!$P:$P, 'Bucket Counts'!$B:$B, F$2, 'Bucket Counts'!$A:$A, "="&amp;$A27,  'Bucket Counts'!$F:$F, "224"))</f>
        <v>0</v>
      </c>
      <c r="G27" s="116"/>
      <c r="H27" s="426">
        <f>(F27+D27)/I26</f>
        <v>0</v>
      </c>
      <c r="I27" s="370">
        <f>D26+SUM(C26:C27)</f>
        <v>87146.666666666672</v>
      </c>
      <c r="J27" s="369">
        <f>SUMIFS(Collection!$O:$O, Collection!$K:$K, J$2, Collection!$A:$A, "="&amp;$A27)</f>
        <v>0</v>
      </c>
      <c r="K27" s="116">
        <f>(SUMIFS('Bucket Counts'!$P:$P, 'Bucket Counts'!$B:$B, K$2, 'Bucket Counts'!$A:$A, "="&amp;$A27,  'Bucket Counts'!$F:$F, "&lt;&gt;100 Morts",  'Bucket Counts'!$F:$F, "&lt;&gt;224"))</f>
        <v>0</v>
      </c>
      <c r="L27" s="116">
        <f>(SUMIFS('Bucket Counts'!$P:$P, 'Bucket Counts'!$B:$B, L$2, 'Bucket Counts'!$A:$A, "="&amp;$A27,  'Bucket Counts'!$F:$F, "100 Morts"))</f>
        <v>0</v>
      </c>
      <c r="M27" s="116">
        <f>(SUMIFS('Bucket Counts'!$P:$P, 'Bucket Counts'!$B:$B, M$2, 'Bucket Counts'!$A:$A, "="&amp;$A27,  'Bucket Counts'!$F:$F, "224"))</f>
        <v>0</v>
      </c>
      <c r="N27" s="116"/>
      <c r="O27" s="426">
        <f>(M27+K27)/P26</f>
        <v>0</v>
      </c>
      <c r="P27" s="370">
        <f>K26+SUM(J26:J27)</f>
        <v>58426.666666666672</v>
      </c>
      <c r="Q27" s="369">
        <f>SUMIFS(Collection!$O:$O, Collection!$K:$K, Q$2, Collection!$A:$A, "="&amp;$A27)</f>
        <v>0</v>
      </c>
      <c r="R27" s="116">
        <f>(SUMIFS('Bucket Counts'!$P:$P, 'Bucket Counts'!$B:$B, R$2, 'Bucket Counts'!$A:$A, "="&amp;$A27,  'Bucket Counts'!$F:$F, "&lt;&gt;100 Morts",  'Bucket Counts'!$F:$F, "&lt;&gt;224"))</f>
        <v>0</v>
      </c>
      <c r="S27" s="116">
        <f>(SUMIFS('Bucket Counts'!$P:$P, 'Bucket Counts'!$B:$B, S$2, 'Bucket Counts'!$A:$A, "="&amp;$A27,  'Bucket Counts'!$F:$F, "100 Morts"))</f>
        <v>0</v>
      </c>
      <c r="T27" s="116">
        <f>(SUMIFS('Bucket Counts'!$P:$P, 'Bucket Counts'!$B:$B, T$2, 'Bucket Counts'!$A:$A, "="&amp;$A27,  'Bucket Counts'!$F:$F, "224"))</f>
        <v>0</v>
      </c>
      <c r="U27" s="116"/>
      <c r="V27" s="426">
        <f>(T27+R27)/W26</f>
        <v>0</v>
      </c>
      <c r="W27" s="370">
        <f>R26+SUM(Q26:Q27)</f>
        <v>49513.333333333328</v>
      </c>
      <c r="X27" s="369">
        <f>SUMIFS(Collection!$O:$O, Collection!$K:$K, X$2, Collection!$A:$A, "="&amp;$A27)</f>
        <v>61733.333333333336</v>
      </c>
      <c r="Y27" s="116">
        <f>(SUMIFS('Bucket Counts'!$P:$P, 'Bucket Counts'!$B:$B, Y$2, 'Bucket Counts'!$A:$A, "="&amp;$A27,  'Bucket Counts'!$F:$F, "&lt;&gt;100 Morts",  'Bucket Counts'!$F:$F, "&lt;&gt;224"))</f>
        <v>0</v>
      </c>
      <c r="Z27" s="116">
        <f>(SUMIFS('Bucket Counts'!$P:$P, 'Bucket Counts'!$B:$B, Z$2, 'Bucket Counts'!$A:$A, "="&amp;$A27,  'Bucket Counts'!$F:$F, "100 Morts"))</f>
        <v>0</v>
      </c>
      <c r="AA27" s="116">
        <f>(SUMIFS('Bucket Counts'!$P:$P, 'Bucket Counts'!$B:$B, AA$2, 'Bucket Counts'!$A:$A, "="&amp;$A27,  'Bucket Counts'!$F:$F, "224"))</f>
        <v>0</v>
      </c>
      <c r="AB27" s="116"/>
      <c r="AC27" s="426">
        <f>(AA27+Y27)/AD26</f>
        <v>0</v>
      </c>
      <c r="AD27" s="370">
        <f>Y26+SUM(X26:X27)</f>
        <v>100483.33333333334</v>
      </c>
      <c r="AE27" s="369">
        <f>SUMIFS(Collection!$O:$O, Collection!$K:$K, AE$2, Collection!$A:$A, "="&amp;$A27)</f>
        <v>0</v>
      </c>
      <c r="AF27" s="116">
        <f>(SUMIFS('Bucket Counts'!$P:$P, 'Bucket Counts'!$B:$B, AF$2, 'Bucket Counts'!$A:$A, "="&amp;$A27,  'Bucket Counts'!$F:$F, "&lt;&gt;100 Morts",  'Bucket Counts'!$F:$F, "&lt;&gt;224"))</f>
        <v>0</v>
      </c>
      <c r="AG27" s="116">
        <f>(SUMIFS('Bucket Counts'!$P:$P, 'Bucket Counts'!$B:$B, AG$2, 'Bucket Counts'!$A:$A, "="&amp;$A27,  'Bucket Counts'!$F:$F, "100 Morts"))</f>
        <v>0</v>
      </c>
      <c r="AH27" s="116">
        <f>(SUMIFS('Bucket Counts'!$P:$P, 'Bucket Counts'!$B:$B, AH$2, 'Bucket Counts'!$A:$A, "="&amp;$A27,  'Bucket Counts'!$F:$F, "224"))</f>
        <v>0</v>
      </c>
      <c r="AI27" s="116"/>
      <c r="AJ27" s="426">
        <f>(AH27+AF27)/AK26</f>
        <v>0</v>
      </c>
      <c r="AK27" s="370">
        <f>AF26+SUM(AE26:AE27)</f>
        <v>146166.66666666669</v>
      </c>
      <c r="AL27" s="369">
        <f>SUMIFS(Collection!$O:$O, Collection!$K:$K, AL$2, Collection!$A:$A, "="&amp;$A27)</f>
        <v>0</v>
      </c>
      <c r="AM27" s="116">
        <f>(SUMIFS('Bucket Counts'!$P:$P, 'Bucket Counts'!$B:$B, AM$2, 'Bucket Counts'!$A:$A, "="&amp;$A27,  'Bucket Counts'!$F:$F, "&lt;&gt;100 Morts",  'Bucket Counts'!$F:$F, "&lt;&gt;224"))</f>
        <v>0</v>
      </c>
      <c r="AN27" s="116">
        <f>(SUMIFS('Bucket Counts'!$P:$P, 'Bucket Counts'!$B:$B, AN$2, 'Bucket Counts'!$A:$A, "="&amp;$A27,  'Bucket Counts'!$F:$F, "100 Morts"))</f>
        <v>0</v>
      </c>
      <c r="AO27" s="116">
        <f>(SUMIFS('Bucket Counts'!$P:$P, 'Bucket Counts'!$B:$B, AO$2, 'Bucket Counts'!$A:$A, "="&amp;$A27,  'Bucket Counts'!$F:$F, "224"))</f>
        <v>0</v>
      </c>
      <c r="AP27" s="116"/>
      <c r="AQ27" s="426">
        <f>(AO27+AM27)/AR26</f>
        <v>0</v>
      </c>
      <c r="AR27" s="370">
        <f>AM26+SUM(AL26:AL27)</f>
        <v>48000</v>
      </c>
      <c r="AS27" s="369">
        <f>SUMIFS(Collection!$O:$O, Collection!$K:$K, AS$2, Collection!$A:$A, "="&amp;$A27)</f>
        <v>0</v>
      </c>
      <c r="AT27" s="116">
        <f>(SUMIFS('Bucket Counts'!$P:$P, 'Bucket Counts'!$B:$B, AT$2, 'Bucket Counts'!$A:$A, "="&amp;$A27,  'Bucket Counts'!$F:$F, "&lt;&gt;100 Morts",  'Bucket Counts'!$F:$F, "&lt;&gt;224"))</f>
        <v>0</v>
      </c>
      <c r="AU27" s="116">
        <f>(SUMIFS('Bucket Counts'!$P:$P, 'Bucket Counts'!$B:$B, AU$2, 'Bucket Counts'!$A:$A, "="&amp;$A27,  'Bucket Counts'!$F:$F, "100 Morts"))</f>
        <v>0</v>
      </c>
      <c r="AV27" s="116">
        <f>(SUMIFS('Bucket Counts'!$P:$P, 'Bucket Counts'!$B:$B, AV$2, 'Bucket Counts'!$A:$A, "="&amp;$A27,  'Bucket Counts'!$F:$F, "224"))</f>
        <v>0</v>
      </c>
      <c r="AW27" s="116"/>
      <c r="AX27" s="426">
        <f>(AV27+AT27)/AY26</f>
        <v>0</v>
      </c>
      <c r="AY27" s="370">
        <f>AT26+SUM(AS26:AS27)</f>
        <v>32666.666666666668</v>
      </c>
      <c r="AZ27" s="369">
        <f>SUMIFS(Collection!$O:$O, Collection!$K:$K, AZ$2, Collection!$A:$A, "="&amp;$A27)</f>
        <v>0</v>
      </c>
      <c r="BA27" s="116">
        <f>(SUMIFS('Bucket Counts'!$P:$P, 'Bucket Counts'!$B:$B, BA$2, 'Bucket Counts'!$A:$A, "="&amp;$A27,  'Bucket Counts'!$F:$F, "&lt;&gt;100 Morts",  'Bucket Counts'!$F:$F, "&lt;&gt;224"))</f>
        <v>0</v>
      </c>
      <c r="BB27" s="116">
        <f>(SUMIFS('Bucket Counts'!$P:$P, 'Bucket Counts'!$B:$B, BB$2, 'Bucket Counts'!$A:$A, "="&amp;$A27,  'Bucket Counts'!$F:$F, "100 Morts"))</f>
        <v>0</v>
      </c>
      <c r="BC27" s="116">
        <f>(SUMIFS('Bucket Counts'!$P:$P, 'Bucket Counts'!$B:$B, BC$2, 'Bucket Counts'!$A:$A, "="&amp;$A27,  'Bucket Counts'!$F:$F, "224"))</f>
        <v>0</v>
      </c>
      <c r="BD27" s="116"/>
      <c r="BE27" s="426">
        <f>(BC27+BA27)/BF26</f>
        <v>0</v>
      </c>
      <c r="BF27" s="370">
        <f>BA26+SUM(AZ26:AZ27)</f>
        <v>42216.666666666672</v>
      </c>
      <c r="BG27" s="369">
        <f>SUMIFS(Collection!$O:$O, Collection!$K:$K, BG$2, Collection!$A:$A, "="&amp;$A27)</f>
        <v>0</v>
      </c>
      <c r="BH27" s="116">
        <f>(SUMIFS('Bucket Counts'!$P:$P, 'Bucket Counts'!$B:$B, BH$2, 'Bucket Counts'!$A:$A, "="&amp;$A27,  'Bucket Counts'!$F:$F, "&lt;&gt;100 Morts",  'Bucket Counts'!$F:$F, "&lt;&gt;224"))</f>
        <v>0</v>
      </c>
      <c r="BI27" s="116">
        <f>(SUMIFS('Bucket Counts'!$P:$P, 'Bucket Counts'!$B:$B, BI$2, 'Bucket Counts'!$A:$A, "="&amp;$A27,  'Bucket Counts'!$F:$F, "100 Morts"))</f>
        <v>0</v>
      </c>
      <c r="BJ27" s="116">
        <f>(SUMIFS('Bucket Counts'!$P:$P, 'Bucket Counts'!$B:$B, BJ$2, 'Bucket Counts'!$A:$A, "="&amp;$A27,  'Bucket Counts'!$F:$F, "224"))</f>
        <v>0</v>
      </c>
      <c r="BK27" s="116"/>
      <c r="BL27" s="426">
        <f>(BJ27+BH27)/BM26</f>
        <v>0</v>
      </c>
      <c r="BM27" s="370">
        <f>BH26+SUM(BG26:BG27)</f>
        <v>93466.666666666672</v>
      </c>
      <c r="BN27" s="369">
        <f>SUMIFS(Collection!$O:$O, Collection!$K:$K, BN$2, Collection!$A:$A, "="&amp;$A27)</f>
        <v>54200</v>
      </c>
      <c r="BO27" s="116">
        <f>(SUMIFS('Bucket Counts'!$P:$P, 'Bucket Counts'!$B:$B, BO$2, 'Bucket Counts'!$A:$A, "="&amp;$A27,  'Bucket Counts'!$F:$F, "&lt;&gt;100 Morts",  'Bucket Counts'!$F:$F, "&lt;&gt;224"))</f>
        <v>0</v>
      </c>
      <c r="BP27" s="116">
        <f>(SUMIFS('Bucket Counts'!$P:$P, 'Bucket Counts'!$B:$B, BP$2, 'Bucket Counts'!$A:$A, "="&amp;$A27,  'Bucket Counts'!$F:$F, "100 Morts"))</f>
        <v>0</v>
      </c>
      <c r="BQ27" s="116">
        <f>(SUMIFS('Bucket Counts'!$P:$P, 'Bucket Counts'!$B:$B, BQ$2, 'Bucket Counts'!$A:$A, "="&amp;$A27,  'Bucket Counts'!$F:$F, "224"))</f>
        <v>0</v>
      </c>
      <c r="BR27" s="116"/>
      <c r="BS27" s="426">
        <f>(BQ27+BO27)/BT26</f>
        <v>0</v>
      </c>
      <c r="BT27" s="370">
        <f>BO26+SUM(BN26:BN27)</f>
        <v>110446.66666666666</v>
      </c>
      <c r="BU27" s="369">
        <f>SUMIFS(Collection!$O:$O, Collection!$K:$K, BU$2, Collection!$A:$A, "="&amp;$A27)</f>
        <v>0</v>
      </c>
      <c r="BV27" s="116">
        <f>(SUMIFS('Bucket Counts'!$P:$P, 'Bucket Counts'!$B:$B, BV$2, 'Bucket Counts'!$A:$A, "="&amp;$A27,  'Bucket Counts'!$F:$F, "&lt;&gt;100 Morts",  'Bucket Counts'!$F:$F, "&lt;&gt;224"))</f>
        <v>0</v>
      </c>
      <c r="BW27" s="116">
        <f>(SUMIFS('Bucket Counts'!$P:$P, 'Bucket Counts'!$B:$B, BW$2, 'Bucket Counts'!$A:$A, "="&amp;$A27,  'Bucket Counts'!$F:$F, "100 Morts"))</f>
        <v>0</v>
      </c>
      <c r="BX27" s="116">
        <f>(SUMIFS('Bucket Counts'!$P:$P, 'Bucket Counts'!$B:$B, BX$2, 'Bucket Counts'!$A:$A, "="&amp;$A27,  'Bucket Counts'!$F:$F, "224"))</f>
        <v>0</v>
      </c>
      <c r="BY27" s="116"/>
      <c r="BZ27" s="426" t="e">
        <f>(BX27+BV27)/CA26</f>
        <v>#DIV/0!</v>
      </c>
      <c r="CA27" s="370">
        <f>BV26+SUM(BU26:BU27)</f>
        <v>0</v>
      </c>
      <c r="CB27" s="369">
        <f>SUMIFS(Collection!$O:$O, Collection!$K:$K, CB$2, Collection!$A:$A, "="&amp;$A27)</f>
        <v>0</v>
      </c>
      <c r="CC27" s="116">
        <f>(SUMIFS('Bucket Counts'!$P:$P, 'Bucket Counts'!$B:$B, CC$2, 'Bucket Counts'!$A:$A, "="&amp;$A27,  'Bucket Counts'!$F:$F, "&lt;&gt;100 Morts",  'Bucket Counts'!$F:$F, "&lt;&gt;224"))</f>
        <v>0</v>
      </c>
      <c r="CD27" s="116">
        <f>(SUMIFS('Bucket Counts'!$P:$P, 'Bucket Counts'!$B:$B, CD$2, 'Bucket Counts'!$A:$A, "="&amp;$A27,  'Bucket Counts'!$F:$F, "100 Morts"))</f>
        <v>0</v>
      </c>
      <c r="CE27" s="116">
        <f>(SUMIFS('Bucket Counts'!$P:$P, 'Bucket Counts'!$B:$B, CE$2, 'Bucket Counts'!$A:$A, "="&amp;$A27,  'Bucket Counts'!$F:$F, "224"))</f>
        <v>0</v>
      </c>
      <c r="CF27" s="116"/>
      <c r="CG27" s="426">
        <f>(CE27+CC27)/CH26</f>
        <v>0</v>
      </c>
      <c r="CH27" s="370">
        <f>CC26+SUM(CB26:CB27)</f>
        <v>64533.333333333336</v>
      </c>
      <c r="CI27" s="369">
        <f>SUMIFS(Collection!$O:$O, Collection!$K:$K, CI$2, Collection!$A:$A, "="&amp;$A27)</f>
        <v>0</v>
      </c>
      <c r="CJ27" s="116">
        <f>(SUMIFS('Bucket Counts'!$P:$P, 'Bucket Counts'!$B:$B, CJ$2, 'Bucket Counts'!$A:$A, "="&amp;$A27,  'Bucket Counts'!$F:$F, "&lt;&gt;100 Morts",  'Bucket Counts'!$F:$F, "&lt;&gt;224"))</f>
        <v>0</v>
      </c>
      <c r="CK27" s="116">
        <f>(SUMIFS('Bucket Counts'!$P:$P, 'Bucket Counts'!$B:$B, CK$2, 'Bucket Counts'!$A:$A, "="&amp;$A27,  'Bucket Counts'!$F:$F, "100 Morts"))</f>
        <v>0</v>
      </c>
      <c r="CL27" s="116">
        <f>(SUMIFS('Bucket Counts'!$P:$P, 'Bucket Counts'!$B:$B, CL$2, 'Bucket Counts'!$A:$A, "="&amp;$A27,  'Bucket Counts'!$F:$F, "224"))</f>
        <v>0</v>
      </c>
      <c r="CM27" s="116"/>
      <c r="CN27" s="426">
        <f>(CL27+CJ27)/CO26</f>
        <v>0</v>
      </c>
      <c r="CO27" s="370">
        <f>CJ26+SUM(CI26:CI27)</f>
        <v>83333.333333333328</v>
      </c>
      <c r="CP27" s="369">
        <f>SUMIFS(Collection!$O:$O, Collection!$K:$K, CP$2, Collection!$A:$A, "="&amp;$A27)</f>
        <v>0</v>
      </c>
      <c r="CQ27" s="116">
        <f>(SUMIFS('Bucket Counts'!$P:$P, 'Bucket Counts'!$B:$B, CQ$2, 'Bucket Counts'!$A:$A, "="&amp;$A27,  'Bucket Counts'!$F:$F, "&lt;&gt;100 Morts",  'Bucket Counts'!$F:$F, "&lt;&gt;224"))</f>
        <v>0</v>
      </c>
      <c r="CR27" s="116">
        <f>(SUMIFS('Bucket Counts'!$P:$P, 'Bucket Counts'!$B:$B, CR$2, 'Bucket Counts'!$A:$A, "="&amp;$A27,  'Bucket Counts'!$F:$F, "100 Morts"))</f>
        <v>0</v>
      </c>
      <c r="CS27" s="116">
        <f>(SUMIFS('Bucket Counts'!$P:$P, 'Bucket Counts'!$B:$B, CS$2, 'Bucket Counts'!$A:$A, "="&amp;$A27,  'Bucket Counts'!$F:$F, "224"))</f>
        <v>0</v>
      </c>
      <c r="CT27" s="116"/>
      <c r="CU27" s="426">
        <f>(CS27+CQ27)/CV26</f>
        <v>0</v>
      </c>
      <c r="CV27" s="370">
        <f>CQ26+SUM(CP26:CP27)</f>
        <v>56746.666666666664</v>
      </c>
      <c r="CW27" s="369">
        <f>SUMIFS(Collection!$O:$O, Collection!$K:$K, CW$2, Collection!$A:$A, "="&amp;$A27)</f>
        <v>51466.666666666664</v>
      </c>
      <c r="CX27" s="116">
        <f>(SUMIFS('Bucket Counts'!$P:$P, 'Bucket Counts'!$B:$B, CX$2, 'Bucket Counts'!$A:$A, "="&amp;$A27,  'Bucket Counts'!$F:$F, "&lt;&gt;100 Morts",  'Bucket Counts'!$F:$F, "&lt;&gt;224"))</f>
        <v>0</v>
      </c>
      <c r="CY27" s="116">
        <f>(SUMIFS('Bucket Counts'!$P:$P, 'Bucket Counts'!$B:$B, CY$2, 'Bucket Counts'!$A:$A, "="&amp;$A27,  'Bucket Counts'!$F:$F, "100 Morts"))</f>
        <v>0</v>
      </c>
      <c r="CZ27" s="116">
        <f>(SUMIFS('Bucket Counts'!$P:$P, 'Bucket Counts'!$B:$B, CZ$2, 'Bucket Counts'!$A:$A, "="&amp;$A27,  'Bucket Counts'!$F:$F, "224"))</f>
        <v>0</v>
      </c>
      <c r="DA27" s="116"/>
      <c r="DB27" s="426">
        <f>(CZ27+CX27)/DC26</f>
        <v>0</v>
      </c>
      <c r="DC27" s="370">
        <f>CX26+SUM(CW26:CW27)</f>
        <v>97913.333333333328</v>
      </c>
      <c r="DD27" s="369">
        <f>SUMIFS(Collection!$O:$O, Collection!$K:$K, DD$2, Collection!$A:$A, "="&amp;$A27)</f>
        <v>0</v>
      </c>
      <c r="DE27" s="116">
        <f>(SUMIFS('Bucket Counts'!$P:$P, 'Bucket Counts'!$B:$B, DE$2, 'Bucket Counts'!$A:$A, "="&amp;$A27,  'Bucket Counts'!$F:$F, "&lt;&gt;100 Morts",  'Bucket Counts'!$F:$F, "&lt;&gt;224"))</f>
        <v>0</v>
      </c>
      <c r="DF27" s="116">
        <f>(SUMIFS('Bucket Counts'!$P:$P, 'Bucket Counts'!$B:$B, DF$2, 'Bucket Counts'!$A:$A, "="&amp;$A27,  'Bucket Counts'!$F:$F, "100 Morts"))</f>
        <v>0</v>
      </c>
      <c r="DG27" s="116">
        <f>(SUMIFS('Bucket Counts'!$P:$P, 'Bucket Counts'!$B:$B, DG$2, 'Bucket Counts'!$A:$A, "="&amp;$A27,  'Bucket Counts'!$F:$F, "224"))</f>
        <v>0</v>
      </c>
      <c r="DH27" s="116"/>
      <c r="DI27" s="426">
        <f>(DG27+DE27)/DJ26</f>
        <v>0</v>
      </c>
      <c r="DJ27" s="370">
        <f>DE26+SUM(DD26:DD27)</f>
        <v>55050</v>
      </c>
      <c r="DK27" s="369">
        <f>SUMIFS(Collection!$O:$O, Collection!$K:$K, DK$2, Collection!$A:$A, "="&amp;$A27)</f>
        <v>0</v>
      </c>
      <c r="DL27" s="116">
        <f>(SUMIFS('Bucket Counts'!$P:$P, 'Bucket Counts'!$B:$B, DL$2, 'Bucket Counts'!$A:$A, "="&amp;$A27,  'Bucket Counts'!$F:$F, "&lt;&gt;100 Morts",  'Bucket Counts'!$F:$F, "&lt;&gt;224"))</f>
        <v>0</v>
      </c>
      <c r="DM27" s="116">
        <f>(SUMIFS('Bucket Counts'!$P:$P, 'Bucket Counts'!$B:$B, DM$2, 'Bucket Counts'!$A:$A, "="&amp;$A27,  'Bucket Counts'!$F:$F, "100 Morts"))</f>
        <v>0</v>
      </c>
      <c r="DN27" s="116">
        <f>(SUMIFS('Bucket Counts'!$P:$P, 'Bucket Counts'!$B:$B, DN$2, 'Bucket Counts'!$A:$A, "="&amp;$A27,  'Bucket Counts'!$F:$F, "224"))</f>
        <v>0</v>
      </c>
      <c r="DO27" s="116"/>
      <c r="DP27" s="426" t="e">
        <f>(DN27+DL27)/DQ26</f>
        <v>#DIV/0!</v>
      </c>
      <c r="DQ27" s="370">
        <f>DL26+SUM(DK26:DK27)</f>
        <v>0</v>
      </c>
      <c r="DR27" s="369">
        <f>SUMIFS(Collection!$O:$O, Collection!$K:$K, DR$2, Collection!$A:$A, "="&amp;$A27)</f>
        <v>0</v>
      </c>
      <c r="DS27" s="116">
        <f>(SUMIFS('Bucket Counts'!$P:$P, 'Bucket Counts'!$B:$B, DS$2, 'Bucket Counts'!$A:$A, "="&amp;$A27,  'Bucket Counts'!$F:$F, "&lt;&gt;100 Morts",  'Bucket Counts'!$F:$F, "&lt;&gt;224"))</f>
        <v>0</v>
      </c>
      <c r="DT27" s="116">
        <f>(SUMIFS('Bucket Counts'!$P:$P, 'Bucket Counts'!$B:$B, DT$2, 'Bucket Counts'!$A:$A, "="&amp;$A27,  'Bucket Counts'!$F:$F, "100 Morts"))</f>
        <v>0</v>
      </c>
      <c r="DU27" s="116">
        <f>(SUMIFS('Bucket Counts'!$P:$P, 'Bucket Counts'!$B:$B, DU$2, 'Bucket Counts'!$A:$A, "="&amp;$A27,  'Bucket Counts'!$F:$F, "224"))</f>
        <v>0</v>
      </c>
      <c r="DV27" s="116"/>
      <c r="DW27" s="426" t="e">
        <f>(DU27+DS27)/DX26</f>
        <v>#DIV/0!</v>
      </c>
      <c r="DX27" s="370">
        <f>DS26+SUM(DR26:DR27)</f>
        <v>0</v>
      </c>
      <c r="DY27" s="369">
        <f>SUMIFS(Collection!$O:$O, Collection!$K:$K, DY$2, Collection!$A:$A, "="&amp;$A27)</f>
        <v>0</v>
      </c>
      <c r="DZ27" s="116">
        <f>(SUMIFS('Bucket Counts'!$P:$P, 'Bucket Counts'!$B:$B, DZ$2, 'Bucket Counts'!$A:$A, "="&amp;$A27,  'Bucket Counts'!$F:$F, "&lt;&gt;100 Morts",  'Bucket Counts'!$F:$F, "&lt;&gt;224"))</f>
        <v>0</v>
      </c>
      <c r="EA27" s="116">
        <f>(SUMIFS('Bucket Counts'!$P:$P, 'Bucket Counts'!$B:$B, EA$2, 'Bucket Counts'!$A:$A, "="&amp;$A27,  'Bucket Counts'!$F:$F, "100 Morts"))</f>
        <v>0</v>
      </c>
      <c r="EB27" s="116">
        <f>(SUMIFS('Bucket Counts'!$P:$P, 'Bucket Counts'!$B:$B, EB$2, 'Bucket Counts'!$A:$A, "="&amp;$A27,  'Bucket Counts'!$F:$F, "224"))</f>
        <v>0</v>
      </c>
      <c r="EC27" s="116"/>
      <c r="ED27" s="426" t="e">
        <f>(EB27+DZ27)/EE26</f>
        <v>#DIV/0!</v>
      </c>
      <c r="EE27" s="370">
        <f>DZ26+SUM(DY26:DY27)</f>
        <v>0</v>
      </c>
      <c r="EF27" s="369">
        <f>SUMIFS(Collection!$O:$O, Collection!$K:$K, EF$2, Collection!$A:$A, "="&amp;$A27)</f>
        <v>0</v>
      </c>
      <c r="EG27" s="116">
        <f>(SUMIFS('Bucket Counts'!$P:$P, 'Bucket Counts'!$B:$B, EG$2, 'Bucket Counts'!$A:$A, "="&amp;$A27,  'Bucket Counts'!$F:$F, "&lt;&gt;100 Morts",  'Bucket Counts'!$F:$F, "&lt;&gt;224"))</f>
        <v>0</v>
      </c>
      <c r="EH27" s="116">
        <f>(SUMIFS('Bucket Counts'!$P:$P, 'Bucket Counts'!$B:$B, EH$2, 'Bucket Counts'!$A:$A, "="&amp;$A27,  'Bucket Counts'!$F:$F, "100 Morts"))</f>
        <v>0</v>
      </c>
      <c r="EI27" s="116">
        <f>(SUMIFS('Bucket Counts'!$P:$P, 'Bucket Counts'!$B:$B, EI$2, 'Bucket Counts'!$A:$A, "="&amp;$A27,  'Bucket Counts'!$F:$F, "224"))</f>
        <v>0</v>
      </c>
      <c r="EJ27" s="116"/>
      <c r="EK27" s="426" t="e">
        <f>(EI27+EG27)/EL26</f>
        <v>#DIV/0!</v>
      </c>
      <c r="EL27" s="370">
        <f>EG26+SUM(EF26:EF27)</f>
        <v>0</v>
      </c>
    </row>
    <row r="28" spans="1:142" x14ac:dyDescent="0.2">
      <c r="A28" s="16">
        <f t="shared" si="0"/>
        <v>42897</v>
      </c>
      <c r="B28" s="16" t="s">
        <v>487</v>
      </c>
      <c r="C28" s="369">
        <f>SUMIFS(Collection!$O:$O, Collection!$K:$K, C$2, Collection!$A:$A, "="&amp;$A28)</f>
        <v>0</v>
      </c>
      <c r="D28" s="116">
        <f>(SUMIFS('Bucket Counts'!$P:$P, 'Bucket Counts'!$B:$B, D$2, 'Bucket Counts'!$A:$A, "="&amp;$A28,  'Bucket Counts'!$F:$F, "&lt;&gt;100 Morts",  'Bucket Counts'!$F:$F, "&lt;&gt;224"))</f>
        <v>0</v>
      </c>
      <c r="E28" s="116">
        <f>(SUMIFS('Bucket Counts'!$P:$P, 'Bucket Counts'!$B:$B, E$2, 'Bucket Counts'!$A:$A, "="&amp;$A28,  'Bucket Counts'!$F:$F, "100 Morts"))</f>
        <v>0</v>
      </c>
      <c r="F28" s="116">
        <f>(SUMIFS('Bucket Counts'!$P:$P, 'Bucket Counts'!$B:$B, F$2, 'Bucket Counts'!$A:$A, "="&amp;$A28,  'Bucket Counts'!$F:$F, "224"))</f>
        <v>0</v>
      </c>
      <c r="G28" s="116"/>
      <c r="H28" s="426">
        <f>(F28+D28)/I27</f>
        <v>0</v>
      </c>
      <c r="I28" s="370">
        <f>D26+SUM(C26:C28)</f>
        <v>87146.666666666672</v>
      </c>
      <c r="J28" s="369">
        <f>SUMIFS(Collection!$O:$O, Collection!$K:$K, J$2, Collection!$A:$A, "="&amp;$A28)</f>
        <v>0</v>
      </c>
      <c r="K28" s="116">
        <f>(SUMIFS('Bucket Counts'!$P:$P, 'Bucket Counts'!$B:$B, K$2, 'Bucket Counts'!$A:$A, "="&amp;$A28,  'Bucket Counts'!$F:$F, "&lt;&gt;100 Morts",  'Bucket Counts'!$F:$F, "&lt;&gt;224"))</f>
        <v>0</v>
      </c>
      <c r="L28" s="116">
        <f>(SUMIFS('Bucket Counts'!$P:$P, 'Bucket Counts'!$B:$B, L$2, 'Bucket Counts'!$A:$A, "="&amp;$A28,  'Bucket Counts'!$F:$F, "100 Morts"))</f>
        <v>0</v>
      </c>
      <c r="M28" s="116">
        <f>(SUMIFS('Bucket Counts'!$P:$P, 'Bucket Counts'!$B:$B, M$2, 'Bucket Counts'!$A:$A, "="&amp;$A28,  'Bucket Counts'!$F:$F, "224"))</f>
        <v>0</v>
      </c>
      <c r="N28" s="116"/>
      <c r="O28" s="426">
        <f>(M28+K28)/P27</f>
        <v>0</v>
      </c>
      <c r="P28" s="370">
        <f>K26+SUM(J26:J28)</f>
        <v>58426.666666666672</v>
      </c>
      <c r="Q28" s="369">
        <f>SUMIFS(Collection!$O:$O, Collection!$K:$K, Q$2, Collection!$A:$A, "="&amp;$A28)</f>
        <v>0</v>
      </c>
      <c r="R28" s="116">
        <f>(SUMIFS('Bucket Counts'!$P:$P, 'Bucket Counts'!$B:$B, R$2, 'Bucket Counts'!$A:$A, "="&amp;$A28,  'Bucket Counts'!$F:$F, "&lt;&gt;100 Morts",  'Bucket Counts'!$F:$F, "&lt;&gt;224"))</f>
        <v>0</v>
      </c>
      <c r="S28" s="116">
        <f>(SUMIFS('Bucket Counts'!$P:$P, 'Bucket Counts'!$B:$B, S$2, 'Bucket Counts'!$A:$A, "="&amp;$A28,  'Bucket Counts'!$F:$F, "100 Morts"))</f>
        <v>0</v>
      </c>
      <c r="T28" s="116">
        <f>(SUMIFS('Bucket Counts'!$P:$P, 'Bucket Counts'!$B:$B, T$2, 'Bucket Counts'!$A:$A, "="&amp;$A28,  'Bucket Counts'!$F:$F, "224"))</f>
        <v>0</v>
      </c>
      <c r="U28" s="116"/>
      <c r="V28" s="426">
        <f>(T28+R28)/W27</f>
        <v>0</v>
      </c>
      <c r="W28" s="370">
        <f>R26+SUM(Q26:Q28)</f>
        <v>49513.333333333328</v>
      </c>
      <c r="X28" s="369">
        <f>SUMIFS(Collection!$O:$O, Collection!$K:$K, X$2, Collection!$A:$A, "="&amp;$A28)</f>
        <v>0</v>
      </c>
      <c r="Y28" s="116">
        <f>(SUMIFS('Bucket Counts'!$P:$P, 'Bucket Counts'!$B:$B, Y$2, 'Bucket Counts'!$A:$A, "="&amp;$A28,  'Bucket Counts'!$F:$F, "&lt;&gt;100 Morts",  'Bucket Counts'!$F:$F, "&lt;&gt;224"))</f>
        <v>0</v>
      </c>
      <c r="Z28" s="116">
        <f>(SUMIFS('Bucket Counts'!$P:$P, 'Bucket Counts'!$B:$B, Z$2, 'Bucket Counts'!$A:$A, "="&amp;$A28,  'Bucket Counts'!$F:$F, "100 Morts"))</f>
        <v>0</v>
      </c>
      <c r="AA28" s="116">
        <f>(SUMIFS('Bucket Counts'!$P:$P, 'Bucket Counts'!$B:$B, AA$2, 'Bucket Counts'!$A:$A, "="&amp;$A28,  'Bucket Counts'!$F:$F, "224"))</f>
        <v>0</v>
      </c>
      <c r="AB28" s="116"/>
      <c r="AC28" s="426">
        <f>(AA28+Y28)/AD27</f>
        <v>0</v>
      </c>
      <c r="AD28" s="370">
        <f>Y26+SUM(X26:X28)</f>
        <v>100483.33333333334</v>
      </c>
      <c r="AE28" s="369">
        <f>SUMIFS(Collection!$O:$O, Collection!$K:$K, AE$2, Collection!$A:$A, "="&amp;$A28)</f>
        <v>0</v>
      </c>
      <c r="AF28" s="116">
        <f>(SUMIFS('Bucket Counts'!$P:$P, 'Bucket Counts'!$B:$B, AF$2, 'Bucket Counts'!$A:$A, "="&amp;$A28,  'Bucket Counts'!$F:$F, "&lt;&gt;100 Morts",  'Bucket Counts'!$F:$F, "&lt;&gt;224"))</f>
        <v>0</v>
      </c>
      <c r="AG28" s="116">
        <f>(SUMIFS('Bucket Counts'!$P:$P, 'Bucket Counts'!$B:$B, AG$2, 'Bucket Counts'!$A:$A, "="&amp;$A28,  'Bucket Counts'!$F:$F, "100 Morts"))</f>
        <v>0</v>
      </c>
      <c r="AH28" s="116">
        <f>(SUMIFS('Bucket Counts'!$P:$P, 'Bucket Counts'!$B:$B, AH$2, 'Bucket Counts'!$A:$A, "="&amp;$A28,  'Bucket Counts'!$F:$F, "224"))</f>
        <v>0</v>
      </c>
      <c r="AI28" s="116"/>
      <c r="AJ28" s="426">
        <f>(AH28+AF28)/AK27</f>
        <v>0</v>
      </c>
      <c r="AK28" s="370">
        <f>AF26+SUM(AE26:AE28)</f>
        <v>146166.66666666669</v>
      </c>
      <c r="AL28" s="369">
        <f>SUMIFS(Collection!$O:$O, Collection!$K:$K, AL$2, Collection!$A:$A, "="&amp;$A28)</f>
        <v>0</v>
      </c>
      <c r="AM28" s="116">
        <f>(SUMIFS('Bucket Counts'!$P:$P, 'Bucket Counts'!$B:$B, AM$2, 'Bucket Counts'!$A:$A, "="&amp;$A28,  'Bucket Counts'!$F:$F, "&lt;&gt;100 Morts",  'Bucket Counts'!$F:$F, "&lt;&gt;224"))</f>
        <v>0</v>
      </c>
      <c r="AN28" s="116">
        <f>(SUMIFS('Bucket Counts'!$P:$P, 'Bucket Counts'!$B:$B, AN$2, 'Bucket Counts'!$A:$A, "="&amp;$A28,  'Bucket Counts'!$F:$F, "100 Morts"))</f>
        <v>0</v>
      </c>
      <c r="AO28" s="116">
        <f>(SUMIFS('Bucket Counts'!$P:$P, 'Bucket Counts'!$B:$B, AO$2, 'Bucket Counts'!$A:$A, "="&amp;$A28,  'Bucket Counts'!$F:$F, "224"))</f>
        <v>0</v>
      </c>
      <c r="AP28" s="116"/>
      <c r="AQ28" s="426">
        <f>(AO28+AM28)/AR27</f>
        <v>0</v>
      </c>
      <c r="AR28" s="370">
        <f>AM26+SUM(AL26:AL28)</f>
        <v>48000</v>
      </c>
      <c r="AS28" s="369">
        <f>SUMIFS(Collection!$O:$O, Collection!$K:$K, AS$2, Collection!$A:$A, "="&amp;$A28)</f>
        <v>0</v>
      </c>
      <c r="AT28" s="116">
        <f>(SUMIFS('Bucket Counts'!$P:$P, 'Bucket Counts'!$B:$B, AT$2, 'Bucket Counts'!$A:$A, "="&amp;$A28,  'Bucket Counts'!$F:$F, "&lt;&gt;100 Morts",  'Bucket Counts'!$F:$F, "&lt;&gt;224"))</f>
        <v>0</v>
      </c>
      <c r="AU28" s="116">
        <f>(SUMIFS('Bucket Counts'!$P:$P, 'Bucket Counts'!$B:$B, AU$2, 'Bucket Counts'!$A:$A, "="&amp;$A28,  'Bucket Counts'!$F:$F, "100 Morts"))</f>
        <v>0</v>
      </c>
      <c r="AV28" s="116">
        <f>(SUMIFS('Bucket Counts'!$P:$P, 'Bucket Counts'!$B:$B, AV$2, 'Bucket Counts'!$A:$A, "="&amp;$A28,  'Bucket Counts'!$F:$F, "224"))</f>
        <v>0</v>
      </c>
      <c r="AW28" s="116"/>
      <c r="AX28" s="426">
        <f>(AV28+AT28)/AY27</f>
        <v>0</v>
      </c>
      <c r="AY28" s="370">
        <f>AT26+SUM(AS26:AS28)</f>
        <v>32666.666666666668</v>
      </c>
      <c r="AZ28" s="369">
        <f>SUMIFS(Collection!$O:$O, Collection!$K:$K, AZ$2, Collection!$A:$A, "="&amp;$A28)</f>
        <v>0</v>
      </c>
      <c r="BA28" s="116">
        <f>(SUMIFS('Bucket Counts'!$P:$P, 'Bucket Counts'!$B:$B, BA$2, 'Bucket Counts'!$A:$A, "="&amp;$A28,  'Bucket Counts'!$F:$F, "&lt;&gt;100 Morts",  'Bucket Counts'!$F:$F, "&lt;&gt;224"))</f>
        <v>0</v>
      </c>
      <c r="BB28" s="116">
        <f>(SUMIFS('Bucket Counts'!$P:$P, 'Bucket Counts'!$B:$B, BB$2, 'Bucket Counts'!$A:$A, "="&amp;$A28,  'Bucket Counts'!$F:$F, "100 Morts"))</f>
        <v>0</v>
      </c>
      <c r="BC28" s="116">
        <f>(SUMIFS('Bucket Counts'!$P:$P, 'Bucket Counts'!$B:$B, BC$2, 'Bucket Counts'!$A:$A, "="&amp;$A28,  'Bucket Counts'!$F:$F, "224"))</f>
        <v>0</v>
      </c>
      <c r="BD28" s="116"/>
      <c r="BE28" s="426">
        <f>(BC28+BA28)/BF27</f>
        <v>0</v>
      </c>
      <c r="BF28" s="370">
        <f>BA26+SUM(AZ26:AZ28)</f>
        <v>42216.666666666672</v>
      </c>
      <c r="BG28" s="369">
        <f>SUMIFS(Collection!$O:$O, Collection!$K:$K, BG$2, Collection!$A:$A, "="&amp;$A28)</f>
        <v>0</v>
      </c>
      <c r="BH28" s="116">
        <f>(SUMIFS('Bucket Counts'!$P:$P, 'Bucket Counts'!$B:$B, BH$2, 'Bucket Counts'!$A:$A, "="&amp;$A28,  'Bucket Counts'!$F:$F, "&lt;&gt;100 Morts",  'Bucket Counts'!$F:$F, "&lt;&gt;224"))</f>
        <v>0</v>
      </c>
      <c r="BI28" s="116">
        <f>(SUMIFS('Bucket Counts'!$P:$P, 'Bucket Counts'!$B:$B, BI$2, 'Bucket Counts'!$A:$A, "="&amp;$A28,  'Bucket Counts'!$F:$F, "100 Morts"))</f>
        <v>0</v>
      </c>
      <c r="BJ28" s="116">
        <f>(SUMIFS('Bucket Counts'!$P:$P, 'Bucket Counts'!$B:$B, BJ$2, 'Bucket Counts'!$A:$A, "="&amp;$A28,  'Bucket Counts'!$F:$F, "224"))</f>
        <v>0</v>
      </c>
      <c r="BK28" s="116"/>
      <c r="BL28" s="426">
        <f>(BJ28+BH28)/BM27</f>
        <v>0</v>
      </c>
      <c r="BM28" s="370">
        <f>BH26+SUM(BG26:BG28)</f>
        <v>93466.666666666672</v>
      </c>
      <c r="BN28" s="369">
        <f>SUMIFS(Collection!$O:$O, Collection!$K:$K, BN$2, Collection!$A:$A, "="&amp;$A28)</f>
        <v>0</v>
      </c>
      <c r="BO28" s="116">
        <f>(SUMIFS('Bucket Counts'!$P:$P, 'Bucket Counts'!$B:$B, BO$2, 'Bucket Counts'!$A:$A, "="&amp;$A28,  'Bucket Counts'!$F:$F, "&lt;&gt;100 Morts",  'Bucket Counts'!$F:$F, "&lt;&gt;224"))</f>
        <v>0</v>
      </c>
      <c r="BP28" s="116">
        <f>(SUMIFS('Bucket Counts'!$P:$P, 'Bucket Counts'!$B:$B, BP$2, 'Bucket Counts'!$A:$A, "="&amp;$A28,  'Bucket Counts'!$F:$F, "100 Morts"))</f>
        <v>0</v>
      </c>
      <c r="BQ28" s="116">
        <f>(SUMIFS('Bucket Counts'!$P:$P, 'Bucket Counts'!$B:$B, BQ$2, 'Bucket Counts'!$A:$A, "="&amp;$A28,  'Bucket Counts'!$F:$F, "224"))</f>
        <v>0</v>
      </c>
      <c r="BR28" s="116"/>
      <c r="BS28" s="426">
        <f>(BQ28+BO28)/BT27</f>
        <v>0</v>
      </c>
      <c r="BT28" s="370">
        <f>BO26+SUM(BN26:BN28)</f>
        <v>110446.66666666666</v>
      </c>
      <c r="BU28" s="369">
        <f>SUMIFS(Collection!$O:$O, Collection!$K:$K, BU$2, Collection!$A:$A, "="&amp;$A28)</f>
        <v>0</v>
      </c>
      <c r="BV28" s="116">
        <f>(SUMIFS('Bucket Counts'!$P:$P, 'Bucket Counts'!$B:$B, BV$2, 'Bucket Counts'!$A:$A, "="&amp;$A28,  'Bucket Counts'!$F:$F, "&lt;&gt;100 Morts",  'Bucket Counts'!$F:$F, "&lt;&gt;224"))</f>
        <v>0</v>
      </c>
      <c r="BW28" s="116">
        <f>(SUMIFS('Bucket Counts'!$P:$P, 'Bucket Counts'!$B:$B, BW$2, 'Bucket Counts'!$A:$A, "="&amp;$A28,  'Bucket Counts'!$F:$F, "100 Morts"))</f>
        <v>0</v>
      </c>
      <c r="BX28" s="116">
        <f>(SUMIFS('Bucket Counts'!$P:$P, 'Bucket Counts'!$B:$B, BX$2, 'Bucket Counts'!$A:$A, "="&amp;$A28,  'Bucket Counts'!$F:$F, "224"))</f>
        <v>0</v>
      </c>
      <c r="BY28" s="116"/>
      <c r="BZ28" s="426" t="e">
        <f>(BX28+BV28)/CA27</f>
        <v>#DIV/0!</v>
      </c>
      <c r="CA28" s="370">
        <f>BV26+SUM(BU26:BU28)</f>
        <v>0</v>
      </c>
      <c r="CB28" s="369">
        <f>SUMIFS(Collection!$O:$O, Collection!$K:$K, CB$2, Collection!$A:$A, "="&amp;$A28)</f>
        <v>0</v>
      </c>
      <c r="CC28" s="116">
        <f>(SUMIFS('Bucket Counts'!$P:$P, 'Bucket Counts'!$B:$B, CC$2, 'Bucket Counts'!$A:$A, "="&amp;$A28,  'Bucket Counts'!$F:$F, "&lt;&gt;100 Morts",  'Bucket Counts'!$F:$F, "&lt;&gt;224"))</f>
        <v>0</v>
      </c>
      <c r="CD28" s="116">
        <f>(SUMIFS('Bucket Counts'!$P:$P, 'Bucket Counts'!$B:$B, CD$2, 'Bucket Counts'!$A:$A, "="&amp;$A28,  'Bucket Counts'!$F:$F, "100 Morts"))</f>
        <v>0</v>
      </c>
      <c r="CE28" s="116">
        <f>(SUMIFS('Bucket Counts'!$P:$P, 'Bucket Counts'!$B:$B, CE$2, 'Bucket Counts'!$A:$A, "="&amp;$A28,  'Bucket Counts'!$F:$F, "224"))</f>
        <v>0</v>
      </c>
      <c r="CF28" s="116"/>
      <c r="CG28" s="426">
        <f>(CE28+CC28)/CH27</f>
        <v>0</v>
      </c>
      <c r="CH28" s="370">
        <f>CC26+SUM(CB26:CB28)</f>
        <v>64533.333333333336</v>
      </c>
      <c r="CI28" s="369">
        <f>SUMIFS(Collection!$O:$O, Collection!$K:$K, CI$2, Collection!$A:$A, "="&amp;$A28)</f>
        <v>0</v>
      </c>
      <c r="CJ28" s="116">
        <f>(SUMIFS('Bucket Counts'!$P:$P, 'Bucket Counts'!$B:$B, CJ$2, 'Bucket Counts'!$A:$A, "="&amp;$A28,  'Bucket Counts'!$F:$F, "&lt;&gt;100 Morts",  'Bucket Counts'!$F:$F, "&lt;&gt;224"))</f>
        <v>0</v>
      </c>
      <c r="CK28" s="116">
        <f>(SUMIFS('Bucket Counts'!$P:$P, 'Bucket Counts'!$B:$B, CK$2, 'Bucket Counts'!$A:$A, "="&amp;$A28,  'Bucket Counts'!$F:$F, "100 Morts"))</f>
        <v>0</v>
      </c>
      <c r="CL28" s="116">
        <f>(SUMIFS('Bucket Counts'!$P:$P, 'Bucket Counts'!$B:$B, CL$2, 'Bucket Counts'!$A:$A, "="&amp;$A28,  'Bucket Counts'!$F:$F, "224"))</f>
        <v>0</v>
      </c>
      <c r="CM28" s="116"/>
      <c r="CN28" s="426">
        <f>(CL28+CJ28)/CO27</f>
        <v>0</v>
      </c>
      <c r="CO28" s="370">
        <f>CJ26+SUM(CI26:CI28)</f>
        <v>83333.333333333328</v>
      </c>
      <c r="CP28" s="369">
        <f>SUMIFS(Collection!$O:$O, Collection!$K:$K, CP$2, Collection!$A:$A, "="&amp;$A28)</f>
        <v>0</v>
      </c>
      <c r="CQ28" s="116">
        <f>(SUMIFS('Bucket Counts'!$P:$P, 'Bucket Counts'!$B:$B, CQ$2, 'Bucket Counts'!$A:$A, "="&amp;$A28,  'Bucket Counts'!$F:$F, "&lt;&gt;100 Morts",  'Bucket Counts'!$F:$F, "&lt;&gt;224"))</f>
        <v>0</v>
      </c>
      <c r="CR28" s="116">
        <f>(SUMIFS('Bucket Counts'!$P:$P, 'Bucket Counts'!$B:$B, CR$2, 'Bucket Counts'!$A:$A, "="&amp;$A28,  'Bucket Counts'!$F:$F, "100 Morts"))</f>
        <v>0</v>
      </c>
      <c r="CS28" s="116">
        <f>(SUMIFS('Bucket Counts'!$P:$P, 'Bucket Counts'!$B:$B, CS$2, 'Bucket Counts'!$A:$A, "="&amp;$A28,  'Bucket Counts'!$F:$F, "224"))</f>
        <v>0</v>
      </c>
      <c r="CT28" s="116"/>
      <c r="CU28" s="426">
        <f>(CS28+CQ28)/CV27</f>
        <v>0</v>
      </c>
      <c r="CV28" s="370">
        <f>CQ26+SUM(CP26:CP28)</f>
        <v>56746.666666666664</v>
      </c>
      <c r="CW28" s="369">
        <f>SUMIFS(Collection!$O:$O, Collection!$K:$K, CW$2, Collection!$A:$A, "="&amp;$A28)</f>
        <v>0</v>
      </c>
      <c r="CX28" s="116">
        <f>(SUMIFS('Bucket Counts'!$P:$P, 'Bucket Counts'!$B:$B, CX$2, 'Bucket Counts'!$A:$A, "="&amp;$A28,  'Bucket Counts'!$F:$F, "&lt;&gt;100 Morts",  'Bucket Counts'!$F:$F, "&lt;&gt;224"))</f>
        <v>0</v>
      </c>
      <c r="CY28" s="116">
        <f>(SUMIFS('Bucket Counts'!$P:$P, 'Bucket Counts'!$B:$B, CY$2, 'Bucket Counts'!$A:$A, "="&amp;$A28,  'Bucket Counts'!$F:$F, "100 Morts"))</f>
        <v>0</v>
      </c>
      <c r="CZ28" s="116">
        <f>(SUMIFS('Bucket Counts'!$P:$P, 'Bucket Counts'!$B:$B, CZ$2, 'Bucket Counts'!$A:$A, "="&amp;$A28,  'Bucket Counts'!$F:$F, "224"))</f>
        <v>0</v>
      </c>
      <c r="DA28" s="116"/>
      <c r="DB28" s="426">
        <f>(CZ28+CX28)/DC27</f>
        <v>0</v>
      </c>
      <c r="DC28" s="370">
        <f>CX26+SUM(CW26:CW28)</f>
        <v>97913.333333333328</v>
      </c>
      <c r="DD28" s="369">
        <f>SUMIFS(Collection!$O:$O, Collection!$K:$K, DD$2, Collection!$A:$A, "="&amp;$A28)</f>
        <v>0</v>
      </c>
      <c r="DE28" s="116">
        <f>(SUMIFS('Bucket Counts'!$P:$P, 'Bucket Counts'!$B:$B, DE$2, 'Bucket Counts'!$A:$A, "="&amp;$A28,  'Bucket Counts'!$F:$F, "&lt;&gt;100 Morts",  'Bucket Counts'!$F:$F, "&lt;&gt;224"))</f>
        <v>0</v>
      </c>
      <c r="DF28" s="116">
        <f>(SUMIFS('Bucket Counts'!$P:$P, 'Bucket Counts'!$B:$B, DF$2, 'Bucket Counts'!$A:$A, "="&amp;$A28,  'Bucket Counts'!$F:$F, "100 Morts"))</f>
        <v>0</v>
      </c>
      <c r="DG28" s="116">
        <f>(SUMIFS('Bucket Counts'!$P:$P, 'Bucket Counts'!$B:$B, DG$2, 'Bucket Counts'!$A:$A, "="&amp;$A28,  'Bucket Counts'!$F:$F, "224"))</f>
        <v>0</v>
      </c>
      <c r="DH28" s="116"/>
      <c r="DI28" s="426">
        <f>(DG28+DE28)/DJ27</f>
        <v>0</v>
      </c>
      <c r="DJ28" s="370">
        <f>DE26+SUM(DD26:DD28)</f>
        <v>55050</v>
      </c>
      <c r="DK28" s="369">
        <f>SUMIFS(Collection!$O:$O, Collection!$K:$K, DK$2, Collection!$A:$A, "="&amp;$A28)</f>
        <v>0</v>
      </c>
      <c r="DL28" s="116">
        <f>(SUMIFS('Bucket Counts'!$P:$P, 'Bucket Counts'!$B:$B, DL$2, 'Bucket Counts'!$A:$A, "="&amp;$A28,  'Bucket Counts'!$F:$F, "&lt;&gt;100 Morts",  'Bucket Counts'!$F:$F, "&lt;&gt;224"))</f>
        <v>0</v>
      </c>
      <c r="DM28" s="116">
        <f>(SUMIFS('Bucket Counts'!$P:$P, 'Bucket Counts'!$B:$B, DM$2, 'Bucket Counts'!$A:$A, "="&amp;$A28,  'Bucket Counts'!$F:$F, "100 Morts"))</f>
        <v>0</v>
      </c>
      <c r="DN28" s="116">
        <f>(SUMIFS('Bucket Counts'!$P:$P, 'Bucket Counts'!$B:$B, DN$2, 'Bucket Counts'!$A:$A, "="&amp;$A28,  'Bucket Counts'!$F:$F, "224"))</f>
        <v>0</v>
      </c>
      <c r="DO28" s="116"/>
      <c r="DP28" s="426" t="e">
        <f>(DN28+DL28)/DQ27</f>
        <v>#DIV/0!</v>
      </c>
      <c r="DQ28" s="370">
        <f>DL26+SUM(DK26:DK28)</f>
        <v>0</v>
      </c>
      <c r="DR28" s="369">
        <f>SUMIFS(Collection!$O:$O, Collection!$K:$K, DR$2, Collection!$A:$A, "="&amp;$A28)</f>
        <v>0</v>
      </c>
      <c r="DS28" s="116">
        <f>(SUMIFS('Bucket Counts'!$P:$P, 'Bucket Counts'!$B:$B, DS$2, 'Bucket Counts'!$A:$A, "="&amp;$A28,  'Bucket Counts'!$F:$F, "&lt;&gt;100 Morts",  'Bucket Counts'!$F:$F, "&lt;&gt;224"))</f>
        <v>0</v>
      </c>
      <c r="DT28" s="116">
        <f>(SUMIFS('Bucket Counts'!$P:$P, 'Bucket Counts'!$B:$B, DT$2, 'Bucket Counts'!$A:$A, "="&amp;$A28,  'Bucket Counts'!$F:$F, "100 Morts"))</f>
        <v>0</v>
      </c>
      <c r="DU28" s="116">
        <f>(SUMIFS('Bucket Counts'!$P:$P, 'Bucket Counts'!$B:$B, DU$2, 'Bucket Counts'!$A:$A, "="&amp;$A28,  'Bucket Counts'!$F:$F, "224"))</f>
        <v>0</v>
      </c>
      <c r="DV28" s="116"/>
      <c r="DW28" s="426" t="e">
        <f>(DU28+DS28)/DX27</f>
        <v>#DIV/0!</v>
      </c>
      <c r="DX28" s="370">
        <f>DS26+SUM(DR26:DR28)</f>
        <v>0</v>
      </c>
      <c r="DY28" s="369">
        <f>SUMIFS(Collection!$O:$O, Collection!$K:$K, DY$2, Collection!$A:$A, "="&amp;$A28)</f>
        <v>0</v>
      </c>
      <c r="DZ28" s="116">
        <f>(SUMIFS('Bucket Counts'!$P:$P, 'Bucket Counts'!$B:$B, DZ$2, 'Bucket Counts'!$A:$A, "="&amp;$A28,  'Bucket Counts'!$F:$F, "&lt;&gt;100 Morts",  'Bucket Counts'!$F:$F, "&lt;&gt;224"))</f>
        <v>0</v>
      </c>
      <c r="EA28" s="116">
        <f>(SUMIFS('Bucket Counts'!$P:$P, 'Bucket Counts'!$B:$B, EA$2, 'Bucket Counts'!$A:$A, "="&amp;$A28,  'Bucket Counts'!$F:$F, "100 Morts"))</f>
        <v>0</v>
      </c>
      <c r="EB28" s="116">
        <f>(SUMIFS('Bucket Counts'!$P:$P, 'Bucket Counts'!$B:$B, EB$2, 'Bucket Counts'!$A:$A, "="&amp;$A28,  'Bucket Counts'!$F:$F, "224"))</f>
        <v>0</v>
      </c>
      <c r="EC28" s="116"/>
      <c r="ED28" s="426" t="e">
        <f>(EB28+DZ28)/EE27</f>
        <v>#DIV/0!</v>
      </c>
      <c r="EE28" s="370">
        <f>DZ26+SUM(DY26:DY28)</f>
        <v>0</v>
      </c>
      <c r="EF28" s="369">
        <f>SUMIFS(Collection!$O:$O, Collection!$K:$K, EF$2, Collection!$A:$A, "="&amp;$A28)</f>
        <v>0</v>
      </c>
      <c r="EG28" s="116">
        <f>(SUMIFS('Bucket Counts'!$P:$P, 'Bucket Counts'!$B:$B, EG$2, 'Bucket Counts'!$A:$A, "="&amp;$A28,  'Bucket Counts'!$F:$F, "&lt;&gt;100 Morts",  'Bucket Counts'!$F:$F, "&lt;&gt;224"))</f>
        <v>0</v>
      </c>
      <c r="EH28" s="116">
        <f>(SUMIFS('Bucket Counts'!$P:$P, 'Bucket Counts'!$B:$B, EH$2, 'Bucket Counts'!$A:$A, "="&amp;$A28,  'Bucket Counts'!$F:$F, "100 Morts"))</f>
        <v>0</v>
      </c>
      <c r="EI28" s="116">
        <f>(SUMIFS('Bucket Counts'!$P:$P, 'Bucket Counts'!$B:$B, EI$2, 'Bucket Counts'!$A:$A, "="&amp;$A28,  'Bucket Counts'!$F:$F, "224"))</f>
        <v>0</v>
      </c>
      <c r="EJ28" s="116"/>
      <c r="EK28" s="426" t="e">
        <f>(EI28+EG28)/EL27</f>
        <v>#DIV/0!</v>
      </c>
      <c r="EL28" s="370">
        <f>EG26+SUM(EF26:EF28)</f>
        <v>0</v>
      </c>
    </row>
    <row r="29" spans="1:142" s="434" customFormat="1" x14ac:dyDescent="0.2">
      <c r="A29" s="428">
        <f t="shared" si="0"/>
        <v>42898</v>
      </c>
      <c r="B29" s="428" t="s">
        <v>486</v>
      </c>
      <c r="C29" s="429">
        <f>SUMIFS(Collection!$O:$O, Collection!$K:$K, C$2, Collection!$A:$A, "="&amp;$A29)</f>
        <v>0</v>
      </c>
      <c r="D29" s="430">
        <f>(SUMIFS('Bucket Counts'!$P:$P, 'Bucket Counts'!$B:$B, D$2, 'Bucket Counts'!$A:$A, "="&amp;$A29,  'Bucket Counts'!$F:$F, "&lt;&gt;100 Morts",  'Bucket Counts'!$F:$F, "&lt;&gt;224"))</f>
        <v>82533.333333333328</v>
      </c>
      <c r="E29" s="430">
        <f>(SUMIFS('Bucket Counts'!$P:$P, 'Bucket Counts'!$B:$B, E$2, 'Bucket Counts'!$A:$A, "="&amp;$A29,  'Bucket Counts'!$F:$F, "100 Morts"))</f>
        <v>650</v>
      </c>
      <c r="F29" s="430">
        <f>(SUMIFS('Bucket Counts'!$P:$P, 'Bucket Counts'!$B:$B, F$2, 'Bucket Counts'!$A:$A, "="&amp;$A29,  'Bucket Counts'!$F:$F, "224"))</f>
        <v>600</v>
      </c>
      <c r="G29" s="430">
        <f>I28</f>
        <v>87146.666666666672</v>
      </c>
      <c r="H29" s="431">
        <f>SUM(D29+F29)</f>
        <v>83133.333333333328</v>
      </c>
      <c r="I29" s="432">
        <f>D29+C29</f>
        <v>82533.333333333328</v>
      </c>
      <c r="J29" s="429">
        <f>SUMIFS(Collection!$O:$O, Collection!$K:$K, J$2, Collection!$A:$A, "="&amp;$A29)</f>
        <v>0</v>
      </c>
      <c r="K29" s="430">
        <f>(SUMIFS('Bucket Counts'!$P:$P, 'Bucket Counts'!$B:$B, K$2, 'Bucket Counts'!$A:$A, "="&amp;$A29,  'Bucket Counts'!$F:$F, "&lt;&gt;100 Morts",  'Bucket Counts'!$F:$F, "&lt;&gt;224"))</f>
        <v>47113.333333333336</v>
      </c>
      <c r="L29" s="430">
        <f>(SUMIFS('Bucket Counts'!$P:$P, 'Bucket Counts'!$B:$B, L$2, 'Bucket Counts'!$A:$A, "="&amp;$A29,  'Bucket Counts'!$F:$F, "100 Morts"))</f>
        <v>233.33333333333331</v>
      </c>
      <c r="M29" s="430">
        <f>(SUMIFS('Bucket Counts'!$P:$P, 'Bucket Counts'!$B:$B, M$2, 'Bucket Counts'!$A:$A, "="&amp;$A29,  'Bucket Counts'!$F:$F, "224"))</f>
        <v>300</v>
      </c>
      <c r="N29" s="430">
        <f>P28</f>
        <v>58426.666666666672</v>
      </c>
      <c r="O29" s="431">
        <f>SUM(K29+M29)</f>
        <v>47413.333333333336</v>
      </c>
      <c r="P29" s="432">
        <f>K29+J29</f>
        <v>47113.333333333336</v>
      </c>
      <c r="Q29" s="429">
        <f>SUMIFS(Collection!$O:$O, Collection!$K:$K, Q$2, Collection!$A:$A, "="&amp;$A29)</f>
        <v>0</v>
      </c>
      <c r="R29" s="430">
        <f>(SUMIFS('Bucket Counts'!$P:$P, 'Bucket Counts'!$B:$B, R$2, 'Bucket Counts'!$A:$A, "="&amp;$A29,  'Bucket Counts'!$F:$F, "&lt;&gt;100 Morts",  'Bucket Counts'!$F:$F, "&lt;&gt;224"))</f>
        <v>43713.333333333336</v>
      </c>
      <c r="S29" s="430">
        <f>(SUMIFS('Bucket Counts'!$P:$P, 'Bucket Counts'!$B:$B, S$2, 'Bucket Counts'!$A:$A, "="&amp;$A29,  'Bucket Counts'!$F:$F, "100 Morts"))</f>
        <v>380</v>
      </c>
      <c r="T29" s="430">
        <f>(SUMIFS('Bucket Counts'!$P:$P, 'Bucket Counts'!$B:$B, T$2, 'Bucket Counts'!$A:$A, "="&amp;$A29,  'Bucket Counts'!$F:$F, "224"))</f>
        <v>2010</v>
      </c>
      <c r="U29" s="430">
        <f>W28</f>
        <v>49513.333333333328</v>
      </c>
      <c r="V29" s="431">
        <f>SUM(R29+T29)</f>
        <v>45723.333333333336</v>
      </c>
      <c r="W29" s="432">
        <f>R29+Q29</f>
        <v>43713.333333333336</v>
      </c>
      <c r="X29" s="429">
        <f>SUMIFS(Collection!$O:$O, Collection!$K:$K, X$2, Collection!$A:$A, "="&amp;$A29)</f>
        <v>9400</v>
      </c>
      <c r="Y29" s="430">
        <f>(SUMIFS('Bucket Counts'!$P:$P, 'Bucket Counts'!$B:$B, Y$2, 'Bucket Counts'!$A:$A, "="&amp;$A29,  'Bucket Counts'!$F:$F, "&lt;&gt;100 Morts",  'Bucket Counts'!$F:$F, "&lt;&gt;224"))</f>
        <v>69677.777777777781</v>
      </c>
      <c r="Z29" s="430">
        <f>(SUMIFS('Bucket Counts'!$P:$P, 'Bucket Counts'!$B:$B, Z$2, 'Bucket Counts'!$A:$A, "="&amp;$A29,  'Bucket Counts'!$F:$F, "100 Morts"))</f>
        <v>183.33333333333331</v>
      </c>
      <c r="AA29" s="430">
        <f>(SUMIFS('Bucket Counts'!$P:$P, 'Bucket Counts'!$B:$B, AA$2, 'Bucket Counts'!$A:$A, "="&amp;$A29,  'Bucket Counts'!$F:$F, "224"))</f>
        <v>150</v>
      </c>
      <c r="AB29" s="430">
        <f>AD28</f>
        <v>100483.33333333334</v>
      </c>
      <c r="AC29" s="431">
        <f>SUM(Y29+AA29)</f>
        <v>69827.777777777781</v>
      </c>
      <c r="AD29" s="432">
        <f>Y29+X29</f>
        <v>79077.777777777781</v>
      </c>
      <c r="AE29" s="429">
        <f>SUMIFS(Collection!$O:$O, Collection!$K:$K, AE$2, Collection!$A:$A, "="&amp;$A29)</f>
        <v>0</v>
      </c>
      <c r="AF29" s="430">
        <f>(SUMIFS('Bucket Counts'!$P:$P, 'Bucket Counts'!$B:$B, AF$2, 'Bucket Counts'!$A:$A, "="&amp;$A29,  'Bucket Counts'!$F:$F, "&lt;&gt;100 Morts",  'Bucket Counts'!$F:$F, "&lt;&gt;224"))</f>
        <v>107933.33333333333</v>
      </c>
      <c r="AG29" s="430">
        <f>(SUMIFS('Bucket Counts'!$P:$P, 'Bucket Counts'!$B:$B, AG$2, 'Bucket Counts'!$A:$A, "="&amp;$A29,  'Bucket Counts'!$F:$F, "100 Morts"))</f>
        <v>3000</v>
      </c>
      <c r="AH29" s="430">
        <f>(SUMIFS('Bucket Counts'!$P:$P, 'Bucket Counts'!$B:$B, AH$2, 'Bucket Counts'!$A:$A, "="&amp;$A29,  'Bucket Counts'!$F:$F, "224"))</f>
        <v>991.66666666666674</v>
      </c>
      <c r="AI29" s="430">
        <f>AK28</f>
        <v>146166.66666666669</v>
      </c>
      <c r="AJ29" s="431">
        <f>SUM(AF29+AH29)</f>
        <v>108925</v>
      </c>
      <c r="AK29" s="432">
        <f>AF29+AE29</f>
        <v>107933.33333333333</v>
      </c>
      <c r="AL29" s="429">
        <f>SUMIFS(Collection!$O:$O, Collection!$K:$K, AL$2, Collection!$A:$A, "="&amp;$A29)</f>
        <v>0</v>
      </c>
      <c r="AM29" s="430">
        <f>(SUMIFS('Bucket Counts'!$P:$P, 'Bucket Counts'!$B:$B, AM$2, 'Bucket Counts'!$A:$A, "="&amp;$A29,  'Bucket Counts'!$F:$F, "&lt;&gt;100 Morts",  'Bucket Counts'!$F:$F, "&lt;&gt;224"))</f>
        <v>35893.333333333336</v>
      </c>
      <c r="AN29" s="430">
        <f>(SUMIFS('Bucket Counts'!$P:$P, 'Bucket Counts'!$B:$B, AN$2, 'Bucket Counts'!$A:$A, "="&amp;$A29,  'Bucket Counts'!$F:$F, "100 Morts"))</f>
        <v>333.33333333333331</v>
      </c>
      <c r="AO29" s="430">
        <f>(SUMIFS('Bucket Counts'!$P:$P, 'Bucket Counts'!$B:$B, AO$2, 'Bucket Counts'!$A:$A, "="&amp;$A29,  'Bucket Counts'!$F:$F, "224"))</f>
        <v>3750.0000000000005</v>
      </c>
      <c r="AP29" s="430">
        <f>AR28</f>
        <v>48000</v>
      </c>
      <c r="AQ29" s="431">
        <f>SUM(AM29+AO29)</f>
        <v>39643.333333333336</v>
      </c>
      <c r="AR29" s="432">
        <f>AM29+AL29</f>
        <v>35893.333333333336</v>
      </c>
      <c r="AS29" s="429">
        <f>SUMIFS(Collection!$O:$O, Collection!$K:$K, AS$2, Collection!$A:$A, "="&amp;$A29)</f>
        <v>0</v>
      </c>
      <c r="AT29" s="430">
        <f>(SUMIFS('Bucket Counts'!$P:$P, 'Bucket Counts'!$B:$B, AT$2, 'Bucket Counts'!$A:$A, "="&amp;$A29,  'Bucket Counts'!$F:$F, "&lt;&gt;100 Morts",  'Bucket Counts'!$F:$F, "&lt;&gt;224"))</f>
        <v>37500</v>
      </c>
      <c r="AU29" s="430">
        <f>(SUMIFS('Bucket Counts'!$P:$P, 'Bucket Counts'!$B:$B, AU$2, 'Bucket Counts'!$A:$A, "="&amp;$A29,  'Bucket Counts'!$F:$F, "100 Morts"))</f>
        <v>650</v>
      </c>
      <c r="AV29" s="430">
        <f>(SUMIFS('Bucket Counts'!$P:$P, 'Bucket Counts'!$B:$B, AV$2, 'Bucket Counts'!$A:$A, "="&amp;$A29,  'Bucket Counts'!$F:$F, "224"))</f>
        <v>0</v>
      </c>
      <c r="AW29" s="430">
        <f>AY28</f>
        <v>32666.666666666668</v>
      </c>
      <c r="AX29" s="431">
        <f>SUM(AT29+AV29)</f>
        <v>37500</v>
      </c>
      <c r="AY29" s="432">
        <f>AT29+AS29</f>
        <v>37500</v>
      </c>
      <c r="AZ29" s="429">
        <f>SUMIFS(Collection!$O:$O, Collection!$K:$K, AZ$2, Collection!$A:$A, "="&amp;$A29)</f>
        <v>1400</v>
      </c>
      <c r="BA29" s="430">
        <f>(SUMIFS('Bucket Counts'!$P:$P, 'Bucket Counts'!$B:$B, BA$2, 'Bucket Counts'!$A:$A, "="&amp;$A29,  'Bucket Counts'!$F:$F, "&lt;&gt;100 Morts",  'Bucket Counts'!$F:$F, "&lt;&gt;224"))</f>
        <v>53446.666666666664</v>
      </c>
      <c r="BB29" s="430">
        <f>(SUMIFS('Bucket Counts'!$P:$P, 'Bucket Counts'!$B:$B, BB$2, 'Bucket Counts'!$A:$A, "="&amp;$A29,  'Bucket Counts'!$F:$F, "100 Morts"))</f>
        <v>900</v>
      </c>
      <c r="BC29" s="430">
        <f>(SUMIFS('Bucket Counts'!$P:$P, 'Bucket Counts'!$B:$B, BC$2, 'Bucket Counts'!$A:$A, "="&amp;$A29,  'Bucket Counts'!$F:$F, "224"))</f>
        <v>260</v>
      </c>
      <c r="BD29" s="430">
        <f>BF28</f>
        <v>42216.666666666672</v>
      </c>
      <c r="BE29" s="431">
        <f>SUM(BA29+BC29)</f>
        <v>53706.666666666664</v>
      </c>
      <c r="BF29" s="432">
        <f>BA29+AZ29</f>
        <v>54846.666666666664</v>
      </c>
      <c r="BG29" s="429">
        <f>SUMIFS(Collection!$O:$O, Collection!$K:$K, BG$2, Collection!$A:$A, "="&amp;$A29)</f>
        <v>0</v>
      </c>
      <c r="BH29" s="430">
        <f>(SUMIFS('Bucket Counts'!$P:$P, 'Bucket Counts'!$B:$B, BH$2, 'Bucket Counts'!$A:$A, "="&amp;$A29,  'Bucket Counts'!$F:$F, "&lt;&gt;100 Morts",  'Bucket Counts'!$F:$F, "&lt;&gt;224"))</f>
        <v>72736.666666666657</v>
      </c>
      <c r="BI29" s="430">
        <f>(SUMIFS('Bucket Counts'!$P:$P, 'Bucket Counts'!$B:$B, BI$2, 'Bucket Counts'!$A:$A, "="&amp;$A29,  'Bucket Counts'!$F:$F, "100 Morts"))</f>
        <v>2916.666666666667</v>
      </c>
      <c r="BJ29" s="430">
        <f>(SUMIFS('Bucket Counts'!$P:$P, 'Bucket Counts'!$B:$B, BJ$2, 'Bucket Counts'!$A:$A, "="&amp;$A29,  'Bucket Counts'!$F:$F, "224"))</f>
        <v>1650</v>
      </c>
      <c r="BK29" s="430">
        <f>BM28</f>
        <v>93466.666666666672</v>
      </c>
      <c r="BL29" s="431">
        <f>SUM(BH29+BJ29)</f>
        <v>74386.666666666657</v>
      </c>
      <c r="BM29" s="432">
        <f>BH29+BG29</f>
        <v>72736.666666666657</v>
      </c>
      <c r="BN29" s="429">
        <f>SUMIFS(Collection!$O:$O, Collection!$K:$K, BN$2, Collection!$A:$A, "="&amp;$A29)</f>
        <v>53333.333333333336</v>
      </c>
      <c r="BO29" s="430">
        <f>(SUMIFS('Bucket Counts'!$P:$P, 'Bucket Counts'!$B:$B, BO$2, 'Bucket Counts'!$A:$A, "="&amp;$A29,  'Bucket Counts'!$F:$F, "&lt;&gt;100 Morts",  'Bucket Counts'!$F:$F, "&lt;&gt;224"))</f>
        <v>82666.666666666672</v>
      </c>
      <c r="BP29" s="430">
        <f>(SUMIFS('Bucket Counts'!$P:$P, 'Bucket Counts'!$B:$B, BP$2, 'Bucket Counts'!$A:$A, "="&amp;$A29,  'Bucket Counts'!$F:$F, "100 Morts"))</f>
        <v>375</v>
      </c>
      <c r="BQ29" s="430">
        <f>(SUMIFS('Bucket Counts'!$P:$P, 'Bucket Counts'!$B:$B, BQ$2, 'Bucket Counts'!$A:$A, "="&amp;$A29,  'Bucket Counts'!$F:$F, "224"))</f>
        <v>3410</v>
      </c>
      <c r="BR29" s="430">
        <f>BT28</f>
        <v>110446.66666666666</v>
      </c>
      <c r="BS29" s="431">
        <f>SUM(BO29+BQ29)</f>
        <v>86076.666666666672</v>
      </c>
      <c r="BT29" s="432">
        <f>BO29+BN29</f>
        <v>136000</v>
      </c>
      <c r="BU29" s="429">
        <f>SUMIFS(Collection!$O:$O, Collection!$K:$K, BU$2, Collection!$A:$A, "="&amp;$A29)</f>
        <v>65666.666666666672</v>
      </c>
      <c r="BV29" s="430">
        <f>(SUMIFS('Bucket Counts'!$P:$P, 'Bucket Counts'!$B:$B, BV$2, 'Bucket Counts'!$A:$A, "="&amp;$A29,  'Bucket Counts'!$F:$F, "&lt;&gt;100 Morts",  'Bucket Counts'!$F:$F, "&lt;&gt;224"))</f>
        <v>0</v>
      </c>
      <c r="BW29" s="430">
        <f>(SUMIFS('Bucket Counts'!$P:$P, 'Bucket Counts'!$B:$B, BW$2, 'Bucket Counts'!$A:$A, "="&amp;$A29,  'Bucket Counts'!$F:$F, "100 Morts"))</f>
        <v>0</v>
      </c>
      <c r="BX29" s="430">
        <f>(SUMIFS('Bucket Counts'!$P:$P, 'Bucket Counts'!$B:$B, BX$2, 'Bucket Counts'!$A:$A, "="&amp;$A29,  'Bucket Counts'!$F:$F, "224"))</f>
        <v>0</v>
      </c>
      <c r="BY29" s="430">
        <f>CA28</f>
        <v>0</v>
      </c>
      <c r="BZ29" s="431">
        <f>SUM(BV29+BX29)</f>
        <v>0</v>
      </c>
      <c r="CA29" s="432">
        <f>BV29+BU29</f>
        <v>65666.666666666672</v>
      </c>
      <c r="CB29" s="429">
        <f>SUMIFS(Collection!$O:$O, Collection!$K:$K, CB$2, Collection!$A:$A, "="&amp;$A29)</f>
        <v>0</v>
      </c>
      <c r="CC29" s="430">
        <f>(SUMIFS('Bucket Counts'!$P:$P, 'Bucket Counts'!$B:$B, CC$2, 'Bucket Counts'!$A:$A, "="&amp;$A29,  'Bucket Counts'!$F:$F, "&lt;&gt;100 Morts",  'Bucket Counts'!$F:$F, "&lt;&gt;224"))</f>
        <v>70766.666666666657</v>
      </c>
      <c r="CD29" s="430">
        <f>(SUMIFS('Bucket Counts'!$P:$P, 'Bucket Counts'!$B:$B, CD$2, 'Bucket Counts'!$A:$A, "="&amp;$A29,  'Bucket Counts'!$F:$F, "100 Morts"))</f>
        <v>370</v>
      </c>
      <c r="CE29" s="430">
        <f>(SUMIFS('Bucket Counts'!$P:$P, 'Bucket Counts'!$B:$B, CE$2, 'Bucket Counts'!$A:$A, "="&amp;$A29,  'Bucket Counts'!$F:$F, "224"))</f>
        <v>0</v>
      </c>
      <c r="CF29" s="430">
        <f>CH28</f>
        <v>64533.333333333336</v>
      </c>
      <c r="CG29" s="431">
        <f>SUM(CC29+CE29)</f>
        <v>70766.666666666657</v>
      </c>
      <c r="CH29" s="432">
        <f>CC29+CB29</f>
        <v>70766.666666666657</v>
      </c>
      <c r="CI29" s="429">
        <f>SUMIFS(Collection!$O:$O, Collection!$K:$K, CI$2, Collection!$A:$A, "="&amp;$A29)</f>
        <v>0</v>
      </c>
      <c r="CJ29" s="430">
        <f>(SUMIFS('Bucket Counts'!$P:$P, 'Bucket Counts'!$B:$B, CJ$2, 'Bucket Counts'!$A:$A, "="&amp;$A29,  'Bucket Counts'!$F:$F, "&lt;&gt;100 Morts",  'Bucket Counts'!$F:$F, "&lt;&gt;224"))</f>
        <v>62773.333333333328</v>
      </c>
      <c r="CK29" s="430">
        <f>(SUMIFS('Bucket Counts'!$P:$P, 'Bucket Counts'!$B:$B, CK$2, 'Bucket Counts'!$A:$A, "="&amp;$A29,  'Bucket Counts'!$F:$F, "100 Morts"))</f>
        <v>816.66666666666674</v>
      </c>
      <c r="CL29" s="430">
        <f>(SUMIFS('Bucket Counts'!$P:$P, 'Bucket Counts'!$B:$B, CL$2, 'Bucket Counts'!$A:$A, "="&amp;$A29,  'Bucket Counts'!$F:$F, "224"))</f>
        <v>3616.666666666667</v>
      </c>
      <c r="CM29" s="430">
        <f>CO28</f>
        <v>83333.333333333328</v>
      </c>
      <c r="CN29" s="431">
        <f>SUM(CJ29+CL29)</f>
        <v>66390</v>
      </c>
      <c r="CO29" s="432">
        <f>CJ29+CI29</f>
        <v>62773.333333333328</v>
      </c>
      <c r="CP29" s="429">
        <f>SUMIFS(Collection!$O:$O, Collection!$K:$K, CP$2, Collection!$A:$A, "="&amp;$A29)</f>
        <v>0</v>
      </c>
      <c r="CQ29" s="430">
        <f>(SUMIFS('Bucket Counts'!$P:$P, 'Bucket Counts'!$B:$B, CQ$2, 'Bucket Counts'!$A:$A, "="&amp;$A29,  'Bucket Counts'!$F:$F, "&lt;&gt;100 Morts",  'Bucket Counts'!$F:$F, "&lt;&gt;224"))</f>
        <v>23886.666666666668</v>
      </c>
      <c r="CR29" s="430">
        <f>(SUMIFS('Bucket Counts'!$P:$P, 'Bucket Counts'!$B:$B, CR$2, 'Bucket Counts'!$A:$A, "="&amp;$A29,  'Bucket Counts'!$F:$F, "100 Morts"))</f>
        <v>266.66666666666663</v>
      </c>
      <c r="CS29" s="430">
        <f>(SUMIFS('Bucket Counts'!$P:$P, 'Bucket Counts'!$B:$B, CS$2, 'Bucket Counts'!$A:$A, "="&amp;$A29,  'Bucket Counts'!$F:$F, "224"))</f>
        <v>0</v>
      </c>
      <c r="CT29" s="430">
        <f>CV28</f>
        <v>56746.666666666664</v>
      </c>
      <c r="CU29" s="431">
        <f>SUM(CQ29+CS29)</f>
        <v>23886.666666666668</v>
      </c>
      <c r="CV29" s="432">
        <f>CQ29+CP29</f>
        <v>23886.666666666668</v>
      </c>
      <c r="CW29" s="429">
        <f>SUMIFS(Collection!$O:$O, Collection!$K:$K, CW$2, Collection!$A:$A, "="&amp;$A29)</f>
        <v>4200</v>
      </c>
      <c r="CX29" s="430">
        <f>(SUMIFS('Bucket Counts'!$P:$P, 'Bucket Counts'!$B:$B, CX$2, 'Bucket Counts'!$A:$A, "="&amp;$A29,  'Bucket Counts'!$F:$F, "&lt;&gt;100 Morts",  'Bucket Counts'!$F:$F, "&lt;&gt;224"))</f>
        <v>90280</v>
      </c>
      <c r="CY29" s="430">
        <f>(SUMIFS('Bucket Counts'!$P:$P, 'Bucket Counts'!$B:$B, CY$2, 'Bucket Counts'!$A:$A, "="&amp;$A29,  'Bucket Counts'!$F:$F, "100 Morts"))</f>
        <v>500</v>
      </c>
      <c r="CZ29" s="430">
        <f>(SUMIFS('Bucket Counts'!$P:$P, 'Bucket Counts'!$B:$B, CZ$2, 'Bucket Counts'!$A:$A, "="&amp;$A29,  'Bucket Counts'!$F:$F, "224"))</f>
        <v>2133.333333333333</v>
      </c>
      <c r="DA29" s="430">
        <f>DC28</f>
        <v>97913.333333333328</v>
      </c>
      <c r="DB29" s="431">
        <f>SUM(CX29+CZ29)</f>
        <v>92413.333333333328</v>
      </c>
      <c r="DC29" s="432">
        <f>CX29+CW29</f>
        <v>94480</v>
      </c>
      <c r="DD29" s="429">
        <f>SUMIFS(Collection!$O:$O, Collection!$K:$K, DD$2, Collection!$A:$A, "="&amp;$A29)</f>
        <v>0</v>
      </c>
      <c r="DE29" s="430">
        <f>(SUMIFS('Bucket Counts'!$P:$P, 'Bucket Counts'!$B:$B, DE$2, 'Bucket Counts'!$A:$A, "="&amp;$A29,  'Bucket Counts'!$F:$F, "&lt;&gt;100 Morts",  'Bucket Counts'!$F:$F, "&lt;&gt;224"))</f>
        <v>47066.666666666664</v>
      </c>
      <c r="DF29" s="430">
        <f>(SUMIFS('Bucket Counts'!$P:$P, 'Bucket Counts'!$B:$B, DF$2, 'Bucket Counts'!$A:$A, "="&amp;$A29,  'Bucket Counts'!$F:$F, "100 Morts"))</f>
        <v>1613.3333333333333</v>
      </c>
      <c r="DG29" s="430">
        <f>(SUMIFS('Bucket Counts'!$P:$P, 'Bucket Counts'!$B:$B, DG$2, 'Bucket Counts'!$A:$A, "="&amp;$A29,  'Bucket Counts'!$F:$F, "224"))</f>
        <v>812.5</v>
      </c>
      <c r="DH29" s="430">
        <f>DJ28</f>
        <v>55050</v>
      </c>
      <c r="DI29" s="431">
        <f>SUM(DE29+DG29)</f>
        <v>47879.166666666664</v>
      </c>
      <c r="DJ29" s="432">
        <f>DE29+DD29</f>
        <v>47066.666666666664</v>
      </c>
      <c r="DK29" s="429">
        <f>SUMIFS(Collection!$O:$O, Collection!$K:$K, DK$2, Collection!$A:$A, "="&amp;$A29)</f>
        <v>0</v>
      </c>
      <c r="DL29" s="430">
        <f>(SUMIFS('Bucket Counts'!$P:$P, 'Bucket Counts'!$B:$B, DL$2, 'Bucket Counts'!$A:$A, "="&amp;$A29,  'Bucket Counts'!$F:$F, "&lt;&gt;100 Morts",  'Bucket Counts'!$F:$F, "&lt;&gt;224"))</f>
        <v>0</v>
      </c>
      <c r="DM29" s="430">
        <f>(SUMIFS('Bucket Counts'!$P:$P, 'Bucket Counts'!$B:$B, DM$2, 'Bucket Counts'!$A:$A, "="&amp;$A29,  'Bucket Counts'!$F:$F, "100 Morts"))</f>
        <v>0</v>
      </c>
      <c r="DN29" s="430">
        <f>(SUMIFS('Bucket Counts'!$P:$P, 'Bucket Counts'!$B:$B, DN$2, 'Bucket Counts'!$A:$A, "="&amp;$A29,  'Bucket Counts'!$F:$F, "224"))</f>
        <v>0</v>
      </c>
      <c r="DO29" s="430">
        <f>DQ28</f>
        <v>0</v>
      </c>
      <c r="DP29" s="431">
        <f>SUM(DL29+DN29)</f>
        <v>0</v>
      </c>
      <c r="DQ29" s="432">
        <f>DL29+DK29</f>
        <v>0</v>
      </c>
      <c r="DR29" s="429">
        <f>SUMIFS(Collection!$O:$O, Collection!$K:$K, DR$2, Collection!$A:$A, "="&amp;$A29)</f>
        <v>0</v>
      </c>
      <c r="DS29" s="430">
        <f>(SUMIFS('Bucket Counts'!$P:$P, 'Bucket Counts'!$B:$B, DS$2, 'Bucket Counts'!$A:$A, "="&amp;$A29,  'Bucket Counts'!$F:$F, "&lt;&gt;100 Morts",  'Bucket Counts'!$F:$F, "&lt;&gt;224"))</f>
        <v>0</v>
      </c>
      <c r="DT29" s="430">
        <f>(SUMIFS('Bucket Counts'!$P:$P, 'Bucket Counts'!$B:$B, DT$2, 'Bucket Counts'!$A:$A, "="&amp;$A29,  'Bucket Counts'!$F:$F, "100 Morts"))</f>
        <v>0</v>
      </c>
      <c r="DU29" s="430">
        <f>(SUMIFS('Bucket Counts'!$P:$P, 'Bucket Counts'!$B:$B, DU$2, 'Bucket Counts'!$A:$A, "="&amp;$A29,  'Bucket Counts'!$F:$F, "224"))</f>
        <v>0</v>
      </c>
      <c r="DV29" s="430">
        <f>DX28</f>
        <v>0</v>
      </c>
      <c r="DW29" s="431">
        <f>SUM(DS29+DU29)</f>
        <v>0</v>
      </c>
      <c r="DX29" s="432">
        <f>DS29+DR29</f>
        <v>0</v>
      </c>
      <c r="DY29" s="429">
        <f>SUMIFS(Collection!$O:$O, Collection!$K:$K, DY$2, Collection!$A:$A, "="&amp;$A29)</f>
        <v>0</v>
      </c>
      <c r="DZ29" s="430">
        <f>(SUMIFS('Bucket Counts'!$P:$P, 'Bucket Counts'!$B:$B, DZ$2, 'Bucket Counts'!$A:$A, "="&amp;$A29,  'Bucket Counts'!$F:$F, "&lt;&gt;100 Morts",  'Bucket Counts'!$F:$F, "&lt;&gt;224"))</f>
        <v>0</v>
      </c>
      <c r="EA29" s="430">
        <f>(SUMIFS('Bucket Counts'!$P:$P, 'Bucket Counts'!$B:$B, EA$2, 'Bucket Counts'!$A:$A, "="&amp;$A29,  'Bucket Counts'!$F:$F, "100 Morts"))</f>
        <v>0</v>
      </c>
      <c r="EB29" s="430">
        <f>(SUMIFS('Bucket Counts'!$P:$P, 'Bucket Counts'!$B:$B, EB$2, 'Bucket Counts'!$A:$A, "="&amp;$A29,  'Bucket Counts'!$F:$F, "224"))</f>
        <v>0</v>
      </c>
      <c r="EC29" s="430">
        <f>EE28</f>
        <v>0</v>
      </c>
      <c r="ED29" s="431">
        <f>SUM(DZ29+EB29)</f>
        <v>0</v>
      </c>
      <c r="EE29" s="432">
        <f>DZ29+DY29</f>
        <v>0</v>
      </c>
      <c r="EF29" s="429">
        <f>SUMIFS(Collection!$O:$O, Collection!$K:$K, EF$2, Collection!$A:$A, "="&amp;$A29)</f>
        <v>0</v>
      </c>
      <c r="EG29" s="430">
        <f>(SUMIFS('Bucket Counts'!$P:$P, 'Bucket Counts'!$B:$B, EG$2, 'Bucket Counts'!$A:$A, "="&amp;$A29,  'Bucket Counts'!$F:$F, "&lt;&gt;100 Morts",  'Bucket Counts'!$F:$F, "&lt;&gt;224"))</f>
        <v>0</v>
      </c>
      <c r="EH29" s="430">
        <f>(SUMIFS('Bucket Counts'!$P:$P, 'Bucket Counts'!$B:$B, EH$2, 'Bucket Counts'!$A:$A, "="&amp;$A29,  'Bucket Counts'!$F:$F, "100 Morts"))</f>
        <v>0</v>
      </c>
      <c r="EI29" s="430">
        <f>(SUMIFS('Bucket Counts'!$P:$P, 'Bucket Counts'!$B:$B, EI$2, 'Bucket Counts'!$A:$A, "="&amp;$A29,  'Bucket Counts'!$F:$F, "224"))</f>
        <v>0</v>
      </c>
      <c r="EJ29" s="430">
        <f>EL28</f>
        <v>0</v>
      </c>
      <c r="EK29" s="431">
        <f>SUM(EG29+EI29)</f>
        <v>0</v>
      </c>
      <c r="EL29" s="432">
        <f>EG29+EF29</f>
        <v>0</v>
      </c>
    </row>
    <row r="30" spans="1:142" x14ac:dyDescent="0.2">
      <c r="A30" s="16">
        <f t="shared" si="0"/>
        <v>42899</v>
      </c>
      <c r="B30" s="16" t="s">
        <v>487</v>
      </c>
      <c r="C30" s="369">
        <f>SUMIFS(Collection!$O:$O, Collection!$K:$K, C$2, Collection!$A:$A, "="&amp;$A30)</f>
        <v>0</v>
      </c>
      <c r="D30" s="116">
        <f>(SUMIFS('Bucket Counts'!$P:$P, 'Bucket Counts'!$B:$B, D$2, 'Bucket Counts'!$A:$A, "="&amp;$A30,  'Bucket Counts'!$F:$F, "&lt;&gt;100 Morts",  'Bucket Counts'!$F:$F, "&lt;&gt;224"))</f>
        <v>0</v>
      </c>
      <c r="E30" s="116">
        <f>(SUMIFS('Bucket Counts'!$P:$P, 'Bucket Counts'!$B:$B, E$2, 'Bucket Counts'!$A:$A, "="&amp;$A30,  'Bucket Counts'!$F:$F, "100 Morts"))</f>
        <v>0</v>
      </c>
      <c r="F30" s="116">
        <f>(SUMIFS('Bucket Counts'!$P:$P, 'Bucket Counts'!$B:$B, F$2, 'Bucket Counts'!$A:$A, "="&amp;$A30,  'Bucket Counts'!$F:$F, "224"))</f>
        <v>0</v>
      </c>
      <c r="G30" s="116"/>
      <c r="H30" s="426">
        <f>(F30+D30)/I29</f>
        <v>0</v>
      </c>
      <c r="I30" s="370">
        <f>D29+SUM(C29:C30)</f>
        <v>82533.333333333328</v>
      </c>
      <c r="J30" s="369">
        <f>SUMIFS(Collection!$O:$O, Collection!$K:$K, J$2, Collection!$A:$A, "="&amp;$A30)</f>
        <v>0</v>
      </c>
      <c r="K30" s="116">
        <f>(SUMIFS('Bucket Counts'!$P:$P, 'Bucket Counts'!$B:$B, K$2, 'Bucket Counts'!$A:$A, "="&amp;$A30,  'Bucket Counts'!$F:$F, "&lt;&gt;100 Morts",  'Bucket Counts'!$F:$F, "&lt;&gt;224"))</f>
        <v>0</v>
      </c>
      <c r="L30" s="116">
        <f>(SUMIFS('Bucket Counts'!$P:$P, 'Bucket Counts'!$B:$B, L$2, 'Bucket Counts'!$A:$A, "="&amp;$A30,  'Bucket Counts'!$F:$F, "100 Morts"))</f>
        <v>0</v>
      </c>
      <c r="M30" s="116">
        <f>(SUMIFS('Bucket Counts'!$P:$P, 'Bucket Counts'!$B:$B, M$2, 'Bucket Counts'!$A:$A, "="&amp;$A30,  'Bucket Counts'!$F:$F, "224"))</f>
        <v>0</v>
      </c>
      <c r="N30" s="116"/>
      <c r="O30" s="426">
        <f>(M30+K30)/P29</f>
        <v>0</v>
      </c>
      <c r="P30" s="370">
        <f>K29+SUM(J29:J30)</f>
        <v>47113.333333333336</v>
      </c>
      <c r="Q30" s="369">
        <f>SUMIFS(Collection!$O:$O, Collection!$K:$K, Q$2, Collection!$A:$A, "="&amp;$A30)</f>
        <v>0</v>
      </c>
      <c r="R30" s="116">
        <f>(SUMIFS('Bucket Counts'!$P:$P, 'Bucket Counts'!$B:$B, R$2, 'Bucket Counts'!$A:$A, "="&amp;$A30,  'Bucket Counts'!$F:$F, "&lt;&gt;100 Morts",  'Bucket Counts'!$F:$F, "&lt;&gt;224"))</f>
        <v>0</v>
      </c>
      <c r="S30" s="116">
        <f>(SUMIFS('Bucket Counts'!$P:$P, 'Bucket Counts'!$B:$B, S$2, 'Bucket Counts'!$A:$A, "="&amp;$A30,  'Bucket Counts'!$F:$F, "100 Morts"))</f>
        <v>0</v>
      </c>
      <c r="T30" s="116">
        <f>(SUMIFS('Bucket Counts'!$P:$P, 'Bucket Counts'!$B:$B, T$2, 'Bucket Counts'!$A:$A, "="&amp;$A30,  'Bucket Counts'!$F:$F, "224"))</f>
        <v>0</v>
      </c>
      <c r="U30" s="116"/>
      <c r="V30" s="426">
        <f>(T30+R30)/W29</f>
        <v>0</v>
      </c>
      <c r="W30" s="370">
        <f>R29+SUM(Q29:Q30)</f>
        <v>43713.333333333336</v>
      </c>
      <c r="X30" s="369">
        <f>SUMIFS(Collection!$O:$O, Collection!$K:$K, X$2, Collection!$A:$A, "="&amp;$A30)</f>
        <v>0</v>
      </c>
      <c r="Y30" s="116">
        <f>(SUMIFS('Bucket Counts'!$P:$P, 'Bucket Counts'!$B:$B, Y$2, 'Bucket Counts'!$A:$A, "="&amp;$A30,  'Bucket Counts'!$F:$F, "&lt;&gt;100 Morts",  'Bucket Counts'!$F:$F, "&lt;&gt;224"))</f>
        <v>0</v>
      </c>
      <c r="Z30" s="116">
        <f>(SUMIFS('Bucket Counts'!$P:$P, 'Bucket Counts'!$B:$B, Z$2, 'Bucket Counts'!$A:$A, "="&amp;$A30,  'Bucket Counts'!$F:$F, "100 Morts"))</f>
        <v>0</v>
      </c>
      <c r="AA30" s="116">
        <f>(SUMIFS('Bucket Counts'!$P:$P, 'Bucket Counts'!$B:$B, AA$2, 'Bucket Counts'!$A:$A, "="&amp;$A30,  'Bucket Counts'!$F:$F, "224"))</f>
        <v>0</v>
      </c>
      <c r="AB30" s="116"/>
      <c r="AC30" s="426">
        <f>(AA30+Y30)/AD29</f>
        <v>0</v>
      </c>
      <c r="AD30" s="370">
        <f>Y29+SUM(X29:X30)</f>
        <v>79077.777777777781</v>
      </c>
      <c r="AE30" s="369">
        <f>SUMIFS(Collection!$O:$O, Collection!$K:$K, AE$2, Collection!$A:$A, "="&amp;$A30)</f>
        <v>0</v>
      </c>
      <c r="AF30" s="116">
        <f>(SUMIFS('Bucket Counts'!$P:$P, 'Bucket Counts'!$B:$B, AF$2, 'Bucket Counts'!$A:$A, "="&amp;$A30,  'Bucket Counts'!$F:$F, "&lt;&gt;100 Morts",  'Bucket Counts'!$F:$F, "&lt;&gt;224"))</f>
        <v>0</v>
      </c>
      <c r="AG30" s="116">
        <f>(SUMIFS('Bucket Counts'!$P:$P, 'Bucket Counts'!$B:$B, AG$2, 'Bucket Counts'!$A:$A, "="&amp;$A30,  'Bucket Counts'!$F:$F, "100 Morts"))</f>
        <v>0</v>
      </c>
      <c r="AH30" s="116">
        <f>(SUMIFS('Bucket Counts'!$P:$P, 'Bucket Counts'!$B:$B, AH$2, 'Bucket Counts'!$A:$A, "="&amp;$A30,  'Bucket Counts'!$F:$F, "224"))</f>
        <v>0</v>
      </c>
      <c r="AI30" s="116"/>
      <c r="AJ30" s="426">
        <f>(AH30+AF30)/AK29</f>
        <v>0</v>
      </c>
      <c r="AK30" s="370">
        <f>AF29+SUM(AE29:AE30)</f>
        <v>107933.33333333333</v>
      </c>
      <c r="AL30" s="369">
        <f>SUMIFS(Collection!$O:$O, Collection!$K:$K, AL$2, Collection!$A:$A, "="&amp;$A30)</f>
        <v>0</v>
      </c>
      <c r="AM30" s="116">
        <f>(SUMIFS('Bucket Counts'!$P:$P, 'Bucket Counts'!$B:$B, AM$2, 'Bucket Counts'!$A:$A, "="&amp;$A30,  'Bucket Counts'!$F:$F, "&lt;&gt;100 Morts",  'Bucket Counts'!$F:$F, "&lt;&gt;224"))</f>
        <v>0</v>
      </c>
      <c r="AN30" s="116">
        <f>(SUMIFS('Bucket Counts'!$P:$P, 'Bucket Counts'!$B:$B, AN$2, 'Bucket Counts'!$A:$A, "="&amp;$A30,  'Bucket Counts'!$F:$F, "100 Morts"))</f>
        <v>0</v>
      </c>
      <c r="AO30" s="116">
        <f>(SUMIFS('Bucket Counts'!$P:$P, 'Bucket Counts'!$B:$B, AO$2, 'Bucket Counts'!$A:$A, "="&amp;$A30,  'Bucket Counts'!$F:$F, "224"))</f>
        <v>0</v>
      </c>
      <c r="AP30" s="116"/>
      <c r="AQ30" s="426">
        <f>(AO30+AM30)/AR29</f>
        <v>0</v>
      </c>
      <c r="AR30" s="370">
        <f>AM29+SUM(AL29:AL30)</f>
        <v>35893.333333333336</v>
      </c>
      <c r="AS30" s="369">
        <f>SUMIFS(Collection!$O:$O, Collection!$K:$K, AS$2, Collection!$A:$A, "="&amp;$A30)</f>
        <v>0</v>
      </c>
      <c r="AT30" s="116">
        <f>(SUMIFS('Bucket Counts'!$P:$P, 'Bucket Counts'!$B:$B, AT$2, 'Bucket Counts'!$A:$A, "="&amp;$A30,  'Bucket Counts'!$F:$F, "&lt;&gt;100 Morts",  'Bucket Counts'!$F:$F, "&lt;&gt;224"))</f>
        <v>0</v>
      </c>
      <c r="AU30" s="116">
        <f>(SUMIFS('Bucket Counts'!$P:$P, 'Bucket Counts'!$B:$B, AU$2, 'Bucket Counts'!$A:$A, "="&amp;$A30,  'Bucket Counts'!$F:$F, "100 Morts"))</f>
        <v>0</v>
      </c>
      <c r="AV30" s="116">
        <f>(SUMIFS('Bucket Counts'!$P:$P, 'Bucket Counts'!$B:$B, AV$2, 'Bucket Counts'!$A:$A, "="&amp;$A30,  'Bucket Counts'!$F:$F, "224"))</f>
        <v>0</v>
      </c>
      <c r="AW30" s="116"/>
      <c r="AX30" s="426">
        <f>(AV30+AT30)/AY29</f>
        <v>0</v>
      </c>
      <c r="AY30" s="370">
        <f>AT29+SUM(AS29:AS30)</f>
        <v>37500</v>
      </c>
      <c r="AZ30" s="369">
        <f>SUMIFS(Collection!$O:$O, Collection!$K:$K, AZ$2, Collection!$A:$A, "="&amp;$A30)</f>
        <v>0</v>
      </c>
      <c r="BA30" s="116">
        <f>(SUMIFS('Bucket Counts'!$P:$P, 'Bucket Counts'!$B:$B, BA$2, 'Bucket Counts'!$A:$A, "="&amp;$A30,  'Bucket Counts'!$F:$F, "&lt;&gt;100 Morts",  'Bucket Counts'!$F:$F, "&lt;&gt;224"))</f>
        <v>0</v>
      </c>
      <c r="BB30" s="116">
        <f>(SUMIFS('Bucket Counts'!$P:$P, 'Bucket Counts'!$B:$B, BB$2, 'Bucket Counts'!$A:$A, "="&amp;$A30,  'Bucket Counts'!$F:$F, "100 Morts"))</f>
        <v>0</v>
      </c>
      <c r="BC30" s="116">
        <f>(SUMIFS('Bucket Counts'!$P:$P, 'Bucket Counts'!$B:$B, BC$2, 'Bucket Counts'!$A:$A, "="&amp;$A30,  'Bucket Counts'!$F:$F, "224"))</f>
        <v>0</v>
      </c>
      <c r="BD30" s="116"/>
      <c r="BE30" s="426">
        <f>(BC30+BA30)/BF29</f>
        <v>0</v>
      </c>
      <c r="BF30" s="370">
        <f>BA29+SUM(AZ29:AZ30)</f>
        <v>54846.666666666664</v>
      </c>
      <c r="BG30" s="369">
        <f>SUMIFS(Collection!$O:$O, Collection!$K:$K, BG$2, Collection!$A:$A, "="&amp;$A30)</f>
        <v>0</v>
      </c>
      <c r="BH30" s="116">
        <f>(SUMIFS('Bucket Counts'!$P:$P, 'Bucket Counts'!$B:$B, BH$2, 'Bucket Counts'!$A:$A, "="&amp;$A30,  'Bucket Counts'!$F:$F, "&lt;&gt;100 Morts",  'Bucket Counts'!$F:$F, "&lt;&gt;224"))</f>
        <v>0</v>
      </c>
      <c r="BI30" s="116">
        <f>(SUMIFS('Bucket Counts'!$P:$P, 'Bucket Counts'!$B:$B, BI$2, 'Bucket Counts'!$A:$A, "="&amp;$A30,  'Bucket Counts'!$F:$F, "100 Morts"))</f>
        <v>0</v>
      </c>
      <c r="BJ30" s="116">
        <f>(SUMIFS('Bucket Counts'!$P:$P, 'Bucket Counts'!$B:$B, BJ$2, 'Bucket Counts'!$A:$A, "="&amp;$A30,  'Bucket Counts'!$F:$F, "224"))</f>
        <v>0</v>
      </c>
      <c r="BK30" s="116"/>
      <c r="BL30" s="426">
        <f>(BJ30+BH30)/BM29</f>
        <v>0</v>
      </c>
      <c r="BM30" s="370">
        <f>BH29+SUM(BG29:BG30)</f>
        <v>72736.666666666657</v>
      </c>
      <c r="BN30" s="369">
        <f>SUMIFS(Collection!$O:$O, Collection!$K:$K, BN$2, Collection!$A:$A, "="&amp;$A30)</f>
        <v>0</v>
      </c>
      <c r="BO30" s="116">
        <f>(SUMIFS('Bucket Counts'!$P:$P, 'Bucket Counts'!$B:$B, BO$2, 'Bucket Counts'!$A:$A, "="&amp;$A30,  'Bucket Counts'!$F:$F, "&lt;&gt;100 Morts",  'Bucket Counts'!$F:$F, "&lt;&gt;224"))</f>
        <v>0</v>
      </c>
      <c r="BP30" s="116">
        <f>(SUMIFS('Bucket Counts'!$P:$P, 'Bucket Counts'!$B:$B, BP$2, 'Bucket Counts'!$A:$A, "="&amp;$A30,  'Bucket Counts'!$F:$F, "100 Morts"))</f>
        <v>0</v>
      </c>
      <c r="BQ30" s="116">
        <f>(SUMIFS('Bucket Counts'!$P:$P, 'Bucket Counts'!$B:$B, BQ$2, 'Bucket Counts'!$A:$A, "="&amp;$A30,  'Bucket Counts'!$F:$F, "224"))</f>
        <v>0</v>
      </c>
      <c r="BR30" s="116"/>
      <c r="BS30" s="426">
        <f>(BQ30+BO30)/BT29</f>
        <v>0</v>
      </c>
      <c r="BT30" s="370">
        <f>BO29+SUM(BN29:BN30)</f>
        <v>136000</v>
      </c>
      <c r="BU30" s="369">
        <f>SUMIFS(Collection!$O:$O, Collection!$K:$K, BU$2, Collection!$A:$A, "="&amp;$A30)</f>
        <v>0</v>
      </c>
      <c r="BV30" s="116">
        <f>(SUMIFS('Bucket Counts'!$P:$P, 'Bucket Counts'!$B:$B, BV$2, 'Bucket Counts'!$A:$A, "="&amp;$A30,  'Bucket Counts'!$F:$F, "&lt;&gt;100 Morts",  'Bucket Counts'!$F:$F, "&lt;&gt;224"))</f>
        <v>0</v>
      </c>
      <c r="BW30" s="116">
        <f>(SUMIFS('Bucket Counts'!$P:$P, 'Bucket Counts'!$B:$B, BW$2, 'Bucket Counts'!$A:$A, "="&amp;$A30,  'Bucket Counts'!$F:$F, "100 Morts"))</f>
        <v>0</v>
      </c>
      <c r="BX30" s="116">
        <f>(SUMIFS('Bucket Counts'!$P:$P, 'Bucket Counts'!$B:$B, BX$2, 'Bucket Counts'!$A:$A, "="&amp;$A30,  'Bucket Counts'!$F:$F, "224"))</f>
        <v>0</v>
      </c>
      <c r="BY30" s="116"/>
      <c r="BZ30" s="426">
        <f>(BX30+BV30)/CA29</f>
        <v>0</v>
      </c>
      <c r="CA30" s="370">
        <f>BV29+SUM(BU29:BU30)</f>
        <v>65666.666666666672</v>
      </c>
      <c r="CB30" s="369">
        <f>SUMIFS(Collection!$O:$O, Collection!$K:$K, CB$2, Collection!$A:$A, "="&amp;$A30)</f>
        <v>0</v>
      </c>
      <c r="CC30" s="116">
        <f>(SUMIFS('Bucket Counts'!$P:$P, 'Bucket Counts'!$B:$B, CC$2, 'Bucket Counts'!$A:$A, "="&amp;$A30,  'Bucket Counts'!$F:$F, "&lt;&gt;100 Morts",  'Bucket Counts'!$F:$F, "&lt;&gt;224"))</f>
        <v>0</v>
      </c>
      <c r="CD30" s="116">
        <f>(SUMIFS('Bucket Counts'!$P:$P, 'Bucket Counts'!$B:$B, CD$2, 'Bucket Counts'!$A:$A, "="&amp;$A30,  'Bucket Counts'!$F:$F, "100 Morts"))</f>
        <v>0</v>
      </c>
      <c r="CE30" s="116">
        <f>(SUMIFS('Bucket Counts'!$P:$P, 'Bucket Counts'!$B:$B, CE$2, 'Bucket Counts'!$A:$A, "="&amp;$A30,  'Bucket Counts'!$F:$F, "224"))</f>
        <v>0</v>
      </c>
      <c r="CF30" s="116"/>
      <c r="CG30" s="426">
        <f>(CE30+CC30)/CH29</f>
        <v>0</v>
      </c>
      <c r="CH30" s="370">
        <f>CC29+SUM(CB29:CB30)</f>
        <v>70766.666666666657</v>
      </c>
      <c r="CI30" s="369">
        <f>SUMIFS(Collection!$O:$O, Collection!$K:$K, CI$2, Collection!$A:$A, "="&amp;$A30)</f>
        <v>0</v>
      </c>
      <c r="CJ30" s="116">
        <f>(SUMIFS('Bucket Counts'!$P:$P, 'Bucket Counts'!$B:$B, CJ$2, 'Bucket Counts'!$A:$A, "="&amp;$A30,  'Bucket Counts'!$F:$F, "&lt;&gt;100 Morts",  'Bucket Counts'!$F:$F, "&lt;&gt;224"))</f>
        <v>0</v>
      </c>
      <c r="CK30" s="116">
        <f>(SUMIFS('Bucket Counts'!$P:$P, 'Bucket Counts'!$B:$B, CK$2, 'Bucket Counts'!$A:$A, "="&amp;$A30,  'Bucket Counts'!$F:$F, "100 Morts"))</f>
        <v>0</v>
      </c>
      <c r="CL30" s="116">
        <f>(SUMIFS('Bucket Counts'!$P:$P, 'Bucket Counts'!$B:$B, CL$2, 'Bucket Counts'!$A:$A, "="&amp;$A30,  'Bucket Counts'!$F:$F, "224"))</f>
        <v>0</v>
      </c>
      <c r="CM30" s="116"/>
      <c r="CN30" s="426">
        <f>(CL30+CJ30)/CO29</f>
        <v>0</v>
      </c>
      <c r="CO30" s="370">
        <f>CJ29+SUM(CI29:CI30)</f>
        <v>62773.333333333328</v>
      </c>
      <c r="CP30" s="369">
        <f>SUMIFS(Collection!$O:$O, Collection!$K:$K, CP$2, Collection!$A:$A, "="&amp;$A30)</f>
        <v>0</v>
      </c>
      <c r="CQ30" s="116">
        <f>(SUMIFS('Bucket Counts'!$P:$P, 'Bucket Counts'!$B:$B, CQ$2, 'Bucket Counts'!$A:$A, "="&amp;$A30,  'Bucket Counts'!$F:$F, "&lt;&gt;100 Morts",  'Bucket Counts'!$F:$F, "&lt;&gt;224"))</f>
        <v>0</v>
      </c>
      <c r="CR30" s="116">
        <f>(SUMIFS('Bucket Counts'!$P:$P, 'Bucket Counts'!$B:$B, CR$2, 'Bucket Counts'!$A:$A, "="&amp;$A30,  'Bucket Counts'!$F:$F, "100 Morts"))</f>
        <v>0</v>
      </c>
      <c r="CS30" s="116">
        <f>(SUMIFS('Bucket Counts'!$P:$P, 'Bucket Counts'!$B:$B, CS$2, 'Bucket Counts'!$A:$A, "="&amp;$A30,  'Bucket Counts'!$F:$F, "224"))</f>
        <v>0</v>
      </c>
      <c r="CT30" s="116"/>
      <c r="CU30" s="426">
        <f>(CS30+CQ30)/CV29</f>
        <v>0</v>
      </c>
      <c r="CV30" s="370">
        <f>CQ29+SUM(CP29:CP30)</f>
        <v>23886.666666666668</v>
      </c>
      <c r="CW30" s="369">
        <f>SUMIFS(Collection!$O:$O, Collection!$K:$K, CW$2, Collection!$A:$A, "="&amp;$A30)</f>
        <v>0</v>
      </c>
      <c r="CX30" s="116">
        <f>(SUMIFS('Bucket Counts'!$P:$P, 'Bucket Counts'!$B:$B, CX$2, 'Bucket Counts'!$A:$A, "="&amp;$A30,  'Bucket Counts'!$F:$F, "&lt;&gt;100 Morts",  'Bucket Counts'!$F:$F, "&lt;&gt;224"))</f>
        <v>0</v>
      </c>
      <c r="CY30" s="116">
        <f>(SUMIFS('Bucket Counts'!$P:$P, 'Bucket Counts'!$B:$B, CY$2, 'Bucket Counts'!$A:$A, "="&amp;$A30,  'Bucket Counts'!$F:$F, "100 Morts"))</f>
        <v>0</v>
      </c>
      <c r="CZ30" s="116">
        <f>(SUMIFS('Bucket Counts'!$P:$P, 'Bucket Counts'!$B:$B, CZ$2, 'Bucket Counts'!$A:$A, "="&amp;$A30,  'Bucket Counts'!$F:$F, "224"))</f>
        <v>0</v>
      </c>
      <c r="DA30" s="116"/>
      <c r="DB30" s="426">
        <f>(CZ30+CX30)/DC29</f>
        <v>0</v>
      </c>
      <c r="DC30" s="370">
        <f>CX29+SUM(CW29:CW30)</f>
        <v>94480</v>
      </c>
      <c r="DD30" s="369">
        <f>SUMIFS(Collection!$O:$O, Collection!$K:$K, DD$2, Collection!$A:$A, "="&amp;$A30)</f>
        <v>0</v>
      </c>
      <c r="DE30" s="116">
        <f>(SUMIFS('Bucket Counts'!$P:$P, 'Bucket Counts'!$B:$B, DE$2, 'Bucket Counts'!$A:$A, "="&amp;$A30,  'Bucket Counts'!$F:$F, "&lt;&gt;100 Morts",  'Bucket Counts'!$F:$F, "&lt;&gt;224"))</f>
        <v>0</v>
      </c>
      <c r="DF30" s="116">
        <f>(SUMIFS('Bucket Counts'!$P:$P, 'Bucket Counts'!$B:$B, DF$2, 'Bucket Counts'!$A:$A, "="&amp;$A30,  'Bucket Counts'!$F:$F, "100 Morts"))</f>
        <v>0</v>
      </c>
      <c r="DG30" s="116">
        <f>(SUMIFS('Bucket Counts'!$P:$P, 'Bucket Counts'!$B:$B, DG$2, 'Bucket Counts'!$A:$A, "="&amp;$A30,  'Bucket Counts'!$F:$F, "224"))</f>
        <v>0</v>
      </c>
      <c r="DH30" s="116"/>
      <c r="DI30" s="426">
        <f>(DG30+DE30)/DJ29</f>
        <v>0</v>
      </c>
      <c r="DJ30" s="370">
        <f>DE29+SUM(DD29:DD30)</f>
        <v>47066.666666666664</v>
      </c>
      <c r="DK30" s="369">
        <f>SUMIFS(Collection!$O:$O, Collection!$K:$K, DK$2, Collection!$A:$A, "="&amp;$A30)</f>
        <v>0</v>
      </c>
      <c r="DL30" s="116">
        <f>(SUMIFS('Bucket Counts'!$P:$P, 'Bucket Counts'!$B:$B, DL$2, 'Bucket Counts'!$A:$A, "="&amp;$A30,  'Bucket Counts'!$F:$F, "&lt;&gt;100 Morts",  'Bucket Counts'!$F:$F, "&lt;&gt;224"))</f>
        <v>0</v>
      </c>
      <c r="DM30" s="116">
        <f>(SUMIFS('Bucket Counts'!$P:$P, 'Bucket Counts'!$B:$B, DM$2, 'Bucket Counts'!$A:$A, "="&amp;$A30,  'Bucket Counts'!$F:$F, "100 Morts"))</f>
        <v>0</v>
      </c>
      <c r="DN30" s="116">
        <f>(SUMIFS('Bucket Counts'!$P:$P, 'Bucket Counts'!$B:$B, DN$2, 'Bucket Counts'!$A:$A, "="&amp;$A30,  'Bucket Counts'!$F:$F, "224"))</f>
        <v>0</v>
      </c>
      <c r="DO30" s="116"/>
      <c r="DP30" s="426" t="e">
        <f>(DN30+DL30)/DQ29</f>
        <v>#DIV/0!</v>
      </c>
      <c r="DQ30" s="370">
        <f>DL29+SUM(DK29:DK30)</f>
        <v>0</v>
      </c>
      <c r="DR30" s="369">
        <f>SUMIFS(Collection!$O:$O, Collection!$K:$K, DR$2, Collection!$A:$A, "="&amp;$A30)</f>
        <v>0</v>
      </c>
      <c r="DS30" s="116">
        <f>(SUMIFS('Bucket Counts'!$P:$P, 'Bucket Counts'!$B:$B, DS$2, 'Bucket Counts'!$A:$A, "="&amp;$A30,  'Bucket Counts'!$F:$F, "&lt;&gt;100 Morts",  'Bucket Counts'!$F:$F, "&lt;&gt;224"))</f>
        <v>0</v>
      </c>
      <c r="DT30" s="116">
        <f>(SUMIFS('Bucket Counts'!$P:$P, 'Bucket Counts'!$B:$B, DT$2, 'Bucket Counts'!$A:$A, "="&amp;$A30,  'Bucket Counts'!$F:$F, "100 Morts"))</f>
        <v>0</v>
      </c>
      <c r="DU30" s="116">
        <f>(SUMIFS('Bucket Counts'!$P:$P, 'Bucket Counts'!$B:$B, DU$2, 'Bucket Counts'!$A:$A, "="&amp;$A30,  'Bucket Counts'!$F:$F, "224"))</f>
        <v>0</v>
      </c>
      <c r="DV30" s="116"/>
      <c r="DW30" s="426" t="e">
        <f>(DU30+DS30)/DX29</f>
        <v>#DIV/0!</v>
      </c>
      <c r="DX30" s="370">
        <f>DS29+SUM(DR29:DR30)</f>
        <v>0</v>
      </c>
      <c r="DY30" s="369">
        <f>SUMIFS(Collection!$O:$O, Collection!$K:$K, DY$2, Collection!$A:$A, "="&amp;$A30)</f>
        <v>0</v>
      </c>
      <c r="DZ30" s="116">
        <f>(SUMIFS('Bucket Counts'!$P:$P, 'Bucket Counts'!$B:$B, DZ$2, 'Bucket Counts'!$A:$A, "="&amp;$A30,  'Bucket Counts'!$F:$F, "&lt;&gt;100 Morts",  'Bucket Counts'!$F:$F, "&lt;&gt;224"))</f>
        <v>0</v>
      </c>
      <c r="EA30" s="116">
        <f>(SUMIFS('Bucket Counts'!$P:$P, 'Bucket Counts'!$B:$B, EA$2, 'Bucket Counts'!$A:$A, "="&amp;$A30,  'Bucket Counts'!$F:$F, "100 Morts"))</f>
        <v>0</v>
      </c>
      <c r="EB30" s="116">
        <f>(SUMIFS('Bucket Counts'!$P:$P, 'Bucket Counts'!$B:$B, EB$2, 'Bucket Counts'!$A:$A, "="&amp;$A30,  'Bucket Counts'!$F:$F, "224"))</f>
        <v>0</v>
      </c>
      <c r="EC30" s="116"/>
      <c r="ED30" s="426" t="e">
        <f>(EB30+DZ30)/EE29</f>
        <v>#DIV/0!</v>
      </c>
      <c r="EE30" s="370">
        <f>DZ29+SUM(DY29:DY30)</f>
        <v>0</v>
      </c>
      <c r="EF30" s="369">
        <f>SUMIFS(Collection!$O:$O, Collection!$K:$K, EF$2, Collection!$A:$A, "="&amp;$A30)</f>
        <v>0</v>
      </c>
      <c r="EG30" s="116">
        <f>(SUMIFS('Bucket Counts'!$P:$P, 'Bucket Counts'!$B:$B, EG$2, 'Bucket Counts'!$A:$A, "="&amp;$A30,  'Bucket Counts'!$F:$F, "&lt;&gt;100 Morts",  'Bucket Counts'!$F:$F, "&lt;&gt;224"))</f>
        <v>0</v>
      </c>
      <c r="EH30" s="116">
        <f>(SUMIFS('Bucket Counts'!$P:$P, 'Bucket Counts'!$B:$B, EH$2, 'Bucket Counts'!$A:$A, "="&amp;$A30,  'Bucket Counts'!$F:$F, "100 Morts"))</f>
        <v>0</v>
      </c>
      <c r="EI30" s="116">
        <f>(SUMIFS('Bucket Counts'!$P:$P, 'Bucket Counts'!$B:$B, EI$2, 'Bucket Counts'!$A:$A, "="&amp;$A30,  'Bucket Counts'!$F:$F, "224"))</f>
        <v>0</v>
      </c>
      <c r="EJ30" s="116"/>
      <c r="EK30" s="426" t="e">
        <f>(EI30+EG30)/EL29</f>
        <v>#DIV/0!</v>
      </c>
      <c r="EL30" s="370">
        <f>EG29+SUM(EF29:EF30)</f>
        <v>0</v>
      </c>
    </row>
    <row r="31" spans="1:142" x14ac:dyDescent="0.2">
      <c r="A31" s="16">
        <f t="shared" si="0"/>
        <v>42900</v>
      </c>
      <c r="B31" s="16" t="s">
        <v>487</v>
      </c>
      <c r="C31" s="369">
        <f>SUMIFS(Collection!$O:$O, Collection!$K:$K, C$2, Collection!$A:$A, "="&amp;$A31)</f>
        <v>57866.666666666664</v>
      </c>
      <c r="D31" s="116">
        <f>(SUMIFS('Bucket Counts'!$P:$P, 'Bucket Counts'!$B:$B, D$2, 'Bucket Counts'!$A:$A, "="&amp;$A31,  'Bucket Counts'!$F:$F, "&lt;&gt;100 Morts",  'Bucket Counts'!$F:$F, "&lt;&gt;224"))</f>
        <v>0</v>
      </c>
      <c r="E31" s="116">
        <f>(SUMIFS('Bucket Counts'!$P:$P, 'Bucket Counts'!$B:$B, E$2, 'Bucket Counts'!$A:$A, "="&amp;$A31,  'Bucket Counts'!$F:$F, "100 Morts"))</f>
        <v>0</v>
      </c>
      <c r="F31" s="116">
        <f>(SUMIFS('Bucket Counts'!$P:$P, 'Bucket Counts'!$B:$B, F$2, 'Bucket Counts'!$A:$A, "="&amp;$A31,  'Bucket Counts'!$F:$F, "224"))</f>
        <v>0</v>
      </c>
      <c r="G31" s="116"/>
      <c r="H31" s="426">
        <f>(F31+D31)/I30</f>
        <v>0</v>
      </c>
      <c r="I31" s="370">
        <f>D29+SUM(C29:C31)</f>
        <v>140400</v>
      </c>
      <c r="J31" s="369">
        <f>SUMIFS(Collection!$O:$O, Collection!$K:$K, J$2, Collection!$A:$A, "="&amp;$A31)</f>
        <v>0</v>
      </c>
      <c r="K31" s="116">
        <f>(SUMIFS('Bucket Counts'!$P:$P, 'Bucket Counts'!$B:$B, K$2, 'Bucket Counts'!$A:$A, "="&amp;$A31,  'Bucket Counts'!$F:$F, "&lt;&gt;100 Morts",  'Bucket Counts'!$F:$F, "&lt;&gt;224"))</f>
        <v>0</v>
      </c>
      <c r="L31" s="116">
        <f>(SUMIFS('Bucket Counts'!$P:$P, 'Bucket Counts'!$B:$B, L$2, 'Bucket Counts'!$A:$A, "="&amp;$A31,  'Bucket Counts'!$F:$F, "100 Morts"))</f>
        <v>0</v>
      </c>
      <c r="M31" s="116">
        <f>(SUMIFS('Bucket Counts'!$P:$P, 'Bucket Counts'!$B:$B, M$2, 'Bucket Counts'!$A:$A, "="&amp;$A31,  'Bucket Counts'!$F:$F, "224"))</f>
        <v>0</v>
      </c>
      <c r="N31" s="116"/>
      <c r="O31" s="426">
        <f>(M31+K31)/P30</f>
        <v>0</v>
      </c>
      <c r="P31" s="370">
        <f>K29+SUM(J29:J31)</f>
        <v>47113.333333333336</v>
      </c>
      <c r="Q31" s="369">
        <f>SUMIFS(Collection!$O:$O, Collection!$K:$K, Q$2, Collection!$A:$A, "="&amp;$A31)</f>
        <v>0</v>
      </c>
      <c r="R31" s="116">
        <f>(SUMIFS('Bucket Counts'!$P:$P, 'Bucket Counts'!$B:$B, R$2, 'Bucket Counts'!$A:$A, "="&amp;$A31,  'Bucket Counts'!$F:$F, "&lt;&gt;100 Morts",  'Bucket Counts'!$F:$F, "&lt;&gt;224"))</f>
        <v>0</v>
      </c>
      <c r="S31" s="116">
        <f>(SUMIFS('Bucket Counts'!$P:$P, 'Bucket Counts'!$B:$B, S$2, 'Bucket Counts'!$A:$A, "="&amp;$A31,  'Bucket Counts'!$F:$F, "100 Morts"))</f>
        <v>0</v>
      </c>
      <c r="T31" s="116">
        <f>(SUMIFS('Bucket Counts'!$P:$P, 'Bucket Counts'!$B:$B, T$2, 'Bucket Counts'!$A:$A, "="&amp;$A31,  'Bucket Counts'!$F:$F, "224"))</f>
        <v>0</v>
      </c>
      <c r="U31" s="116"/>
      <c r="V31" s="426">
        <f>(T31+R31)/W30</f>
        <v>0</v>
      </c>
      <c r="W31" s="370">
        <f>R29+SUM(Q29:Q31)</f>
        <v>43713.333333333336</v>
      </c>
      <c r="X31" s="369">
        <f>SUMIFS(Collection!$O:$O, Collection!$K:$K, X$2, Collection!$A:$A, "="&amp;$A31)</f>
        <v>0</v>
      </c>
      <c r="Y31" s="116">
        <f>(SUMIFS('Bucket Counts'!$P:$P, 'Bucket Counts'!$B:$B, Y$2, 'Bucket Counts'!$A:$A, "="&amp;$A31,  'Bucket Counts'!$F:$F, "&lt;&gt;100 Morts",  'Bucket Counts'!$F:$F, "&lt;&gt;224"))</f>
        <v>0</v>
      </c>
      <c r="Z31" s="116">
        <f>(SUMIFS('Bucket Counts'!$P:$P, 'Bucket Counts'!$B:$B, Z$2, 'Bucket Counts'!$A:$A, "="&amp;$A31,  'Bucket Counts'!$F:$F, "100 Morts"))</f>
        <v>0</v>
      </c>
      <c r="AA31" s="116">
        <f>(SUMIFS('Bucket Counts'!$P:$P, 'Bucket Counts'!$B:$B, AA$2, 'Bucket Counts'!$A:$A, "="&amp;$A31,  'Bucket Counts'!$F:$F, "224"))</f>
        <v>0</v>
      </c>
      <c r="AB31" s="116"/>
      <c r="AC31" s="426">
        <f>(AA31+Y31)/AD30</f>
        <v>0</v>
      </c>
      <c r="AD31" s="370">
        <f>Y29+SUM(X29:X31)</f>
        <v>79077.777777777781</v>
      </c>
      <c r="AE31" s="369">
        <f>SUMIFS(Collection!$O:$O, Collection!$K:$K, AE$2, Collection!$A:$A, "="&amp;$A31)</f>
        <v>39000</v>
      </c>
      <c r="AF31" s="116">
        <f>(SUMIFS('Bucket Counts'!$P:$P, 'Bucket Counts'!$B:$B, AF$2, 'Bucket Counts'!$A:$A, "="&amp;$A31,  'Bucket Counts'!$F:$F, "&lt;&gt;100 Morts",  'Bucket Counts'!$F:$F, "&lt;&gt;224"))</f>
        <v>0</v>
      </c>
      <c r="AG31" s="116">
        <f>(SUMIFS('Bucket Counts'!$P:$P, 'Bucket Counts'!$B:$B, AG$2, 'Bucket Counts'!$A:$A, "="&amp;$A31,  'Bucket Counts'!$F:$F, "100 Morts"))</f>
        <v>0</v>
      </c>
      <c r="AH31" s="116">
        <f>(SUMIFS('Bucket Counts'!$P:$P, 'Bucket Counts'!$B:$B, AH$2, 'Bucket Counts'!$A:$A, "="&amp;$A31,  'Bucket Counts'!$F:$F, "224"))</f>
        <v>0</v>
      </c>
      <c r="AI31" s="116"/>
      <c r="AJ31" s="426">
        <f>(AH31+AF31)/AK30</f>
        <v>0</v>
      </c>
      <c r="AK31" s="370">
        <f>AF29+SUM(AE29:AE31)</f>
        <v>146933.33333333331</v>
      </c>
      <c r="AL31" s="369">
        <f>SUMIFS(Collection!$O:$O, Collection!$K:$K, AL$2, Collection!$A:$A, "="&amp;$A31)</f>
        <v>79566.666666666672</v>
      </c>
      <c r="AM31" s="116">
        <f>(SUMIFS('Bucket Counts'!$P:$P, 'Bucket Counts'!$B:$B, AM$2, 'Bucket Counts'!$A:$A, "="&amp;$A31,  'Bucket Counts'!$F:$F, "&lt;&gt;100 Morts",  'Bucket Counts'!$F:$F, "&lt;&gt;224"))</f>
        <v>0</v>
      </c>
      <c r="AN31" s="116">
        <f>(SUMIFS('Bucket Counts'!$P:$P, 'Bucket Counts'!$B:$B, AN$2, 'Bucket Counts'!$A:$A, "="&amp;$A31,  'Bucket Counts'!$F:$F, "100 Morts"))</f>
        <v>0</v>
      </c>
      <c r="AO31" s="116">
        <f>(SUMIFS('Bucket Counts'!$P:$P, 'Bucket Counts'!$B:$B, AO$2, 'Bucket Counts'!$A:$A, "="&amp;$A31,  'Bucket Counts'!$F:$F, "224"))</f>
        <v>0</v>
      </c>
      <c r="AP31" s="116"/>
      <c r="AQ31" s="426">
        <f>(AO31+AM31)/AR30</f>
        <v>0</v>
      </c>
      <c r="AR31" s="370">
        <f>AM29+SUM(AL29:AL31)</f>
        <v>115460</v>
      </c>
      <c r="AS31" s="369">
        <f>SUMIFS(Collection!$O:$O, Collection!$K:$K, AS$2, Collection!$A:$A, "="&amp;$A31)</f>
        <v>0</v>
      </c>
      <c r="AT31" s="116">
        <f>(SUMIFS('Bucket Counts'!$P:$P, 'Bucket Counts'!$B:$B, AT$2, 'Bucket Counts'!$A:$A, "="&amp;$A31,  'Bucket Counts'!$F:$F, "&lt;&gt;100 Morts",  'Bucket Counts'!$F:$F, "&lt;&gt;224"))</f>
        <v>0</v>
      </c>
      <c r="AU31" s="116">
        <f>(SUMIFS('Bucket Counts'!$P:$P, 'Bucket Counts'!$B:$B, AU$2, 'Bucket Counts'!$A:$A, "="&amp;$A31,  'Bucket Counts'!$F:$F, "100 Morts"))</f>
        <v>0</v>
      </c>
      <c r="AV31" s="116">
        <f>(SUMIFS('Bucket Counts'!$P:$P, 'Bucket Counts'!$B:$B, AV$2, 'Bucket Counts'!$A:$A, "="&amp;$A31,  'Bucket Counts'!$F:$F, "224"))</f>
        <v>0</v>
      </c>
      <c r="AW31" s="116"/>
      <c r="AX31" s="426">
        <f>(AV31+AT31)/AY30</f>
        <v>0</v>
      </c>
      <c r="AY31" s="370">
        <f>AT29+SUM(AS29:AS31)</f>
        <v>37500</v>
      </c>
      <c r="AZ31" s="369">
        <f>SUMIFS(Collection!$O:$O, Collection!$K:$K, AZ$2, Collection!$A:$A, "="&amp;$A31)</f>
        <v>134800</v>
      </c>
      <c r="BA31" s="116">
        <f>(SUMIFS('Bucket Counts'!$P:$P, 'Bucket Counts'!$B:$B, BA$2, 'Bucket Counts'!$A:$A, "="&amp;$A31,  'Bucket Counts'!$F:$F, "&lt;&gt;100 Morts",  'Bucket Counts'!$F:$F, "&lt;&gt;224"))</f>
        <v>0</v>
      </c>
      <c r="BB31" s="116">
        <f>(SUMIFS('Bucket Counts'!$P:$P, 'Bucket Counts'!$B:$B, BB$2, 'Bucket Counts'!$A:$A, "="&amp;$A31,  'Bucket Counts'!$F:$F, "100 Morts"))</f>
        <v>0</v>
      </c>
      <c r="BC31" s="116">
        <f>(SUMIFS('Bucket Counts'!$P:$P, 'Bucket Counts'!$B:$B, BC$2, 'Bucket Counts'!$A:$A, "="&amp;$A31,  'Bucket Counts'!$F:$F, "224"))</f>
        <v>0</v>
      </c>
      <c r="BD31" s="116"/>
      <c r="BE31" s="426">
        <f>(BC31+BA31)/BF30</f>
        <v>0</v>
      </c>
      <c r="BF31" s="370">
        <f>BA29+SUM(AZ29:AZ31)</f>
        <v>189646.66666666666</v>
      </c>
      <c r="BG31" s="369">
        <f>SUMIFS(Collection!$O:$O, Collection!$K:$K, BG$2, Collection!$A:$A, "="&amp;$A31)</f>
        <v>0</v>
      </c>
      <c r="BH31" s="116">
        <f>(SUMIFS('Bucket Counts'!$P:$P, 'Bucket Counts'!$B:$B, BH$2, 'Bucket Counts'!$A:$A, "="&amp;$A31,  'Bucket Counts'!$F:$F, "&lt;&gt;100 Morts",  'Bucket Counts'!$F:$F, "&lt;&gt;224"))</f>
        <v>0</v>
      </c>
      <c r="BI31" s="116">
        <f>(SUMIFS('Bucket Counts'!$P:$P, 'Bucket Counts'!$B:$B, BI$2, 'Bucket Counts'!$A:$A, "="&amp;$A31,  'Bucket Counts'!$F:$F, "100 Morts"))</f>
        <v>0</v>
      </c>
      <c r="BJ31" s="116">
        <f>(SUMIFS('Bucket Counts'!$P:$P, 'Bucket Counts'!$B:$B, BJ$2, 'Bucket Counts'!$A:$A, "="&amp;$A31,  'Bucket Counts'!$F:$F, "224"))</f>
        <v>0</v>
      </c>
      <c r="BK31" s="116"/>
      <c r="BL31" s="426">
        <f>(BJ31+BH31)/BM30</f>
        <v>0</v>
      </c>
      <c r="BM31" s="370">
        <f>BH29+SUM(BG29:BG31)</f>
        <v>72736.666666666657</v>
      </c>
      <c r="BN31" s="369">
        <f>SUMIFS(Collection!$O:$O, Collection!$K:$K, BN$2, Collection!$A:$A, "="&amp;$A31)</f>
        <v>0</v>
      </c>
      <c r="BO31" s="116">
        <f>(SUMIFS('Bucket Counts'!$P:$P, 'Bucket Counts'!$B:$B, BO$2, 'Bucket Counts'!$A:$A, "="&amp;$A31,  'Bucket Counts'!$F:$F, "&lt;&gt;100 Morts",  'Bucket Counts'!$F:$F, "&lt;&gt;224"))</f>
        <v>0</v>
      </c>
      <c r="BP31" s="116">
        <f>(SUMIFS('Bucket Counts'!$P:$P, 'Bucket Counts'!$B:$B, BP$2, 'Bucket Counts'!$A:$A, "="&amp;$A31,  'Bucket Counts'!$F:$F, "100 Morts"))</f>
        <v>0</v>
      </c>
      <c r="BQ31" s="116">
        <f>(SUMIFS('Bucket Counts'!$P:$P, 'Bucket Counts'!$B:$B, BQ$2, 'Bucket Counts'!$A:$A, "="&amp;$A31,  'Bucket Counts'!$F:$F, "224"))</f>
        <v>0</v>
      </c>
      <c r="BR31" s="116"/>
      <c r="BS31" s="426">
        <f>(BQ31+BO31)/BT30</f>
        <v>0</v>
      </c>
      <c r="BT31" s="370">
        <f>BO29+SUM(BN29:BN31)</f>
        <v>136000</v>
      </c>
      <c r="BU31" s="369">
        <f>SUMIFS(Collection!$O:$O, Collection!$K:$K, BU$2, Collection!$A:$A, "="&amp;$A31)</f>
        <v>0</v>
      </c>
      <c r="BV31" s="116">
        <f>(SUMIFS('Bucket Counts'!$P:$P, 'Bucket Counts'!$B:$B, BV$2, 'Bucket Counts'!$A:$A, "="&amp;$A31,  'Bucket Counts'!$F:$F, "&lt;&gt;100 Morts",  'Bucket Counts'!$F:$F, "&lt;&gt;224"))</f>
        <v>0</v>
      </c>
      <c r="BW31" s="116">
        <f>(SUMIFS('Bucket Counts'!$P:$P, 'Bucket Counts'!$B:$B, BW$2, 'Bucket Counts'!$A:$A, "="&amp;$A31,  'Bucket Counts'!$F:$F, "100 Morts"))</f>
        <v>0</v>
      </c>
      <c r="BX31" s="116">
        <f>(SUMIFS('Bucket Counts'!$P:$P, 'Bucket Counts'!$B:$B, BX$2, 'Bucket Counts'!$A:$A, "="&amp;$A31,  'Bucket Counts'!$F:$F, "224"))</f>
        <v>0</v>
      </c>
      <c r="BY31" s="116"/>
      <c r="BZ31" s="426">
        <f>(BX31+BV31)/CA30</f>
        <v>0</v>
      </c>
      <c r="CA31" s="370">
        <f>BV29+SUM(BU29:BU31)</f>
        <v>65666.666666666672</v>
      </c>
      <c r="CB31" s="369">
        <f>SUMIFS(Collection!$O:$O, Collection!$K:$K, CB$2, Collection!$A:$A, "="&amp;$A31)</f>
        <v>0</v>
      </c>
      <c r="CC31" s="116">
        <f>(SUMIFS('Bucket Counts'!$P:$P, 'Bucket Counts'!$B:$B, CC$2, 'Bucket Counts'!$A:$A, "="&amp;$A31,  'Bucket Counts'!$F:$F, "&lt;&gt;100 Morts",  'Bucket Counts'!$F:$F, "&lt;&gt;224"))</f>
        <v>0</v>
      </c>
      <c r="CD31" s="116">
        <f>(SUMIFS('Bucket Counts'!$P:$P, 'Bucket Counts'!$B:$B, CD$2, 'Bucket Counts'!$A:$A, "="&amp;$A31,  'Bucket Counts'!$F:$F, "100 Morts"))</f>
        <v>0</v>
      </c>
      <c r="CE31" s="116">
        <f>(SUMIFS('Bucket Counts'!$P:$P, 'Bucket Counts'!$B:$B, CE$2, 'Bucket Counts'!$A:$A, "="&amp;$A31,  'Bucket Counts'!$F:$F, "224"))</f>
        <v>0</v>
      </c>
      <c r="CF31" s="116"/>
      <c r="CG31" s="426">
        <f>(CE31+CC31)/CH30</f>
        <v>0</v>
      </c>
      <c r="CH31" s="370">
        <f>CC29+SUM(CB29:CB31)</f>
        <v>70766.666666666657</v>
      </c>
      <c r="CI31" s="369">
        <f>SUMIFS(Collection!$O:$O, Collection!$K:$K, CI$2, Collection!$A:$A, "="&amp;$A31)</f>
        <v>0</v>
      </c>
      <c r="CJ31" s="116">
        <f>(SUMIFS('Bucket Counts'!$P:$P, 'Bucket Counts'!$B:$B, CJ$2, 'Bucket Counts'!$A:$A, "="&amp;$A31,  'Bucket Counts'!$F:$F, "&lt;&gt;100 Morts",  'Bucket Counts'!$F:$F, "&lt;&gt;224"))</f>
        <v>0</v>
      </c>
      <c r="CK31" s="116">
        <f>(SUMIFS('Bucket Counts'!$P:$P, 'Bucket Counts'!$B:$B, CK$2, 'Bucket Counts'!$A:$A, "="&amp;$A31,  'Bucket Counts'!$F:$F, "100 Morts"))</f>
        <v>0</v>
      </c>
      <c r="CL31" s="116">
        <f>(SUMIFS('Bucket Counts'!$P:$P, 'Bucket Counts'!$B:$B, CL$2, 'Bucket Counts'!$A:$A, "="&amp;$A31,  'Bucket Counts'!$F:$F, "224"))</f>
        <v>0</v>
      </c>
      <c r="CM31" s="116"/>
      <c r="CN31" s="426">
        <f>(CL31+CJ31)/CO30</f>
        <v>0</v>
      </c>
      <c r="CO31" s="370">
        <f>CJ29+SUM(CI29:CI31)</f>
        <v>62773.333333333328</v>
      </c>
      <c r="CP31" s="369">
        <f>SUMIFS(Collection!$O:$O, Collection!$K:$K, CP$2, Collection!$A:$A, "="&amp;$A31)</f>
        <v>0</v>
      </c>
      <c r="CQ31" s="116">
        <f>(SUMIFS('Bucket Counts'!$P:$P, 'Bucket Counts'!$B:$B, CQ$2, 'Bucket Counts'!$A:$A, "="&amp;$A31,  'Bucket Counts'!$F:$F, "&lt;&gt;100 Morts",  'Bucket Counts'!$F:$F, "&lt;&gt;224"))</f>
        <v>0</v>
      </c>
      <c r="CR31" s="116">
        <f>(SUMIFS('Bucket Counts'!$P:$P, 'Bucket Counts'!$B:$B, CR$2, 'Bucket Counts'!$A:$A, "="&amp;$A31,  'Bucket Counts'!$F:$F, "100 Morts"))</f>
        <v>0</v>
      </c>
      <c r="CS31" s="116">
        <f>(SUMIFS('Bucket Counts'!$P:$P, 'Bucket Counts'!$B:$B, CS$2, 'Bucket Counts'!$A:$A, "="&amp;$A31,  'Bucket Counts'!$F:$F, "224"))</f>
        <v>0</v>
      </c>
      <c r="CT31" s="116"/>
      <c r="CU31" s="426">
        <f>(CS31+CQ31)/CV30</f>
        <v>0</v>
      </c>
      <c r="CV31" s="370">
        <f>CQ29+SUM(CP29:CP31)</f>
        <v>23886.666666666668</v>
      </c>
      <c r="CW31" s="369">
        <f>SUMIFS(Collection!$O:$O, Collection!$K:$K, CW$2, Collection!$A:$A, "="&amp;$A31)</f>
        <v>0</v>
      </c>
      <c r="CX31" s="116">
        <f>(SUMIFS('Bucket Counts'!$P:$P, 'Bucket Counts'!$B:$B, CX$2, 'Bucket Counts'!$A:$A, "="&amp;$A31,  'Bucket Counts'!$F:$F, "&lt;&gt;100 Morts",  'Bucket Counts'!$F:$F, "&lt;&gt;224"))</f>
        <v>0</v>
      </c>
      <c r="CY31" s="116">
        <f>(SUMIFS('Bucket Counts'!$P:$P, 'Bucket Counts'!$B:$B, CY$2, 'Bucket Counts'!$A:$A, "="&amp;$A31,  'Bucket Counts'!$F:$F, "100 Morts"))</f>
        <v>0</v>
      </c>
      <c r="CZ31" s="116">
        <f>(SUMIFS('Bucket Counts'!$P:$P, 'Bucket Counts'!$B:$B, CZ$2, 'Bucket Counts'!$A:$A, "="&amp;$A31,  'Bucket Counts'!$F:$F, "224"))</f>
        <v>0</v>
      </c>
      <c r="DA31" s="116"/>
      <c r="DB31" s="426">
        <f>(CZ31+CX31)/DC30</f>
        <v>0</v>
      </c>
      <c r="DC31" s="370">
        <f>CX29+SUM(CW29:CW31)</f>
        <v>94480</v>
      </c>
      <c r="DD31" s="369">
        <f>SUMIFS(Collection!$O:$O, Collection!$K:$K, DD$2, Collection!$A:$A, "="&amp;$A31)</f>
        <v>0</v>
      </c>
      <c r="DE31" s="116">
        <f>(SUMIFS('Bucket Counts'!$P:$P, 'Bucket Counts'!$B:$B, DE$2, 'Bucket Counts'!$A:$A, "="&amp;$A31,  'Bucket Counts'!$F:$F, "&lt;&gt;100 Morts",  'Bucket Counts'!$F:$F, "&lt;&gt;224"))</f>
        <v>0</v>
      </c>
      <c r="DF31" s="116">
        <f>(SUMIFS('Bucket Counts'!$P:$P, 'Bucket Counts'!$B:$B, DF$2, 'Bucket Counts'!$A:$A, "="&amp;$A31,  'Bucket Counts'!$F:$F, "100 Morts"))</f>
        <v>0</v>
      </c>
      <c r="DG31" s="116">
        <f>(SUMIFS('Bucket Counts'!$P:$P, 'Bucket Counts'!$B:$B, DG$2, 'Bucket Counts'!$A:$A, "="&amp;$A31,  'Bucket Counts'!$F:$F, "224"))</f>
        <v>0</v>
      </c>
      <c r="DH31" s="116"/>
      <c r="DI31" s="426">
        <f>(DG31+DE31)/DJ30</f>
        <v>0</v>
      </c>
      <c r="DJ31" s="370">
        <f>DE29+SUM(DD29:DD31)</f>
        <v>47066.666666666664</v>
      </c>
      <c r="DK31" s="369">
        <f>SUMIFS(Collection!$O:$O, Collection!$K:$K, DK$2, Collection!$A:$A, "="&amp;$A31)</f>
        <v>0</v>
      </c>
      <c r="DL31" s="116">
        <f>(SUMIFS('Bucket Counts'!$P:$P, 'Bucket Counts'!$B:$B, DL$2, 'Bucket Counts'!$A:$A, "="&amp;$A31,  'Bucket Counts'!$F:$F, "&lt;&gt;100 Morts",  'Bucket Counts'!$F:$F, "&lt;&gt;224"))</f>
        <v>0</v>
      </c>
      <c r="DM31" s="116">
        <f>(SUMIFS('Bucket Counts'!$P:$P, 'Bucket Counts'!$B:$B, DM$2, 'Bucket Counts'!$A:$A, "="&amp;$A31,  'Bucket Counts'!$F:$F, "100 Morts"))</f>
        <v>0</v>
      </c>
      <c r="DN31" s="116">
        <f>(SUMIFS('Bucket Counts'!$P:$P, 'Bucket Counts'!$B:$B, DN$2, 'Bucket Counts'!$A:$A, "="&amp;$A31,  'Bucket Counts'!$F:$F, "224"))</f>
        <v>0</v>
      </c>
      <c r="DO31" s="116"/>
      <c r="DP31" s="426" t="e">
        <f>(DN31+DL31)/DQ30</f>
        <v>#DIV/0!</v>
      </c>
      <c r="DQ31" s="370">
        <f>DL29+SUM(DK29:DK31)</f>
        <v>0</v>
      </c>
      <c r="DR31" s="369">
        <f>SUMIFS(Collection!$O:$O, Collection!$K:$K, DR$2, Collection!$A:$A, "="&amp;$A31)</f>
        <v>0</v>
      </c>
      <c r="DS31" s="116">
        <f>(SUMIFS('Bucket Counts'!$P:$P, 'Bucket Counts'!$B:$B, DS$2, 'Bucket Counts'!$A:$A, "="&amp;$A31,  'Bucket Counts'!$F:$F, "&lt;&gt;100 Morts",  'Bucket Counts'!$F:$F, "&lt;&gt;224"))</f>
        <v>0</v>
      </c>
      <c r="DT31" s="116">
        <f>(SUMIFS('Bucket Counts'!$P:$P, 'Bucket Counts'!$B:$B, DT$2, 'Bucket Counts'!$A:$A, "="&amp;$A31,  'Bucket Counts'!$F:$F, "100 Morts"))</f>
        <v>0</v>
      </c>
      <c r="DU31" s="116">
        <f>(SUMIFS('Bucket Counts'!$P:$P, 'Bucket Counts'!$B:$B, DU$2, 'Bucket Counts'!$A:$A, "="&amp;$A31,  'Bucket Counts'!$F:$F, "224"))</f>
        <v>0</v>
      </c>
      <c r="DV31" s="116"/>
      <c r="DW31" s="426" t="e">
        <f>(DU31+DS31)/DX30</f>
        <v>#DIV/0!</v>
      </c>
      <c r="DX31" s="370">
        <f>DS29+SUM(DR29:DR31)</f>
        <v>0</v>
      </c>
      <c r="DY31" s="369">
        <f>SUMIFS(Collection!$O:$O, Collection!$K:$K, DY$2, Collection!$A:$A, "="&amp;$A31)</f>
        <v>0</v>
      </c>
      <c r="DZ31" s="116">
        <f>(SUMIFS('Bucket Counts'!$P:$P, 'Bucket Counts'!$B:$B, DZ$2, 'Bucket Counts'!$A:$A, "="&amp;$A31,  'Bucket Counts'!$F:$F, "&lt;&gt;100 Morts",  'Bucket Counts'!$F:$F, "&lt;&gt;224"))</f>
        <v>0</v>
      </c>
      <c r="EA31" s="116">
        <f>(SUMIFS('Bucket Counts'!$P:$P, 'Bucket Counts'!$B:$B, EA$2, 'Bucket Counts'!$A:$A, "="&amp;$A31,  'Bucket Counts'!$F:$F, "100 Morts"))</f>
        <v>0</v>
      </c>
      <c r="EB31" s="116">
        <f>(SUMIFS('Bucket Counts'!$P:$P, 'Bucket Counts'!$B:$B, EB$2, 'Bucket Counts'!$A:$A, "="&amp;$A31,  'Bucket Counts'!$F:$F, "224"))</f>
        <v>0</v>
      </c>
      <c r="EC31" s="116"/>
      <c r="ED31" s="426" t="e">
        <f>(EB31+DZ31)/EE30</f>
        <v>#DIV/0!</v>
      </c>
      <c r="EE31" s="370">
        <f>DZ29+SUM(DY29:DY31)</f>
        <v>0</v>
      </c>
      <c r="EF31" s="369">
        <f>SUMIFS(Collection!$O:$O, Collection!$K:$K, EF$2, Collection!$A:$A, "="&amp;$A31)</f>
        <v>0</v>
      </c>
      <c r="EG31" s="116">
        <f>(SUMIFS('Bucket Counts'!$P:$P, 'Bucket Counts'!$B:$B, EG$2, 'Bucket Counts'!$A:$A, "="&amp;$A31,  'Bucket Counts'!$F:$F, "&lt;&gt;100 Morts",  'Bucket Counts'!$F:$F, "&lt;&gt;224"))</f>
        <v>0</v>
      </c>
      <c r="EH31" s="116">
        <f>(SUMIFS('Bucket Counts'!$P:$P, 'Bucket Counts'!$B:$B, EH$2, 'Bucket Counts'!$A:$A, "="&amp;$A31,  'Bucket Counts'!$F:$F, "100 Morts"))</f>
        <v>0</v>
      </c>
      <c r="EI31" s="116">
        <f>(SUMIFS('Bucket Counts'!$P:$P, 'Bucket Counts'!$B:$B, EI$2, 'Bucket Counts'!$A:$A, "="&amp;$A31,  'Bucket Counts'!$F:$F, "224"))</f>
        <v>0</v>
      </c>
      <c r="EJ31" s="116"/>
      <c r="EK31" s="426" t="e">
        <f>(EI31+EG31)/EL30</f>
        <v>#DIV/0!</v>
      </c>
      <c r="EL31" s="370">
        <f>EG29+SUM(EF29:EF31)</f>
        <v>0</v>
      </c>
    </row>
    <row r="32" spans="1:142" s="434" customFormat="1" x14ac:dyDescent="0.2">
      <c r="A32" s="428">
        <f t="shared" si="0"/>
        <v>42901</v>
      </c>
      <c r="B32" s="428" t="s">
        <v>486</v>
      </c>
      <c r="C32" s="429">
        <f>SUMIFS(Collection!$O:$O, Collection!$K:$K, C$2, Collection!$A:$A, "="&amp;$A32)</f>
        <v>47233.333333333336</v>
      </c>
      <c r="D32" s="430">
        <f>(SUMIFS('Bucket Counts'!$P:$P, 'Bucket Counts'!$B:$B, D$2, 'Bucket Counts'!$A:$A, "="&amp;$A32,  'Bucket Counts'!$F:$F, "&lt;&gt;100 Morts",  'Bucket Counts'!$F:$F, "&lt;&gt;224"))</f>
        <v>91116.666666666657</v>
      </c>
      <c r="E32" s="430">
        <f>(SUMIFS('Bucket Counts'!$P:$P, 'Bucket Counts'!$B:$B, E$2, 'Bucket Counts'!$A:$A, "="&amp;$A32,  'Bucket Counts'!$F:$F, "100 Morts"))</f>
        <v>2666.666666666667</v>
      </c>
      <c r="F32" s="430">
        <f>(SUMIFS('Bucket Counts'!$P:$P, 'Bucket Counts'!$B:$B, F$2, 'Bucket Counts'!$A:$A, "="&amp;$A32,  'Bucket Counts'!$F:$F, "224"))</f>
        <v>466.66666666666663</v>
      </c>
      <c r="G32" s="430">
        <f>I31</f>
        <v>140400</v>
      </c>
      <c r="H32" s="431">
        <f>SUM(D32+F32)</f>
        <v>91583.333333333328</v>
      </c>
      <c r="I32" s="432">
        <f>D32+C32</f>
        <v>138350</v>
      </c>
      <c r="J32" s="429">
        <f>SUMIFS(Collection!$O:$O, Collection!$K:$K, J$2, Collection!$A:$A, "="&amp;$A32)</f>
        <v>0</v>
      </c>
      <c r="K32" s="430">
        <f>(SUMIFS('Bucket Counts'!$P:$P, 'Bucket Counts'!$B:$B, K$2, 'Bucket Counts'!$A:$A, "="&amp;$A32,  'Bucket Counts'!$F:$F, "&lt;&gt;100 Morts",  'Bucket Counts'!$F:$F, "&lt;&gt;224"))</f>
        <v>20650</v>
      </c>
      <c r="L32" s="430">
        <f>(SUMIFS('Bucket Counts'!$P:$P, 'Bucket Counts'!$B:$B, L$2, 'Bucket Counts'!$A:$A, "="&amp;$A32,  'Bucket Counts'!$F:$F, "100 Morts"))</f>
        <v>116.66666666666666</v>
      </c>
      <c r="M32" s="430">
        <f>(SUMIFS('Bucket Counts'!$P:$P, 'Bucket Counts'!$B:$B, M$2, 'Bucket Counts'!$A:$A, "="&amp;$A32,  'Bucket Counts'!$F:$F, "224"))</f>
        <v>1866.6666666666667</v>
      </c>
      <c r="N32" s="430">
        <f>P31</f>
        <v>47113.333333333336</v>
      </c>
      <c r="O32" s="431">
        <f>SUM(K32+M32)</f>
        <v>22516.666666666668</v>
      </c>
      <c r="P32" s="432">
        <f>K32+J32</f>
        <v>20650</v>
      </c>
      <c r="Q32" s="429">
        <f>SUMIFS(Collection!$O:$O, Collection!$K:$K, Q$2, Collection!$A:$A, "="&amp;$A32)</f>
        <v>0</v>
      </c>
      <c r="R32" s="430">
        <f>(SUMIFS('Bucket Counts'!$P:$P, 'Bucket Counts'!$B:$B, R$2, 'Bucket Counts'!$A:$A, "="&amp;$A32,  'Bucket Counts'!$F:$F, "&lt;&gt;100 Morts",  'Bucket Counts'!$F:$F, "&lt;&gt;224"))</f>
        <v>23916.666666666664</v>
      </c>
      <c r="S32" s="430">
        <f>(SUMIFS('Bucket Counts'!$P:$P, 'Bucket Counts'!$B:$B, S$2, 'Bucket Counts'!$A:$A, "="&amp;$A32,  'Bucket Counts'!$F:$F, "100 Morts"))</f>
        <v>0</v>
      </c>
      <c r="T32" s="430">
        <f>(SUMIFS('Bucket Counts'!$P:$P, 'Bucket Counts'!$B:$B, T$2, 'Bucket Counts'!$A:$A, "="&amp;$A32,  'Bucket Counts'!$F:$F, "224"))</f>
        <v>1200</v>
      </c>
      <c r="U32" s="430">
        <f>W31</f>
        <v>43713.333333333336</v>
      </c>
      <c r="V32" s="431">
        <f>SUM(R32+T32)</f>
        <v>25116.666666666664</v>
      </c>
      <c r="W32" s="432">
        <f>R32+Q32</f>
        <v>23916.666666666664</v>
      </c>
      <c r="X32" s="429">
        <f>SUMIFS(Collection!$O:$O, Collection!$K:$K, X$2, Collection!$A:$A, "="&amp;$A32)</f>
        <v>0</v>
      </c>
      <c r="Y32" s="430">
        <f>(SUMIFS('Bucket Counts'!$P:$P, 'Bucket Counts'!$B:$B, Y$2, 'Bucket Counts'!$A:$A, "="&amp;$A32,  'Bucket Counts'!$F:$F, "&lt;&gt;100 Morts",  'Bucket Counts'!$F:$F, "&lt;&gt;224"))</f>
        <v>69490</v>
      </c>
      <c r="Z32" s="430">
        <f>(SUMIFS('Bucket Counts'!$P:$P, 'Bucket Counts'!$B:$B, Z$2, 'Bucket Counts'!$A:$A, "="&amp;$A32,  'Bucket Counts'!$F:$F, "100 Morts"))</f>
        <v>0</v>
      </c>
      <c r="AA32" s="430">
        <f>(SUMIFS('Bucket Counts'!$P:$P, 'Bucket Counts'!$B:$B, AA$2, 'Bucket Counts'!$A:$A, "="&amp;$A32,  'Bucket Counts'!$F:$F, "224"))</f>
        <v>333.33333333333331</v>
      </c>
      <c r="AB32" s="430">
        <f>AD31</f>
        <v>79077.777777777781</v>
      </c>
      <c r="AC32" s="431">
        <f>SUM(Y32+AA32)</f>
        <v>69823.333333333328</v>
      </c>
      <c r="AD32" s="432">
        <f>Y32+X32</f>
        <v>69490</v>
      </c>
      <c r="AE32" s="429">
        <f>SUMIFS(Collection!$O:$O, Collection!$K:$K, AE$2, Collection!$A:$A, "="&amp;$A32)</f>
        <v>48666.666666666664</v>
      </c>
      <c r="AF32" s="430">
        <f>(SUMIFS('Bucket Counts'!$P:$P, 'Bucket Counts'!$B:$B, AF$2, 'Bucket Counts'!$A:$A, "="&amp;$A32,  'Bucket Counts'!$F:$F, "&lt;&gt;100 Morts",  'Bucket Counts'!$F:$F, "&lt;&gt;224"))</f>
        <v>94066.666666666672</v>
      </c>
      <c r="AG32" s="430">
        <f>(SUMIFS('Bucket Counts'!$P:$P, 'Bucket Counts'!$B:$B, AG$2, 'Bucket Counts'!$A:$A, "="&amp;$A32,  'Bucket Counts'!$F:$F, "100 Morts"))</f>
        <v>5510</v>
      </c>
      <c r="AH32" s="430">
        <f>(SUMIFS('Bucket Counts'!$P:$P, 'Bucket Counts'!$B:$B, AH$2, 'Bucket Counts'!$A:$A, "="&amp;$A32,  'Bucket Counts'!$F:$F, "224"))</f>
        <v>30333.333333333332</v>
      </c>
      <c r="AI32" s="430">
        <f>AK31</f>
        <v>146933.33333333331</v>
      </c>
      <c r="AJ32" s="431">
        <f>SUM(AF32+AH32)</f>
        <v>124400</v>
      </c>
      <c r="AK32" s="432">
        <f>AF32+AE32</f>
        <v>142733.33333333334</v>
      </c>
      <c r="AL32" s="429">
        <f>SUMIFS(Collection!$O:$O, Collection!$K:$K, AL$2, Collection!$A:$A, "="&amp;$A32)</f>
        <v>48000</v>
      </c>
      <c r="AM32" s="430">
        <f>(SUMIFS('Bucket Counts'!$P:$P, 'Bucket Counts'!$B:$B, AM$2, 'Bucket Counts'!$A:$A, "="&amp;$A32,  'Bucket Counts'!$F:$F, "&lt;&gt;100 Morts",  'Bucket Counts'!$F:$F, "&lt;&gt;224"))</f>
        <v>106633.33333333334</v>
      </c>
      <c r="AN32" s="430">
        <f>(SUMIFS('Bucket Counts'!$P:$P, 'Bucket Counts'!$B:$B, AN$2, 'Bucket Counts'!$A:$A, "="&amp;$A32,  'Bucket Counts'!$F:$F, "100 Morts"))</f>
        <v>5100</v>
      </c>
      <c r="AO32" s="430">
        <f>(SUMIFS('Bucket Counts'!$P:$P, 'Bucket Counts'!$B:$B, AO$2, 'Bucket Counts'!$A:$A, "="&amp;$A32,  'Bucket Counts'!$F:$F, "224"))</f>
        <v>1600</v>
      </c>
      <c r="AP32" s="430">
        <f>AR31</f>
        <v>115460</v>
      </c>
      <c r="AQ32" s="431">
        <f>SUM(AM32+AO32)</f>
        <v>108233.33333333334</v>
      </c>
      <c r="AR32" s="432">
        <f>AM32+AL32</f>
        <v>154633.33333333334</v>
      </c>
      <c r="AS32" s="429">
        <f>SUMIFS(Collection!$O:$O, Collection!$K:$K, AS$2, Collection!$A:$A, "="&amp;$A32)</f>
        <v>58800</v>
      </c>
      <c r="AT32" s="430">
        <f>(SUMIFS('Bucket Counts'!$P:$P, 'Bucket Counts'!$B:$B, AT$2, 'Bucket Counts'!$A:$A, "="&amp;$A32,  'Bucket Counts'!$F:$F, "&lt;&gt;100 Morts",  'Bucket Counts'!$F:$F, "&lt;&gt;224"))</f>
        <v>20541.666666666664</v>
      </c>
      <c r="AU32" s="430">
        <f>(SUMIFS('Bucket Counts'!$P:$P, 'Bucket Counts'!$B:$B, AU$2, 'Bucket Counts'!$A:$A, "="&amp;$A32,  'Bucket Counts'!$F:$F, "100 Morts"))</f>
        <v>933.33333333333326</v>
      </c>
      <c r="AV32" s="430">
        <f>(SUMIFS('Bucket Counts'!$P:$P, 'Bucket Counts'!$B:$B, AV$2, 'Bucket Counts'!$A:$A, "="&amp;$A32,  'Bucket Counts'!$F:$F, "224"))</f>
        <v>350</v>
      </c>
      <c r="AW32" s="430">
        <f>AY31</f>
        <v>37500</v>
      </c>
      <c r="AX32" s="431">
        <f>SUM(AT32+AV32)</f>
        <v>20891.666666666664</v>
      </c>
      <c r="AY32" s="432">
        <f>AT32+AS32</f>
        <v>79341.666666666657</v>
      </c>
      <c r="AZ32" s="429">
        <f>SUMIFS(Collection!$O:$O, Collection!$K:$K, AZ$2, Collection!$A:$A, "="&amp;$A32)</f>
        <v>45400</v>
      </c>
      <c r="BA32" s="430">
        <f>(SUMIFS('Bucket Counts'!$P:$P, 'Bucket Counts'!$B:$B, BA$2, 'Bucket Counts'!$A:$A, "="&amp;$A32,  'Bucket Counts'!$F:$F, "&lt;&gt;100 Morts",  'Bucket Counts'!$F:$F, "&lt;&gt;224"))</f>
        <v>82466.666666666672</v>
      </c>
      <c r="BB32" s="430">
        <f>(SUMIFS('Bucket Counts'!$P:$P, 'Bucket Counts'!$B:$B, BB$2, 'Bucket Counts'!$A:$A, "="&amp;$A32,  'Bucket Counts'!$F:$F, "100 Morts"))</f>
        <v>14220</v>
      </c>
      <c r="BC32" s="430">
        <f>(SUMIFS('Bucket Counts'!$P:$P, 'Bucket Counts'!$B:$B, BC$2, 'Bucket Counts'!$A:$A, "="&amp;$A32,  'Bucket Counts'!$F:$F, "224"))</f>
        <v>2000</v>
      </c>
      <c r="BD32" s="430">
        <f>BF31</f>
        <v>189646.66666666666</v>
      </c>
      <c r="BE32" s="431">
        <f>SUM(BA32+BC32)</f>
        <v>84466.666666666672</v>
      </c>
      <c r="BF32" s="432">
        <f>BA32+AZ32</f>
        <v>127866.66666666667</v>
      </c>
      <c r="BG32" s="429">
        <f>SUMIFS(Collection!$O:$O, Collection!$K:$K, BG$2, Collection!$A:$A, "="&amp;$A32)</f>
        <v>0</v>
      </c>
      <c r="BH32" s="430">
        <f>(SUMIFS('Bucket Counts'!$P:$P, 'Bucket Counts'!$B:$B, BH$2, 'Bucket Counts'!$A:$A, "="&amp;$A32,  'Bucket Counts'!$F:$F, "&lt;&gt;100 Morts",  'Bucket Counts'!$F:$F, "&lt;&gt;224"))</f>
        <v>47760</v>
      </c>
      <c r="BI32" s="430">
        <f>(SUMIFS('Bucket Counts'!$P:$P, 'Bucket Counts'!$B:$B, BI$2, 'Bucket Counts'!$A:$A, "="&amp;$A32,  'Bucket Counts'!$F:$F, "100 Morts"))</f>
        <v>2820</v>
      </c>
      <c r="BJ32" s="430">
        <f>(SUMIFS('Bucket Counts'!$P:$P, 'Bucket Counts'!$B:$B, BJ$2, 'Bucket Counts'!$A:$A, "="&amp;$A32,  'Bucket Counts'!$F:$F, "224"))</f>
        <v>1516.6666666666667</v>
      </c>
      <c r="BK32" s="430">
        <f>BM31</f>
        <v>72736.666666666657</v>
      </c>
      <c r="BL32" s="431">
        <f>SUM(BH32+BJ32)</f>
        <v>49276.666666666664</v>
      </c>
      <c r="BM32" s="432">
        <f>BH32+BG32</f>
        <v>47760</v>
      </c>
      <c r="BN32" s="429">
        <f>SUMIFS(Collection!$O:$O, Collection!$K:$K, BN$2, Collection!$A:$A, "="&amp;$A32)</f>
        <v>0</v>
      </c>
      <c r="BO32" s="430">
        <f>(SUMIFS('Bucket Counts'!$P:$P, 'Bucket Counts'!$B:$B, BO$2, 'Bucket Counts'!$A:$A, "="&amp;$A32,  'Bucket Counts'!$F:$F, "&lt;&gt;100 Morts",  'Bucket Counts'!$F:$F, "&lt;&gt;224"))</f>
        <v>125458.33333333334</v>
      </c>
      <c r="BP32" s="430">
        <f>(SUMIFS('Bucket Counts'!$P:$P, 'Bucket Counts'!$B:$B, BP$2, 'Bucket Counts'!$A:$A, "="&amp;$A32,  'Bucket Counts'!$F:$F, "100 Morts"))</f>
        <v>1200</v>
      </c>
      <c r="BQ32" s="430">
        <f>(SUMIFS('Bucket Counts'!$P:$P, 'Bucket Counts'!$B:$B, BQ$2, 'Bucket Counts'!$A:$A, "="&amp;$A32,  'Bucket Counts'!$F:$F, "224"))</f>
        <v>5600</v>
      </c>
      <c r="BR32" s="430">
        <f>BT31</f>
        <v>136000</v>
      </c>
      <c r="BS32" s="431">
        <f>SUM(BO32+BQ32)</f>
        <v>131058.33333333334</v>
      </c>
      <c r="BT32" s="432">
        <f>BO32+BN32</f>
        <v>125458.33333333334</v>
      </c>
      <c r="BU32" s="429">
        <f>SUMIFS(Collection!$O:$O, Collection!$K:$K, BU$2, Collection!$A:$A, "="&amp;$A32)</f>
        <v>0</v>
      </c>
      <c r="BV32" s="430">
        <f>(SUMIFS('Bucket Counts'!$P:$P, 'Bucket Counts'!$B:$B, BV$2, 'Bucket Counts'!$A:$A, "="&amp;$A32,  'Bucket Counts'!$F:$F, "&lt;&gt;100 Morts",  'Bucket Counts'!$F:$F, "&lt;&gt;224"))</f>
        <v>55333.333333333336</v>
      </c>
      <c r="BW32" s="430">
        <f>(SUMIFS('Bucket Counts'!$P:$P, 'Bucket Counts'!$B:$B, BW$2, 'Bucket Counts'!$A:$A, "="&amp;$A32,  'Bucket Counts'!$F:$F, "100 Morts"))</f>
        <v>8933.3333333333321</v>
      </c>
      <c r="BX32" s="430">
        <f>(SUMIFS('Bucket Counts'!$P:$P, 'Bucket Counts'!$B:$B, BX$2, 'Bucket Counts'!$A:$A, "="&amp;$A32,  'Bucket Counts'!$F:$F, "224"))</f>
        <v>0</v>
      </c>
      <c r="BY32" s="430">
        <f>CA31</f>
        <v>65666.666666666672</v>
      </c>
      <c r="BZ32" s="431">
        <f>SUM(BV32+BX32)</f>
        <v>55333.333333333336</v>
      </c>
      <c r="CA32" s="432">
        <f>BV32+BU32</f>
        <v>55333.333333333336</v>
      </c>
      <c r="CB32" s="429">
        <f>SUMIFS(Collection!$O:$O, Collection!$K:$K, CB$2, Collection!$A:$A, "="&amp;$A32)</f>
        <v>483.33333333333337</v>
      </c>
      <c r="CC32" s="430">
        <f>(SUMIFS('Bucket Counts'!$P:$P, 'Bucket Counts'!$B:$B, CC$2, 'Bucket Counts'!$A:$A, "="&amp;$A32,  'Bucket Counts'!$F:$F, "&lt;&gt;100 Morts",  'Bucket Counts'!$F:$F, "&lt;&gt;224"))</f>
        <v>28333.333333333332</v>
      </c>
      <c r="CD32" s="430">
        <f>(SUMIFS('Bucket Counts'!$P:$P, 'Bucket Counts'!$B:$B, CD$2, 'Bucket Counts'!$A:$A, "="&amp;$A32,  'Bucket Counts'!$F:$F, "100 Morts"))</f>
        <v>0</v>
      </c>
      <c r="CE32" s="430">
        <f>(SUMIFS('Bucket Counts'!$P:$P, 'Bucket Counts'!$B:$B, CE$2, 'Bucket Counts'!$A:$A, "="&amp;$A32,  'Bucket Counts'!$F:$F, "224"))</f>
        <v>0</v>
      </c>
      <c r="CF32" s="430">
        <f>CH31</f>
        <v>70766.666666666657</v>
      </c>
      <c r="CG32" s="431">
        <f>SUM(CC32+CE32)</f>
        <v>28333.333333333332</v>
      </c>
      <c r="CH32" s="432">
        <f>CC32+CB32</f>
        <v>28816.666666666664</v>
      </c>
      <c r="CI32" s="429">
        <f>SUMIFS(Collection!$O:$O, Collection!$K:$K, CI$2, Collection!$A:$A, "="&amp;$A32)</f>
        <v>18166.666666666668</v>
      </c>
      <c r="CJ32" s="430">
        <f>(SUMIFS('Bucket Counts'!$P:$P, 'Bucket Counts'!$B:$B, CJ$2, 'Bucket Counts'!$A:$A, "="&amp;$A32,  'Bucket Counts'!$F:$F, "&lt;&gt;100 Morts",  'Bucket Counts'!$F:$F, "&lt;&gt;224"))</f>
        <v>52166.666666666664</v>
      </c>
      <c r="CK32" s="430">
        <f>(SUMIFS('Bucket Counts'!$P:$P, 'Bucket Counts'!$B:$B, CK$2, 'Bucket Counts'!$A:$A, "="&amp;$A32,  'Bucket Counts'!$F:$F, "100 Morts"))</f>
        <v>0</v>
      </c>
      <c r="CL32" s="430">
        <f>(SUMIFS('Bucket Counts'!$P:$P, 'Bucket Counts'!$B:$B, CL$2, 'Bucket Counts'!$A:$A, "="&amp;$A32,  'Bucket Counts'!$F:$F, "224"))</f>
        <v>2250</v>
      </c>
      <c r="CM32" s="430">
        <f>CO31</f>
        <v>62773.333333333328</v>
      </c>
      <c r="CN32" s="431">
        <f>SUM(CJ32+CL32)</f>
        <v>54416.666666666664</v>
      </c>
      <c r="CO32" s="432">
        <f>CJ32+CI32</f>
        <v>70333.333333333328</v>
      </c>
      <c r="CP32" s="429">
        <f>SUMIFS(Collection!$O:$O, Collection!$K:$K, CP$2, Collection!$A:$A, "="&amp;$A32)</f>
        <v>0</v>
      </c>
      <c r="CQ32" s="430">
        <f>(SUMIFS('Bucket Counts'!$P:$P, 'Bucket Counts'!$B:$B, CQ$2, 'Bucket Counts'!$A:$A, "="&amp;$A32,  'Bucket Counts'!$F:$F, "&lt;&gt;100 Morts",  'Bucket Counts'!$F:$F, "&lt;&gt;224"))</f>
        <v>3325</v>
      </c>
      <c r="CR32" s="430">
        <f>(SUMIFS('Bucket Counts'!$P:$P, 'Bucket Counts'!$B:$B, CR$2, 'Bucket Counts'!$A:$A, "="&amp;$A32,  'Bucket Counts'!$F:$F, "100 Morts"))</f>
        <v>533.33333333333326</v>
      </c>
      <c r="CS32" s="430">
        <f>(SUMIFS('Bucket Counts'!$P:$P, 'Bucket Counts'!$B:$B, CS$2, 'Bucket Counts'!$A:$A, "="&amp;$A32,  'Bucket Counts'!$F:$F, "224"))</f>
        <v>0</v>
      </c>
      <c r="CT32" s="430">
        <f>CV31</f>
        <v>23886.666666666668</v>
      </c>
      <c r="CU32" s="431">
        <f>SUM(CQ32+CS32)</f>
        <v>3325</v>
      </c>
      <c r="CV32" s="432">
        <f>CQ32+CP32</f>
        <v>3325</v>
      </c>
      <c r="CW32" s="429">
        <f>SUMIFS(Collection!$O:$O, Collection!$K:$K, CW$2, Collection!$A:$A, "="&amp;$A32)</f>
        <v>0</v>
      </c>
      <c r="CX32" s="430">
        <f>(SUMIFS('Bucket Counts'!$P:$P, 'Bucket Counts'!$B:$B, CX$2, 'Bucket Counts'!$A:$A, "="&amp;$A32,  'Bucket Counts'!$F:$F, "&lt;&gt;100 Morts",  'Bucket Counts'!$F:$F, "&lt;&gt;224"))</f>
        <v>64180</v>
      </c>
      <c r="CY32" s="430">
        <f>(SUMIFS('Bucket Counts'!$P:$P, 'Bucket Counts'!$B:$B, CY$2, 'Bucket Counts'!$A:$A, "="&amp;$A32,  'Bucket Counts'!$F:$F, "100 Morts"))</f>
        <v>6133.3333333333339</v>
      </c>
      <c r="CZ32" s="430">
        <f>(SUMIFS('Bucket Counts'!$P:$P, 'Bucket Counts'!$B:$B, CZ$2, 'Bucket Counts'!$A:$A, "="&amp;$A32,  'Bucket Counts'!$F:$F, "224"))</f>
        <v>4025</v>
      </c>
      <c r="DA32" s="430">
        <f>DC31</f>
        <v>94480</v>
      </c>
      <c r="DB32" s="431">
        <f>SUM(CX32+CZ32)</f>
        <v>68205</v>
      </c>
      <c r="DC32" s="432">
        <f>CX32+CW32</f>
        <v>64180</v>
      </c>
      <c r="DD32" s="429">
        <f>SUMIFS(Collection!$O:$O, Collection!$K:$K, DD$2, Collection!$A:$A, "="&amp;$A32)</f>
        <v>0</v>
      </c>
      <c r="DE32" s="430">
        <f>(SUMIFS('Bucket Counts'!$P:$P, 'Bucket Counts'!$B:$B, DE$2, 'Bucket Counts'!$A:$A, "="&amp;$A32,  'Bucket Counts'!$F:$F, "&lt;&gt;100 Morts",  'Bucket Counts'!$F:$F, "&lt;&gt;224"))</f>
        <v>32016.666666666668</v>
      </c>
      <c r="DF32" s="430">
        <f>(SUMIFS('Bucket Counts'!$P:$P, 'Bucket Counts'!$B:$B, DF$2, 'Bucket Counts'!$A:$A, "="&amp;$A32,  'Bucket Counts'!$F:$F, "100 Morts"))</f>
        <v>840</v>
      </c>
      <c r="DG32" s="430">
        <f>(SUMIFS('Bucket Counts'!$P:$P, 'Bucket Counts'!$B:$B, DG$2, 'Bucket Counts'!$A:$A, "="&amp;$A32,  'Bucket Counts'!$F:$F, "224"))</f>
        <v>400</v>
      </c>
      <c r="DH32" s="430">
        <f>DJ31</f>
        <v>47066.666666666664</v>
      </c>
      <c r="DI32" s="431">
        <f>SUM(DE32+DG32)</f>
        <v>32416.666666666668</v>
      </c>
      <c r="DJ32" s="432">
        <f>DE32+DD32</f>
        <v>32016.666666666668</v>
      </c>
      <c r="DK32" s="429">
        <f>SUMIFS(Collection!$O:$O, Collection!$K:$K, DK$2, Collection!$A:$A, "="&amp;$A32)</f>
        <v>0</v>
      </c>
      <c r="DL32" s="430">
        <f>(SUMIFS('Bucket Counts'!$P:$P, 'Bucket Counts'!$B:$B, DL$2, 'Bucket Counts'!$A:$A, "="&amp;$A32,  'Bucket Counts'!$F:$F, "&lt;&gt;100 Morts",  'Bucket Counts'!$F:$F, "&lt;&gt;224"))</f>
        <v>0</v>
      </c>
      <c r="DM32" s="430">
        <f>(SUMIFS('Bucket Counts'!$P:$P, 'Bucket Counts'!$B:$B, DM$2, 'Bucket Counts'!$A:$A, "="&amp;$A32,  'Bucket Counts'!$F:$F, "100 Morts"))</f>
        <v>0</v>
      </c>
      <c r="DN32" s="430">
        <f>(SUMIFS('Bucket Counts'!$P:$P, 'Bucket Counts'!$B:$B, DN$2, 'Bucket Counts'!$A:$A, "="&amp;$A32,  'Bucket Counts'!$F:$F, "224"))</f>
        <v>0</v>
      </c>
      <c r="DO32" s="430">
        <f>DQ31</f>
        <v>0</v>
      </c>
      <c r="DP32" s="431">
        <f>SUM(DL32+DN32)</f>
        <v>0</v>
      </c>
      <c r="DQ32" s="432">
        <f>DL32+DK32</f>
        <v>0</v>
      </c>
      <c r="DR32" s="429">
        <f>SUMIFS(Collection!$O:$O, Collection!$K:$K, DR$2, Collection!$A:$A, "="&amp;$A32)</f>
        <v>0</v>
      </c>
      <c r="DS32" s="430">
        <f>(SUMIFS('Bucket Counts'!$P:$P, 'Bucket Counts'!$B:$B, DS$2, 'Bucket Counts'!$A:$A, "="&amp;$A32,  'Bucket Counts'!$F:$F, "&lt;&gt;100 Morts",  'Bucket Counts'!$F:$F, "&lt;&gt;224"))</f>
        <v>0</v>
      </c>
      <c r="DT32" s="430">
        <f>(SUMIFS('Bucket Counts'!$P:$P, 'Bucket Counts'!$B:$B, DT$2, 'Bucket Counts'!$A:$A, "="&amp;$A32,  'Bucket Counts'!$F:$F, "100 Morts"))</f>
        <v>0</v>
      </c>
      <c r="DU32" s="430">
        <f>(SUMIFS('Bucket Counts'!$P:$P, 'Bucket Counts'!$B:$B, DU$2, 'Bucket Counts'!$A:$A, "="&amp;$A32,  'Bucket Counts'!$F:$F, "224"))</f>
        <v>0</v>
      </c>
      <c r="DV32" s="430">
        <f>DX31</f>
        <v>0</v>
      </c>
      <c r="DW32" s="431">
        <f>SUM(DS32+DU32)</f>
        <v>0</v>
      </c>
      <c r="DX32" s="432">
        <f>DS32+DR32</f>
        <v>0</v>
      </c>
      <c r="DY32" s="429">
        <f>SUMIFS(Collection!$O:$O, Collection!$K:$K, DY$2, Collection!$A:$A, "="&amp;$A32)</f>
        <v>0</v>
      </c>
      <c r="DZ32" s="430">
        <f>(SUMIFS('Bucket Counts'!$P:$P, 'Bucket Counts'!$B:$B, DZ$2, 'Bucket Counts'!$A:$A, "="&amp;$A32,  'Bucket Counts'!$F:$F, "&lt;&gt;100 Morts",  'Bucket Counts'!$F:$F, "&lt;&gt;224"))</f>
        <v>0</v>
      </c>
      <c r="EA32" s="430">
        <f>(SUMIFS('Bucket Counts'!$P:$P, 'Bucket Counts'!$B:$B, EA$2, 'Bucket Counts'!$A:$A, "="&amp;$A32,  'Bucket Counts'!$F:$F, "100 Morts"))</f>
        <v>0</v>
      </c>
      <c r="EB32" s="430">
        <f>(SUMIFS('Bucket Counts'!$P:$P, 'Bucket Counts'!$B:$B, EB$2, 'Bucket Counts'!$A:$A, "="&amp;$A32,  'Bucket Counts'!$F:$F, "224"))</f>
        <v>0</v>
      </c>
      <c r="EC32" s="430">
        <f>EE31</f>
        <v>0</v>
      </c>
      <c r="ED32" s="431">
        <f>SUM(DZ32+EB32)</f>
        <v>0</v>
      </c>
      <c r="EE32" s="432">
        <f>DZ32+DY32</f>
        <v>0</v>
      </c>
      <c r="EF32" s="429">
        <f>SUMIFS(Collection!$O:$O, Collection!$K:$K, EF$2, Collection!$A:$A, "="&amp;$A32)</f>
        <v>0</v>
      </c>
      <c r="EG32" s="430">
        <f>(SUMIFS('Bucket Counts'!$P:$P, 'Bucket Counts'!$B:$B, EG$2, 'Bucket Counts'!$A:$A, "="&amp;$A32,  'Bucket Counts'!$F:$F, "&lt;&gt;100 Morts",  'Bucket Counts'!$F:$F, "&lt;&gt;224"))</f>
        <v>0</v>
      </c>
      <c r="EH32" s="430">
        <f>(SUMIFS('Bucket Counts'!$P:$P, 'Bucket Counts'!$B:$B, EH$2, 'Bucket Counts'!$A:$A, "="&amp;$A32,  'Bucket Counts'!$F:$F, "100 Morts"))</f>
        <v>0</v>
      </c>
      <c r="EI32" s="430">
        <f>(SUMIFS('Bucket Counts'!$P:$P, 'Bucket Counts'!$B:$B, EI$2, 'Bucket Counts'!$A:$A, "="&amp;$A32,  'Bucket Counts'!$F:$F, "224"))</f>
        <v>0</v>
      </c>
      <c r="EJ32" s="430">
        <f>EL31</f>
        <v>0</v>
      </c>
      <c r="EK32" s="431">
        <f>SUM(EG32+EI32)</f>
        <v>0</v>
      </c>
      <c r="EL32" s="432">
        <f>EG32+EF32</f>
        <v>0</v>
      </c>
    </row>
    <row r="33" spans="1:142" x14ac:dyDescent="0.2">
      <c r="A33" s="16">
        <f t="shared" si="0"/>
        <v>42902</v>
      </c>
      <c r="B33" s="16" t="s">
        <v>487</v>
      </c>
      <c r="C33" s="369">
        <f>SUMIFS(Collection!$O:$O, Collection!$K:$K, C$2, Collection!$A:$A, "="&amp;$A33)</f>
        <v>0</v>
      </c>
      <c r="D33" s="116">
        <f>(SUMIFS('Bucket Counts'!$P:$P, 'Bucket Counts'!$B:$B, D$2, 'Bucket Counts'!$A:$A, "="&amp;$A33,  'Bucket Counts'!$F:$F, "&lt;&gt;100 Morts",  'Bucket Counts'!$F:$F, "&lt;&gt;224"))</f>
        <v>0</v>
      </c>
      <c r="E33" s="116">
        <f>(SUMIFS('Bucket Counts'!$P:$P, 'Bucket Counts'!$B:$B, E$2, 'Bucket Counts'!$A:$A, "="&amp;$A33,  'Bucket Counts'!$F:$F, "100 Morts"))</f>
        <v>0</v>
      </c>
      <c r="F33" s="116">
        <f>(SUMIFS('Bucket Counts'!$P:$P, 'Bucket Counts'!$B:$B, F$2, 'Bucket Counts'!$A:$A, "="&amp;$A33,  'Bucket Counts'!$F:$F, "224"))</f>
        <v>0</v>
      </c>
      <c r="G33" s="116"/>
      <c r="H33" s="426">
        <f>(F33+D33)/I32</f>
        <v>0</v>
      </c>
      <c r="I33" s="370">
        <f>D32+SUM(C32:C33)</f>
        <v>138350</v>
      </c>
      <c r="J33" s="369">
        <f>SUMIFS(Collection!$O:$O, Collection!$K:$K, J$2, Collection!$A:$A, "="&amp;$A33)</f>
        <v>0</v>
      </c>
      <c r="K33" s="116">
        <f>(SUMIFS('Bucket Counts'!$P:$P, 'Bucket Counts'!$B:$B, K$2, 'Bucket Counts'!$A:$A, "="&amp;$A33,  'Bucket Counts'!$F:$F, "&lt;&gt;100 Morts",  'Bucket Counts'!$F:$F, "&lt;&gt;224"))</f>
        <v>0</v>
      </c>
      <c r="L33" s="116">
        <f>(SUMIFS('Bucket Counts'!$P:$P, 'Bucket Counts'!$B:$B, L$2, 'Bucket Counts'!$A:$A, "="&amp;$A33,  'Bucket Counts'!$F:$F, "100 Morts"))</f>
        <v>0</v>
      </c>
      <c r="M33" s="116">
        <f>(SUMIFS('Bucket Counts'!$P:$P, 'Bucket Counts'!$B:$B, M$2, 'Bucket Counts'!$A:$A, "="&amp;$A33,  'Bucket Counts'!$F:$F, "224"))</f>
        <v>0</v>
      </c>
      <c r="N33" s="116"/>
      <c r="O33" s="426">
        <f>(M33+K33)/P32</f>
        <v>0</v>
      </c>
      <c r="P33" s="370">
        <f>K32+SUM(J32:J33)</f>
        <v>20650</v>
      </c>
      <c r="Q33" s="369">
        <f>SUMIFS(Collection!$O:$O, Collection!$K:$K, Q$2, Collection!$A:$A, "="&amp;$A33)</f>
        <v>0</v>
      </c>
      <c r="R33" s="116">
        <f>(SUMIFS('Bucket Counts'!$P:$P, 'Bucket Counts'!$B:$B, R$2, 'Bucket Counts'!$A:$A, "="&amp;$A33,  'Bucket Counts'!$F:$F, "&lt;&gt;100 Morts",  'Bucket Counts'!$F:$F, "&lt;&gt;224"))</f>
        <v>0</v>
      </c>
      <c r="S33" s="116">
        <f>(SUMIFS('Bucket Counts'!$P:$P, 'Bucket Counts'!$B:$B, S$2, 'Bucket Counts'!$A:$A, "="&amp;$A33,  'Bucket Counts'!$F:$F, "100 Morts"))</f>
        <v>0</v>
      </c>
      <c r="T33" s="116">
        <f>(SUMIFS('Bucket Counts'!$P:$P, 'Bucket Counts'!$B:$B, T$2, 'Bucket Counts'!$A:$A, "="&amp;$A33,  'Bucket Counts'!$F:$F, "224"))</f>
        <v>0</v>
      </c>
      <c r="U33" s="116"/>
      <c r="V33" s="426">
        <f>(T33+R33)/W32</f>
        <v>0</v>
      </c>
      <c r="W33" s="370">
        <f>R32+SUM(Q32:Q33)</f>
        <v>23916.666666666664</v>
      </c>
      <c r="X33" s="369">
        <f>SUMIFS(Collection!$O:$O, Collection!$K:$K, X$2, Collection!$A:$A, "="&amp;$A33)</f>
        <v>0</v>
      </c>
      <c r="Y33" s="116">
        <f>(SUMIFS('Bucket Counts'!$P:$P, 'Bucket Counts'!$B:$B, Y$2, 'Bucket Counts'!$A:$A, "="&amp;$A33,  'Bucket Counts'!$F:$F, "&lt;&gt;100 Morts",  'Bucket Counts'!$F:$F, "&lt;&gt;224"))</f>
        <v>0</v>
      </c>
      <c r="Z33" s="116">
        <f>(SUMIFS('Bucket Counts'!$P:$P, 'Bucket Counts'!$B:$B, Z$2, 'Bucket Counts'!$A:$A, "="&amp;$A33,  'Bucket Counts'!$F:$F, "100 Morts"))</f>
        <v>0</v>
      </c>
      <c r="AA33" s="116">
        <f>(SUMIFS('Bucket Counts'!$P:$P, 'Bucket Counts'!$B:$B, AA$2, 'Bucket Counts'!$A:$A, "="&amp;$A33,  'Bucket Counts'!$F:$F, "224"))</f>
        <v>0</v>
      </c>
      <c r="AB33" s="116"/>
      <c r="AC33" s="426">
        <f>(AA33+Y33)/AD32</f>
        <v>0</v>
      </c>
      <c r="AD33" s="370">
        <f>Y32+SUM(X32:X33)</f>
        <v>69490</v>
      </c>
      <c r="AE33" s="369">
        <f>SUMIFS(Collection!$O:$O, Collection!$K:$K, AE$2, Collection!$A:$A, "="&amp;$A33)</f>
        <v>0</v>
      </c>
      <c r="AF33" s="116">
        <f>(SUMIFS('Bucket Counts'!$P:$P, 'Bucket Counts'!$B:$B, AF$2, 'Bucket Counts'!$A:$A, "="&amp;$A33,  'Bucket Counts'!$F:$F, "&lt;&gt;100 Morts",  'Bucket Counts'!$F:$F, "&lt;&gt;224"))</f>
        <v>0</v>
      </c>
      <c r="AG33" s="116">
        <f>(SUMIFS('Bucket Counts'!$P:$P, 'Bucket Counts'!$B:$B, AG$2, 'Bucket Counts'!$A:$A, "="&amp;$A33,  'Bucket Counts'!$F:$F, "100 Morts"))</f>
        <v>0</v>
      </c>
      <c r="AH33" s="116">
        <f>(SUMIFS('Bucket Counts'!$P:$P, 'Bucket Counts'!$B:$B, AH$2, 'Bucket Counts'!$A:$A, "="&amp;$A33,  'Bucket Counts'!$F:$F, "224"))</f>
        <v>0</v>
      </c>
      <c r="AI33" s="116"/>
      <c r="AJ33" s="426">
        <f>(AH33+AF33)/AK32</f>
        <v>0</v>
      </c>
      <c r="AK33" s="370">
        <f>AF32+SUM(AE32:AE33)</f>
        <v>142733.33333333334</v>
      </c>
      <c r="AL33" s="369">
        <f>SUMIFS(Collection!$O:$O, Collection!$K:$K, AL$2, Collection!$A:$A, "="&amp;$A33)</f>
        <v>0</v>
      </c>
      <c r="AM33" s="116">
        <f>(SUMIFS('Bucket Counts'!$P:$P, 'Bucket Counts'!$B:$B, AM$2, 'Bucket Counts'!$A:$A, "="&amp;$A33,  'Bucket Counts'!$F:$F, "&lt;&gt;100 Morts",  'Bucket Counts'!$F:$F, "&lt;&gt;224"))</f>
        <v>0</v>
      </c>
      <c r="AN33" s="116">
        <f>(SUMIFS('Bucket Counts'!$P:$P, 'Bucket Counts'!$B:$B, AN$2, 'Bucket Counts'!$A:$A, "="&amp;$A33,  'Bucket Counts'!$F:$F, "100 Morts"))</f>
        <v>0</v>
      </c>
      <c r="AO33" s="116">
        <f>(SUMIFS('Bucket Counts'!$P:$P, 'Bucket Counts'!$B:$B, AO$2, 'Bucket Counts'!$A:$A, "="&amp;$A33,  'Bucket Counts'!$F:$F, "224"))</f>
        <v>0</v>
      </c>
      <c r="AP33" s="116"/>
      <c r="AQ33" s="426">
        <f>(AO33+AM33)/AR32</f>
        <v>0</v>
      </c>
      <c r="AR33" s="370">
        <f>AM32+SUM(AL32:AL33)</f>
        <v>154633.33333333334</v>
      </c>
      <c r="AS33" s="369">
        <f>SUMIFS(Collection!$O:$O, Collection!$K:$K, AS$2, Collection!$A:$A, "="&amp;$A33)</f>
        <v>0</v>
      </c>
      <c r="AT33" s="116">
        <f>(SUMIFS('Bucket Counts'!$P:$P, 'Bucket Counts'!$B:$B, AT$2, 'Bucket Counts'!$A:$A, "="&amp;$A33,  'Bucket Counts'!$F:$F, "&lt;&gt;100 Morts",  'Bucket Counts'!$F:$F, "&lt;&gt;224"))</f>
        <v>0</v>
      </c>
      <c r="AU33" s="116">
        <f>(SUMIFS('Bucket Counts'!$P:$P, 'Bucket Counts'!$B:$B, AU$2, 'Bucket Counts'!$A:$A, "="&amp;$A33,  'Bucket Counts'!$F:$F, "100 Morts"))</f>
        <v>0</v>
      </c>
      <c r="AV33" s="116">
        <f>(SUMIFS('Bucket Counts'!$P:$P, 'Bucket Counts'!$B:$B, AV$2, 'Bucket Counts'!$A:$A, "="&amp;$A33,  'Bucket Counts'!$F:$F, "224"))</f>
        <v>0</v>
      </c>
      <c r="AW33" s="116"/>
      <c r="AX33" s="426">
        <f>(AV33+AT33)/AY32</f>
        <v>0</v>
      </c>
      <c r="AY33" s="370">
        <f>AT32+SUM(AS32:AS33)</f>
        <v>79341.666666666657</v>
      </c>
      <c r="AZ33" s="369">
        <f>SUMIFS(Collection!$O:$O, Collection!$K:$K, AZ$2, Collection!$A:$A, "="&amp;$A33)</f>
        <v>0</v>
      </c>
      <c r="BA33" s="116">
        <f>(SUMIFS('Bucket Counts'!$P:$P, 'Bucket Counts'!$B:$B, BA$2, 'Bucket Counts'!$A:$A, "="&amp;$A33,  'Bucket Counts'!$F:$F, "&lt;&gt;100 Morts",  'Bucket Counts'!$F:$F, "&lt;&gt;224"))</f>
        <v>0</v>
      </c>
      <c r="BB33" s="116">
        <f>(SUMIFS('Bucket Counts'!$P:$P, 'Bucket Counts'!$B:$B, BB$2, 'Bucket Counts'!$A:$A, "="&amp;$A33,  'Bucket Counts'!$F:$F, "100 Morts"))</f>
        <v>0</v>
      </c>
      <c r="BC33" s="116">
        <f>(SUMIFS('Bucket Counts'!$P:$P, 'Bucket Counts'!$B:$B, BC$2, 'Bucket Counts'!$A:$A, "="&amp;$A33,  'Bucket Counts'!$F:$F, "224"))</f>
        <v>0</v>
      </c>
      <c r="BD33" s="116"/>
      <c r="BE33" s="426">
        <f>(BC33+BA33)/BF32</f>
        <v>0</v>
      </c>
      <c r="BF33" s="370">
        <f>BA32+SUM(AZ32:AZ33)</f>
        <v>127866.66666666667</v>
      </c>
      <c r="BG33" s="369">
        <f>SUMIFS(Collection!$O:$O, Collection!$K:$K, BG$2, Collection!$A:$A, "="&amp;$A33)</f>
        <v>0</v>
      </c>
      <c r="BH33" s="116">
        <f>(SUMIFS('Bucket Counts'!$P:$P, 'Bucket Counts'!$B:$B, BH$2, 'Bucket Counts'!$A:$A, "="&amp;$A33,  'Bucket Counts'!$F:$F, "&lt;&gt;100 Morts",  'Bucket Counts'!$F:$F, "&lt;&gt;224"))</f>
        <v>0</v>
      </c>
      <c r="BI33" s="116">
        <f>(SUMIFS('Bucket Counts'!$P:$P, 'Bucket Counts'!$B:$B, BI$2, 'Bucket Counts'!$A:$A, "="&amp;$A33,  'Bucket Counts'!$F:$F, "100 Morts"))</f>
        <v>0</v>
      </c>
      <c r="BJ33" s="116">
        <f>(SUMIFS('Bucket Counts'!$P:$P, 'Bucket Counts'!$B:$B, BJ$2, 'Bucket Counts'!$A:$A, "="&amp;$A33,  'Bucket Counts'!$F:$F, "224"))</f>
        <v>0</v>
      </c>
      <c r="BK33" s="116"/>
      <c r="BL33" s="426">
        <f>(BJ33+BH33)/BM32</f>
        <v>0</v>
      </c>
      <c r="BM33" s="370">
        <f>BH32+SUM(BG32:BG33)</f>
        <v>47760</v>
      </c>
      <c r="BN33" s="369">
        <f>SUMIFS(Collection!$O:$O, Collection!$K:$K, BN$2, Collection!$A:$A, "="&amp;$A33)</f>
        <v>0</v>
      </c>
      <c r="BO33" s="116">
        <f>(SUMIFS('Bucket Counts'!$P:$P, 'Bucket Counts'!$B:$B, BO$2, 'Bucket Counts'!$A:$A, "="&amp;$A33,  'Bucket Counts'!$F:$F, "&lt;&gt;100 Morts",  'Bucket Counts'!$F:$F, "&lt;&gt;224"))</f>
        <v>0</v>
      </c>
      <c r="BP33" s="116">
        <f>(SUMIFS('Bucket Counts'!$P:$P, 'Bucket Counts'!$B:$B, BP$2, 'Bucket Counts'!$A:$A, "="&amp;$A33,  'Bucket Counts'!$F:$F, "100 Morts"))</f>
        <v>0</v>
      </c>
      <c r="BQ33" s="116">
        <f>(SUMIFS('Bucket Counts'!$P:$P, 'Bucket Counts'!$B:$B, BQ$2, 'Bucket Counts'!$A:$A, "="&amp;$A33,  'Bucket Counts'!$F:$F, "224"))</f>
        <v>0</v>
      </c>
      <c r="BR33" s="116"/>
      <c r="BS33" s="426">
        <f>(BQ33+BO33)/BT32</f>
        <v>0</v>
      </c>
      <c r="BT33" s="370">
        <f>BO32+SUM(BN32:BN33)</f>
        <v>125458.33333333334</v>
      </c>
      <c r="BU33" s="369">
        <f>SUMIFS(Collection!$O:$O, Collection!$K:$K, BU$2, Collection!$A:$A, "="&amp;$A33)</f>
        <v>0</v>
      </c>
      <c r="BV33" s="116">
        <f>(SUMIFS('Bucket Counts'!$P:$P, 'Bucket Counts'!$B:$B, BV$2, 'Bucket Counts'!$A:$A, "="&amp;$A33,  'Bucket Counts'!$F:$F, "&lt;&gt;100 Morts",  'Bucket Counts'!$F:$F, "&lt;&gt;224"))</f>
        <v>0</v>
      </c>
      <c r="BW33" s="116">
        <f>(SUMIFS('Bucket Counts'!$P:$P, 'Bucket Counts'!$B:$B, BW$2, 'Bucket Counts'!$A:$A, "="&amp;$A33,  'Bucket Counts'!$F:$F, "100 Morts"))</f>
        <v>0</v>
      </c>
      <c r="BX33" s="116">
        <f>(SUMIFS('Bucket Counts'!$P:$P, 'Bucket Counts'!$B:$B, BX$2, 'Bucket Counts'!$A:$A, "="&amp;$A33,  'Bucket Counts'!$F:$F, "224"))</f>
        <v>0</v>
      </c>
      <c r="BY33" s="116"/>
      <c r="BZ33" s="426">
        <f>(BX33+BV33)/CA32</f>
        <v>0</v>
      </c>
      <c r="CA33" s="370">
        <f>BV32+SUM(BU32:BU33)</f>
        <v>55333.333333333336</v>
      </c>
      <c r="CB33" s="369">
        <f>SUMIFS(Collection!$O:$O, Collection!$K:$K, CB$2, Collection!$A:$A, "="&amp;$A33)</f>
        <v>0</v>
      </c>
      <c r="CC33" s="116">
        <f>(SUMIFS('Bucket Counts'!$P:$P, 'Bucket Counts'!$B:$B, CC$2, 'Bucket Counts'!$A:$A, "="&amp;$A33,  'Bucket Counts'!$F:$F, "&lt;&gt;100 Morts",  'Bucket Counts'!$F:$F, "&lt;&gt;224"))</f>
        <v>0</v>
      </c>
      <c r="CD33" s="116">
        <f>(SUMIFS('Bucket Counts'!$P:$P, 'Bucket Counts'!$B:$B, CD$2, 'Bucket Counts'!$A:$A, "="&amp;$A33,  'Bucket Counts'!$F:$F, "100 Morts"))</f>
        <v>0</v>
      </c>
      <c r="CE33" s="116">
        <f>(SUMIFS('Bucket Counts'!$P:$P, 'Bucket Counts'!$B:$B, CE$2, 'Bucket Counts'!$A:$A, "="&amp;$A33,  'Bucket Counts'!$F:$F, "224"))</f>
        <v>0</v>
      </c>
      <c r="CF33" s="116"/>
      <c r="CG33" s="426">
        <f>(CE33+CC33)/CH32</f>
        <v>0</v>
      </c>
      <c r="CH33" s="370">
        <f>CC32+SUM(CB32:CB33)</f>
        <v>28816.666666666664</v>
      </c>
      <c r="CI33" s="369">
        <f>SUMIFS(Collection!$O:$O, Collection!$K:$K, CI$2, Collection!$A:$A, "="&amp;$A33)</f>
        <v>0</v>
      </c>
      <c r="CJ33" s="116">
        <f>(SUMIFS('Bucket Counts'!$P:$P, 'Bucket Counts'!$B:$B, CJ$2, 'Bucket Counts'!$A:$A, "="&amp;$A33,  'Bucket Counts'!$F:$F, "&lt;&gt;100 Morts",  'Bucket Counts'!$F:$F, "&lt;&gt;224"))</f>
        <v>0</v>
      </c>
      <c r="CK33" s="116">
        <f>(SUMIFS('Bucket Counts'!$P:$P, 'Bucket Counts'!$B:$B, CK$2, 'Bucket Counts'!$A:$A, "="&amp;$A33,  'Bucket Counts'!$F:$F, "100 Morts"))</f>
        <v>0</v>
      </c>
      <c r="CL33" s="116">
        <f>(SUMIFS('Bucket Counts'!$P:$P, 'Bucket Counts'!$B:$B, CL$2, 'Bucket Counts'!$A:$A, "="&amp;$A33,  'Bucket Counts'!$F:$F, "224"))</f>
        <v>0</v>
      </c>
      <c r="CM33" s="116"/>
      <c r="CN33" s="426">
        <f>(CL33+CJ33)/CO32</f>
        <v>0</v>
      </c>
      <c r="CO33" s="370">
        <f>CJ32+SUM(CI32:CI33)</f>
        <v>70333.333333333328</v>
      </c>
      <c r="CP33" s="369">
        <f>SUMIFS(Collection!$O:$O, Collection!$K:$K, CP$2, Collection!$A:$A, "="&amp;$A33)</f>
        <v>0</v>
      </c>
      <c r="CQ33" s="116">
        <f>(SUMIFS('Bucket Counts'!$P:$P, 'Bucket Counts'!$B:$B, CQ$2, 'Bucket Counts'!$A:$A, "="&amp;$A33,  'Bucket Counts'!$F:$F, "&lt;&gt;100 Morts",  'Bucket Counts'!$F:$F, "&lt;&gt;224"))</f>
        <v>0</v>
      </c>
      <c r="CR33" s="116">
        <f>(SUMIFS('Bucket Counts'!$P:$P, 'Bucket Counts'!$B:$B, CR$2, 'Bucket Counts'!$A:$A, "="&amp;$A33,  'Bucket Counts'!$F:$F, "100 Morts"))</f>
        <v>0</v>
      </c>
      <c r="CS33" s="116">
        <f>(SUMIFS('Bucket Counts'!$P:$P, 'Bucket Counts'!$B:$B, CS$2, 'Bucket Counts'!$A:$A, "="&amp;$A33,  'Bucket Counts'!$F:$F, "224"))</f>
        <v>0</v>
      </c>
      <c r="CT33" s="116"/>
      <c r="CU33" s="426">
        <f>(CS33+CQ33)/CV32</f>
        <v>0</v>
      </c>
      <c r="CV33" s="370">
        <f>CQ32+SUM(CP32:CP33)</f>
        <v>3325</v>
      </c>
      <c r="CW33" s="369">
        <f>SUMIFS(Collection!$O:$O, Collection!$K:$K, CW$2, Collection!$A:$A, "="&amp;$A33)</f>
        <v>0</v>
      </c>
      <c r="CX33" s="116">
        <f>(SUMIFS('Bucket Counts'!$P:$P, 'Bucket Counts'!$B:$B, CX$2, 'Bucket Counts'!$A:$A, "="&amp;$A33,  'Bucket Counts'!$F:$F, "&lt;&gt;100 Morts",  'Bucket Counts'!$F:$F, "&lt;&gt;224"))</f>
        <v>0</v>
      </c>
      <c r="CY33" s="116">
        <f>(SUMIFS('Bucket Counts'!$P:$P, 'Bucket Counts'!$B:$B, CY$2, 'Bucket Counts'!$A:$A, "="&amp;$A33,  'Bucket Counts'!$F:$F, "100 Morts"))</f>
        <v>0</v>
      </c>
      <c r="CZ33" s="116">
        <f>(SUMIFS('Bucket Counts'!$P:$P, 'Bucket Counts'!$B:$B, CZ$2, 'Bucket Counts'!$A:$A, "="&amp;$A33,  'Bucket Counts'!$F:$F, "224"))</f>
        <v>0</v>
      </c>
      <c r="DA33" s="116"/>
      <c r="DB33" s="426">
        <f>(CZ33+CX33)/DC32</f>
        <v>0</v>
      </c>
      <c r="DC33" s="370">
        <f>CX32+SUM(CW32:CW33)</f>
        <v>64180</v>
      </c>
      <c r="DD33" s="369">
        <f>SUMIFS(Collection!$O:$O, Collection!$K:$K, DD$2, Collection!$A:$A, "="&amp;$A33)</f>
        <v>0</v>
      </c>
      <c r="DE33" s="116">
        <f>(SUMIFS('Bucket Counts'!$P:$P, 'Bucket Counts'!$B:$B, DE$2, 'Bucket Counts'!$A:$A, "="&amp;$A33,  'Bucket Counts'!$F:$F, "&lt;&gt;100 Morts",  'Bucket Counts'!$F:$F, "&lt;&gt;224"))</f>
        <v>0</v>
      </c>
      <c r="DF33" s="116">
        <f>(SUMIFS('Bucket Counts'!$P:$P, 'Bucket Counts'!$B:$B, DF$2, 'Bucket Counts'!$A:$A, "="&amp;$A33,  'Bucket Counts'!$F:$F, "100 Morts"))</f>
        <v>0</v>
      </c>
      <c r="DG33" s="116">
        <f>(SUMIFS('Bucket Counts'!$P:$P, 'Bucket Counts'!$B:$B, DG$2, 'Bucket Counts'!$A:$A, "="&amp;$A33,  'Bucket Counts'!$F:$F, "224"))</f>
        <v>0</v>
      </c>
      <c r="DH33" s="116"/>
      <c r="DI33" s="426">
        <f>(DG33+DE33)/DJ32</f>
        <v>0</v>
      </c>
      <c r="DJ33" s="370">
        <f>DE32+SUM(DD32:DD33)</f>
        <v>32016.666666666668</v>
      </c>
      <c r="DK33" s="369">
        <f>SUMIFS(Collection!$O:$O, Collection!$K:$K, DK$2, Collection!$A:$A, "="&amp;$A33)</f>
        <v>0</v>
      </c>
      <c r="DL33" s="116">
        <f>(SUMIFS('Bucket Counts'!$P:$P, 'Bucket Counts'!$B:$B, DL$2, 'Bucket Counts'!$A:$A, "="&amp;$A33,  'Bucket Counts'!$F:$F, "&lt;&gt;100 Morts",  'Bucket Counts'!$F:$F, "&lt;&gt;224"))</f>
        <v>0</v>
      </c>
      <c r="DM33" s="116">
        <f>(SUMIFS('Bucket Counts'!$P:$P, 'Bucket Counts'!$B:$B, DM$2, 'Bucket Counts'!$A:$A, "="&amp;$A33,  'Bucket Counts'!$F:$F, "100 Morts"))</f>
        <v>0</v>
      </c>
      <c r="DN33" s="116">
        <f>(SUMIFS('Bucket Counts'!$P:$P, 'Bucket Counts'!$B:$B, DN$2, 'Bucket Counts'!$A:$A, "="&amp;$A33,  'Bucket Counts'!$F:$F, "224"))</f>
        <v>0</v>
      </c>
      <c r="DO33" s="116"/>
      <c r="DP33" s="426" t="e">
        <f>(DN33+DL33)/DQ32</f>
        <v>#DIV/0!</v>
      </c>
      <c r="DQ33" s="370">
        <f>DL32+SUM(DK32:DK33)</f>
        <v>0</v>
      </c>
      <c r="DR33" s="369">
        <f>SUMIFS(Collection!$O:$O, Collection!$K:$K, DR$2, Collection!$A:$A, "="&amp;$A33)</f>
        <v>0</v>
      </c>
      <c r="DS33" s="116">
        <f>(SUMIFS('Bucket Counts'!$P:$P, 'Bucket Counts'!$B:$B, DS$2, 'Bucket Counts'!$A:$A, "="&amp;$A33,  'Bucket Counts'!$F:$F, "&lt;&gt;100 Morts",  'Bucket Counts'!$F:$F, "&lt;&gt;224"))</f>
        <v>0</v>
      </c>
      <c r="DT33" s="116">
        <f>(SUMIFS('Bucket Counts'!$P:$P, 'Bucket Counts'!$B:$B, DT$2, 'Bucket Counts'!$A:$A, "="&amp;$A33,  'Bucket Counts'!$F:$F, "100 Morts"))</f>
        <v>0</v>
      </c>
      <c r="DU33" s="116">
        <f>(SUMIFS('Bucket Counts'!$P:$P, 'Bucket Counts'!$B:$B, DU$2, 'Bucket Counts'!$A:$A, "="&amp;$A33,  'Bucket Counts'!$F:$F, "224"))</f>
        <v>0</v>
      </c>
      <c r="DV33" s="116"/>
      <c r="DW33" s="426" t="e">
        <f>(DU33+DS33)/DX32</f>
        <v>#DIV/0!</v>
      </c>
      <c r="DX33" s="370">
        <f>DS32+SUM(DR32:DR33)</f>
        <v>0</v>
      </c>
      <c r="DY33" s="369">
        <f>SUMIFS(Collection!$O:$O, Collection!$K:$K, DY$2, Collection!$A:$A, "="&amp;$A33)</f>
        <v>0</v>
      </c>
      <c r="DZ33" s="116">
        <f>(SUMIFS('Bucket Counts'!$P:$P, 'Bucket Counts'!$B:$B, DZ$2, 'Bucket Counts'!$A:$A, "="&amp;$A33,  'Bucket Counts'!$F:$F, "&lt;&gt;100 Morts",  'Bucket Counts'!$F:$F, "&lt;&gt;224"))</f>
        <v>0</v>
      </c>
      <c r="EA33" s="116">
        <f>(SUMIFS('Bucket Counts'!$P:$P, 'Bucket Counts'!$B:$B, EA$2, 'Bucket Counts'!$A:$A, "="&amp;$A33,  'Bucket Counts'!$F:$F, "100 Morts"))</f>
        <v>0</v>
      </c>
      <c r="EB33" s="116">
        <f>(SUMIFS('Bucket Counts'!$P:$P, 'Bucket Counts'!$B:$B, EB$2, 'Bucket Counts'!$A:$A, "="&amp;$A33,  'Bucket Counts'!$F:$F, "224"))</f>
        <v>0</v>
      </c>
      <c r="EC33" s="116"/>
      <c r="ED33" s="426" t="e">
        <f>(EB33+DZ33)/EE32</f>
        <v>#DIV/0!</v>
      </c>
      <c r="EE33" s="370">
        <f>DZ32+SUM(DY32:DY33)</f>
        <v>0</v>
      </c>
      <c r="EF33" s="369">
        <f>SUMIFS(Collection!$O:$O, Collection!$K:$K, EF$2, Collection!$A:$A, "="&amp;$A33)</f>
        <v>0</v>
      </c>
      <c r="EG33" s="116">
        <f>(SUMIFS('Bucket Counts'!$P:$P, 'Bucket Counts'!$B:$B, EG$2, 'Bucket Counts'!$A:$A, "="&amp;$A33,  'Bucket Counts'!$F:$F, "&lt;&gt;100 Morts",  'Bucket Counts'!$F:$F, "&lt;&gt;224"))</f>
        <v>0</v>
      </c>
      <c r="EH33" s="116">
        <f>(SUMIFS('Bucket Counts'!$P:$P, 'Bucket Counts'!$B:$B, EH$2, 'Bucket Counts'!$A:$A, "="&amp;$A33,  'Bucket Counts'!$F:$F, "100 Morts"))</f>
        <v>0</v>
      </c>
      <c r="EI33" s="116">
        <f>(SUMIFS('Bucket Counts'!$P:$P, 'Bucket Counts'!$B:$B, EI$2, 'Bucket Counts'!$A:$A, "="&amp;$A33,  'Bucket Counts'!$F:$F, "224"))</f>
        <v>0</v>
      </c>
      <c r="EJ33" s="116"/>
      <c r="EK33" s="426" t="e">
        <f>(EI33+EG33)/EL32</f>
        <v>#DIV/0!</v>
      </c>
      <c r="EL33" s="370">
        <f>EG32+SUM(EF32:EF33)</f>
        <v>0</v>
      </c>
    </row>
    <row r="34" spans="1:142" x14ac:dyDescent="0.2">
      <c r="A34" s="16">
        <f t="shared" si="0"/>
        <v>42903</v>
      </c>
      <c r="B34" s="16" t="s">
        <v>487</v>
      </c>
      <c r="C34" s="369">
        <f>SUMIFS(Collection!$O:$O, Collection!$K:$K, C$2, Collection!$A:$A, "="&amp;$A34)</f>
        <v>666.66666666666663</v>
      </c>
      <c r="D34" s="116">
        <f>(SUMIFS('Bucket Counts'!$P:$P, 'Bucket Counts'!$B:$B, D$2, 'Bucket Counts'!$A:$A, "="&amp;$A34,  'Bucket Counts'!$F:$F, "&lt;&gt;100 Morts",  'Bucket Counts'!$F:$F, "&lt;&gt;224"))</f>
        <v>0</v>
      </c>
      <c r="E34" s="116">
        <f>(SUMIFS('Bucket Counts'!$P:$P, 'Bucket Counts'!$B:$B, E$2, 'Bucket Counts'!$A:$A, "="&amp;$A34,  'Bucket Counts'!$F:$F, "100 Morts"))</f>
        <v>0</v>
      </c>
      <c r="F34" s="116">
        <f>(SUMIFS('Bucket Counts'!$P:$P, 'Bucket Counts'!$B:$B, F$2, 'Bucket Counts'!$A:$A, "="&amp;$A34,  'Bucket Counts'!$F:$F, "224"))</f>
        <v>0</v>
      </c>
      <c r="G34" s="116"/>
      <c r="H34" s="426">
        <f>(F34+D34)/I33</f>
        <v>0</v>
      </c>
      <c r="I34" s="370">
        <f>D32+SUM(C32:C34)</f>
        <v>139016.66666666666</v>
      </c>
      <c r="J34" s="369">
        <f>SUMIFS(Collection!$O:$O, Collection!$K:$K, J$2, Collection!$A:$A, "="&amp;$A34)</f>
        <v>0</v>
      </c>
      <c r="K34" s="116">
        <f>(SUMIFS('Bucket Counts'!$P:$P, 'Bucket Counts'!$B:$B, K$2, 'Bucket Counts'!$A:$A, "="&amp;$A34,  'Bucket Counts'!$F:$F, "&lt;&gt;100 Morts",  'Bucket Counts'!$F:$F, "&lt;&gt;224"))</f>
        <v>0</v>
      </c>
      <c r="L34" s="116">
        <f>(SUMIFS('Bucket Counts'!$P:$P, 'Bucket Counts'!$B:$B, L$2, 'Bucket Counts'!$A:$A, "="&amp;$A34,  'Bucket Counts'!$F:$F, "100 Morts"))</f>
        <v>0</v>
      </c>
      <c r="M34" s="116">
        <f>(SUMIFS('Bucket Counts'!$P:$P, 'Bucket Counts'!$B:$B, M$2, 'Bucket Counts'!$A:$A, "="&amp;$A34,  'Bucket Counts'!$F:$F, "224"))</f>
        <v>0</v>
      </c>
      <c r="N34" s="116"/>
      <c r="O34" s="426">
        <f>(M34+K34)/P33</f>
        <v>0</v>
      </c>
      <c r="P34" s="370">
        <f>K32+SUM(J32:J34)</f>
        <v>20650</v>
      </c>
      <c r="Q34" s="369">
        <f>SUMIFS(Collection!$O:$O, Collection!$K:$K, Q$2, Collection!$A:$A, "="&amp;$A34)</f>
        <v>0</v>
      </c>
      <c r="R34" s="116">
        <f>(SUMIFS('Bucket Counts'!$P:$P, 'Bucket Counts'!$B:$B, R$2, 'Bucket Counts'!$A:$A, "="&amp;$A34,  'Bucket Counts'!$F:$F, "&lt;&gt;100 Morts",  'Bucket Counts'!$F:$F, "&lt;&gt;224"))</f>
        <v>0</v>
      </c>
      <c r="S34" s="116">
        <f>(SUMIFS('Bucket Counts'!$P:$P, 'Bucket Counts'!$B:$B, S$2, 'Bucket Counts'!$A:$A, "="&amp;$A34,  'Bucket Counts'!$F:$F, "100 Morts"))</f>
        <v>0</v>
      </c>
      <c r="T34" s="116">
        <f>(SUMIFS('Bucket Counts'!$P:$P, 'Bucket Counts'!$B:$B, T$2, 'Bucket Counts'!$A:$A, "="&amp;$A34,  'Bucket Counts'!$F:$F, "224"))</f>
        <v>0</v>
      </c>
      <c r="U34" s="116"/>
      <c r="V34" s="426">
        <f>(T34+R34)/W33</f>
        <v>0</v>
      </c>
      <c r="W34" s="370">
        <f>R32+SUM(Q32:Q34)</f>
        <v>23916.666666666664</v>
      </c>
      <c r="X34" s="369">
        <f>SUMIFS(Collection!$O:$O, Collection!$K:$K, X$2, Collection!$A:$A, "="&amp;$A34)</f>
        <v>0</v>
      </c>
      <c r="Y34" s="116">
        <f>(SUMIFS('Bucket Counts'!$P:$P, 'Bucket Counts'!$B:$B, Y$2, 'Bucket Counts'!$A:$A, "="&amp;$A34,  'Bucket Counts'!$F:$F, "&lt;&gt;100 Morts",  'Bucket Counts'!$F:$F, "&lt;&gt;224"))</f>
        <v>0</v>
      </c>
      <c r="Z34" s="116">
        <f>(SUMIFS('Bucket Counts'!$P:$P, 'Bucket Counts'!$B:$B, Z$2, 'Bucket Counts'!$A:$A, "="&amp;$A34,  'Bucket Counts'!$F:$F, "100 Morts"))</f>
        <v>0</v>
      </c>
      <c r="AA34" s="116">
        <f>(SUMIFS('Bucket Counts'!$P:$P, 'Bucket Counts'!$B:$B, AA$2, 'Bucket Counts'!$A:$A, "="&amp;$A34,  'Bucket Counts'!$F:$F, "224"))</f>
        <v>0</v>
      </c>
      <c r="AB34" s="116"/>
      <c r="AC34" s="426">
        <f>(AA34+Y34)/AD33</f>
        <v>0</v>
      </c>
      <c r="AD34" s="370">
        <f>Y32+SUM(X32:X34)</f>
        <v>69490</v>
      </c>
      <c r="AE34" s="369">
        <f>SUMIFS(Collection!$O:$O, Collection!$K:$K, AE$2, Collection!$A:$A, "="&amp;$A34)</f>
        <v>1166.6666666666667</v>
      </c>
      <c r="AF34" s="116">
        <f>(SUMIFS('Bucket Counts'!$P:$P, 'Bucket Counts'!$B:$B, AF$2, 'Bucket Counts'!$A:$A, "="&amp;$A34,  'Bucket Counts'!$F:$F, "&lt;&gt;100 Morts",  'Bucket Counts'!$F:$F, "&lt;&gt;224"))</f>
        <v>0</v>
      </c>
      <c r="AG34" s="116">
        <f>(SUMIFS('Bucket Counts'!$P:$P, 'Bucket Counts'!$B:$B, AG$2, 'Bucket Counts'!$A:$A, "="&amp;$A34,  'Bucket Counts'!$F:$F, "100 Morts"))</f>
        <v>0</v>
      </c>
      <c r="AH34" s="116">
        <f>(SUMIFS('Bucket Counts'!$P:$P, 'Bucket Counts'!$B:$B, AH$2, 'Bucket Counts'!$A:$A, "="&amp;$A34,  'Bucket Counts'!$F:$F, "224"))</f>
        <v>0</v>
      </c>
      <c r="AI34" s="116"/>
      <c r="AJ34" s="426">
        <f>(AH34+AF34)/AK33</f>
        <v>0</v>
      </c>
      <c r="AK34" s="370">
        <f>AF32+SUM(AE32:AE34)</f>
        <v>143900</v>
      </c>
      <c r="AL34" s="369">
        <f>SUMIFS(Collection!$O:$O, Collection!$K:$K, AL$2, Collection!$A:$A, "="&amp;$A34)</f>
        <v>1866.6666666666665</v>
      </c>
      <c r="AM34" s="116">
        <f>(SUMIFS('Bucket Counts'!$P:$P, 'Bucket Counts'!$B:$B, AM$2, 'Bucket Counts'!$A:$A, "="&amp;$A34,  'Bucket Counts'!$F:$F, "&lt;&gt;100 Morts",  'Bucket Counts'!$F:$F, "&lt;&gt;224"))</f>
        <v>0</v>
      </c>
      <c r="AN34" s="116">
        <f>(SUMIFS('Bucket Counts'!$P:$P, 'Bucket Counts'!$B:$B, AN$2, 'Bucket Counts'!$A:$A, "="&amp;$A34,  'Bucket Counts'!$F:$F, "100 Morts"))</f>
        <v>0</v>
      </c>
      <c r="AO34" s="116">
        <f>(SUMIFS('Bucket Counts'!$P:$P, 'Bucket Counts'!$B:$B, AO$2, 'Bucket Counts'!$A:$A, "="&amp;$A34,  'Bucket Counts'!$F:$F, "224"))</f>
        <v>0</v>
      </c>
      <c r="AP34" s="116"/>
      <c r="AQ34" s="426">
        <f>(AO34+AM34)/AR33</f>
        <v>0</v>
      </c>
      <c r="AR34" s="370">
        <f>AM32+SUM(AL32:AL34)</f>
        <v>156500</v>
      </c>
      <c r="AS34" s="369">
        <f>SUMIFS(Collection!$O:$O, Collection!$K:$K, AS$2, Collection!$A:$A, "="&amp;$A34)</f>
        <v>65333.333333333328</v>
      </c>
      <c r="AT34" s="116">
        <f>(SUMIFS('Bucket Counts'!$P:$P, 'Bucket Counts'!$B:$B, AT$2, 'Bucket Counts'!$A:$A, "="&amp;$A34,  'Bucket Counts'!$F:$F, "&lt;&gt;100 Morts",  'Bucket Counts'!$F:$F, "&lt;&gt;224"))</f>
        <v>0</v>
      </c>
      <c r="AU34" s="116">
        <f>(SUMIFS('Bucket Counts'!$P:$P, 'Bucket Counts'!$B:$B, AU$2, 'Bucket Counts'!$A:$A, "="&amp;$A34,  'Bucket Counts'!$F:$F, "100 Morts"))</f>
        <v>0</v>
      </c>
      <c r="AV34" s="116">
        <f>(SUMIFS('Bucket Counts'!$P:$P, 'Bucket Counts'!$B:$B, AV$2, 'Bucket Counts'!$A:$A, "="&amp;$A34,  'Bucket Counts'!$F:$F, "224"))</f>
        <v>0</v>
      </c>
      <c r="AW34" s="116"/>
      <c r="AX34" s="426">
        <f>(AV34+AT34)/AY33</f>
        <v>0</v>
      </c>
      <c r="AY34" s="370">
        <f>AT32+SUM(AS32:AS34)</f>
        <v>144675</v>
      </c>
      <c r="AZ34" s="369">
        <f>SUMIFS(Collection!$O:$O, Collection!$K:$K, AZ$2, Collection!$A:$A, "="&amp;$A34)</f>
        <v>59833.333333333336</v>
      </c>
      <c r="BA34" s="116">
        <f>(SUMIFS('Bucket Counts'!$P:$P, 'Bucket Counts'!$B:$B, BA$2, 'Bucket Counts'!$A:$A, "="&amp;$A34,  'Bucket Counts'!$F:$F, "&lt;&gt;100 Morts",  'Bucket Counts'!$F:$F, "&lt;&gt;224"))</f>
        <v>0</v>
      </c>
      <c r="BB34" s="116">
        <f>(SUMIFS('Bucket Counts'!$P:$P, 'Bucket Counts'!$B:$B, BB$2, 'Bucket Counts'!$A:$A, "="&amp;$A34,  'Bucket Counts'!$F:$F, "100 Morts"))</f>
        <v>0</v>
      </c>
      <c r="BC34" s="116">
        <f>(SUMIFS('Bucket Counts'!$P:$P, 'Bucket Counts'!$B:$B, BC$2, 'Bucket Counts'!$A:$A, "="&amp;$A34,  'Bucket Counts'!$F:$F, "224"))</f>
        <v>0</v>
      </c>
      <c r="BD34" s="116"/>
      <c r="BE34" s="426">
        <f>(BC34+BA34)/BF33</f>
        <v>0</v>
      </c>
      <c r="BF34" s="370">
        <f>BA32+SUM(AZ32:AZ34)</f>
        <v>187700</v>
      </c>
      <c r="BG34" s="369">
        <f>SUMIFS(Collection!$O:$O, Collection!$K:$K, BG$2, Collection!$A:$A, "="&amp;$A34)</f>
        <v>0</v>
      </c>
      <c r="BH34" s="116">
        <f>(SUMIFS('Bucket Counts'!$P:$P, 'Bucket Counts'!$B:$B, BH$2, 'Bucket Counts'!$A:$A, "="&amp;$A34,  'Bucket Counts'!$F:$F, "&lt;&gt;100 Morts",  'Bucket Counts'!$F:$F, "&lt;&gt;224"))</f>
        <v>0</v>
      </c>
      <c r="BI34" s="116">
        <f>(SUMIFS('Bucket Counts'!$P:$P, 'Bucket Counts'!$B:$B, BI$2, 'Bucket Counts'!$A:$A, "="&amp;$A34,  'Bucket Counts'!$F:$F, "100 Morts"))</f>
        <v>0</v>
      </c>
      <c r="BJ34" s="116">
        <f>(SUMIFS('Bucket Counts'!$P:$P, 'Bucket Counts'!$B:$B, BJ$2, 'Bucket Counts'!$A:$A, "="&amp;$A34,  'Bucket Counts'!$F:$F, "224"))</f>
        <v>0</v>
      </c>
      <c r="BK34" s="116"/>
      <c r="BL34" s="426">
        <f>(BJ34+BH34)/BM33</f>
        <v>0</v>
      </c>
      <c r="BM34" s="370">
        <f>BH32+SUM(BG32:BG34)</f>
        <v>47760</v>
      </c>
      <c r="BN34" s="369">
        <f>SUMIFS(Collection!$O:$O, Collection!$K:$K, BN$2, Collection!$A:$A, "="&amp;$A34)</f>
        <v>31150</v>
      </c>
      <c r="BO34" s="116">
        <f>(SUMIFS('Bucket Counts'!$P:$P, 'Bucket Counts'!$B:$B, BO$2, 'Bucket Counts'!$A:$A, "="&amp;$A34,  'Bucket Counts'!$F:$F, "&lt;&gt;100 Morts",  'Bucket Counts'!$F:$F, "&lt;&gt;224"))</f>
        <v>0</v>
      </c>
      <c r="BP34" s="116">
        <f>(SUMIFS('Bucket Counts'!$P:$P, 'Bucket Counts'!$B:$B, BP$2, 'Bucket Counts'!$A:$A, "="&amp;$A34,  'Bucket Counts'!$F:$F, "100 Morts"))</f>
        <v>0</v>
      </c>
      <c r="BQ34" s="116">
        <f>(SUMIFS('Bucket Counts'!$P:$P, 'Bucket Counts'!$B:$B, BQ$2, 'Bucket Counts'!$A:$A, "="&amp;$A34,  'Bucket Counts'!$F:$F, "224"))</f>
        <v>0</v>
      </c>
      <c r="BR34" s="116"/>
      <c r="BS34" s="426">
        <f>(BQ34+BO34)/BT33</f>
        <v>0</v>
      </c>
      <c r="BT34" s="370">
        <f>BO32+SUM(BN32:BN34)</f>
        <v>156608.33333333334</v>
      </c>
      <c r="BU34" s="369">
        <f>SUMIFS(Collection!$O:$O, Collection!$K:$K, BU$2, Collection!$A:$A, "="&amp;$A34)</f>
        <v>0</v>
      </c>
      <c r="BV34" s="116">
        <f>(SUMIFS('Bucket Counts'!$P:$P, 'Bucket Counts'!$B:$B, BV$2, 'Bucket Counts'!$A:$A, "="&amp;$A34,  'Bucket Counts'!$F:$F, "&lt;&gt;100 Morts",  'Bucket Counts'!$F:$F, "&lt;&gt;224"))</f>
        <v>0</v>
      </c>
      <c r="BW34" s="116">
        <f>(SUMIFS('Bucket Counts'!$P:$P, 'Bucket Counts'!$B:$B, BW$2, 'Bucket Counts'!$A:$A, "="&amp;$A34,  'Bucket Counts'!$F:$F, "100 Morts"))</f>
        <v>0</v>
      </c>
      <c r="BX34" s="116">
        <f>(SUMIFS('Bucket Counts'!$P:$P, 'Bucket Counts'!$B:$B, BX$2, 'Bucket Counts'!$A:$A, "="&amp;$A34,  'Bucket Counts'!$F:$F, "224"))</f>
        <v>0</v>
      </c>
      <c r="BY34" s="116"/>
      <c r="BZ34" s="426">
        <f>(BX34+BV34)/CA33</f>
        <v>0</v>
      </c>
      <c r="CA34" s="370">
        <f>BV32+SUM(BU32:BU34)</f>
        <v>55333.333333333336</v>
      </c>
      <c r="CB34" s="369">
        <f>SUMIFS(Collection!$O:$O, Collection!$K:$K, CB$2, Collection!$A:$A, "="&amp;$A34)</f>
        <v>111333.33333333333</v>
      </c>
      <c r="CC34" s="116">
        <f>(SUMIFS('Bucket Counts'!$P:$P, 'Bucket Counts'!$B:$B, CC$2, 'Bucket Counts'!$A:$A, "="&amp;$A34,  'Bucket Counts'!$F:$F, "&lt;&gt;100 Morts",  'Bucket Counts'!$F:$F, "&lt;&gt;224"))</f>
        <v>0</v>
      </c>
      <c r="CD34" s="116">
        <f>(SUMIFS('Bucket Counts'!$P:$P, 'Bucket Counts'!$B:$B, CD$2, 'Bucket Counts'!$A:$A, "="&amp;$A34,  'Bucket Counts'!$F:$F, "100 Morts"))</f>
        <v>0</v>
      </c>
      <c r="CE34" s="116">
        <f>(SUMIFS('Bucket Counts'!$P:$P, 'Bucket Counts'!$B:$B, CE$2, 'Bucket Counts'!$A:$A, "="&amp;$A34,  'Bucket Counts'!$F:$F, "224"))</f>
        <v>0</v>
      </c>
      <c r="CF34" s="116"/>
      <c r="CG34" s="426">
        <f>(CE34+CC34)/CH33</f>
        <v>0</v>
      </c>
      <c r="CH34" s="370">
        <f>CC32+SUM(CB32:CB34)</f>
        <v>140150</v>
      </c>
      <c r="CI34" s="369">
        <f>SUMIFS(Collection!$O:$O, Collection!$K:$K, CI$2, Collection!$A:$A, "="&amp;$A34)</f>
        <v>12800</v>
      </c>
      <c r="CJ34" s="116">
        <f>(SUMIFS('Bucket Counts'!$P:$P, 'Bucket Counts'!$B:$B, CJ$2, 'Bucket Counts'!$A:$A, "="&amp;$A34,  'Bucket Counts'!$F:$F, "&lt;&gt;100 Morts",  'Bucket Counts'!$F:$F, "&lt;&gt;224"))</f>
        <v>0</v>
      </c>
      <c r="CK34" s="116">
        <f>(SUMIFS('Bucket Counts'!$P:$P, 'Bucket Counts'!$B:$B, CK$2, 'Bucket Counts'!$A:$A, "="&amp;$A34,  'Bucket Counts'!$F:$F, "100 Morts"))</f>
        <v>0</v>
      </c>
      <c r="CL34" s="116">
        <f>(SUMIFS('Bucket Counts'!$P:$P, 'Bucket Counts'!$B:$B, CL$2, 'Bucket Counts'!$A:$A, "="&amp;$A34,  'Bucket Counts'!$F:$F, "224"))</f>
        <v>0</v>
      </c>
      <c r="CM34" s="116"/>
      <c r="CN34" s="426">
        <f>(CL34+CJ34)/CO33</f>
        <v>0</v>
      </c>
      <c r="CO34" s="370">
        <f>CJ32+SUM(CI32:CI34)</f>
        <v>83133.333333333328</v>
      </c>
      <c r="CP34" s="369">
        <f>SUMIFS(Collection!$O:$O, Collection!$K:$K, CP$2, Collection!$A:$A, "="&amp;$A34)</f>
        <v>0</v>
      </c>
      <c r="CQ34" s="116">
        <f>(SUMIFS('Bucket Counts'!$P:$P, 'Bucket Counts'!$B:$B, CQ$2, 'Bucket Counts'!$A:$A, "="&amp;$A34,  'Bucket Counts'!$F:$F, "&lt;&gt;100 Morts",  'Bucket Counts'!$F:$F, "&lt;&gt;224"))</f>
        <v>0</v>
      </c>
      <c r="CR34" s="116">
        <f>(SUMIFS('Bucket Counts'!$P:$P, 'Bucket Counts'!$B:$B, CR$2, 'Bucket Counts'!$A:$A, "="&amp;$A34,  'Bucket Counts'!$F:$F, "100 Morts"))</f>
        <v>0</v>
      </c>
      <c r="CS34" s="116">
        <f>(SUMIFS('Bucket Counts'!$P:$P, 'Bucket Counts'!$B:$B, CS$2, 'Bucket Counts'!$A:$A, "="&amp;$A34,  'Bucket Counts'!$F:$F, "224"))</f>
        <v>0</v>
      </c>
      <c r="CT34" s="116"/>
      <c r="CU34" s="426">
        <f>(CS34+CQ34)/CV33</f>
        <v>0</v>
      </c>
      <c r="CV34" s="370">
        <f>CQ32+SUM(CP32:CP34)</f>
        <v>3325</v>
      </c>
      <c r="CW34" s="369">
        <f>SUMIFS(Collection!$O:$O, Collection!$K:$K, CW$2, Collection!$A:$A, "="&amp;$A34)</f>
        <v>0</v>
      </c>
      <c r="CX34" s="116">
        <f>(SUMIFS('Bucket Counts'!$P:$P, 'Bucket Counts'!$B:$B, CX$2, 'Bucket Counts'!$A:$A, "="&amp;$A34,  'Bucket Counts'!$F:$F, "&lt;&gt;100 Morts",  'Bucket Counts'!$F:$F, "&lt;&gt;224"))</f>
        <v>0</v>
      </c>
      <c r="CY34" s="116">
        <f>(SUMIFS('Bucket Counts'!$P:$P, 'Bucket Counts'!$B:$B, CY$2, 'Bucket Counts'!$A:$A, "="&amp;$A34,  'Bucket Counts'!$F:$F, "100 Morts"))</f>
        <v>0</v>
      </c>
      <c r="CZ34" s="116">
        <f>(SUMIFS('Bucket Counts'!$P:$P, 'Bucket Counts'!$B:$B, CZ$2, 'Bucket Counts'!$A:$A, "="&amp;$A34,  'Bucket Counts'!$F:$F, "224"))</f>
        <v>0</v>
      </c>
      <c r="DA34" s="116"/>
      <c r="DB34" s="426">
        <f>(CZ34+CX34)/DC33</f>
        <v>0</v>
      </c>
      <c r="DC34" s="370">
        <f>CX32+SUM(CW32:CW34)</f>
        <v>64180</v>
      </c>
      <c r="DD34" s="369">
        <f>SUMIFS(Collection!$O:$O, Collection!$K:$K, DD$2, Collection!$A:$A, "="&amp;$A34)</f>
        <v>0</v>
      </c>
      <c r="DE34" s="116">
        <f>(SUMIFS('Bucket Counts'!$P:$P, 'Bucket Counts'!$B:$B, DE$2, 'Bucket Counts'!$A:$A, "="&amp;$A34,  'Bucket Counts'!$F:$F, "&lt;&gt;100 Morts",  'Bucket Counts'!$F:$F, "&lt;&gt;224"))</f>
        <v>0</v>
      </c>
      <c r="DF34" s="116">
        <f>(SUMIFS('Bucket Counts'!$P:$P, 'Bucket Counts'!$B:$B, DF$2, 'Bucket Counts'!$A:$A, "="&amp;$A34,  'Bucket Counts'!$F:$F, "100 Morts"))</f>
        <v>0</v>
      </c>
      <c r="DG34" s="116">
        <f>(SUMIFS('Bucket Counts'!$P:$P, 'Bucket Counts'!$B:$B, DG$2, 'Bucket Counts'!$A:$A, "="&amp;$A34,  'Bucket Counts'!$F:$F, "224"))</f>
        <v>0</v>
      </c>
      <c r="DH34" s="116"/>
      <c r="DI34" s="426">
        <f>(DG34+DE34)/DJ33</f>
        <v>0</v>
      </c>
      <c r="DJ34" s="370">
        <f>DE32+SUM(DD32:DD34)</f>
        <v>32016.666666666668</v>
      </c>
      <c r="DK34" s="369">
        <f>SUMIFS(Collection!$O:$O, Collection!$K:$K, DK$2, Collection!$A:$A, "="&amp;$A34)</f>
        <v>0</v>
      </c>
      <c r="DL34" s="116">
        <f>(SUMIFS('Bucket Counts'!$P:$P, 'Bucket Counts'!$B:$B, DL$2, 'Bucket Counts'!$A:$A, "="&amp;$A34,  'Bucket Counts'!$F:$F, "&lt;&gt;100 Morts",  'Bucket Counts'!$F:$F, "&lt;&gt;224"))</f>
        <v>0</v>
      </c>
      <c r="DM34" s="116">
        <f>(SUMIFS('Bucket Counts'!$P:$P, 'Bucket Counts'!$B:$B, DM$2, 'Bucket Counts'!$A:$A, "="&amp;$A34,  'Bucket Counts'!$F:$F, "100 Morts"))</f>
        <v>0</v>
      </c>
      <c r="DN34" s="116">
        <f>(SUMIFS('Bucket Counts'!$P:$P, 'Bucket Counts'!$B:$B, DN$2, 'Bucket Counts'!$A:$A, "="&amp;$A34,  'Bucket Counts'!$F:$F, "224"))</f>
        <v>0</v>
      </c>
      <c r="DO34" s="116"/>
      <c r="DP34" s="426" t="e">
        <f>(DN34+DL34)/DQ33</f>
        <v>#DIV/0!</v>
      </c>
      <c r="DQ34" s="370">
        <f>DL32+SUM(DK32:DK34)</f>
        <v>0</v>
      </c>
      <c r="DR34" s="369">
        <f>SUMIFS(Collection!$O:$O, Collection!$K:$K, DR$2, Collection!$A:$A, "="&amp;$A34)</f>
        <v>0</v>
      </c>
      <c r="DS34" s="116">
        <f>(SUMIFS('Bucket Counts'!$P:$P, 'Bucket Counts'!$B:$B, DS$2, 'Bucket Counts'!$A:$A, "="&amp;$A34,  'Bucket Counts'!$F:$F, "&lt;&gt;100 Morts",  'Bucket Counts'!$F:$F, "&lt;&gt;224"))</f>
        <v>0</v>
      </c>
      <c r="DT34" s="116">
        <f>(SUMIFS('Bucket Counts'!$P:$P, 'Bucket Counts'!$B:$B, DT$2, 'Bucket Counts'!$A:$A, "="&amp;$A34,  'Bucket Counts'!$F:$F, "100 Morts"))</f>
        <v>0</v>
      </c>
      <c r="DU34" s="116">
        <f>(SUMIFS('Bucket Counts'!$P:$P, 'Bucket Counts'!$B:$B, DU$2, 'Bucket Counts'!$A:$A, "="&amp;$A34,  'Bucket Counts'!$F:$F, "224"))</f>
        <v>0</v>
      </c>
      <c r="DV34" s="116"/>
      <c r="DW34" s="426" t="e">
        <f>(DU34+DS34)/DX33</f>
        <v>#DIV/0!</v>
      </c>
      <c r="DX34" s="370">
        <f>DS32+SUM(DR32:DR34)</f>
        <v>0</v>
      </c>
      <c r="DY34" s="369">
        <f>SUMIFS(Collection!$O:$O, Collection!$K:$K, DY$2, Collection!$A:$A, "="&amp;$A34)</f>
        <v>0</v>
      </c>
      <c r="DZ34" s="116">
        <f>(SUMIFS('Bucket Counts'!$P:$P, 'Bucket Counts'!$B:$B, DZ$2, 'Bucket Counts'!$A:$A, "="&amp;$A34,  'Bucket Counts'!$F:$F, "&lt;&gt;100 Morts",  'Bucket Counts'!$F:$F, "&lt;&gt;224"))</f>
        <v>0</v>
      </c>
      <c r="EA34" s="116">
        <f>(SUMIFS('Bucket Counts'!$P:$P, 'Bucket Counts'!$B:$B, EA$2, 'Bucket Counts'!$A:$A, "="&amp;$A34,  'Bucket Counts'!$F:$F, "100 Morts"))</f>
        <v>0</v>
      </c>
      <c r="EB34" s="116">
        <f>(SUMIFS('Bucket Counts'!$P:$P, 'Bucket Counts'!$B:$B, EB$2, 'Bucket Counts'!$A:$A, "="&amp;$A34,  'Bucket Counts'!$F:$F, "224"))</f>
        <v>0</v>
      </c>
      <c r="EC34" s="116"/>
      <c r="ED34" s="426" t="e">
        <f>(EB34+DZ34)/EE33</f>
        <v>#DIV/0!</v>
      </c>
      <c r="EE34" s="370">
        <f>DZ32+SUM(DY32:DY34)</f>
        <v>0</v>
      </c>
      <c r="EF34" s="369">
        <f>SUMIFS(Collection!$O:$O, Collection!$K:$K, EF$2, Collection!$A:$A, "="&amp;$A34)</f>
        <v>0</v>
      </c>
      <c r="EG34" s="116">
        <f>(SUMIFS('Bucket Counts'!$P:$P, 'Bucket Counts'!$B:$B, EG$2, 'Bucket Counts'!$A:$A, "="&amp;$A34,  'Bucket Counts'!$F:$F, "&lt;&gt;100 Morts",  'Bucket Counts'!$F:$F, "&lt;&gt;224"))</f>
        <v>0</v>
      </c>
      <c r="EH34" s="116">
        <f>(SUMIFS('Bucket Counts'!$P:$P, 'Bucket Counts'!$B:$B, EH$2, 'Bucket Counts'!$A:$A, "="&amp;$A34,  'Bucket Counts'!$F:$F, "100 Morts"))</f>
        <v>0</v>
      </c>
      <c r="EI34" s="116">
        <f>(SUMIFS('Bucket Counts'!$P:$P, 'Bucket Counts'!$B:$B, EI$2, 'Bucket Counts'!$A:$A, "="&amp;$A34,  'Bucket Counts'!$F:$F, "224"))</f>
        <v>0</v>
      </c>
      <c r="EJ34" s="116"/>
      <c r="EK34" s="426" t="e">
        <f>(EI34+EG34)/EL33</f>
        <v>#DIV/0!</v>
      </c>
      <c r="EL34" s="370">
        <f>EG32+SUM(EF32:EF34)</f>
        <v>0</v>
      </c>
    </row>
    <row r="35" spans="1:142" x14ac:dyDescent="0.2">
      <c r="A35" s="16">
        <f t="shared" si="0"/>
        <v>42904</v>
      </c>
      <c r="B35" s="16" t="s">
        <v>487</v>
      </c>
      <c r="C35" s="369">
        <f>SUMIFS(Collection!$O:$O, Collection!$K:$K, C$2, Collection!$A:$A, "="&amp;$A35)</f>
        <v>0</v>
      </c>
      <c r="D35" s="116">
        <f>(SUMIFS('Bucket Counts'!$P:$P, 'Bucket Counts'!$B:$B, D$2, 'Bucket Counts'!$A:$A, "="&amp;$A35,  'Bucket Counts'!$F:$F, "&lt;&gt;100 Morts",  'Bucket Counts'!$F:$F, "&lt;&gt;224"))</f>
        <v>0</v>
      </c>
      <c r="E35" s="116">
        <f>(SUMIFS('Bucket Counts'!$P:$P, 'Bucket Counts'!$B:$B, E$2, 'Bucket Counts'!$A:$A, "="&amp;$A35,  'Bucket Counts'!$F:$F, "100 Morts"))</f>
        <v>0</v>
      </c>
      <c r="F35" s="116">
        <f>(SUMIFS('Bucket Counts'!$P:$P, 'Bucket Counts'!$B:$B, F$2, 'Bucket Counts'!$A:$A, "="&amp;$A35,  'Bucket Counts'!$F:$F, "224"))</f>
        <v>0</v>
      </c>
      <c r="G35" s="116"/>
      <c r="H35" s="426">
        <f>(F35+D35)/I34</f>
        <v>0</v>
      </c>
      <c r="I35" s="370">
        <f>D32+SUM(C32:C35)</f>
        <v>139016.66666666666</v>
      </c>
      <c r="J35" s="369">
        <f>SUMIFS(Collection!$O:$O, Collection!$K:$K, J$2, Collection!$A:$A, "="&amp;$A35)</f>
        <v>0</v>
      </c>
      <c r="K35" s="116">
        <f>(SUMIFS('Bucket Counts'!$P:$P, 'Bucket Counts'!$B:$B, K$2, 'Bucket Counts'!$A:$A, "="&amp;$A35,  'Bucket Counts'!$F:$F, "&lt;&gt;100 Morts",  'Bucket Counts'!$F:$F, "&lt;&gt;224"))</f>
        <v>0</v>
      </c>
      <c r="L35" s="116">
        <f>(SUMIFS('Bucket Counts'!$P:$P, 'Bucket Counts'!$B:$B, L$2, 'Bucket Counts'!$A:$A, "="&amp;$A35,  'Bucket Counts'!$F:$F, "100 Morts"))</f>
        <v>0</v>
      </c>
      <c r="M35" s="116">
        <f>(SUMIFS('Bucket Counts'!$P:$P, 'Bucket Counts'!$B:$B, M$2, 'Bucket Counts'!$A:$A, "="&amp;$A35,  'Bucket Counts'!$F:$F, "224"))</f>
        <v>0</v>
      </c>
      <c r="N35" s="116"/>
      <c r="O35" s="426">
        <f>(M35+K35)/P34</f>
        <v>0</v>
      </c>
      <c r="P35" s="370">
        <f>K32+SUM(J32:J35)</f>
        <v>20650</v>
      </c>
      <c r="Q35" s="369">
        <f>SUMIFS(Collection!$O:$O, Collection!$K:$K, Q$2, Collection!$A:$A, "="&amp;$A35)</f>
        <v>0</v>
      </c>
      <c r="R35" s="116">
        <f>(SUMIFS('Bucket Counts'!$P:$P, 'Bucket Counts'!$B:$B, R$2, 'Bucket Counts'!$A:$A, "="&amp;$A35,  'Bucket Counts'!$F:$F, "&lt;&gt;100 Morts",  'Bucket Counts'!$F:$F, "&lt;&gt;224"))</f>
        <v>0</v>
      </c>
      <c r="S35" s="116">
        <f>(SUMIFS('Bucket Counts'!$P:$P, 'Bucket Counts'!$B:$B, S$2, 'Bucket Counts'!$A:$A, "="&amp;$A35,  'Bucket Counts'!$F:$F, "100 Morts"))</f>
        <v>0</v>
      </c>
      <c r="T35" s="116">
        <f>(SUMIFS('Bucket Counts'!$P:$P, 'Bucket Counts'!$B:$B, T$2, 'Bucket Counts'!$A:$A, "="&amp;$A35,  'Bucket Counts'!$F:$F, "224"))</f>
        <v>0</v>
      </c>
      <c r="U35" s="116"/>
      <c r="V35" s="426">
        <f>(T35+R35)/W34</f>
        <v>0</v>
      </c>
      <c r="W35" s="370">
        <f>R32+SUM(Q32:Q35)</f>
        <v>23916.666666666664</v>
      </c>
      <c r="X35" s="369">
        <f>SUMIFS(Collection!$O:$O, Collection!$K:$K, X$2, Collection!$A:$A, "="&amp;$A35)</f>
        <v>0</v>
      </c>
      <c r="Y35" s="116">
        <f>(SUMIFS('Bucket Counts'!$P:$P, 'Bucket Counts'!$B:$B, Y$2, 'Bucket Counts'!$A:$A, "="&amp;$A35,  'Bucket Counts'!$F:$F, "&lt;&gt;100 Morts",  'Bucket Counts'!$F:$F, "&lt;&gt;224"))</f>
        <v>0</v>
      </c>
      <c r="Z35" s="116">
        <f>(SUMIFS('Bucket Counts'!$P:$P, 'Bucket Counts'!$B:$B, Z$2, 'Bucket Counts'!$A:$A, "="&amp;$A35,  'Bucket Counts'!$F:$F, "100 Morts"))</f>
        <v>0</v>
      </c>
      <c r="AA35" s="116">
        <f>(SUMIFS('Bucket Counts'!$P:$P, 'Bucket Counts'!$B:$B, AA$2, 'Bucket Counts'!$A:$A, "="&amp;$A35,  'Bucket Counts'!$F:$F, "224"))</f>
        <v>0</v>
      </c>
      <c r="AB35" s="116"/>
      <c r="AC35" s="426">
        <f>(AA35+Y35)/AD34</f>
        <v>0</v>
      </c>
      <c r="AD35" s="370">
        <f>Y32+SUM(X32:X35)</f>
        <v>69490</v>
      </c>
      <c r="AE35" s="369">
        <f>SUMIFS(Collection!$O:$O, Collection!$K:$K, AE$2, Collection!$A:$A, "="&amp;$A35)</f>
        <v>0</v>
      </c>
      <c r="AF35" s="116">
        <f>(SUMIFS('Bucket Counts'!$P:$P, 'Bucket Counts'!$B:$B, AF$2, 'Bucket Counts'!$A:$A, "="&amp;$A35,  'Bucket Counts'!$F:$F, "&lt;&gt;100 Morts",  'Bucket Counts'!$F:$F, "&lt;&gt;224"))</f>
        <v>0</v>
      </c>
      <c r="AG35" s="116">
        <f>(SUMIFS('Bucket Counts'!$P:$P, 'Bucket Counts'!$B:$B, AG$2, 'Bucket Counts'!$A:$A, "="&amp;$A35,  'Bucket Counts'!$F:$F, "100 Morts"))</f>
        <v>0</v>
      </c>
      <c r="AH35" s="116">
        <f>(SUMIFS('Bucket Counts'!$P:$P, 'Bucket Counts'!$B:$B, AH$2, 'Bucket Counts'!$A:$A, "="&amp;$A35,  'Bucket Counts'!$F:$F, "224"))</f>
        <v>0</v>
      </c>
      <c r="AI35" s="116"/>
      <c r="AJ35" s="426">
        <f>(AH35+AF35)/AK34</f>
        <v>0</v>
      </c>
      <c r="AK35" s="370">
        <f>AF32+SUM(AE32:AE35)</f>
        <v>143900</v>
      </c>
      <c r="AL35" s="369">
        <f>SUMIFS(Collection!$O:$O, Collection!$K:$K, AL$2, Collection!$A:$A, "="&amp;$A35)</f>
        <v>0</v>
      </c>
      <c r="AM35" s="116">
        <f>(SUMIFS('Bucket Counts'!$P:$P, 'Bucket Counts'!$B:$B, AM$2, 'Bucket Counts'!$A:$A, "="&amp;$A35,  'Bucket Counts'!$F:$F, "&lt;&gt;100 Morts",  'Bucket Counts'!$F:$F, "&lt;&gt;224"))</f>
        <v>0</v>
      </c>
      <c r="AN35" s="116">
        <f>(SUMIFS('Bucket Counts'!$P:$P, 'Bucket Counts'!$B:$B, AN$2, 'Bucket Counts'!$A:$A, "="&amp;$A35,  'Bucket Counts'!$F:$F, "100 Morts"))</f>
        <v>0</v>
      </c>
      <c r="AO35" s="116">
        <f>(SUMIFS('Bucket Counts'!$P:$P, 'Bucket Counts'!$B:$B, AO$2, 'Bucket Counts'!$A:$A, "="&amp;$A35,  'Bucket Counts'!$F:$F, "224"))</f>
        <v>0</v>
      </c>
      <c r="AP35" s="116"/>
      <c r="AQ35" s="426">
        <f>(AO35+AM35)/AR34</f>
        <v>0</v>
      </c>
      <c r="AR35" s="370">
        <f>AM32+SUM(AL32:AL35)</f>
        <v>156500</v>
      </c>
      <c r="AS35" s="369">
        <f>SUMIFS(Collection!$O:$O, Collection!$K:$K, AS$2, Collection!$A:$A, "="&amp;$A35)</f>
        <v>0</v>
      </c>
      <c r="AT35" s="116">
        <f>(SUMIFS('Bucket Counts'!$P:$P, 'Bucket Counts'!$B:$B, AT$2, 'Bucket Counts'!$A:$A, "="&amp;$A35,  'Bucket Counts'!$F:$F, "&lt;&gt;100 Morts",  'Bucket Counts'!$F:$F, "&lt;&gt;224"))</f>
        <v>0</v>
      </c>
      <c r="AU35" s="116">
        <f>(SUMIFS('Bucket Counts'!$P:$P, 'Bucket Counts'!$B:$B, AU$2, 'Bucket Counts'!$A:$A, "="&amp;$A35,  'Bucket Counts'!$F:$F, "100 Morts"))</f>
        <v>0</v>
      </c>
      <c r="AV35" s="116">
        <f>(SUMIFS('Bucket Counts'!$P:$P, 'Bucket Counts'!$B:$B, AV$2, 'Bucket Counts'!$A:$A, "="&amp;$A35,  'Bucket Counts'!$F:$F, "224"))</f>
        <v>0</v>
      </c>
      <c r="AW35" s="116"/>
      <c r="AX35" s="426">
        <f>(AV35+AT35)/AY34</f>
        <v>0</v>
      </c>
      <c r="AY35" s="370">
        <f>AT32+SUM(AS32:AS35)</f>
        <v>144675</v>
      </c>
      <c r="AZ35" s="369">
        <f>SUMIFS(Collection!$O:$O, Collection!$K:$K, AZ$2, Collection!$A:$A, "="&amp;$A35)</f>
        <v>0</v>
      </c>
      <c r="BA35" s="116">
        <f>(SUMIFS('Bucket Counts'!$P:$P, 'Bucket Counts'!$B:$B, BA$2, 'Bucket Counts'!$A:$A, "="&amp;$A35,  'Bucket Counts'!$F:$F, "&lt;&gt;100 Morts",  'Bucket Counts'!$F:$F, "&lt;&gt;224"))</f>
        <v>0</v>
      </c>
      <c r="BB35" s="116">
        <f>(SUMIFS('Bucket Counts'!$P:$P, 'Bucket Counts'!$B:$B, BB$2, 'Bucket Counts'!$A:$A, "="&amp;$A35,  'Bucket Counts'!$F:$F, "100 Morts"))</f>
        <v>0</v>
      </c>
      <c r="BC35" s="116">
        <f>(SUMIFS('Bucket Counts'!$P:$P, 'Bucket Counts'!$B:$B, BC$2, 'Bucket Counts'!$A:$A, "="&amp;$A35,  'Bucket Counts'!$F:$F, "224"))</f>
        <v>0</v>
      </c>
      <c r="BD35" s="116"/>
      <c r="BE35" s="426">
        <f>(BC35+BA35)/BF34</f>
        <v>0</v>
      </c>
      <c r="BF35" s="370">
        <f>BA32+SUM(AZ32:AZ35)</f>
        <v>187700</v>
      </c>
      <c r="BG35" s="369">
        <f>SUMIFS(Collection!$O:$O, Collection!$K:$K, BG$2, Collection!$A:$A, "="&amp;$A35)</f>
        <v>0</v>
      </c>
      <c r="BH35" s="116">
        <f>(SUMIFS('Bucket Counts'!$P:$P, 'Bucket Counts'!$B:$B, BH$2, 'Bucket Counts'!$A:$A, "="&amp;$A35,  'Bucket Counts'!$F:$F, "&lt;&gt;100 Morts",  'Bucket Counts'!$F:$F, "&lt;&gt;224"))</f>
        <v>0</v>
      </c>
      <c r="BI35" s="116">
        <f>(SUMIFS('Bucket Counts'!$P:$P, 'Bucket Counts'!$B:$B, BI$2, 'Bucket Counts'!$A:$A, "="&amp;$A35,  'Bucket Counts'!$F:$F, "100 Morts"))</f>
        <v>0</v>
      </c>
      <c r="BJ35" s="116">
        <f>(SUMIFS('Bucket Counts'!$P:$P, 'Bucket Counts'!$B:$B, BJ$2, 'Bucket Counts'!$A:$A, "="&amp;$A35,  'Bucket Counts'!$F:$F, "224"))</f>
        <v>0</v>
      </c>
      <c r="BK35" s="116"/>
      <c r="BL35" s="426">
        <f>(BJ35+BH35)/BM34</f>
        <v>0</v>
      </c>
      <c r="BM35" s="370">
        <f>BH32+SUM(BG32:BG35)</f>
        <v>47760</v>
      </c>
      <c r="BN35" s="369">
        <f>SUMIFS(Collection!$O:$O, Collection!$K:$K, BN$2, Collection!$A:$A, "="&amp;$A35)</f>
        <v>0</v>
      </c>
      <c r="BO35" s="116">
        <f>(SUMIFS('Bucket Counts'!$P:$P, 'Bucket Counts'!$B:$B, BO$2, 'Bucket Counts'!$A:$A, "="&amp;$A35,  'Bucket Counts'!$F:$F, "&lt;&gt;100 Morts",  'Bucket Counts'!$F:$F, "&lt;&gt;224"))</f>
        <v>0</v>
      </c>
      <c r="BP35" s="116">
        <f>(SUMIFS('Bucket Counts'!$P:$P, 'Bucket Counts'!$B:$B, BP$2, 'Bucket Counts'!$A:$A, "="&amp;$A35,  'Bucket Counts'!$F:$F, "100 Morts"))</f>
        <v>0</v>
      </c>
      <c r="BQ35" s="116">
        <f>(SUMIFS('Bucket Counts'!$P:$P, 'Bucket Counts'!$B:$B, BQ$2, 'Bucket Counts'!$A:$A, "="&amp;$A35,  'Bucket Counts'!$F:$F, "224"))</f>
        <v>0</v>
      </c>
      <c r="BR35" s="116"/>
      <c r="BS35" s="426">
        <f>(BQ35+BO35)/BT34</f>
        <v>0</v>
      </c>
      <c r="BT35" s="370">
        <f>BO32+SUM(BN32:BN35)</f>
        <v>156608.33333333334</v>
      </c>
      <c r="BU35" s="369">
        <f>SUMIFS(Collection!$O:$O, Collection!$K:$K, BU$2, Collection!$A:$A, "="&amp;$A35)</f>
        <v>0</v>
      </c>
      <c r="BV35" s="116">
        <f>(SUMIFS('Bucket Counts'!$P:$P, 'Bucket Counts'!$B:$B, BV$2, 'Bucket Counts'!$A:$A, "="&amp;$A35,  'Bucket Counts'!$F:$F, "&lt;&gt;100 Morts",  'Bucket Counts'!$F:$F, "&lt;&gt;224"))</f>
        <v>0</v>
      </c>
      <c r="BW35" s="116">
        <f>(SUMIFS('Bucket Counts'!$P:$P, 'Bucket Counts'!$B:$B, BW$2, 'Bucket Counts'!$A:$A, "="&amp;$A35,  'Bucket Counts'!$F:$F, "100 Morts"))</f>
        <v>0</v>
      </c>
      <c r="BX35" s="116">
        <f>(SUMIFS('Bucket Counts'!$P:$P, 'Bucket Counts'!$B:$B, BX$2, 'Bucket Counts'!$A:$A, "="&amp;$A35,  'Bucket Counts'!$F:$F, "224"))</f>
        <v>0</v>
      </c>
      <c r="BY35" s="116"/>
      <c r="BZ35" s="426">
        <f>(BX35+BV35)/CA34</f>
        <v>0</v>
      </c>
      <c r="CA35" s="370">
        <f>BV32+SUM(BU32:BU35)</f>
        <v>55333.333333333336</v>
      </c>
      <c r="CB35" s="369">
        <f>SUMIFS(Collection!$O:$O, Collection!$K:$K, CB$2, Collection!$A:$A, "="&amp;$A35)</f>
        <v>0</v>
      </c>
      <c r="CC35" s="116">
        <f>(SUMIFS('Bucket Counts'!$P:$P, 'Bucket Counts'!$B:$B, CC$2, 'Bucket Counts'!$A:$A, "="&amp;$A35,  'Bucket Counts'!$F:$F, "&lt;&gt;100 Morts",  'Bucket Counts'!$F:$F, "&lt;&gt;224"))</f>
        <v>0</v>
      </c>
      <c r="CD35" s="116">
        <f>(SUMIFS('Bucket Counts'!$P:$P, 'Bucket Counts'!$B:$B, CD$2, 'Bucket Counts'!$A:$A, "="&amp;$A35,  'Bucket Counts'!$F:$F, "100 Morts"))</f>
        <v>0</v>
      </c>
      <c r="CE35" s="116">
        <f>(SUMIFS('Bucket Counts'!$P:$P, 'Bucket Counts'!$B:$B, CE$2, 'Bucket Counts'!$A:$A, "="&amp;$A35,  'Bucket Counts'!$F:$F, "224"))</f>
        <v>0</v>
      </c>
      <c r="CF35" s="116"/>
      <c r="CG35" s="426">
        <f>(CE35+CC35)/CH34</f>
        <v>0</v>
      </c>
      <c r="CH35" s="370">
        <f>CC32+SUM(CB32:CB35)</f>
        <v>140150</v>
      </c>
      <c r="CI35" s="369">
        <f>SUMIFS(Collection!$O:$O, Collection!$K:$K, CI$2, Collection!$A:$A, "="&amp;$A35)</f>
        <v>0</v>
      </c>
      <c r="CJ35" s="116">
        <f>(SUMIFS('Bucket Counts'!$P:$P, 'Bucket Counts'!$B:$B, CJ$2, 'Bucket Counts'!$A:$A, "="&amp;$A35,  'Bucket Counts'!$F:$F, "&lt;&gt;100 Morts",  'Bucket Counts'!$F:$F, "&lt;&gt;224"))</f>
        <v>0</v>
      </c>
      <c r="CK35" s="116">
        <f>(SUMIFS('Bucket Counts'!$P:$P, 'Bucket Counts'!$B:$B, CK$2, 'Bucket Counts'!$A:$A, "="&amp;$A35,  'Bucket Counts'!$F:$F, "100 Morts"))</f>
        <v>0</v>
      </c>
      <c r="CL35" s="116">
        <f>(SUMIFS('Bucket Counts'!$P:$P, 'Bucket Counts'!$B:$B, CL$2, 'Bucket Counts'!$A:$A, "="&amp;$A35,  'Bucket Counts'!$F:$F, "224"))</f>
        <v>0</v>
      </c>
      <c r="CM35" s="116"/>
      <c r="CN35" s="426">
        <f>(CL35+CJ35)/CO34</f>
        <v>0</v>
      </c>
      <c r="CO35" s="370">
        <f>CJ32+SUM(CI32:CI35)</f>
        <v>83133.333333333328</v>
      </c>
      <c r="CP35" s="369">
        <f>SUMIFS(Collection!$O:$O, Collection!$K:$K, CP$2, Collection!$A:$A, "="&amp;$A35)</f>
        <v>0</v>
      </c>
      <c r="CQ35" s="116">
        <f>(SUMIFS('Bucket Counts'!$P:$P, 'Bucket Counts'!$B:$B, CQ$2, 'Bucket Counts'!$A:$A, "="&amp;$A35,  'Bucket Counts'!$F:$F, "&lt;&gt;100 Morts",  'Bucket Counts'!$F:$F, "&lt;&gt;224"))</f>
        <v>0</v>
      </c>
      <c r="CR35" s="116">
        <f>(SUMIFS('Bucket Counts'!$P:$P, 'Bucket Counts'!$B:$B, CR$2, 'Bucket Counts'!$A:$A, "="&amp;$A35,  'Bucket Counts'!$F:$F, "100 Morts"))</f>
        <v>0</v>
      </c>
      <c r="CS35" s="116">
        <f>(SUMIFS('Bucket Counts'!$P:$P, 'Bucket Counts'!$B:$B, CS$2, 'Bucket Counts'!$A:$A, "="&amp;$A35,  'Bucket Counts'!$F:$F, "224"))</f>
        <v>0</v>
      </c>
      <c r="CT35" s="116"/>
      <c r="CU35" s="426">
        <f>(CS35+CQ35)/CV34</f>
        <v>0</v>
      </c>
      <c r="CV35" s="370">
        <f>CQ32+SUM(CP32:CP35)</f>
        <v>3325</v>
      </c>
      <c r="CW35" s="369">
        <f>SUMIFS(Collection!$O:$O, Collection!$K:$K, CW$2, Collection!$A:$A, "="&amp;$A35)</f>
        <v>0</v>
      </c>
      <c r="CX35" s="116">
        <f>(SUMIFS('Bucket Counts'!$P:$P, 'Bucket Counts'!$B:$B, CX$2, 'Bucket Counts'!$A:$A, "="&amp;$A35,  'Bucket Counts'!$F:$F, "&lt;&gt;100 Morts",  'Bucket Counts'!$F:$F, "&lt;&gt;224"))</f>
        <v>0</v>
      </c>
      <c r="CY35" s="116">
        <f>(SUMIFS('Bucket Counts'!$P:$P, 'Bucket Counts'!$B:$B, CY$2, 'Bucket Counts'!$A:$A, "="&amp;$A35,  'Bucket Counts'!$F:$F, "100 Morts"))</f>
        <v>0</v>
      </c>
      <c r="CZ35" s="116">
        <f>(SUMIFS('Bucket Counts'!$P:$P, 'Bucket Counts'!$B:$B, CZ$2, 'Bucket Counts'!$A:$A, "="&amp;$A35,  'Bucket Counts'!$F:$F, "224"))</f>
        <v>0</v>
      </c>
      <c r="DA35" s="116"/>
      <c r="DB35" s="426">
        <f>(CZ35+CX35)/DC34</f>
        <v>0</v>
      </c>
      <c r="DC35" s="370">
        <f>CX32+SUM(CW32:CW35)</f>
        <v>64180</v>
      </c>
      <c r="DD35" s="369">
        <f>SUMIFS(Collection!$O:$O, Collection!$K:$K, DD$2, Collection!$A:$A, "="&amp;$A35)</f>
        <v>0</v>
      </c>
      <c r="DE35" s="116">
        <f>(SUMIFS('Bucket Counts'!$P:$P, 'Bucket Counts'!$B:$B, DE$2, 'Bucket Counts'!$A:$A, "="&amp;$A35,  'Bucket Counts'!$F:$F, "&lt;&gt;100 Morts",  'Bucket Counts'!$F:$F, "&lt;&gt;224"))</f>
        <v>0</v>
      </c>
      <c r="DF35" s="116">
        <f>(SUMIFS('Bucket Counts'!$P:$P, 'Bucket Counts'!$B:$B, DF$2, 'Bucket Counts'!$A:$A, "="&amp;$A35,  'Bucket Counts'!$F:$F, "100 Morts"))</f>
        <v>0</v>
      </c>
      <c r="DG35" s="116">
        <f>(SUMIFS('Bucket Counts'!$P:$P, 'Bucket Counts'!$B:$B, DG$2, 'Bucket Counts'!$A:$A, "="&amp;$A35,  'Bucket Counts'!$F:$F, "224"))</f>
        <v>0</v>
      </c>
      <c r="DH35" s="116"/>
      <c r="DI35" s="426">
        <f>(DG35+DE35)/DJ34</f>
        <v>0</v>
      </c>
      <c r="DJ35" s="370">
        <f>DE32+SUM(DD32:DD35)</f>
        <v>32016.666666666668</v>
      </c>
      <c r="DK35" s="369">
        <f>SUMIFS(Collection!$O:$O, Collection!$K:$K, DK$2, Collection!$A:$A, "="&amp;$A35)</f>
        <v>0</v>
      </c>
      <c r="DL35" s="116">
        <f>(SUMIFS('Bucket Counts'!$P:$P, 'Bucket Counts'!$B:$B, DL$2, 'Bucket Counts'!$A:$A, "="&amp;$A35,  'Bucket Counts'!$F:$F, "&lt;&gt;100 Morts",  'Bucket Counts'!$F:$F, "&lt;&gt;224"))</f>
        <v>0</v>
      </c>
      <c r="DM35" s="116">
        <f>(SUMIFS('Bucket Counts'!$P:$P, 'Bucket Counts'!$B:$B, DM$2, 'Bucket Counts'!$A:$A, "="&amp;$A35,  'Bucket Counts'!$F:$F, "100 Morts"))</f>
        <v>0</v>
      </c>
      <c r="DN35" s="116">
        <f>(SUMIFS('Bucket Counts'!$P:$P, 'Bucket Counts'!$B:$B, DN$2, 'Bucket Counts'!$A:$A, "="&amp;$A35,  'Bucket Counts'!$F:$F, "224"))</f>
        <v>0</v>
      </c>
      <c r="DO35" s="116"/>
      <c r="DP35" s="426" t="e">
        <f>(DN35+DL35)/DQ34</f>
        <v>#DIV/0!</v>
      </c>
      <c r="DQ35" s="370">
        <f>DL32+SUM(DK32:DK35)</f>
        <v>0</v>
      </c>
      <c r="DR35" s="369">
        <f>SUMIFS(Collection!$O:$O, Collection!$K:$K, DR$2, Collection!$A:$A, "="&amp;$A35)</f>
        <v>0</v>
      </c>
      <c r="DS35" s="116">
        <f>(SUMIFS('Bucket Counts'!$P:$P, 'Bucket Counts'!$B:$B, DS$2, 'Bucket Counts'!$A:$A, "="&amp;$A35,  'Bucket Counts'!$F:$F, "&lt;&gt;100 Morts",  'Bucket Counts'!$F:$F, "&lt;&gt;224"))</f>
        <v>0</v>
      </c>
      <c r="DT35" s="116">
        <f>(SUMIFS('Bucket Counts'!$P:$P, 'Bucket Counts'!$B:$B, DT$2, 'Bucket Counts'!$A:$A, "="&amp;$A35,  'Bucket Counts'!$F:$F, "100 Morts"))</f>
        <v>0</v>
      </c>
      <c r="DU35" s="116">
        <f>(SUMIFS('Bucket Counts'!$P:$P, 'Bucket Counts'!$B:$B, DU$2, 'Bucket Counts'!$A:$A, "="&amp;$A35,  'Bucket Counts'!$F:$F, "224"))</f>
        <v>0</v>
      </c>
      <c r="DV35" s="116"/>
      <c r="DW35" s="426" t="e">
        <f>(DU35+DS35)/DX34</f>
        <v>#DIV/0!</v>
      </c>
      <c r="DX35" s="370">
        <f>DS32+SUM(DR32:DR35)</f>
        <v>0</v>
      </c>
      <c r="DY35" s="369">
        <f>SUMIFS(Collection!$O:$O, Collection!$K:$K, DY$2, Collection!$A:$A, "="&amp;$A35)</f>
        <v>0</v>
      </c>
      <c r="DZ35" s="116">
        <f>(SUMIFS('Bucket Counts'!$P:$P, 'Bucket Counts'!$B:$B, DZ$2, 'Bucket Counts'!$A:$A, "="&amp;$A35,  'Bucket Counts'!$F:$F, "&lt;&gt;100 Morts",  'Bucket Counts'!$F:$F, "&lt;&gt;224"))</f>
        <v>0</v>
      </c>
      <c r="EA35" s="116">
        <f>(SUMIFS('Bucket Counts'!$P:$P, 'Bucket Counts'!$B:$B, EA$2, 'Bucket Counts'!$A:$A, "="&amp;$A35,  'Bucket Counts'!$F:$F, "100 Morts"))</f>
        <v>0</v>
      </c>
      <c r="EB35" s="116">
        <f>(SUMIFS('Bucket Counts'!$P:$P, 'Bucket Counts'!$B:$B, EB$2, 'Bucket Counts'!$A:$A, "="&amp;$A35,  'Bucket Counts'!$F:$F, "224"))</f>
        <v>0</v>
      </c>
      <c r="EC35" s="116"/>
      <c r="ED35" s="426" t="e">
        <f>(EB35+DZ35)/EE34</f>
        <v>#DIV/0!</v>
      </c>
      <c r="EE35" s="370">
        <f>DZ32+SUM(DY32:DY35)</f>
        <v>0</v>
      </c>
      <c r="EF35" s="369">
        <f>SUMIFS(Collection!$O:$O, Collection!$K:$K, EF$2, Collection!$A:$A, "="&amp;$A35)</f>
        <v>0</v>
      </c>
      <c r="EG35" s="116">
        <f>(SUMIFS('Bucket Counts'!$P:$P, 'Bucket Counts'!$B:$B, EG$2, 'Bucket Counts'!$A:$A, "="&amp;$A35,  'Bucket Counts'!$F:$F, "&lt;&gt;100 Morts",  'Bucket Counts'!$F:$F, "&lt;&gt;224"))</f>
        <v>0</v>
      </c>
      <c r="EH35" s="116">
        <f>(SUMIFS('Bucket Counts'!$P:$P, 'Bucket Counts'!$B:$B, EH$2, 'Bucket Counts'!$A:$A, "="&amp;$A35,  'Bucket Counts'!$F:$F, "100 Morts"))</f>
        <v>0</v>
      </c>
      <c r="EI35" s="116">
        <f>(SUMIFS('Bucket Counts'!$P:$P, 'Bucket Counts'!$B:$B, EI$2, 'Bucket Counts'!$A:$A, "="&amp;$A35,  'Bucket Counts'!$F:$F, "224"))</f>
        <v>0</v>
      </c>
      <c r="EJ35" s="116"/>
      <c r="EK35" s="426" t="e">
        <f>(EI35+EG35)/EL34</f>
        <v>#DIV/0!</v>
      </c>
      <c r="EL35" s="370">
        <f>EG32+SUM(EF32:EF35)</f>
        <v>0</v>
      </c>
    </row>
    <row r="36" spans="1:142" s="434" customFormat="1" x14ac:dyDescent="0.2">
      <c r="A36" s="428">
        <f t="shared" si="0"/>
        <v>42905</v>
      </c>
      <c r="B36" s="428" t="s">
        <v>486</v>
      </c>
      <c r="C36" s="429">
        <f>SUMIFS(Collection!$O:$O, Collection!$K:$K, C$2, Collection!$A:$A, "="&amp;$A36)</f>
        <v>0</v>
      </c>
      <c r="D36" s="430">
        <f>(SUMIFS('Bucket Counts'!$P:$P, 'Bucket Counts'!$B:$B, D$2, 'Bucket Counts'!$A:$A, "="&amp;$A36,  'Bucket Counts'!$F:$F, "&lt;&gt;100 Morts",  'Bucket Counts'!$F:$F, "&lt;&gt;224"))</f>
        <v>68000</v>
      </c>
      <c r="E36" s="430">
        <f>(SUMIFS('Bucket Counts'!$P:$P, 'Bucket Counts'!$B:$B, E$2, 'Bucket Counts'!$A:$A, "="&amp;$A36,  'Bucket Counts'!$F:$F, "100 Morts"))</f>
        <v>5120</v>
      </c>
      <c r="F36" s="430">
        <f>(SUMIFS('Bucket Counts'!$P:$P, 'Bucket Counts'!$B:$B, F$2, 'Bucket Counts'!$A:$A, "="&amp;$A36,  'Bucket Counts'!$F:$F, "224"))</f>
        <v>880</v>
      </c>
      <c r="G36" s="430">
        <f>I35</f>
        <v>139016.66666666666</v>
      </c>
      <c r="H36" s="431">
        <f>SUM(D36+F36)</f>
        <v>68880</v>
      </c>
      <c r="I36" s="432">
        <f>D36+C36</f>
        <v>68000</v>
      </c>
      <c r="J36" s="429">
        <f>SUMIFS(Collection!$O:$O, Collection!$K:$K, J$2, Collection!$A:$A, "="&amp;$A36)</f>
        <v>0</v>
      </c>
      <c r="K36" s="430">
        <f>(SUMIFS('Bucket Counts'!$P:$P, 'Bucket Counts'!$B:$B, K$2, 'Bucket Counts'!$A:$A, "="&amp;$A36,  'Bucket Counts'!$F:$F, "&lt;&gt;100 Morts",  'Bucket Counts'!$F:$F, "&lt;&gt;224"))</f>
        <v>1040</v>
      </c>
      <c r="L36" s="430">
        <f>(SUMIFS('Bucket Counts'!$P:$P, 'Bucket Counts'!$B:$B, L$2, 'Bucket Counts'!$A:$A, "="&amp;$A36,  'Bucket Counts'!$F:$F, "100 Morts"))</f>
        <v>0</v>
      </c>
      <c r="M36" s="430">
        <f>(SUMIFS('Bucket Counts'!$P:$P, 'Bucket Counts'!$B:$B, M$2, 'Bucket Counts'!$A:$A, "="&amp;$A36,  'Bucket Counts'!$F:$F, "224"))</f>
        <v>170</v>
      </c>
      <c r="N36" s="430">
        <f>P35</f>
        <v>20650</v>
      </c>
      <c r="O36" s="431">
        <f>SUM(K36+M36)</f>
        <v>1210</v>
      </c>
      <c r="P36" s="432">
        <f>K36+J36</f>
        <v>1040</v>
      </c>
      <c r="Q36" s="429">
        <f>SUMIFS(Collection!$O:$O, Collection!$K:$K, Q$2, Collection!$A:$A, "="&amp;$A36)</f>
        <v>0</v>
      </c>
      <c r="R36" s="430">
        <f>(SUMIFS('Bucket Counts'!$P:$P, 'Bucket Counts'!$B:$B, R$2, 'Bucket Counts'!$A:$A, "="&amp;$A36,  'Bucket Counts'!$F:$F, "&lt;&gt;100 Morts",  'Bucket Counts'!$F:$F, "&lt;&gt;224"))</f>
        <v>18013.333333333332</v>
      </c>
      <c r="S36" s="430">
        <f>(SUMIFS('Bucket Counts'!$P:$P, 'Bucket Counts'!$B:$B, S$2, 'Bucket Counts'!$A:$A, "="&amp;$A36,  'Bucket Counts'!$F:$F, "100 Morts"))</f>
        <v>180</v>
      </c>
      <c r="T36" s="430">
        <f>(SUMIFS('Bucket Counts'!$P:$P, 'Bucket Counts'!$B:$B, T$2, 'Bucket Counts'!$A:$A, "="&amp;$A36,  'Bucket Counts'!$F:$F, "224"))</f>
        <v>2166.6666666666665</v>
      </c>
      <c r="U36" s="430">
        <f>W35</f>
        <v>23916.666666666664</v>
      </c>
      <c r="V36" s="431">
        <f>SUM(R36+T36)</f>
        <v>20180</v>
      </c>
      <c r="W36" s="432">
        <f>R36+Q36</f>
        <v>18013.333333333332</v>
      </c>
      <c r="X36" s="429">
        <f>SUMIFS(Collection!$O:$O, Collection!$K:$K, X$2, Collection!$A:$A, "="&amp;$A36)</f>
        <v>59640</v>
      </c>
      <c r="Y36" s="430">
        <f>(SUMIFS('Bucket Counts'!$P:$P, 'Bucket Counts'!$B:$B, Y$2, 'Bucket Counts'!$A:$A, "="&amp;$A36,  'Bucket Counts'!$F:$F, "&lt;&gt;100 Morts",  'Bucket Counts'!$F:$F, "&lt;&gt;224"))</f>
        <v>64100</v>
      </c>
      <c r="Z36" s="430">
        <f>(SUMIFS('Bucket Counts'!$P:$P, 'Bucket Counts'!$B:$B, Z$2, 'Bucket Counts'!$A:$A, "="&amp;$A36,  'Bucket Counts'!$F:$F, "100 Morts"))</f>
        <v>833.33333333333337</v>
      </c>
      <c r="AA36" s="430">
        <f>(SUMIFS('Bucket Counts'!$P:$P, 'Bucket Counts'!$B:$B, AA$2, 'Bucket Counts'!$A:$A, "="&amp;$A36,  'Bucket Counts'!$F:$F, "224"))</f>
        <v>180</v>
      </c>
      <c r="AB36" s="430">
        <f>AD35</f>
        <v>69490</v>
      </c>
      <c r="AC36" s="431">
        <f>SUM(Y36+AA36)</f>
        <v>64280</v>
      </c>
      <c r="AD36" s="432">
        <f>Y36+X36</f>
        <v>123740</v>
      </c>
      <c r="AE36" s="429">
        <f>SUMIFS(Collection!$O:$O, Collection!$K:$K, AE$2, Collection!$A:$A, "="&amp;$A36)</f>
        <v>0</v>
      </c>
      <c r="AF36" s="430">
        <f>(SUMIFS('Bucket Counts'!$P:$P, 'Bucket Counts'!$B:$B, AF$2, 'Bucket Counts'!$A:$A, "="&amp;$A36,  'Bucket Counts'!$F:$F, "&lt;&gt;100 Morts",  'Bucket Counts'!$F:$F, "&lt;&gt;224"))</f>
        <v>83576.666666666657</v>
      </c>
      <c r="AG36" s="430">
        <f>(SUMIFS('Bucket Counts'!$P:$P, 'Bucket Counts'!$B:$B, AG$2, 'Bucket Counts'!$A:$A, "="&amp;$A36,  'Bucket Counts'!$F:$F, "100 Morts"))</f>
        <v>163.33333333333331</v>
      </c>
      <c r="AH36" s="430">
        <f>(SUMIFS('Bucket Counts'!$P:$P, 'Bucket Counts'!$B:$B, AH$2, 'Bucket Counts'!$A:$A, "="&amp;$A36,  'Bucket Counts'!$F:$F, "224"))</f>
        <v>19466.666666666664</v>
      </c>
      <c r="AI36" s="430">
        <f>AK35</f>
        <v>143900</v>
      </c>
      <c r="AJ36" s="431">
        <f>SUM(AF36+AH36)</f>
        <v>103043.33333333331</v>
      </c>
      <c r="AK36" s="432">
        <f>AF36+AE36</f>
        <v>83576.666666666657</v>
      </c>
      <c r="AL36" s="429">
        <f>SUMIFS(Collection!$O:$O, Collection!$K:$K, AL$2, Collection!$A:$A, "="&amp;$A36)</f>
        <v>0</v>
      </c>
      <c r="AM36" s="430">
        <f>(SUMIFS('Bucket Counts'!$P:$P, 'Bucket Counts'!$B:$B, AM$2, 'Bucket Counts'!$A:$A, "="&amp;$A36,  'Bucket Counts'!$F:$F, "&lt;&gt;100 Morts",  'Bucket Counts'!$F:$F, "&lt;&gt;224"))</f>
        <v>53133.333333333328</v>
      </c>
      <c r="AN36" s="430">
        <f>(SUMIFS('Bucket Counts'!$P:$P, 'Bucket Counts'!$B:$B, AN$2, 'Bucket Counts'!$A:$A, "="&amp;$A36,  'Bucket Counts'!$F:$F, "100 Morts"))</f>
        <v>500</v>
      </c>
      <c r="AO36" s="430">
        <f>(SUMIFS('Bucket Counts'!$P:$P, 'Bucket Counts'!$B:$B, AO$2, 'Bucket Counts'!$A:$A, "="&amp;$A36,  'Bucket Counts'!$F:$F, "224"))</f>
        <v>166.66666666666666</v>
      </c>
      <c r="AP36" s="430">
        <f>AR35</f>
        <v>156500</v>
      </c>
      <c r="AQ36" s="431">
        <f>SUM(AM36+AO36)</f>
        <v>53299.999999999993</v>
      </c>
      <c r="AR36" s="432">
        <f>AM36+AL36</f>
        <v>53133.333333333328</v>
      </c>
      <c r="AS36" s="429">
        <f>SUMIFS(Collection!$O:$O, Collection!$K:$K, AS$2, Collection!$A:$A, "="&amp;$A36)</f>
        <v>86020</v>
      </c>
      <c r="AT36" s="430">
        <f>(SUMIFS('Bucket Counts'!$P:$P, 'Bucket Counts'!$B:$B, AT$2, 'Bucket Counts'!$A:$A, "="&amp;$A36,  'Bucket Counts'!$F:$F, "&lt;&gt;100 Morts",  'Bucket Counts'!$F:$F, "&lt;&gt;224"))</f>
        <v>48966.666666666672</v>
      </c>
      <c r="AU36" s="430">
        <f>(SUMIFS('Bucket Counts'!$P:$P, 'Bucket Counts'!$B:$B, AU$2, 'Bucket Counts'!$A:$A, "="&amp;$A36,  'Bucket Counts'!$F:$F, "100 Morts"))</f>
        <v>1470</v>
      </c>
      <c r="AV36" s="430">
        <f>(SUMIFS('Bucket Counts'!$P:$P, 'Bucket Counts'!$B:$B, AV$2, 'Bucket Counts'!$A:$A, "="&amp;$A36,  'Bucket Counts'!$F:$F, "224"))</f>
        <v>5166.666666666667</v>
      </c>
      <c r="AW36" s="430">
        <f>AY35</f>
        <v>144675</v>
      </c>
      <c r="AX36" s="431">
        <f>SUM(AT36+AV36)</f>
        <v>54133.333333333336</v>
      </c>
      <c r="AY36" s="432">
        <f>AT36+AS36</f>
        <v>134986.66666666669</v>
      </c>
      <c r="AZ36" s="429">
        <f>SUMIFS(Collection!$O:$O, Collection!$K:$K, AZ$2, Collection!$A:$A, "="&amp;$A36)</f>
        <v>0</v>
      </c>
      <c r="BA36" s="430">
        <f>(SUMIFS('Bucket Counts'!$P:$P, 'Bucket Counts'!$B:$B, BA$2, 'Bucket Counts'!$A:$A, "="&amp;$A36,  'Bucket Counts'!$F:$F, "&lt;&gt;100 Morts",  'Bucket Counts'!$F:$F, "&lt;&gt;224"))</f>
        <v>45056.666666666672</v>
      </c>
      <c r="BB36" s="430">
        <f>(SUMIFS('Bucket Counts'!$P:$P, 'Bucket Counts'!$B:$B, BB$2, 'Bucket Counts'!$A:$A, "="&amp;$A36,  'Bucket Counts'!$F:$F, "100 Morts"))</f>
        <v>163.33333333333331</v>
      </c>
      <c r="BC36" s="430">
        <f>(SUMIFS('Bucket Counts'!$P:$P, 'Bucket Counts'!$B:$B, BC$2, 'Bucket Counts'!$A:$A, "="&amp;$A36,  'Bucket Counts'!$F:$F, "224"))</f>
        <v>2253.333333333333</v>
      </c>
      <c r="BD36" s="430">
        <f>BF35</f>
        <v>187700</v>
      </c>
      <c r="BE36" s="431">
        <f>SUM(BA36+BC36)</f>
        <v>47310.000000000007</v>
      </c>
      <c r="BF36" s="432">
        <f>BA36+AZ36</f>
        <v>45056.666666666672</v>
      </c>
      <c r="BG36" s="429">
        <f>SUMIFS(Collection!$O:$O, Collection!$K:$K, BG$2, Collection!$A:$A, "="&amp;$A36)</f>
        <v>53456.666666666672</v>
      </c>
      <c r="BH36" s="430">
        <f>(SUMIFS('Bucket Counts'!$P:$P, 'Bucket Counts'!$B:$B, BH$2, 'Bucket Counts'!$A:$A, "="&amp;$A36,  'Bucket Counts'!$F:$F, "&lt;&gt;100 Morts",  'Bucket Counts'!$F:$F, "&lt;&gt;224"))</f>
        <v>20366.666666666664</v>
      </c>
      <c r="BI36" s="430">
        <f>(SUMIFS('Bucket Counts'!$P:$P, 'Bucket Counts'!$B:$B, BI$2, 'Bucket Counts'!$A:$A, "="&amp;$A36,  'Bucket Counts'!$F:$F, "100 Morts"))</f>
        <v>2333.3333333333335</v>
      </c>
      <c r="BJ36" s="430">
        <f>(SUMIFS('Bucket Counts'!$P:$P, 'Bucket Counts'!$B:$B, BJ$2, 'Bucket Counts'!$A:$A, "="&amp;$A36,  'Bucket Counts'!$F:$F, "224"))</f>
        <v>3333.3333333333335</v>
      </c>
      <c r="BK36" s="430">
        <f>BM35</f>
        <v>47760</v>
      </c>
      <c r="BL36" s="431">
        <f>SUM(BH36+BJ36)</f>
        <v>23699.999999999996</v>
      </c>
      <c r="BM36" s="432">
        <f>BH36+BG36</f>
        <v>73823.333333333343</v>
      </c>
      <c r="BN36" s="429">
        <f>SUMIFS(Collection!$O:$O, Collection!$K:$K, BN$2, Collection!$A:$A, "="&amp;$A36)</f>
        <v>125</v>
      </c>
      <c r="BO36" s="430">
        <f>(SUMIFS('Bucket Counts'!$P:$P, 'Bucket Counts'!$B:$B, BO$2, 'Bucket Counts'!$A:$A, "="&amp;$A36,  'Bucket Counts'!$F:$F, "&lt;&gt;100 Morts",  'Bucket Counts'!$F:$F, "&lt;&gt;224"))</f>
        <v>92493.333333333328</v>
      </c>
      <c r="BP36" s="430">
        <f>(SUMIFS('Bucket Counts'!$P:$P, 'Bucket Counts'!$B:$B, BP$2, 'Bucket Counts'!$A:$A, "="&amp;$A36,  'Bucket Counts'!$F:$F, "100 Morts"))</f>
        <v>6500</v>
      </c>
      <c r="BQ36" s="430">
        <f>(SUMIFS('Bucket Counts'!$P:$P, 'Bucket Counts'!$B:$B, BQ$2, 'Bucket Counts'!$A:$A, "="&amp;$A36,  'Bucket Counts'!$F:$F, "224"))</f>
        <v>833.33333333333337</v>
      </c>
      <c r="BR36" s="430">
        <f>BT35</f>
        <v>156608.33333333334</v>
      </c>
      <c r="BS36" s="431">
        <f>SUM(BO36+BQ36)</f>
        <v>93326.666666666657</v>
      </c>
      <c r="BT36" s="432">
        <f>BO36+BN36</f>
        <v>92618.333333333328</v>
      </c>
      <c r="BU36" s="429">
        <f>SUMIFS(Collection!$O:$O, Collection!$K:$K, BU$2, Collection!$A:$A, "="&amp;$A36)</f>
        <v>0</v>
      </c>
      <c r="BV36" s="430">
        <f>(SUMIFS('Bucket Counts'!$P:$P, 'Bucket Counts'!$B:$B, BV$2, 'Bucket Counts'!$A:$A, "="&amp;$A36,  'Bucket Counts'!$F:$F, "&lt;&gt;100 Morts",  'Bucket Counts'!$F:$F, "&lt;&gt;224"))</f>
        <v>37066.666666666672</v>
      </c>
      <c r="BW36" s="430">
        <f>(SUMIFS('Bucket Counts'!$P:$P, 'Bucket Counts'!$B:$B, BW$2, 'Bucket Counts'!$A:$A, "="&amp;$A36,  'Bucket Counts'!$F:$F, "100 Morts"))</f>
        <v>500</v>
      </c>
      <c r="BX36" s="430">
        <f>(SUMIFS('Bucket Counts'!$P:$P, 'Bucket Counts'!$B:$B, BX$2, 'Bucket Counts'!$A:$A, "="&amp;$A36,  'Bucket Counts'!$F:$F, "224"))</f>
        <v>0</v>
      </c>
      <c r="BY36" s="430">
        <f>CA35</f>
        <v>55333.333333333336</v>
      </c>
      <c r="BZ36" s="431">
        <f>SUM(BV36+BX36)</f>
        <v>37066.666666666672</v>
      </c>
      <c r="CA36" s="432">
        <f>BV36+BU36</f>
        <v>37066.666666666672</v>
      </c>
      <c r="CB36" s="429">
        <f>SUMIFS(Collection!$O:$O, Collection!$K:$K, CB$2, Collection!$A:$A, "="&amp;$A36)</f>
        <v>50000</v>
      </c>
      <c r="CC36" s="430">
        <f>(SUMIFS('Bucket Counts'!$P:$P, 'Bucket Counts'!$B:$B, CC$2, 'Bucket Counts'!$A:$A, "="&amp;$A36,  'Bucket Counts'!$F:$F, "&lt;&gt;100 Morts",  'Bucket Counts'!$F:$F, "&lt;&gt;224"))</f>
        <v>77333.333333333343</v>
      </c>
      <c r="CD36" s="430">
        <f>(SUMIFS('Bucket Counts'!$P:$P, 'Bucket Counts'!$B:$B, CD$2, 'Bucket Counts'!$A:$A, "="&amp;$A36,  'Bucket Counts'!$F:$F, "100 Morts"))</f>
        <v>25500</v>
      </c>
      <c r="CE36" s="430">
        <f>(SUMIFS('Bucket Counts'!$P:$P, 'Bucket Counts'!$B:$B, CE$2, 'Bucket Counts'!$A:$A, "="&amp;$A36,  'Bucket Counts'!$F:$F, "224"))</f>
        <v>0</v>
      </c>
      <c r="CF36" s="430">
        <f>CH35</f>
        <v>140150</v>
      </c>
      <c r="CG36" s="431">
        <f>SUM(CC36+CE36)</f>
        <v>77333.333333333343</v>
      </c>
      <c r="CH36" s="432">
        <f>CC36+CB36</f>
        <v>127333.33333333334</v>
      </c>
      <c r="CI36" s="429">
        <f>SUMIFS(Collection!$O:$O, Collection!$K:$K, CI$2, Collection!$A:$A, "="&amp;$A36)</f>
        <v>0</v>
      </c>
      <c r="CJ36" s="430">
        <f>(SUMIFS('Bucket Counts'!$P:$P, 'Bucket Counts'!$B:$B, CJ$2, 'Bucket Counts'!$A:$A, "="&amp;$A36,  'Bucket Counts'!$F:$F, "&lt;&gt;100 Morts",  'Bucket Counts'!$F:$F, "&lt;&gt;224"))</f>
        <v>29833.333333333336</v>
      </c>
      <c r="CK36" s="430">
        <f>(SUMIFS('Bucket Counts'!$P:$P, 'Bucket Counts'!$B:$B, CK$2, 'Bucket Counts'!$A:$A, "="&amp;$A36,  'Bucket Counts'!$F:$F, "100 Morts"))</f>
        <v>3666.6666666666665</v>
      </c>
      <c r="CL36" s="430">
        <f>(SUMIFS('Bucket Counts'!$P:$P, 'Bucket Counts'!$B:$B, CL$2, 'Bucket Counts'!$A:$A, "="&amp;$A36,  'Bucket Counts'!$F:$F, "224"))</f>
        <v>2166.6666666666665</v>
      </c>
      <c r="CM36" s="430">
        <f>CO35</f>
        <v>83133.333333333328</v>
      </c>
      <c r="CN36" s="431">
        <f>SUM(CJ36+CL36)</f>
        <v>32000.000000000004</v>
      </c>
      <c r="CO36" s="432">
        <f>CJ36+CI36</f>
        <v>29833.333333333336</v>
      </c>
      <c r="CP36" s="429">
        <f>SUMIFS(Collection!$O:$O, Collection!$K:$K, CP$2, Collection!$A:$A, "="&amp;$A36)</f>
        <v>13000</v>
      </c>
      <c r="CQ36" s="430">
        <f>(SUMIFS('Bucket Counts'!$P:$P, 'Bucket Counts'!$B:$B, CQ$2, 'Bucket Counts'!$A:$A, "="&amp;$A36,  'Bucket Counts'!$F:$F, "&lt;&gt;100 Morts",  'Bucket Counts'!$F:$F, "&lt;&gt;224"))</f>
        <v>1166.6666666666665</v>
      </c>
      <c r="CR36" s="430">
        <f>(SUMIFS('Bucket Counts'!$P:$P, 'Bucket Counts'!$B:$B, CR$2, 'Bucket Counts'!$A:$A, "="&amp;$A36,  'Bucket Counts'!$F:$F, "100 Morts"))</f>
        <v>0</v>
      </c>
      <c r="CS36" s="430">
        <f>(SUMIFS('Bucket Counts'!$P:$P, 'Bucket Counts'!$B:$B, CS$2, 'Bucket Counts'!$A:$A, "="&amp;$A36,  'Bucket Counts'!$F:$F, "224"))</f>
        <v>100</v>
      </c>
      <c r="CT36" s="430">
        <f>CV35</f>
        <v>3325</v>
      </c>
      <c r="CU36" s="431">
        <f>SUM(CQ36+CS36)</f>
        <v>1266.6666666666665</v>
      </c>
      <c r="CV36" s="432">
        <f>CQ36+CP36</f>
        <v>14166.666666666666</v>
      </c>
      <c r="CW36" s="429">
        <f>SUMIFS(Collection!$O:$O, Collection!$K:$K, CW$2, Collection!$A:$A, "="&amp;$A36)</f>
        <v>51150</v>
      </c>
      <c r="CX36" s="430">
        <f>(SUMIFS('Bucket Counts'!$P:$P, 'Bucket Counts'!$B:$B, CX$2, 'Bucket Counts'!$A:$A, "="&amp;$A36,  'Bucket Counts'!$F:$F, "&lt;&gt;100 Morts",  'Bucket Counts'!$F:$F, "&lt;&gt;224"))</f>
        <v>32050</v>
      </c>
      <c r="CY36" s="430">
        <f>(SUMIFS('Bucket Counts'!$P:$P, 'Bucket Counts'!$B:$B, CY$2, 'Bucket Counts'!$A:$A, "="&amp;$A36,  'Bucket Counts'!$F:$F, "100 Morts"))</f>
        <v>2040</v>
      </c>
      <c r="CZ36" s="430">
        <f>(SUMIFS('Bucket Counts'!$P:$P, 'Bucket Counts'!$B:$B, CZ$2, 'Bucket Counts'!$A:$A, "="&amp;$A36,  'Bucket Counts'!$F:$F, "224"))</f>
        <v>6250</v>
      </c>
      <c r="DA36" s="430">
        <f>DC35</f>
        <v>64180</v>
      </c>
      <c r="DB36" s="431">
        <f>SUM(CX36+CZ36)</f>
        <v>38300</v>
      </c>
      <c r="DC36" s="432">
        <f>CX36+CW36</f>
        <v>83200</v>
      </c>
      <c r="DD36" s="429">
        <f>SUMIFS(Collection!$O:$O, Collection!$K:$K, DD$2, Collection!$A:$A, "="&amp;$A36)</f>
        <v>0</v>
      </c>
      <c r="DE36" s="430">
        <f>(SUMIFS('Bucket Counts'!$P:$P, 'Bucket Counts'!$B:$B, DE$2, 'Bucket Counts'!$A:$A, "="&amp;$A36,  'Bucket Counts'!$F:$F, "&lt;&gt;100 Morts",  'Bucket Counts'!$F:$F, "&lt;&gt;224"))</f>
        <v>34500</v>
      </c>
      <c r="DF36" s="430">
        <f>(SUMIFS('Bucket Counts'!$P:$P, 'Bucket Counts'!$B:$B, DF$2, 'Bucket Counts'!$A:$A, "="&amp;$A36,  'Bucket Counts'!$F:$F, "100 Morts"))</f>
        <v>816.66666666666674</v>
      </c>
      <c r="DG36" s="430">
        <f>(SUMIFS('Bucket Counts'!$P:$P, 'Bucket Counts'!$B:$B, DG$2, 'Bucket Counts'!$A:$A, "="&amp;$A36,  'Bucket Counts'!$F:$F, "224"))</f>
        <v>0</v>
      </c>
      <c r="DH36" s="430">
        <f>DJ35</f>
        <v>32016.666666666668</v>
      </c>
      <c r="DI36" s="431">
        <f>SUM(DE36+DG36)</f>
        <v>34500</v>
      </c>
      <c r="DJ36" s="432">
        <f>DE36+DD36</f>
        <v>34500</v>
      </c>
      <c r="DK36" s="429">
        <f>SUMIFS(Collection!$O:$O, Collection!$K:$K, DK$2, Collection!$A:$A, "="&amp;$A36)</f>
        <v>0</v>
      </c>
      <c r="DL36" s="430">
        <f>(SUMIFS('Bucket Counts'!$P:$P, 'Bucket Counts'!$B:$B, DL$2, 'Bucket Counts'!$A:$A, "="&amp;$A36,  'Bucket Counts'!$F:$F, "&lt;&gt;100 Morts",  'Bucket Counts'!$F:$F, "&lt;&gt;224"))</f>
        <v>0</v>
      </c>
      <c r="DM36" s="430">
        <f>(SUMIFS('Bucket Counts'!$P:$P, 'Bucket Counts'!$B:$B, DM$2, 'Bucket Counts'!$A:$A, "="&amp;$A36,  'Bucket Counts'!$F:$F, "100 Morts"))</f>
        <v>0</v>
      </c>
      <c r="DN36" s="430">
        <f>(SUMIFS('Bucket Counts'!$P:$P, 'Bucket Counts'!$B:$B, DN$2, 'Bucket Counts'!$A:$A, "="&amp;$A36,  'Bucket Counts'!$F:$F, "224"))</f>
        <v>0</v>
      </c>
      <c r="DO36" s="430">
        <f>DQ35</f>
        <v>0</v>
      </c>
      <c r="DP36" s="431">
        <f>SUM(DL36+DN36)</f>
        <v>0</v>
      </c>
      <c r="DQ36" s="432">
        <f>DL36+DK36</f>
        <v>0</v>
      </c>
      <c r="DR36" s="429">
        <f>SUMIFS(Collection!$O:$O, Collection!$K:$K, DR$2, Collection!$A:$A, "="&amp;$A36)</f>
        <v>0</v>
      </c>
      <c r="DS36" s="430">
        <f>(SUMIFS('Bucket Counts'!$P:$P, 'Bucket Counts'!$B:$B, DS$2, 'Bucket Counts'!$A:$A, "="&amp;$A36,  'Bucket Counts'!$F:$F, "&lt;&gt;100 Morts",  'Bucket Counts'!$F:$F, "&lt;&gt;224"))</f>
        <v>0</v>
      </c>
      <c r="DT36" s="430">
        <f>(SUMIFS('Bucket Counts'!$P:$P, 'Bucket Counts'!$B:$B, DT$2, 'Bucket Counts'!$A:$A, "="&amp;$A36,  'Bucket Counts'!$F:$F, "100 Morts"))</f>
        <v>0</v>
      </c>
      <c r="DU36" s="430">
        <f>(SUMIFS('Bucket Counts'!$P:$P, 'Bucket Counts'!$B:$B, DU$2, 'Bucket Counts'!$A:$A, "="&amp;$A36,  'Bucket Counts'!$F:$F, "224"))</f>
        <v>0</v>
      </c>
      <c r="DV36" s="430">
        <f>DX35</f>
        <v>0</v>
      </c>
      <c r="DW36" s="431">
        <f>SUM(DS36+DU36)</f>
        <v>0</v>
      </c>
      <c r="DX36" s="432">
        <f>DS36+DR36</f>
        <v>0</v>
      </c>
      <c r="DY36" s="429">
        <f>SUMIFS(Collection!$O:$O, Collection!$K:$K, DY$2, Collection!$A:$A, "="&amp;$A36)</f>
        <v>0</v>
      </c>
      <c r="DZ36" s="430">
        <f>(SUMIFS('Bucket Counts'!$P:$P, 'Bucket Counts'!$B:$B, DZ$2, 'Bucket Counts'!$A:$A, "="&amp;$A36,  'Bucket Counts'!$F:$F, "&lt;&gt;100 Morts",  'Bucket Counts'!$F:$F, "&lt;&gt;224"))</f>
        <v>0</v>
      </c>
      <c r="EA36" s="430">
        <f>(SUMIFS('Bucket Counts'!$P:$P, 'Bucket Counts'!$B:$B, EA$2, 'Bucket Counts'!$A:$A, "="&amp;$A36,  'Bucket Counts'!$F:$F, "100 Morts"))</f>
        <v>0</v>
      </c>
      <c r="EB36" s="430">
        <f>(SUMIFS('Bucket Counts'!$P:$P, 'Bucket Counts'!$B:$B, EB$2, 'Bucket Counts'!$A:$A, "="&amp;$A36,  'Bucket Counts'!$F:$F, "224"))</f>
        <v>0</v>
      </c>
      <c r="EC36" s="430">
        <f>EE35</f>
        <v>0</v>
      </c>
      <c r="ED36" s="431">
        <f>SUM(DZ36+EB36)</f>
        <v>0</v>
      </c>
      <c r="EE36" s="432">
        <f>DZ36+DY36</f>
        <v>0</v>
      </c>
      <c r="EF36" s="429">
        <f>SUMIFS(Collection!$O:$O, Collection!$K:$K, EF$2, Collection!$A:$A, "="&amp;$A36)</f>
        <v>0</v>
      </c>
      <c r="EG36" s="430">
        <f>(SUMIFS('Bucket Counts'!$P:$P, 'Bucket Counts'!$B:$B, EG$2, 'Bucket Counts'!$A:$A, "="&amp;$A36,  'Bucket Counts'!$F:$F, "&lt;&gt;100 Morts",  'Bucket Counts'!$F:$F, "&lt;&gt;224"))</f>
        <v>0</v>
      </c>
      <c r="EH36" s="430">
        <f>(SUMIFS('Bucket Counts'!$P:$P, 'Bucket Counts'!$B:$B, EH$2, 'Bucket Counts'!$A:$A, "="&amp;$A36,  'Bucket Counts'!$F:$F, "100 Morts"))</f>
        <v>0</v>
      </c>
      <c r="EI36" s="430">
        <f>(SUMIFS('Bucket Counts'!$P:$P, 'Bucket Counts'!$B:$B, EI$2, 'Bucket Counts'!$A:$A, "="&amp;$A36,  'Bucket Counts'!$F:$F, "224"))</f>
        <v>0</v>
      </c>
      <c r="EJ36" s="430">
        <f>EL35</f>
        <v>0</v>
      </c>
      <c r="EK36" s="431">
        <f>SUM(EG36+EI36)</f>
        <v>0</v>
      </c>
      <c r="EL36" s="432">
        <f>EG36+EF36</f>
        <v>0</v>
      </c>
    </row>
    <row r="37" spans="1:142" x14ac:dyDescent="0.2">
      <c r="A37" s="16">
        <f t="shared" si="0"/>
        <v>42906</v>
      </c>
      <c r="B37" s="16" t="s">
        <v>487</v>
      </c>
      <c r="C37" s="369">
        <f>SUMIFS(Collection!$O:$O, Collection!$K:$K, C$2, Collection!$A:$A, "="&amp;$A37)</f>
        <v>0</v>
      </c>
      <c r="D37" s="116">
        <f>(SUMIFS('Bucket Counts'!$P:$P, 'Bucket Counts'!$B:$B, D$2, 'Bucket Counts'!$A:$A, "="&amp;$A37,  'Bucket Counts'!$F:$F, "&lt;&gt;100 Morts",  'Bucket Counts'!$F:$F, "&lt;&gt;224"))</f>
        <v>0</v>
      </c>
      <c r="E37" s="116">
        <f>(SUMIFS('Bucket Counts'!$P:$P, 'Bucket Counts'!$B:$B, E$2, 'Bucket Counts'!$A:$A, "="&amp;$A37,  'Bucket Counts'!$F:$F, "100 Morts"))</f>
        <v>0</v>
      </c>
      <c r="F37" s="116">
        <f>(SUMIFS('Bucket Counts'!$P:$P, 'Bucket Counts'!$B:$B, F$2, 'Bucket Counts'!$A:$A, "="&amp;$A37,  'Bucket Counts'!$F:$F, "224"))</f>
        <v>0</v>
      </c>
      <c r="G37" s="116"/>
      <c r="H37" s="426">
        <f>(F37+D37)/I36</f>
        <v>0</v>
      </c>
      <c r="I37" s="370">
        <f>D36+SUM(C36:C37)</f>
        <v>68000</v>
      </c>
      <c r="J37" s="369">
        <f>SUMIFS(Collection!$O:$O, Collection!$K:$K, J$2, Collection!$A:$A, "="&amp;$A37)</f>
        <v>0</v>
      </c>
      <c r="K37" s="116">
        <f>(SUMIFS('Bucket Counts'!$P:$P, 'Bucket Counts'!$B:$B, K$2, 'Bucket Counts'!$A:$A, "="&amp;$A37,  'Bucket Counts'!$F:$F, "&lt;&gt;100 Morts",  'Bucket Counts'!$F:$F, "&lt;&gt;224"))</f>
        <v>0</v>
      </c>
      <c r="L37" s="116">
        <f>(SUMIFS('Bucket Counts'!$P:$P, 'Bucket Counts'!$B:$B, L$2, 'Bucket Counts'!$A:$A, "="&amp;$A37,  'Bucket Counts'!$F:$F, "100 Morts"))</f>
        <v>0</v>
      </c>
      <c r="M37" s="116">
        <f>(SUMIFS('Bucket Counts'!$P:$P, 'Bucket Counts'!$B:$B, M$2, 'Bucket Counts'!$A:$A, "="&amp;$A37,  'Bucket Counts'!$F:$F, "224"))</f>
        <v>0</v>
      </c>
      <c r="N37" s="116"/>
      <c r="O37" s="426">
        <f>(M37+K37)/P36</f>
        <v>0</v>
      </c>
      <c r="P37" s="370">
        <f>K36+SUM(J36:J37)</f>
        <v>1040</v>
      </c>
      <c r="Q37" s="369">
        <f>SUMIFS(Collection!$O:$O, Collection!$K:$K, Q$2, Collection!$A:$A, "="&amp;$A37)</f>
        <v>0</v>
      </c>
      <c r="R37" s="116">
        <f>(SUMIFS('Bucket Counts'!$P:$P, 'Bucket Counts'!$B:$B, R$2, 'Bucket Counts'!$A:$A, "="&amp;$A37,  'Bucket Counts'!$F:$F, "&lt;&gt;100 Morts",  'Bucket Counts'!$F:$F, "&lt;&gt;224"))</f>
        <v>0</v>
      </c>
      <c r="S37" s="116">
        <f>(SUMIFS('Bucket Counts'!$P:$P, 'Bucket Counts'!$B:$B, S$2, 'Bucket Counts'!$A:$A, "="&amp;$A37,  'Bucket Counts'!$F:$F, "100 Morts"))</f>
        <v>0</v>
      </c>
      <c r="T37" s="116">
        <f>(SUMIFS('Bucket Counts'!$P:$P, 'Bucket Counts'!$B:$B, T$2, 'Bucket Counts'!$A:$A, "="&amp;$A37,  'Bucket Counts'!$F:$F, "224"))</f>
        <v>0</v>
      </c>
      <c r="U37" s="116"/>
      <c r="V37" s="426">
        <f>(T37+R37)/W36</f>
        <v>0</v>
      </c>
      <c r="W37" s="370">
        <f>R36+SUM(Q36:Q37)</f>
        <v>18013.333333333332</v>
      </c>
      <c r="X37" s="369">
        <f>SUMIFS(Collection!$O:$O, Collection!$K:$K, X$2, Collection!$A:$A, "="&amp;$A37)</f>
        <v>0</v>
      </c>
      <c r="Y37" s="116">
        <f>(SUMIFS('Bucket Counts'!$P:$P, 'Bucket Counts'!$B:$B, Y$2, 'Bucket Counts'!$A:$A, "="&amp;$A37,  'Bucket Counts'!$F:$F, "&lt;&gt;100 Morts",  'Bucket Counts'!$F:$F, "&lt;&gt;224"))</f>
        <v>0</v>
      </c>
      <c r="Z37" s="116">
        <f>(SUMIFS('Bucket Counts'!$P:$P, 'Bucket Counts'!$B:$B, Z$2, 'Bucket Counts'!$A:$A, "="&amp;$A37,  'Bucket Counts'!$F:$F, "100 Morts"))</f>
        <v>0</v>
      </c>
      <c r="AA37" s="116">
        <f>(SUMIFS('Bucket Counts'!$P:$P, 'Bucket Counts'!$B:$B, AA$2, 'Bucket Counts'!$A:$A, "="&amp;$A37,  'Bucket Counts'!$F:$F, "224"))</f>
        <v>0</v>
      </c>
      <c r="AB37" s="116"/>
      <c r="AC37" s="426">
        <f>(AA37+Y37)/AD36</f>
        <v>0</v>
      </c>
      <c r="AD37" s="370">
        <f>Y36+SUM(X36:X37)</f>
        <v>123740</v>
      </c>
      <c r="AE37" s="369">
        <f>SUMIFS(Collection!$O:$O, Collection!$K:$K, AE$2, Collection!$A:$A, "="&amp;$A37)</f>
        <v>0</v>
      </c>
      <c r="AF37" s="116">
        <f>(SUMIFS('Bucket Counts'!$P:$P, 'Bucket Counts'!$B:$B, AF$2, 'Bucket Counts'!$A:$A, "="&amp;$A37,  'Bucket Counts'!$F:$F, "&lt;&gt;100 Morts",  'Bucket Counts'!$F:$F, "&lt;&gt;224"))</f>
        <v>0</v>
      </c>
      <c r="AG37" s="116">
        <f>(SUMIFS('Bucket Counts'!$P:$P, 'Bucket Counts'!$B:$B, AG$2, 'Bucket Counts'!$A:$A, "="&amp;$A37,  'Bucket Counts'!$F:$F, "100 Morts"))</f>
        <v>0</v>
      </c>
      <c r="AH37" s="116">
        <f>(SUMIFS('Bucket Counts'!$P:$P, 'Bucket Counts'!$B:$B, AH$2, 'Bucket Counts'!$A:$A, "="&amp;$A37,  'Bucket Counts'!$F:$F, "224"))</f>
        <v>0</v>
      </c>
      <c r="AI37" s="116"/>
      <c r="AJ37" s="426">
        <f>(AH37+AF37)/AK36</f>
        <v>0</v>
      </c>
      <c r="AK37" s="370">
        <f>AF36+SUM(AE36:AE37)</f>
        <v>83576.666666666657</v>
      </c>
      <c r="AL37" s="369">
        <f>SUMIFS(Collection!$O:$O, Collection!$K:$K, AL$2, Collection!$A:$A, "="&amp;$A37)</f>
        <v>0</v>
      </c>
      <c r="AM37" s="116">
        <f>(SUMIFS('Bucket Counts'!$P:$P, 'Bucket Counts'!$B:$B, AM$2, 'Bucket Counts'!$A:$A, "="&amp;$A37,  'Bucket Counts'!$F:$F, "&lt;&gt;100 Morts",  'Bucket Counts'!$F:$F, "&lt;&gt;224"))</f>
        <v>0</v>
      </c>
      <c r="AN37" s="116">
        <f>(SUMIFS('Bucket Counts'!$P:$P, 'Bucket Counts'!$B:$B, AN$2, 'Bucket Counts'!$A:$A, "="&amp;$A37,  'Bucket Counts'!$F:$F, "100 Morts"))</f>
        <v>0</v>
      </c>
      <c r="AO37" s="116">
        <f>(SUMIFS('Bucket Counts'!$P:$P, 'Bucket Counts'!$B:$B, AO$2, 'Bucket Counts'!$A:$A, "="&amp;$A37,  'Bucket Counts'!$F:$F, "224"))</f>
        <v>0</v>
      </c>
      <c r="AP37" s="116"/>
      <c r="AQ37" s="426">
        <f>(AO37+AM37)/AR36</f>
        <v>0</v>
      </c>
      <c r="AR37" s="370">
        <f>AM36+SUM(AL36:AL37)</f>
        <v>53133.333333333328</v>
      </c>
      <c r="AS37" s="369">
        <f>SUMIFS(Collection!$O:$O, Collection!$K:$K, AS$2, Collection!$A:$A, "="&amp;$A37)</f>
        <v>0</v>
      </c>
      <c r="AT37" s="116">
        <f>(SUMIFS('Bucket Counts'!$P:$P, 'Bucket Counts'!$B:$B, AT$2, 'Bucket Counts'!$A:$A, "="&amp;$A37,  'Bucket Counts'!$F:$F, "&lt;&gt;100 Morts",  'Bucket Counts'!$F:$F, "&lt;&gt;224"))</f>
        <v>0</v>
      </c>
      <c r="AU37" s="116">
        <f>(SUMIFS('Bucket Counts'!$P:$P, 'Bucket Counts'!$B:$B, AU$2, 'Bucket Counts'!$A:$A, "="&amp;$A37,  'Bucket Counts'!$F:$F, "100 Morts"))</f>
        <v>0</v>
      </c>
      <c r="AV37" s="116">
        <f>(SUMIFS('Bucket Counts'!$P:$P, 'Bucket Counts'!$B:$B, AV$2, 'Bucket Counts'!$A:$A, "="&amp;$A37,  'Bucket Counts'!$F:$F, "224"))</f>
        <v>0</v>
      </c>
      <c r="AW37" s="116"/>
      <c r="AX37" s="426">
        <f>(AV37+AT37)/AY36</f>
        <v>0</v>
      </c>
      <c r="AY37" s="370">
        <f>AT36+SUM(AS36:AS37)</f>
        <v>134986.66666666669</v>
      </c>
      <c r="AZ37" s="369">
        <f>SUMIFS(Collection!$O:$O, Collection!$K:$K, AZ$2, Collection!$A:$A, "="&amp;$A37)</f>
        <v>0</v>
      </c>
      <c r="BA37" s="116">
        <f>(SUMIFS('Bucket Counts'!$P:$P, 'Bucket Counts'!$B:$B, BA$2, 'Bucket Counts'!$A:$A, "="&amp;$A37,  'Bucket Counts'!$F:$F, "&lt;&gt;100 Morts",  'Bucket Counts'!$F:$F, "&lt;&gt;224"))</f>
        <v>0</v>
      </c>
      <c r="BB37" s="116">
        <f>(SUMIFS('Bucket Counts'!$P:$P, 'Bucket Counts'!$B:$B, BB$2, 'Bucket Counts'!$A:$A, "="&amp;$A37,  'Bucket Counts'!$F:$F, "100 Morts"))</f>
        <v>0</v>
      </c>
      <c r="BC37" s="116">
        <f>(SUMIFS('Bucket Counts'!$P:$P, 'Bucket Counts'!$B:$B, BC$2, 'Bucket Counts'!$A:$A, "="&amp;$A37,  'Bucket Counts'!$F:$F, "224"))</f>
        <v>0</v>
      </c>
      <c r="BD37" s="116"/>
      <c r="BE37" s="426">
        <f>(BC37+BA37)/BF36</f>
        <v>0</v>
      </c>
      <c r="BF37" s="370">
        <f>BA36+SUM(AZ36:AZ37)</f>
        <v>45056.666666666672</v>
      </c>
      <c r="BG37" s="369">
        <f>SUMIFS(Collection!$O:$O, Collection!$K:$K, BG$2, Collection!$A:$A, "="&amp;$A37)</f>
        <v>0</v>
      </c>
      <c r="BH37" s="116">
        <f>(SUMIFS('Bucket Counts'!$P:$P, 'Bucket Counts'!$B:$B, BH$2, 'Bucket Counts'!$A:$A, "="&amp;$A37,  'Bucket Counts'!$F:$F, "&lt;&gt;100 Morts",  'Bucket Counts'!$F:$F, "&lt;&gt;224"))</f>
        <v>0</v>
      </c>
      <c r="BI37" s="116">
        <f>(SUMIFS('Bucket Counts'!$P:$P, 'Bucket Counts'!$B:$B, BI$2, 'Bucket Counts'!$A:$A, "="&amp;$A37,  'Bucket Counts'!$F:$F, "100 Morts"))</f>
        <v>0</v>
      </c>
      <c r="BJ37" s="116">
        <f>(SUMIFS('Bucket Counts'!$P:$P, 'Bucket Counts'!$B:$B, BJ$2, 'Bucket Counts'!$A:$A, "="&amp;$A37,  'Bucket Counts'!$F:$F, "224"))</f>
        <v>0</v>
      </c>
      <c r="BK37" s="116"/>
      <c r="BL37" s="426">
        <f>(BJ37+BH37)/BM36</f>
        <v>0</v>
      </c>
      <c r="BM37" s="370">
        <f>BH36+SUM(BG36:BG37)</f>
        <v>73823.333333333343</v>
      </c>
      <c r="BN37" s="369">
        <f>SUMIFS(Collection!$O:$O, Collection!$K:$K, BN$2, Collection!$A:$A, "="&amp;$A37)</f>
        <v>0</v>
      </c>
      <c r="BO37" s="116">
        <f>(SUMIFS('Bucket Counts'!$P:$P, 'Bucket Counts'!$B:$B, BO$2, 'Bucket Counts'!$A:$A, "="&amp;$A37,  'Bucket Counts'!$F:$F, "&lt;&gt;100 Morts",  'Bucket Counts'!$F:$F, "&lt;&gt;224"))</f>
        <v>0</v>
      </c>
      <c r="BP37" s="116">
        <f>(SUMIFS('Bucket Counts'!$P:$P, 'Bucket Counts'!$B:$B, BP$2, 'Bucket Counts'!$A:$A, "="&amp;$A37,  'Bucket Counts'!$F:$F, "100 Morts"))</f>
        <v>0</v>
      </c>
      <c r="BQ37" s="116">
        <f>(SUMIFS('Bucket Counts'!$P:$P, 'Bucket Counts'!$B:$B, BQ$2, 'Bucket Counts'!$A:$A, "="&amp;$A37,  'Bucket Counts'!$F:$F, "224"))</f>
        <v>0</v>
      </c>
      <c r="BR37" s="116"/>
      <c r="BS37" s="426">
        <f>(BQ37+BO37)/BT36</f>
        <v>0</v>
      </c>
      <c r="BT37" s="370">
        <f>BO36+SUM(BN36:BN37)</f>
        <v>92618.333333333328</v>
      </c>
      <c r="BU37" s="369">
        <f>SUMIFS(Collection!$O:$O, Collection!$K:$K, BU$2, Collection!$A:$A, "="&amp;$A37)</f>
        <v>0</v>
      </c>
      <c r="BV37" s="116">
        <f>(SUMIFS('Bucket Counts'!$P:$P, 'Bucket Counts'!$B:$B, BV$2, 'Bucket Counts'!$A:$A, "="&amp;$A37,  'Bucket Counts'!$F:$F, "&lt;&gt;100 Morts",  'Bucket Counts'!$F:$F, "&lt;&gt;224"))</f>
        <v>0</v>
      </c>
      <c r="BW37" s="116">
        <f>(SUMIFS('Bucket Counts'!$P:$P, 'Bucket Counts'!$B:$B, BW$2, 'Bucket Counts'!$A:$A, "="&amp;$A37,  'Bucket Counts'!$F:$F, "100 Morts"))</f>
        <v>0</v>
      </c>
      <c r="BX37" s="116">
        <f>(SUMIFS('Bucket Counts'!$P:$P, 'Bucket Counts'!$B:$B, BX$2, 'Bucket Counts'!$A:$A, "="&amp;$A37,  'Bucket Counts'!$F:$F, "224"))</f>
        <v>0</v>
      </c>
      <c r="BY37" s="116"/>
      <c r="BZ37" s="426">
        <f>(BX37+BV37)/CA36</f>
        <v>0</v>
      </c>
      <c r="CA37" s="370">
        <f>BV36+SUM(BU36:BU37)</f>
        <v>37066.666666666672</v>
      </c>
      <c r="CB37" s="369">
        <f>SUMIFS(Collection!$O:$O, Collection!$K:$K, CB$2, Collection!$A:$A, "="&amp;$A37)</f>
        <v>0</v>
      </c>
      <c r="CC37" s="116">
        <f>(SUMIFS('Bucket Counts'!$P:$P, 'Bucket Counts'!$B:$B, CC$2, 'Bucket Counts'!$A:$A, "="&amp;$A37,  'Bucket Counts'!$F:$F, "&lt;&gt;100 Morts",  'Bucket Counts'!$F:$F, "&lt;&gt;224"))</f>
        <v>0</v>
      </c>
      <c r="CD37" s="116">
        <f>(SUMIFS('Bucket Counts'!$P:$P, 'Bucket Counts'!$B:$B, CD$2, 'Bucket Counts'!$A:$A, "="&amp;$A37,  'Bucket Counts'!$F:$F, "100 Morts"))</f>
        <v>0</v>
      </c>
      <c r="CE37" s="116">
        <f>(SUMIFS('Bucket Counts'!$P:$P, 'Bucket Counts'!$B:$B, CE$2, 'Bucket Counts'!$A:$A, "="&amp;$A37,  'Bucket Counts'!$F:$F, "224"))</f>
        <v>0</v>
      </c>
      <c r="CF37" s="116"/>
      <c r="CG37" s="426">
        <f>(CE37+CC37)/CH36</f>
        <v>0</v>
      </c>
      <c r="CH37" s="370">
        <f>CC36+SUM(CB36:CB37)</f>
        <v>127333.33333333334</v>
      </c>
      <c r="CI37" s="369">
        <f>SUMIFS(Collection!$O:$O, Collection!$K:$K, CI$2, Collection!$A:$A, "="&amp;$A37)</f>
        <v>0</v>
      </c>
      <c r="CJ37" s="116">
        <f>(SUMIFS('Bucket Counts'!$P:$P, 'Bucket Counts'!$B:$B, CJ$2, 'Bucket Counts'!$A:$A, "="&amp;$A37,  'Bucket Counts'!$F:$F, "&lt;&gt;100 Morts",  'Bucket Counts'!$F:$F, "&lt;&gt;224"))</f>
        <v>0</v>
      </c>
      <c r="CK37" s="116">
        <f>(SUMIFS('Bucket Counts'!$P:$P, 'Bucket Counts'!$B:$B, CK$2, 'Bucket Counts'!$A:$A, "="&amp;$A37,  'Bucket Counts'!$F:$F, "100 Morts"))</f>
        <v>0</v>
      </c>
      <c r="CL37" s="116">
        <f>(SUMIFS('Bucket Counts'!$P:$P, 'Bucket Counts'!$B:$B, CL$2, 'Bucket Counts'!$A:$A, "="&amp;$A37,  'Bucket Counts'!$F:$F, "224"))</f>
        <v>0</v>
      </c>
      <c r="CM37" s="116"/>
      <c r="CN37" s="426">
        <f>(CL37+CJ37)/CO36</f>
        <v>0</v>
      </c>
      <c r="CO37" s="370">
        <f>CJ36+SUM(CI36:CI37)</f>
        <v>29833.333333333336</v>
      </c>
      <c r="CP37" s="369">
        <f>SUMIFS(Collection!$O:$O, Collection!$K:$K, CP$2, Collection!$A:$A, "="&amp;$A37)</f>
        <v>0</v>
      </c>
      <c r="CQ37" s="116">
        <f>(SUMIFS('Bucket Counts'!$P:$P, 'Bucket Counts'!$B:$B, CQ$2, 'Bucket Counts'!$A:$A, "="&amp;$A37,  'Bucket Counts'!$F:$F, "&lt;&gt;100 Morts",  'Bucket Counts'!$F:$F, "&lt;&gt;224"))</f>
        <v>0</v>
      </c>
      <c r="CR37" s="116">
        <f>(SUMIFS('Bucket Counts'!$P:$P, 'Bucket Counts'!$B:$B, CR$2, 'Bucket Counts'!$A:$A, "="&amp;$A37,  'Bucket Counts'!$F:$F, "100 Morts"))</f>
        <v>0</v>
      </c>
      <c r="CS37" s="116">
        <f>(SUMIFS('Bucket Counts'!$P:$P, 'Bucket Counts'!$B:$B, CS$2, 'Bucket Counts'!$A:$A, "="&amp;$A37,  'Bucket Counts'!$F:$F, "224"))</f>
        <v>0</v>
      </c>
      <c r="CT37" s="116"/>
      <c r="CU37" s="426">
        <f>(CS37+CQ37)/CV36</f>
        <v>0</v>
      </c>
      <c r="CV37" s="370">
        <f>CQ36+SUM(CP36:CP37)</f>
        <v>14166.666666666666</v>
      </c>
      <c r="CW37" s="369">
        <f>SUMIFS(Collection!$O:$O, Collection!$K:$K, CW$2, Collection!$A:$A, "="&amp;$A37)</f>
        <v>52533.333333333336</v>
      </c>
      <c r="CX37" s="116">
        <f>(SUMIFS('Bucket Counts'!$P:$P, 'Bucket Counts'!$B:$B, CX$2, 'Bucket Counts'!$A:$A, "="&amp;$A37,  'Bucket Counts'!$F:$F, "&lt;&gt;100 Morts",  'Bucket Counts'!$F:$F, "&lt;&gt;224"))</f>
        <v>0</v>
      </c>
      <c r="CY37" s="116">
        <f>(SUMIFS('Bucket Counts'!$P:$P, 'Bucket Counts'!$B:$B, CY$2, 'Bucket Counts'!$A:$A, "="&amp;$A37,  'Bucket Counts'!$F:$F, "100 Morts"))</f>
        <v>0</v>
      </c>
      <c r="CZ37" s="116">
        <f>(SUMIFS('Bucket Counts'!$P:$P, 'Bucket Counts'!$B:$B, CZ$2, 'Bucket Counts'!$A:$A, "="&amp;$A37,  'Bucket Counts'!$F:$F, "224"))</f>
        <v>0</v>
      </c>
      <c r="DA37" s="116"/>
      <c r="DB37" s="426">
        <f>(CZ37+CX37)/DC36</f>
        <v>0</v>
      </c>
      <c r="DC37" s="370">
        <f>CX36+SUM(CW36:CW37)</f>
        <v>135733.33333333334</v>
      </c>
      <c r="DD37" s="369">
        <f>SUMIFS(Collection!$O:$O, Collection!$K:$K, DD$2, Collection!$A:$A, "="&amp;$A37)</f>
        <v>0</v>
      </c>
      <c r="DE37" s="116">
        <f>(SUMIFS('Bucket Counts'!$P:$P, 'Bucket Counts'!$B:$B, DE$2, 'Bucket Counts'!$A:$A, "="&amp;$A37,  'Bucket Counts'!$F:$F, "&lt;&gt;100 Morts",  'Bucket Counts'!$F:$F, "&lt;&gt;224"))</f>
        <v>0</v>
      </c>
      <c r="DF37" s="116">
        <f>(SUMIFS('Bucket Counts'!$P:$P, 'Bucket Counts'!$B:$B, DF$2, 'Bucket Counts'!$A:$A, "="&amp;$A37,  'Bucket Counts'!$F:$F, "100 Morts"))</f>
        <v>0</v>
      </c>
      <c r="DG37" s="116">
        <f>(SUMIFS('Bucket Counts'!$P:$P, 'Bucket Counts'!$B:$B, DG$2, 'Bucket Counts'!$A:$A, "="&amp;$A37,  'Bucket Counts'!$F:$F, "224"))</f>
        <v>0</v>
      </c>
      <c r="DH37" s="116"/>
      <c r="DI37" s="426">
        <f>(DG37+DE37)/DJ36</f>
        <v>0</v>
      </c>
      <c r="DJ37" s="370">
        <f>DE36+SUM(DD36:DD37)</f>
        <v>34500</v>
      </c>
      <c r="DK37" s="369">
        <f>SUMIFS(Collection!$O:$O, Collection!$K:$K, DK$2, Collection!$A:$A, "="&amp;$A37)</f>
        <v>0</v>
      </c>
      <c r="DL37" s="116">
        <f>(SUMIFS('Bucket Counts'!$P:$P, 'Bucket Counts'!$B:$B, DL$2, 'Bucket Counts'!$A:$A, "="&amp;$A37,  'Bucket Counts'!$F:$F, "&lt;&gt;100 Morts",  'Bucket Counts'!$F:$F, "&lt;&gt;224"))</f>
        <v>0</v>
      </c>
      <c r="DM37" s="116">
        <f>(SUMIFS('Bucket Counts'!$P:$P, 'Bucket Counts'!$B:$B, DM$2, 'Bucket Counts'!$A:$A, "="&amp;$A37,  'Bucket Counts'!$F:$F, "100 Morts"))</f>
        <v>0</v>
      </c>
      <c r="DN37" s="116">
        <f>(SUMIFS('Bucket Counts'!$P:$P, 'Bucket Counts'!$B:$B, DN$2, 'Bucket Counts'!$A:$A, "="&amp;$A37,  'Bucket Counts'!$F:$F, "224"))</f>
        <v>0</v>
      </c>
      <c r="DO37" s="116"/>
      <c r="DP37" s="426" t="e">
        <f>(DN37+DL37)/DQ36</f>
        <v>#DIV/0!</v>
      </c>
      <c r="DQ37" s="370">
        <f>DL36+SUM(DK36:DK37)</f>
        <v>0</v>
      </c>
      <c r="DR37" s="369">
        <f>SUMIFS(Collection!$O:$O, Collection!$K:$K, DR$2, Collection!$A:$A, "="&amp;$A37)</f>
        <v>0</v>
      </c>
      <c r="DS37" s="116">
        <f>(SUMIFS('Bucket Counts'!$P:$P, 'Bucket Counts'!$B:$B, DS$2, 'Bucket Counts'!$A:$A, "="&amp;$A37,  'Bucket Counts'!$F:$F, "&lt;&gt;100 Morts",  'Bucket Counts'!$F:$F, "&lt;&gt;224"))</f>
        <v>0</v>
      </c>
      <c r="DT37" s="116">
        <f>(SUMIFS('Bucket Counts'!$P:$P, 'Bucket Counts'!$B:$B, DT$2, 'Bucket Counts'!$A:$A, "="&amp;$A37,  'Bucket Counts'!$F:$F, "100 Morts"))</f>
        <v>0</v>
      </c>
      <c r="DU37" s="116">
        <f>(SUMIFS('Bucket Counts'!$P:$P, 'Bucket Counts'!$B:$B, DU$2, 'Bucket Counts'!$A:$A, "="&amp;$A37,  'Bucket Counts'!$F:$F, "224"))</f>
        <v>0</v>
      </c>
      <c r="DV37" s="116"/>
      <c r="DW37" s="426" t="e">
        <f>(DU37+DS37)/DX36</f>
        <v>#DIV/0!</v>
      </c>
      <c r="DX37" s="370">
        <f>DS36+SUM(DR36:DR37)</f>
        <v>0</v>
      </c>
      <c r="DY37" s="369">
        <f>SUMIFS(Collection!$O:$O, Collection!$K:$K, DY$2, Collection!$A:$A, "="&amp;$A37)</f>
        <v>0</v>
      </c>
      <c r="DZ37" s="116">
        <f>(SUMIFS('Bucket Counts'!$P:$P, 'Bucket Counts'!$B:$B, DZ$2, 'Bucket Counts'!$A:$A, "="&amp;$A37,  'Bucket Counts'!$F:$F, "&lt;&gt;100 Morts",  'Bucket Counts'!$F:$F, "&lt;&gt;224"))</f>
        <v>0</v>
      </c>
      <c r="EA37" s="116">
        <f>(SUMIFS('Bucket Counts'!$P:$P, 'Bucket Counts'!$B:$B, EA$2, 'Bucket Counts'!$A:$A, "="&amp;$A37,  'Bucket Counts'!$F:$F, "100 Morts"))</f>
        <v>0</v>
      </c>
      <c r="EB37" s="116">
        <f>(SUMIFS('Bucket Counts'!$P:$P, 'Bucket Counts'!$B:$B, EB$2, 'Bucket Counts'!$A:$A, "="&amp;$A37,  'Bucket Counts'!$F:$F, "224"))</f>
        <v>0</v>
      </c>
      <c r="EC37" s="116"/>
      <c r="ED37" s="426" t="e">
        <f>(EB37+DZ37)/EE36</f>
        <v>#DIV/0!</v>
      </c>
      <c r="EE37" s="370">
        <f>DZ36+SUM(DY36:DY37)</f>
        <v>0</v>
      </c>
      <c r="EF37" s="369">
        <f>SUMIFS(Collection!$O:$O, Collection!$K:$K, EF$2, Collection!$A:$A, "="&amp;$A37)</f>
        <v>0</v>
      </c>
      <c r="EG37" s="116">
        <f>(SUMIFS('Bucket Counts'!$P:$P, 'Bucket Counts'!$B:$B, EG$2, 'Bucket Counts'!$A:$A, "="&amp;$A37,  'Bucket Counts'!$F:$F, "&lt;&gt;100 Morts",  'Bucket Counts'!$F:$F, "&lt;&gt;224"))</f>
        <v>0</v>
      </c>
      <c r="EH37" s="116">
        <f>(SUMIFS('Bucket Counts'!$P:$P, 'Bucket Counts'!$B:$B, EH$2, 'Bucket Counts'!$A:$A, "="&amp;$A37,  'Bucket Counts'!$F:$F, "100 Morts"))</f>
        <v>0</v>
      </c>
      <c r="EI37" s="116">
        <f>(SUMIFS('Bucket Counts'!$P:$P, 'Bucket Counts'!$B:$B, EI$2, 'Bucket Counts'!$A:$A, "="&amp;$A37,  'Bucket Counts'!$F:$F, "224"))</f>
        <v>0</v>
      </c>
      <c r="EJ37" s="116"/>
      <c r="EK37" s="426" t="e">
        <f>(EI37+EG37)/EL36</f>
        <v>#DIV/0!</v>
      </c>
      <c r="EL37" s="370">
        <f>EG36+SUM(EF36:EF37)</f>
        <v>0</v>
      </c>
    </row>
    <row r="38" spans="1:142" x14ac:dyDescent="0.2">
      <c r="A38" s="16">
        <f t="shared" si="0"/>
        <v>42907</v>
      </c>
      <c r="B38" s="16" t="s">
        <v>487</v>
      </c>
      <c r="C38" s="369">
        <f>SUMIFS(Collection!$O:$O, Collection!$K:$K, C$2, Collection!$A:$A, "="&amp;$A38)</f>
        <v>0</v>
      </c>
      <c r="D38" s="116">
        <f>(SUMIFS('Bucket Counts'!$P:$P, 'Bucket Counts'!$B:$B, D$2, 'Bucket Counts'!$A:$A, "="&amp;$A38,  'Bucket Counts'!$F:$F, "&lt;&gt;100 Morts",  'Bucket Counts'!$F:$F, "&lt;&gt;224"))</f>
        <v>0</v>
      </c>
      <c r="E38" s="116">
        <f>(SUMIFS('Bucket Counts'!$P:$P, 'Bucket Counts'!$B:$B, E$2, 'Bucket Counts'!$A:$A, "="&amp;$A38,  'Bucket Counts'!$F:$F, "100 Morts"))</f>
        <v>0</v>
      </c>
      <c r="F38" s="116">
        <f>(SUMIFS('Bucket Counts'!$P:$P, 'Bucket Counts'!$B:$B, F$2, 'Bucket Counts'!$A:$A, "="&amp;$A38,  'Bucket Counts'!$F:$F, "224"))</f>
        <v>0</v>
      </c>
      <c r="G38" s="116"/>
      <c r="H38" s="426">
        <f>(F38+D38)/I37</f>
        <v>0</v>
      </c>
      <c r="I38" s="370">
        <f>D36+SUM(C36:C38)</f>
        <v>68000</v>
      </c>
      <c r="J38" s="369">
        <f>SUMIFS(Collection!$O:$O, Collection!$K:$K, J$2, Collection!$A:$A, "="&amp;$A38)</f>
        <v>0</v>
      </c>
      <c r="K38" s="116">
        <f>(SUMIFS('Bucket Counts'!$P:$P, 'Bucket Counts'!$B:$B, K$2, 'Bucket Counts'!$A:$A, "="&amp;$A38,  'Bucket Counts'!$F:$F, "&lt;&gt;100 Morts",  'Bucket Counts'!$F:$F, "&lt;&gt;224"))</f>
        <v>0</v>
      </c>
      <c r="L38" s="116">
        <f>(SUMIFS('Bucket Counts'!$P:$P, 'Bucket Counts'!$B:$B, L$2, 'Bucket Counts'!$A:$A, "="&amp;$A38,  'Bucket Counts'!$F:$F, "100 Morts"))</f>
        <v>0</v>
      </c>
      <c r="M38" s="116">
        <f>(SUMIFS('Bucket Counts'!$P:$P, 'Bucket Counts'!$B:$B, M$2, 'Bucket Counts'!$A:$A, "="&amp;$A38,  'Bucket Counts'!$F:$F, "224"))</f>
        <v>0</v>
      </c>
      <c r="N38" s="116"/>
      <c r="O38" s="426">
        <f>(M38+K38)/P37</f>
        <v>0</v>
      </c>
      <c r="P38" s="370">
        <f>K36+SUM(J36:J38)</f>
        <v>1040</v>
      </c>
      <c r="Q38" s="369">
        <f>SUMIFS(Collection!$O:$O, Collection!$K:$K, Q$2, Collection!$A:$A, "="&amp;$A38)</f>
        <v>0</v>
      </c>
      <c r="R38" s="116">
        <f>(SUMIFS('Bucket Counts'!$P:$P, 'Bucket Counts'!$B:$B, R$2, 'Bucket Counts'!$A:$A, "="&amp;$A38,  'Bucket Counts'!$F:$F, "&lt;&gt;100 Morts",  'Bucket Counts'!$F:$F, "&lt;&gt;224"))</f>
        <v>0</v>
      </c>
      <c r="S38" s="116">
        <f>(SUMIFS('Bucket Counts'!$P:$P, 'Bucket Counts'!$B:$B, S$2, 'Bucket Counts'!$A:$A, "="&amp;$A38,  'Bucket Counts'!$F:$F, "100 Morts"))</f>
        <v>0</v>
      </c>
      <c r="T38" s="116">
        <f>(SUMIFS('Bucket Counts'!$P:$P, 'Bucket Counts'!$B:$B, T$2, 'Bucket Counts'!$A:$A, "="&amp;$A38,  'Bucket Counts'!$F:$F, "224"))</f>
        <v>0</v>
      </c>
      <c r="U38" s="116"/>
      <c r="V38" s="426">
        <f>(T38+R38)/W37</f>
        <v>0</v>
      </c>
      <c r="W38" s="370">
        <f>R36+SUM(Q36:Q38)</f>
        <v>18013.333333333332</v>
      </c>
      <c r="X38" s="369">
        <f>SUMIFS(Collection!$O:$O, Collection!$K:$K, X$2, Collection!$A:$A, "="&amp;$A38)</f>
        <v>0</v>
      </c>
      <c r="Y38" s="116">
        <f>(SUMIFS('Bucket Counts'!$P:$P, 'Bucket Counts'!$B:$B, Y$2, 'Bucket Counts'!$A:$A, "="&amp;$A38,  'Bucket Counts'!$F:$F, "&lt;&gt;100 Morts",  'Bucket Counts'!$F:$F, "&lt;&gt;224"))</f>
        <v>0</v>
      </c>
      <c r="Z38" s="116">
        <f>(SUMIFS('Bucket Counts'!$P:$P, 'Bucket Counts'!$B:$B, Z$2, 'Bucket Counts'!$A:$A, "="&amp;$A38,  'Bucket Counts'!$F:$F, "100 Morts"))</f>
        <v>0</v>
      </c>
      <c r="AA38" s="116">
        <f>(SUMIFS('Bucket Counts'!$P:$P, 'Bucket Counts'!$B:$B, AA$2, 'Bucket Counts'!$A:$A, "="&amp;$A38,  'Bucket Counts'!$F:$F, "224"))</f>
        <v>0</v>
      </c>
      <c r="AB38" s="116"/>
      <c r="AC38" s="426">
        <f>(AA38+Y38)/AD37</f>
        <v>0</v>
      </c>
      <c r="AD38" s="370">
        <f>Y36+SUM(X36:X38)</f>
        <v>123740</v>
      </c>
      <c r="AE38" s="369">
        <f>SUMIFS(Collection!$O:$O, Collection!$K:$K, AE$2, Collection!$A:$A, "="&amp;$A38)</f>
        <v>0</v>
      </c>
      <c r="AF38" s="116">
        <f>(SUMIFS('Bucket Counts'!$P:$P, 'Bucket Counts'!$B:$B, AF$2, 'Bucket Counts'!$A:$A, "="&amp;$A38,  'Bucket Counts'!$F:$F, "&lt;&gt;100 Morts",  'Bucket Counts'!$F:$F, "&lt;&gt;224"))</f>
        <v>0</v>
      </c>
      <c r="AG38" s="116">
        <f>(SUMIFS('Bucket Counts'!$P:$P, 'Bucket Counts'!$B:$B, AG$2, 'Bucket Counts'!$A:$A, "="&amp;$A38,  'Bucket Counts'!$F:$F, "100 Morts"))</f>
        <v>0</v>
      </c>
      <c r="AH38" s="116">
        <f>(SUMIFS('Bucket Counts'!$P:$P, 'Bucket Counts'!$B:$B, AH$2, 'Bucket Counts'!$A:$A, "="&amp;$A38,  'Bucket Counts'!$F:$F, "224"))</f>
        <v>0</v>
      </c>
      <c r="AI38" s="116"/>
      <c r="AJ38" s="426">
        <f>(AH38+AF38)/AK37</f>
        <v>0</v>
      </c>
      <c r="AK38" s="370">
        <f>AF36+SUM(AE36:AE38)</f>
        <v>83576.666666666657</v>
      </c>
      <c r="AL38" s="369">
        <f>SUMIFS(Collection!$O:$O, Collection!$K:$K, AL$2, Collection!$A:$A, "="&amp;$A38)</f>
        <v>0</v>
      </c>
      <c r="AM38" s="116">
        <f>(SUMIFS('Bucket Counts'!$P:$P, 'Bucket Counts'!$B:$B, AM$2, 'Bucket Counts'!$A:$A, "="&amp;$A38,  'Bucket Counts'!$F:$F, "&lt;&gt;100 Morts",  'Bucket Counts'!$F:$F, "&lt;&gt;224"))</f>
        <v>0</v>
      </c>
      <c r="AN38" s="116">
        <f>(SUMIFS('Bucket Counts'!$P:$P, 'Bucket Counts'!$B:$B, AN$2, 'Bucket Counts'!$A:$A, "="&amp;$A38,  'Bucket Counts'!$F:$F, "100 Morts"))</f>
        <v>0</v>
      </c>
      <c r="AO38" s="116">
        <f>(SUMIFS('Bucket Counts'!$P:$P, 'Bucket Counts'!$B:$B, AO$2, 'Bucket Counts'!$A:$A, "="&amp;$A38,  'Bucket Counts'!$F:$F, "224"))</f>
        <v>0</v>
      </c>
      <c r="AP38" s="116"/>
      <c r="AQ38" s="426">
        <f>(AO38+AM38)/AR37</f>
        <v>0</v>
      </c>
      <c r="AR38" s="370">
        <f>AM36+SUM(AL36:AL38)</f>
        <v>53133.333333333328</v>
      </c>
      <c r="AS38" s="369">
        <f>SUMIFS(Collection!$O:$O, Collection!$K:$K, AS$2, Collection!$A:$A, "="&amp;$A38)</f>
        <v>0</v>
      </c>
      <c r="AT38" s="116">
        <f>(SUMIFS('Bucket Counts'!$P:$P, 'Bucket Counts'!$B:$B, AT$2, 'Bucket Counts'!$A:$A, "="&amp;$A38,  'Bucket Counts'!$F:$F, "&lt;&gt;100 Morts",  'Bucket Counts'!$F:$F, "&lt;&gt;224"))</f>
        <v>0</v>
      </c>
      <c r="AU38" s="116">
        <f>(SUMIFS('Bucket Counts'!$P:$P, 'Bucket Counts'!$B:$B, AU$2, 'Bucket Counts'!$A:$A, "="&amp;$A38,  'Bucket Counts'!$F:$F, "100 Morts"))</f>
        <v>0</v>
      </c>
      <c r="AV38" s="116">
        <f>(SUMIFS('Bucket Counts'!$P:$P, 'Bucket Counts'!$B:$B, AV$2, 'Bucket Counts'!$A:$A, "="&amp;$A38,  'Bucket Counts'!$F:$F, "224"))</f>
        <v>0</v>
      </c>
      <c r="AW38" s="116"/>
      <c r="AX38" s="426">
        <f>(AV38+AT38)/AY37</f>
        <v>0</v>
      </c>
      <c r="AY38" s="370">
        <f>AT36+SUM(AS36:AS38)</f>
        <v>134986.66666666669</v>
      </c>
      <c r="AZ38" s="369">
        <f>SUMIFS(Collection!$O:$O, Collection!$K:$K, AZ$2, Collection!$A:$A, "="&amp;$A38)</f>
        <v>0</v>
      </c>
      <c r="BA38" s="116">
        <f>(SUMIFS('Bucket Counts'!$P:$P, 'Bucket Counts'!$B:$B, BA$2, 'Bucket Counts'!$A:$A, "="&amp;$A38,  'Bucket Counts'!$F:$F, "&lt;&gt;100 Morts",  'Bucket Counts'!$F:$F, "&lt;&gt;224"))</f>
        <v>0</v>
      </c>
      <c r="BB38" s="116">
        <f>(SUMIFS('Bucket Counts'!$P:$P, 'Bucket Counts'!$B:$B, BB$2, 'Bucket Counts'!$A:$A, "="&amp;$A38,  'Bucket Counts'!$F:$F, "100 Morts"))</f>
        <v>0</v>
      </c>
      <c r="BC38" s="116">
        <f>(SUMIFS('Bucket Counts'!$P:$P, 'Bucket Counts'!$B:$B, BC$2, 'Bucket Counts'!$A:$A, "="&amp;$A38,  'Bucket Counts'!$F:$F, "224"))</f>
        <v>0</v>
      </c>
      <c r="BD38" s="116"/>
      <c r="BE38" s="426">
        <f>(BC38+BA38)/BF37</f>
        <v>0</v>
      </c>
      <c r="BF38" s="370">
        <f>BA36+SUM(AZ36:AZ38)</f>
        <v>45056.666666666672</v>
      </c>
      <c r="BG38" s="369">
        <f>SUMIFS(Collection!$O:$O, Collection!$K:$K, BG$2, Collection!$A:$A, "="&amp;$A38)</f>
        <v>0</v>
      </c>
      <c r="BH38" s="116">
        <f>(SUMIFS('Bucket Counts'!$P:$P, 'Bucket Counts'!$B:$B, BH$2, 'Bucket Counts'!$A:$A, "="&amp;$A38,  'Bucket Counts'!$F:$F, "&lt;&gt;100 Morts",  'Bucket Counts'!$F:$F, "&lt;&gt;224"))</f>
        <v>0</v>
      </c>
      <c r="BI38" s="116">
        <f>(SUMIFS('Bucket Counts'!$P:$P, 'Bucket Counts'!$B:$B, BI$2, 'Bucket Counts'!$A:$A, "="&amp;$A38,  'Bucket Counts'!$F:$F, "100 Morts"))</f>
        <v>0</v>
      </c>
      <c r="BJ38" s="116">
        <f>(SUMIFS('Bucket Counts'!$P:$P, 'Bucket Counts'!$B:$B, BJ$2, 'Bucket Counts'!$A:$A, "="&amp;$A38,  'Bucket Counts'!$F:$F, "224"))</f>
        <v>0</v>
      </c>
      <c r="BK38" s="116"/>
      <c r="BL38" s="426">
        <f>(BJ38+BH38)/BM37</f>
        <v>0</v>
      </c>
      <c r="BM38" s="370">
        <f>BH36+SUM(BG36:BG38)</f>
        <v>73823.333333333343</v>
      </c>
      <c r="BN38" s="369">
        <f>SUMIFS(Collection!$O:$O, Collection!$K:$K, BN$2, Collection!$A:$A, "="&amp;$A38)</f>
        <v>0</v>
      </c>
      <c r="BO38" s="116">
        <f>(SUMIFS('Bucket Counts'!$P:$P, 'Bucket Counts'!$B:$B, BO$2, 'Bucket Counts'!$A:$A, "="&amp;$A38,  'Bucket Counts'!$F:$F, "&lt;&gt;100 Morts",  'Bucket Counts'!$F:$F, "&lt;&gt;224"))</f>
        <v>0</v>
      </c>
      <c r="BP38" s="116">
        <f>(SUMIFS('Bucket Counts'!$P:$P, 'Bucket Counts'!$B:$B, BP$2, 'Bucket Counts'!$A:$A, "="&amp;$A38,  'Bucket Counts'!$F:$F, "100 Morts"))</f>
        <v>0</v>
      </c>
      <c r="BQ38" s="116">
        <f>(SUMIFS('Bucket Counts'!$P:$P, 'Bucket Counts'!$B:$B, BQ$2, 'Bucket Counts'!$A:$A, "="&amp;$A38,  'Bucket Counts'!$F:$F, "224"))</f>
        <v>0</v>
      </c>
      <c r="BR38" s="116"/>
      <c r="BS38" s="426">
        <f>(BQ38+BO38)/BT37</f>
        <v>0</v>
      </c>
      <c r="BT38" s="370">
        <f>BO36+SUM(BN36:BN38)</f>
        <v>92618.333333333328</v>
      </c>
      <c r="BU38" s="369">
        <f>SUMIFS(Collection!$O:$O, Collection!$K:$K, BU$2, Collection!$A:$A, "="&amp;$A38)</f>
        <v>0</v>
      </c>
      <c r="BV38" s="116">
        <f>(SUMIFS('Bucket Counts'!$P:$P, 'Bucket Counts'!$B:$B, BV$2, 'Bucket Counts'!$A:$A, "="&amp;$A38,  'Bucket Counts'!$F:$F, "&lt;&gt;100 Morts",  'Bucket Counts'!$F:$F, "&lt;&gt;224"))</f>
        <v>0</v>
      </c>
      <c r="BW38" s="116">
        <f>(SUMIFS('Bucket Counts'!$P:$P, 'Bucket Counts'!$B:$B, BW$2, 'Bucket Counts'!$A:$A, "="&amp;$A38,  'Bucket Counts'!$F:$F, "100 Morts"))</f>
        <v>0</v>
      </c>
      <c r="BX38" s="116">
        <f>(SUMIFS('Bucket Counts'!$P:$P, 'Bucket Counts'!$B:$B, BX$2, 'Bucket Counts'!$A:$A, "="&amp;$A38,  'Bucket Counts'!$F:$F, "224"))</f>
        <v>0</v>
      </c>
      <c r="BY38" s="116"/>
      <c r="BZ38" s="426">
        <f>(BX38+BV38)/CA37</f>
        <v>0</v>
      </c>
      <c r="CA38" s="370">
        <f>BV36+SUM(BU36:BU38)</f>
        <v>37066.666666666672</v>
      </c>
      <c r="CB38" s="369">
        <f>SUMIFS(Collection!$O:$O, Collection!$K:$K, CB$2, Collection!$A:$A, "="&amp;$A38)</f>
        <v>0</v>
      </c>
      <c r="CC38" s="116">
        <f>(SUMIFS('Bucket Counts'!$P:$P, 'Bucket Counts'!$B:$B, CC$2, 'Bucket Counts'!$A:$A, "="&amp;$A38,  'Bucket Counts'!$F:$F, "&lt;&gt;100 Morts",  'Bucket Counts'!$F:$F, "&lt;&gt;224"))</f>
        <v>0</v>
      </c>
      <c r="CD38" s="116">
        <f>(SUMIFS('Bucket Counts'!$P:$P, 'Bucket Counts'!$B:$B, CD$2, 'Bucket Counts'!$A:$A, "="&amp;$A38,  'Bucket Counts'!$F:$F, "100 Morts"))</f>
        <v>0</v>
      </c>
      <c r="CE38" s="116">
        <f>(SUMIFS('Bucket Counts'!$P:$P, 'Bucket Counts'!$B:$B, CE$2, 'Bucket Counts'!$A:$A, "="&amp;$A38,  'Bucket Counts'!$F:$F, "224"))</f>
        <v>0</v>
      </c>
      <c r="CF38" s="116"/>
      <c r="CG38" s="426">
        <f>(CE38+CC38)/CH37</f>
        <v>0</v>
      </c>
      <c r="CH38" s="370">
        <f>CC36+SUM(CB36:CB38)</f>
        <v>127333.33333333334</v>
      </c>
      <c r="CI38" s="369">
        <f>SUMIFS(Collection!$O:$O, Collection!$K:$K, CI$2, Collection!$A:$A, "="&amp;$A38)</f>
        <v>0</v>
      </c>
      <c r="CJ38" s="116">
        <f>(SUMIFS('Bucket Counts'!$P:$P, 'Bucket Counts'!$B:$B, CJ$2, 'Bucket Counts'!$A:$A, "="&amp;$A38,  'Bucket Counts'!$F:$F, "&lt;&gt;100 Morts",  'Bucket Counts'!$F:$F, "&lt;&gt;224"))</f>
        <v>0</v>
      </c>
      <c r="CK38" s="116">
        <f>(SUMIFS('Bucket Counts'!$P:$P, 'Bucket Counts'!$B:$B, CK$2, 'Bucket Counts'!$A:$A, "="&amp;$A38,  'Bucket Counts'!$F:$F, "100 Morts"))</f>
        <v>0</v>
      </c>
      <c r="CL38" s="116">
        <f>(SUMIFS('Bucket Counts'!$P:$P, 'Bucket Counts'!$B:$B, CL$2, 'Bucket Counts'!$A:$A, "="&amp;$A38,  'Bucket Counts'!$F:$F, "224"))</f>
        <v>0</v>
      </c>
      <c r="CM38" s="116"/>
      <c r="CN38" s="426">
        <f>(CL38+CJ38)/CO37</f>
        <v>0</v>
      </c>
      <c r="CO38" s="370">
        <f>CJ36+SUM(CI36:CI38)</f>
        <v>29833.333333333336</v>
      </c>
      <c r="CP38" s="369">
        <f>SUMIFS(Collection!$O:$O, Collection!$K:$K, CP$2, Collection!$A:$A, "="&amp;$A38)</f>
        <v>0</v>
      </c>
      <c r="CQ38" s="116">
        <f>(SUMIFS('Bucket Counts'!$P:$P, 'Bucket Counts'!$B:$B, CQ$2, 'Bucket Counts'!$A:$A, "="&amp;$A38,  'Bucket Counts'!$F:$F, "&lt;&gt;100 Morts",  'Bucket Counts'!$F:$F, "&lt;&gt;224"))</f>
        <v>0</v>
      </c>
      <c r="CR38" s="116">
        <f>(SUMIFS('Bucket Counts'!$P:$P, 'Bucket Counts'!$B:$B, CR$2, 'Bucket Counts'!$A:$A, "="&amp;$A38,  'Bucket Counts'!$F:$F, "100 Morts"))</f>
        <v>0</v>
      </c>
      <c r="CS38" s="116">
        <f>(SUMIFS('Bucket Counts'!$P:$P, 'Bucket Counts'!$B:$B, CS$2, 'Bucket Counts'!$A:$A, "="&amp;$A38,  'Bucket Counts'!$F:$F, "224"))</f>
        <v>0</v>
      </c>
      <c r="CT38" s="116"/>
      <c r="CU38" s="426">
        <f>(CS38+CQ38)/CV37</f>
        <v>0</v>
      </c>
      <c r="CV38" s="370">
        <f>CQ36+SUM(CP36:CP38)</f>
        <v>14166.666666666666</v>
      </c>
      <c r="CW38" s="369">
        <f>SUMIFS(Collection!$O:$O, Collection!$K:$K, CW$2, Collection!$A:$A, "="&amp;$A38)</f>
        <v>0</v>
      </c>
      <c r="CX38" s="116">
        <f>(SUMIFS('Bucket Counts'!$P:$P, 'Bucket Counts'!$B:$B, CX$2, 'Bucket Counts'!$A:$A, "="&amp;$A38,  'Bucket Counts'!$F:$F, "&lt;&gt;100 Morts",  'Bucket Counts'!$F:$F, "&lt;&gt;224"))</f>
        <v>0</v>
      </c>
      <c r="CY38" s="116">
        <f>(SUMIFS('Bucket Counts'!$P:$P, 'Bucket Counts'!$B:$B, CY$2, 'Bucket Counts'!$A:$A, "="&amp;$A38,  'Bucket Counts'!$F:$F, "100 Morts"))</f>
        <v>0</v>
      </c>
      <c r="CZ38" s="116">
        <f>(SUMIFS('Bucket Counts'!$P:$P, 'Bucket Counts'!$B:$B, CZ$2, 'Bucket Counts'!$A:$A, "="&amp;$A38,  'Bucket Counts'!$F:$F, "224"))</f>
        <v>0</v>
      </c>
      <c r="DA38" s="116"/>
      <c r="DB38" s="426">
        <f>(CZ38+CX38)/DC37</f>
        <v>0</v>
      </c>
      <c r="DC38" s="370">
        <f>CX36+SUM(CW36:CW38)</f>
        <v>135733.33333333334</v>
      </c>
      <c r="DD38" s="369">
        <f>SUMIFS(Collection!$O:$O, Collection!$K:$K, DD$2, Collection!$A:$A, "="&amp;$A38)</f>
        <v>0</v>
      </c>
      <c r="DE38" s="116">
        <f>(SUMIFS('Bucket Counts'!$P:$P, 'Bucket Counts'!$B:$B, DE$2, 'Bucket Counts'!$A:$A, "="&amp;$A38,  'Bucket Counts'!$F:$F, "&lt;&gt;100 Morts",  'Bucket Counts'!$F:$F, "&lt;&gt;224"))</f>
        <v>0</v>
      </c>
      <c r="DF38" s="116">
        <f>(SUMIFS('Bucket Counts'!$P:$P, 'Bucket Counts'!$B:$B, DF$2, 'Bucket Counts'!$A:$A, "="&amp;$A38,  'Bucket Counts'!$F:$F, "100 Morts"))</f>
        <v>0</v>
      </c>
      <c r="DG38" s="116">
        <f>(SUMIFS('Bucket Counts'!$P:$P, 'Bucket Counts'!$B:$B, DG$2, 'Bucket Counts'!$A:$A, "="&amp;$A38,  'Bucket Counts'!$F:$F, "224"))</f>
        <v>0</v>
      </c>
      <c r="DH38" s="116"/>
      <c r="DI38" s="426">
        <f>(DG38+DE38)/DJ37</f>
        <v>0</v>
      </c>
      <c r="DJ38" s="370">
        <f>DE36+SUM(DD36:DD38)</f>
        <v>34500</v>
      </c>
      <c r="DK38" s="369">
        <f>SUMIFS(Collection!$O:$O, Collection!$K:$K, DK$2, Collection!$A:$A, "="&amp;$A38)</f>
        <v>0</v>
      </c>
      <c r="DL38" s="116">
        <f>(SUMIFS('Bucket Counts'!$P:$P, 'Bucket Counts'!$B:$B, DL$2, 'Bucket Counts'!$A:$A, "="&amp;$A38,  'Bucket Counts'!$F:$F, "&lt;&gt;100 Morts",  'Bucket Counts'!$F:$F, "&lt;&gt;224"))</f>
        <v>0</v>
      </c>
      <c r="DM38" s="116">
        <f>(SUMIFS('Bucket Counts'!$P:$P, 'Bucket Counts'!$B:$B, DM$2, 'Bucket Counts'!$A:$A, "="&amp;$A38,  'Bucket Counts'!$F:$F, "100 Morts"))</f>
        <v>0</v>
      </c>
      <c r="DN38" s="116">
        <f>(SUMIFS('Bucket Counts'!$P:$P, 'Bucket Counts'!$B:$B, DN$2, 'Bucket Counts'!$A:$A, "="&amp;$A38,  'Bucket Counts'!$F:$F, "224"))</f>
        <v>0</v>
      </c>
      <c r="DO38" s="116"/>
      <c r="DP38" s="426" t="e">
        <f>(DN38+DL38)/DQ37</f>
        <v>#DIV/0!</v>
      </c>
      <c r="DQ38" s="370">
        <f>DL36+SUM(DK36:DK38)</f>
        <v>0</v>
      </c>
      <c r="DR38" s="369">
        <f>SUMIFS(Collection!$O:$O, Collection!$K:$K, DR$2, Collection!$A:$A, "="&amp;$A38)</f>
        <v>0</v>
      </c>
      <c r="DS38" s="116">
        <f>(SUMIFS('Bucket Counts'!$P:$P, 'Bucket Counts'!$B:$B, DS$2, 'Bucket Counts'!$A:$A, "="&amp;$A38,  'Bucket Counts'!$F:$F, "&lt;&gt;100 Morts",  'Bucket Counts'!$F:$F, "&lt;&gt;224"))</f>
        <v>0</v>
      </c>
      <c r="DT38" s="116">
        <f>(SUMIFS('Bucket Counts'!$P:$P, 'Bucket Counts'!$B:$B, DT$2, 'Bucket Counts'!$A:$A, "="&amp;$A38,  'Bucket Counts'!$F:$F, "100 Morts"))</f>
        <v>0</v>
      </c>
      <c r="DU38" s="116">
        <f>(SUMIFS('Bucket Counts'!$P:$P, 'Bucket Counts'!$B:$B, DU$2, 'Bucket Counts'!$A:$A, "="&amp;$A38,  'Bucket Counts'!$F:$F, "224"))</f>
        <v>0</v>
      </c>
      <c r="DV38" s="116"/>
      <c r="DW38" s="426" t="e">
        <f>(DU38+DS38)/DX37</f>
        <v>#DIV/0!</v>
      </c>
      <c r="DX38" s="370">
        <f>DS36+SUM(DR36:DR38)</f>
        <v>0</v>
      </c>
      <c r="DY38" s="369">
        <f>SUMIFS(Collection!$O:$O, Collection!$K:$K, DY$2, Collection!$A:$A, "="&amp;$A38)</f>
        <v>0</v>
      </c>
      <c r="DZ38" s="116">
        <f>(SUMIFS('Bucket Counts'!$P:$P, 'Bucket Counts'!$B:$B, DZ$2, 'Bucket Counts'!$A:$A, "="&amp;$A38,  'Bucket Counts'!$F:$F, "&lt;&gt;100 Morts",  'Bucket Counts'!$F:$F, "&lt;&gt;224"))</f>
        <v>0</v>
      </c>
      <c r="EA38" s="116">
        <f>(SUMIFS('Bucket Counts'!$P:$P, 'Bucket Counts'!$B:$B, EA$2, 'Bucket Counts'!$A:$A, "="&amp;$A38,  'Bucket Counts'!$F:$F, "100 Morts"))</f>
        <v>0</v>
      </c>
      <c r="EB38" s="116">
        <f>(SUMIFS('Bucket Counts'!$P:$P, 'Bucket Counts'!$B:$B, EB$2, 'Bucket Counts'!$A:$A, "="&amp;$A38,  'Bucket Counts'!$F:$F, "224"))</f>
        <v>0</v>
      </c>
      <c r="EC38" s="116"/>
      <c r="ED38" s="426" t="e">
        <f>(EB38+DZ38)/EE37</f>
        <v>#DIV/0!</v>
      </c>
      <c r="EE38" s="370">
        <f>DZ36+SUM(DY36:DY38)</f>
        <v>0</v>
      </c>
      <c r="EF38" s="369">
        <f>SUMIFS(Collection!$O:$O, Collection!$K:$K, EF$2, Collection!$A:$A, "="&amp;$A38)</f>
        <v>0</v>
      </c>
      <c r="EG38" s="116">
        <f>(SUMIFS('Bucket Counts'!$P:$P, 'Bucket Counts'!$B:$B, EG$2, 'Bucket Counts'!$A:$A, "="&amp;$A38,  'Bucket Counts'!$F:$F, "&lt;&gt;100 Morts",  'Bucket Counts'!$F:$F, "&lt;&gt;224"))</f>
        <v>0</v>
      </c>
      <c r="EH38" s="116">
        <f>(SUMIFS('Bucket Counts'!$P:$P, 'Bucket Counts'!$B:$B, EH$2, 'Bucket Counts'!$A:$A, "="&amp;$A38,  'Bucket Counts'!$F:$F, "100 Morts"))</f>
        <v>0</v>
      </c>
      <c r="EI38" s="116">
        <f>(SUMIFS('Bucket Counts'!$P:$P, 'Bucket Counts'!$B:$B, EI$2, 'Bucket Counts'!$A:$A, "="&amp;$A38,  'Bucket Counts'!$F:$F, "224"))</f>
        <v>0</v>
      </c>
      <c r="EJ38" s="116"/>
      <c r="EK38" s="426" t="e">
        <f>(EI38+EG38)/EL37</f>
        <v>#DIV/0!</v>
      </c>
      <c r="EL38" s="370">
        <f>EG36+SUM(EF36:EF38)</f>
        <v>0</v>
      </c>
    </row>
    <row r="39" spans="1:142" s="434" customFormat="1" x14ac:dyDescent="0.2">
      <c r="A39" s="428">
        <f t="shared" si="0"/>
        <v>42908</v>
      </c>
      <c r="B39" s="428" t="s">
        <v>486</v>
      </c>
      <c r="C39" s="429">
        <f>SUMIFS(Collection!$O:$O, Collection!$K:$K, C$2, Collection!$A:$A, "="&amp;$A39)</f>
        <v>0</v>
      </c>
      <c r="D39" s="430">
        <f>(SUMIFS('Bucket Counts'!$P:$P, 'Bucket Counts'!$B:$B, D$2, 'Bucket Counts'!$A:$A, "="&amp;$A39,  'Bucket Counts'!$F:$F, "&lt;&gt;100 Morts",  'Bucket Counts'!$F:$F, "&lt;&gt;224"))</f>
        <v>23100</v>
      </c>
      <c r="E39" s="430">
        <f>(SUMIFS('Bucket Counts'!$P:$P, 'Bucket Counts'!$B:$B, E$2, 'Bucket Counts'!$A:$A, "="&amp;$A39,  'Bucket Counts'!$F:$F, "100 Morts"))</f>
        <v>500</v>
      </c>
      <c r="F39" s="430">
        <f>(SUMIFS('Bucket Counts'!$P:$P, 'Bucket Counts'!$B:$B, F$2, 'Bucket Counts'!$A:$A, "="&amp;$A39,  'Bucket Counts'!$F:$F, "224"))</f>
        <v>758.33333333333337</v>
      </c>
      <c r="G39" s="430">
        <f>I38</f>
        <v>68000</v>
      </c>
      <c r="H39" s="431">
        <f>SUM(D39+F39)</f>
        <v>23858.333333333332</v>
      </c>
      <c r="I39" s="432">
        <f>D39+C39</f>
        <v>23100</v>
      </c>
      <c r="J39" s="429">
        <f>SUMIFS(Collection!$O:$O, Collection!$K:$K, J$2, Collection!$A:$A, "="&amp;$A39)</f>
        <v>0</v>
      </c>
      <c r="K39" s="430">
        <f>(SUMIFS('Bucket Counts'!$P:$P, 'Bucket Counts'!$B:$B, K$2, 'Bucket Counts'!$A:$A, "="&amp;$A39,  'Bucket Counts'!$F:$F, "&lt;&gt;100 Morts",  'Bucket Counts'!$F:$F, "&lt;&gt;224"))</f>
        <v>166.66666666666666</v>
      </c>
      <c r="L39" s="430">
        <f>(SUMIFS('Bucket Counts'!$P:$P, 'Bucket Counts'!$B:$B, L$2, 'Bucket Counts'!$A:$A, "="&amp;$A39,  'Bucket Counts'!$F:$F, "100 Morts"))</f>
        <v>0</v>
      </c>
      <c r="M39" s="430">
        <f>(SUMIFS('Bucket Counts'!$P:$P, 'Bucket Counts'!$B:$B, M$2, 'Bucket Counts'!$A:$A, "="&amp;$A39,  'Bucket Counts'!$F:$F, "224"))</f>
        <v>216.66666666666666</v>
      </c>
      <c r="N39" s="430">
        <f>P38</f>
        <v>1040</v>
      </c>
      <c r="O39" s="431">
        <f>SUM(K39+M39)</f>
        <v>383.33333333333331</v>
      </c>
      <c r="P39" s="432">
        <f>K39+J39</f>
        <v>166.66666666666666</v>
      </c>
      <c r="Q39" s="429">
        <f>SUMIFS(Collection!$O:$O, Collection!$K:$K, Q$2, Collection!$A:$A, "="&amp;$A39)</f>
        <v>33.333333333333329</v>
      </c>
      <c r="R39" s="430">
        <f>(SUMIFS('Bucket Counts'!$P:$P, 'Bucket Counts'!$B:$B, R$2, 'Bucket Counts'!$A:$A, "="&amp;$A39,  'Bucket Counts'!$F:$F, "&lt;&gt;100 Morts",  'Bucket Counts'!$F:$F, "&lt;&gt;224"))</f>
        <v>6300</v>
      </c>
      <c r="S39" s="430">
        <f>(SUMIFS('Bucket Counts'!$P:$P, 'Bucket Counts'!$B:$B, S$2, 'Bucket Counts'!$A:$A, "="&amp;$A39,  'Bucket Counts'!$F:$F, "100 Morts"))</f>
        <v>0</v>
      </c>
      <c r="T39" s="430">
        <f>(SUMIFS('Bucket Counts'!$P:$P, 'Bucket Counts'!$B:$B, T$2, 'Bucket Counts'!$A:$A, "="&amp;$A39,  'Bucket Counts'!$F:$F, "224"))</f>
        <v>3420</v>
      </c>
      <c r="U39" s="430">
        <f>W38</f>
        <v>18013.333333333332</v>
      </c>
      <c r="V39" s="431">
        <f>SUM(R39+T39)</f>
        <v>9720</v>
      </c>
      <c r="W39" s="432">
        <f>R39+Q39</f>
        <v>6333.333333333333</v>
      </c>
      <c r="X39" s="429">
        <f>SUMIFS(Collection!$O:$O, Collection!$K:$K, X$2, Collection!$A:$A, "="&amp;$A39)</f>
        <v>888.8888888888888</v>
      </c>
      <c r="Y39" s="430">
        <f>(SUMIFS('Bucket Counts'!$P:$P, 'Bucket Counts'!$B:$B, Y$2, 'Bucket Counts'!$A:$A, "="&amp;$A39,  'Bucket Counts'!$F:$F, "&lt;&gt;100 Morts",  'Bucket Counts'!$F:$F, "&lt;&gt;224"))</f>
        <v>64283.333333333328</v>
      </c>
      <c r="Z39" s="430">
        <f>(SUMIFS('Bucket Counts'!$P:$P, 'Bucket Counts'!$B:$B, Z$2, 'Bucket Counts'!$A:$A, "="&amp;$A39,  'Bucket Counts'!$F:$F, "100 Morts"))</f>
        <v>96.666666666666657</v>
      </c>
      <c r="AA39" s="430">
        <f>(SUMIFS('Bucket Counts'!$P:$P, 'Bucket Counts'!$B:$B, AA$2, 'Bucket Counts'!$A:$A, "="&amp;$A39,  'Bucket Counts'!$F:$F, "224"))</f>
        <v>426.66666666666663</v>
      </c>
      <c r="AB39" s="430">
        <f>AD38</f>
        <v>123740</v>
      </c>
      <c r="AC39" s="431">
        <f>SUM(Y39+AA39)</f>
        <v>64709.999999999993</v>
      </c>
      <c r="AD39" s="432">
        <f>Y39+X39</f>
        <v>65172.222222222219</v>
      </c>
      <c r="AE39" s="429">
        <f>SUMIFS(Collection!$O:$O, Collection!$K:$K, AE$2, Collection!$A:$A, "="&amp;$A39)</f>
        <v>0</v>
      </c>
      <c r="AF39" s="430">
        <f>(SUMIFS('Bucket Counts'!$P:$P, 'Bucket Counts'!$B:$B, AF$2, 'Bucket Counts'!$A:$A, "="&amp;$A39,  'Bucket Counts'!$F:$F, "&lt;&gt;100 Morts",  'Bucket Counts'!$F:$F, "&lt;&gt;224"))</f>
        <v>25591.666666666664</v>
      </c>
      <c r="AG39" s="430">
        <f>(SUMIFS('Bucket Counts'!$P:$P, 'Bucket Counts'!$B:$B, AG$2, 'Bucket Counts'!$A:$A, "="&amp;$A39,  'Bucket Counts'!$F:$F, "100 Morts"))</f>
        <v>0</v>
      </c>
      <c r="AH39" s="430">
        <f>(SUMIFS('Bucket Counts'!$P:$P, 'Bucket Counts'!$B:$B, AH$2, 'Bucket Counts'!$A:$A, "="&amp;$A39,  'Bucket Counts'!$F:$F, "224"))</f>
        <v>1000</v>
      </c>
      <c r="AI39" s="430">
        <f>AK38</f>
        <v>83576.666666666657</v>
      </c>
      <c r="AJ39" s="431">
        <f>SUM(AF39+AH39)</f>
        <v>26591.666666666664</v>
      </c>
      <c r="AK39" s="432">
        <f>AF39+AE39</f>
        <v>25591.666666666664</v>
      </c>
      <c r="AL39" s="429">
        <f>SUMIFS(Collection!$O:$O, Collection!$K:$K, AL$2, Collection!$A:$A, "="&amp;$A39)</f>
        <v>866.66666666666663</v>
      </c>
      <c r="AM39" s="430">
        <f>(SUMIFS('Bucket Counts'!$P:$P, 'Bucket Counts'!$B:$B, AM$2, 'Bucket Counts'!$A:$A, "="&amp;$A39,  'Bucket Counts'!$F:$F, "&lt;&gt;100 Morts",  'Bucket Counts'!$F:$F, "&lt;&gt;224"))</f>
        <v>52933.333333333336</v>
      </c>
      <c r="AN39" s="430">
        <f>(SUMIFS('Bucket Counts'!$P:$P, 'Bucket Counts'!$B:$B, AN$2, 'Bucket Counts'!$A:$A, "="&amp;$A39,  'Bucket Counts'!$F:$F, "100 Morts"))</f>
        <v>233.33333333333331</v>
      </c>
      <c r="AO39" s="430">
        <f>(SUMIFS('Bucket Counts'!$P:$P, 'Bucket Counts'!$B:$B, AO$2, 'Bucket Counts'!$A:$A, "="&amp;$A39,  'Bucket Counts'!$F:$F, "224"))</f>
        <v>200</v>
      </c>
      <c r="AP39" s="430">
        <f>AR38</f>
        <v>53133.333333333328</v>
      </c>
      <c r="AQ39" s="431">
        <f>SUM(AM39+AO39)</f>
        <v>53133.333333333336</v>
      </c>
      <c r="AR39" s="432">
        <f>AM39+AL39</f>
        <v>53800</v>
      </c>
      <c r="AS39" s="429">
        <f>SUMIFS(Collection!$O:$O, Collection!$K:$K, AS$2, Collection!$A:$A, "="&amp;$A39)</f>
        <v>0</v>
      </c>
      <c r="AT39" s="430">
        <f>(SUMIFS('Bucket Counts'!$P:$P, 'Bucket Counts'!$B:$B, AT$2, 'Bucket Counts'!$A:$A, "="&amp;$A39,  'Bucket Counts'!$F:$F, "&lt;&gt;100 Morts",  'Bucket Counts'!$F:$F, "&lt;&gt;224"))</f>
        <v>74241.666666666657</v>
      </c>
      <c r="AU39" s="430">
        <f>(SUMIFS('Bucket Counts'!$P:$P, 'Bucket Counts'!$B:$B, AU$2, 'Bucket Counts'!$A:$A, "="&amp;$A39,  'Bucket Counts'!$F:$F, "100 Morts"))</f>
        <v>8160</v>
      </c>
      <c r="AV39" s="430">
        <f>(SUMIFS('Bucket Counts'!$P:$P, 'Bucket Counts'!$B:$B, AV$2, 'Bucket Counts'!$A:$A, "="&amp;$A39,  'Bucket Counts'!$F:$F, "224"))</f>
        <v>4500</v>
      </c>
      <c r="AW39" s="430">
        <f>AY38</f>
        <v>134986.66666666669</v>
      </c>
      <c r="AX39" s="431">
        <f>SUM(AT39+AV39)</f>
        <v>78741.666666666657</v>
      </c>
      <c r="AY39" s="432">
        <f>AT39+AS39</f>
        <v>74241.666666666657</v>
      </c>
      <c r="AZ39" s="429">
        <f>SUMIFS(Collection!$O:$O, Collection!$K:$K, AZ$2, Collection!$A:$A, "="&amp;$A39)</f>
        <v>0</v>
      </c>
      <c r="BA39" s="430">
        <f>(SUMIFS('Bucket Counts'!$P:$P, 'Bucket Counts'!$B:$B, BA$2, 'Bucket Counts'!$A:$A, "="&amp;$A39,  'Bucket Counts'!$F:$F, "&lt;&gt;100 Morts",  'Bucket Counts'!$F:$F, "&lt;&gt;224"))</f>
        <v>23000</v>
      </c>
      <c r="BB39" s="430">
        <f>(SUMIFS('Bucket Counts'!$P:$P, 'Bucket Counts'!$B:$B, BB$2, 'Bucket Counts'!$A:$A, "="&amp;$A39,  'Bucket Counts'!$F:$F, "100 Morts"))</f>
        <v>426.66666666666663</v>
      </c>
      <c r="BC39" s="430">
        <f>(SUMIFS('Bucket Counts'!$P:$P, 'Bucket Counts'!$B:$B, BC$2, 'Bucket Counts'!$A:$A, "="&amp;$A39,  'Bucket Counts'!$F:$F, "224"))</f>
        <v>400</v>
      </c>
      <c r="BD39" s="430">
        <f>BF38</f>
        <v>45056.666666666672</v>
      </c>
      <c r="BE39" s="431">
        <f>SUM(BA39+BC39)</f>
        <v>23400</v>
      </c>
      <c r="BF39" s="432">
        <f>BA39+AZ39</f>
        <v>23000</v>
      </c>
      <c r="BG39" s="429">
        <f>SUMIFS(Collection!$O:$O, Collection!$K:$K, BG$2, Collection!$A:$A, "="&amp;$A39)</f>
        <v>1564.4444444444443</v>
      </c>
      <c r="BH39" s="430">
        <f>(SUMIFS('Bucket Counts'!$P:$P, 'Bucket Counts'!$B:$B, BH$2, 'Bucket Counts'!$A:$A, "="&amp;$A39,  'Bucket Counts'!$F:$F, "&lt;&gt;100 Morts",  'Bucket Counts'!$F:$F, "&lt;&gt;224"))</f>
        <v>39556.666666666672</v>
      </c>
      <c r="BI39" s="430">
        <f>(SUMIFS('Bucket Counts'!$P:$P, 'Bucket Counts'!$B:$B, BI$2, 'Bucket Counts'!$A:$A, "="&amp;$A39,  'Bucket Counts'!$F:$F, "100 Morts"))</f>
        <v>0</v>
      </c>
      <c r="BJ39" s="430">
        <f>(SUMIFS('Bucket Counts'!$P:$P, 'Bucket Counts'!$B:$B, BJ$2, 'Bucket Counts'!$A:$A, "="&amp;$A39,  'Bucket Counts'!$F:$F, "224"))</f>
        <v>2996.6666666666665</v>
      </c>
      <c r="BK39" s="430">
        <f>BM38</f>
        <v>73823.333333333343</v>
      </c>
      <c r="BL39" s="431">
        <f>SUM(BH39+BJ39)</f>
        <v>42553.333333333336</v>
      </c>
      <c r="BM39" s="432">
        <f>BH39+BG39</f>
        <v>41121.111111111117</v>
      </c>
      <c r="BN39" s="429">
        <f>SUMIFS(Collection!$O:$O, Collection!$K:$K, BN$2, Collection!$A:$A, "="&amp;$A39)</f>
        <v>0</v>
      </c>
      <c r="BO39" s="430">
        <f>(SUMIFS('Bucket Counts'!$P:$P, 'Bucket Counts'!$B:$B, BO$2, 'Bucket Counts'!$A:$A, "="&amp;$A39,  'Bucket Counts'!$F:$F, "&lt;&gt;100 Morts",  'Bucket Counts'!$F:$F, "&lt;&gt;224"))</f>
        <v>75600</v>
      </c>
      <c r="BP39" s="430">
        <f>(SUMIFS('Bucket Counts'!$P:$P, 'Bucket Counts'!$B:$B, BP$2, 'Bucket Counts'!$A:$A, "="&amp;$A39,  'Bucket Counts'!$F:$F, "100 Morts"))</f>
        <v>166.66666666666666</v>
      </c>
      <c r="BQ39" s="430">
        <f>(SUMIFS('Bucket Counts'!$P:$P, 'Bucket Counts'!$B:$B, BQ$2, 'Bucket Counts'!$A:$A, "="&amp;$A39,  'Bucket Counts'!$F:$F, "224"))</f>
        <v>975</v>
      </c>
      <c r="BR39" s="430">
        <f>BT38</f>
        <v>92618.333333333328</v>
      </c>
      <c r="BS39" s="431">
        <f>SUM(BO39+BQ39)</f>
        <v>76575</v>
      </c>
      <c r="BT39" s="432">
        <f>BO39+BN39</f>
        <v>75600</v>
      </c>
      <c r="BU39" s="429">
        <f>SUMIFS(Collection!$O:$O, Collection!$K:$K, BU$2, Collection!$A:$A, "="&amp;$A39)</f>
        <v>0</v>
      </c>
      <c r="BV39" s="430">
        <f>(SUMIFS('Bucket Counts'!$P:$P, 'Bucket Counts'!$B:$B, BV$2, 'Bucket Counts'!$A:$A, "="&amp;$A39,  'Bucket Counts'!$F:$F, "&lt;&gt;100 Morts",  'Bucket Counts'!$F:$F, "&lt;&gt;224"))</f>
        <v>28033.333333333332</v>
      </c>
      <c r="BW39" s="430">
        <f>(SUMIFS('Bucket Counts'!$P:$P, 'Bucket Counts'!$B:$B, BW$2, 'Bucket Counts'!$A:$A, "="&amp;$A39,  'Bucket Counts'!$F:$F, "100 Morts"))</f>
        <v>146.66666666666666</v>
      </c>
      <c r="BX39" s="430">
        <f>(SUMIFS('Bucket Counts'!$P:$P, 'Bucket Counts'!$B:$B, BX$2, 'Bucket Counts'!$A:$A, "="&amp;$A39,  'Bucket Counts'!$F:$F, "224"))</f>
        <v>0</v>
      </c>
      <c r="BY39" s="430">
        <f>CA38</f>
        <v>37066.666666666672</v>
      </c>
      <c r="BZ39" s="431">
        <f>SUM(BV39+BX39)</f>
        <v>28033.333333333332</v>
      </c>
      <c r="CA39" s="432">
        <f>BV39+BU39</f>
        <v>28033.333333333332</v>
      </c>
      <c r="CB39" s="429">
        <f>SUMIFS(Collection!$O:$O, Collection!$K:$K, CB$2, Collection!$A:$A, "="&amp;$A39)</f>
        <v>995.55555555555554</v>
      </c>
      <c r="CC39" s="430">
        <f>(SUMIFS('Bucket Counts'!$P:$P, 'Bucket Counts'!$B:$B, CC$2, 'Bucket Counts'!$A:$A, "="&amp;$A39,  'Bucket Counts'!$F:$F, "&lt;&gt;100 Morts",  'Bucket Counts'!$F:$F, "&lt;&gt;224"))</f>
        <v>88433.333333333343</v>
      </c>
      <c r="CD39" s="430">
        <f>(SUMIFS('Bucket Counts'!$P:$P, 'Bucket Counts'!$B:$B, CD$2, 'Bucket Counts'!$A:$A, "="&amp;$A39,  'Bucket Counts'!$F:$F, "100 Morts"))</f>
        <v>193.33333333333331</v>
      </c>
      <c r="CE39" s="430">
        <f>(SUMIFS('Bucket Counts'!$P:$P, 'Bucket Counts'!$B:$B, CE$2, 'Bucket Counts'!$A:$A, "="&amp;$A39,  'Bucket Counts'!$F:$F, "224"))</f>
        <v>0</v>
      </c>
      <c r="CF39" s="430">
        <f>CH38</f>
        <v>127333.33333333334</v>
      </c>
      <c r="CG39" s="431">
        <f>SUM(CC39+CE39)</f>
        <v>88433.333333333343</v>
      </c>
      <c r="CH39" s="432">
        <f>CC39+CB39</f>
        <v>89428.888888888905</v>
      </c>
      <c r="CI39" s="429">
        <f>SUMIFS(Collection!$O:$O, Collection!$K:$K, CI$2, Collection!$A:$A, "="&amp;$A39)</f>
        <v>0</v>
      </c>
      <c r="CJ39" s="430">
        <f>(SUMIFS('Bucket Counts'!$P:$P, 'Bucket Counts'!$B:$B, CJ$2, 'Bucket Counts'!$A:$A, "="&amp;$A39,  'Bucket Counts'!$F:$F, "&lt;&gt;100 Morts",  'Bucket Counts'!$F:$F, "&lt;&gt;224"))</f>
        <v>27300</v>
      </c>
      <c r="CK39" s="430">
        <f>(SUMIFS('Bucket Counts'!$P:$P, 'Bucket Counts'!$B:$B, CK$2, 'Bucket Counts'!$A:$A, "="&amp;$A39,  'Bucket Counts'!$F:$F, "100 Morts"))</f>
        <v>0</v>
      </c>
      <c r="CL39" s="430">
        <f>(SUMIFS('Bucket Counts'!$P:$P, 'Bucket Counts'!$B:$B, CL$2, 'Bucket Counts'!$A:$A, "="&amp;$A39,  'Bucket Counts'!$F:$F, "224"))</f>
        <v>666.66666666666674</v>
      </c>
      <c r="CM39" s="430">
        <f>CO38</f>
        <v>29833.333333333336</v>
      </c>
      <c r="CN39" s="431">
        <f>SUM(CJ39+CL39)</f>
        <v>27966.666666666668</v>
      </c>
      <c r="CO39" s="432">
        <f>CJ39+CI39</f>
        <v>27300</v>
      </c>
      <c r="CP39" s="429">
        <f>SUMIFS(Collection!$O:$O, Collection!$K:$K, CP$2, Collection!$A:$A, "="&amp;$A39)</f>
        <v>0</v>
      </c>
      <c r="CQ39" s="430">
        <f>(SUMIFS('Bucket Counts'!$P:$P, 'Bucket Counts'!$B:$B, CQ$2, 'Bucket Counts'!$A:$A, "="&amp;$A39,  'Bucket Counts'!$F:$F, "&lt;&gt;100 Morts",  'Bucket Counts'!$F:$F, "&lt;&gt;224"))</f>
        <v>7876.666666666667</v>
      </c>
      <c r="CR39" s="430">
        <f>(SUMIFS('Bucket Counts'!$P:$P, 'Bucket Counts'!$B:$B, CR$2, 'Bucket Counts'!$A:$A, "="&amp;$A39,  'Bucket Counts'!$F:$F, "100 Morts"))</f>
        <v>330</v>
      </c>
      <c r="CS39" s="430">
        <f>(SUMIFS('Bucket Counts'!$P:$P, 'Bucket Counts'!$B:$B, CS$2, 'Bucket Counts'!$A:$A, "="&amp;$A39,  'Bucket Counts'!$F:$F, "224"))</f>
        <v>0</v>
      </c>
      <c r="CT39" s="430">
        <f>CV38</f>
        <v>14166.666666666666</v>
      </c>
      <c r="CU39" s="431">
        <f>SUM(CQ39+CS39)</f>
        <v>7876.666666666667</v>
      </c>
      <c r="CV39" s="432">
        <f>CQ39+CP39</f>
        <v>7876.666666666667</v>
      </c>
      <c r="CW39" s="429">
        <f>SUMIFS(Collection!$O:$O, Collection!$K:$K, CW$2, Collection!$A:$A, "="&amp;$A39)</f>
        <v>193.33333333333331</v>
      </c>
      <c r="CX39" s="430">
        <f>(SUMIFS('Bucket Counts'!$P:$P, 'Bucket Counts'!$B:$B, CX$2, 'Bucket Counts'!$A:$A, "="&amp;$A39,  'Bucket Counts'!$F:$F, "&lt;&gt;100 Morts",  'Bucket Counts'!$F:$F, "&lt;&gt;224"))</f>
        <v>73186.666666666672</v>
      </c>
      <c r="CY39" s="430">
        <f>(SUMIFS('Bucket Counts'!$P:$P, 'Bucket Counts'!$B:$B, CY$2, 'Bucket Counts'!$A:$A, "="&amp;$A39,  'Bucket Counts'!$F:$F, "100 Morts"))</f>
        <v>833.33333333333337</v>
      </c>
      <c r="CZ39" s="430">
        <f>(SUMIFS('Bucket Counts'!$P:$P, 'Bucket Counts'!$B:$B, CZ$2, 'Bucket Counts'!$A:$A, "="&amp;$A39,  'Bucket Counts'!$F:$F, "224"))</f>
        <v>1900</v>
      </c>
      <c r="DA39" s="430">
        <f>DC38</f>
        <v>135733.33333333334</v>
      </c>
      <c r="DB39" s="431">
        <f>SUM(CX39+CZ39)</f>
        <v>75086.666666666672</v>
      </c>
      <c r="DC39" s="432">
        <f>CX39+CW39</f>
        <v>73380</v>
      </c>
      <c r="DD39" s="429">
        <f>SUMIFS(Collection!$O:$O, Collection!$K:$K, DD$2, Collection!$A:$A, "="&amp;$A39)</f>
        <v>0</v>
      </c>
      <c r="DE39" s="430">
        <f>(SUMIFS('Bucket Counts'!$P:$P, 'Bucket Counts'!$B:$B, DE$2, 'Bucket Counts'!$A:$A, "="&amp;$A39,  'Bucket Counts'!$F:$F, "&lt;&gt;100 Morts",  'Bucket Counts'!$F:$F, "&lt;&gt;224"))</f>
        <v>27566.666666666668</v>
      </c>
      <c r="DF39" s="430">
        <f>(SUMIFS('Bucket Counts'!$P:$P, 'Bucket Counts'!$B:$B, DF$2, 'Bucket Counts'!$A:$A, "="&amp;$A39,  'Bucket Counts'!$F:$F, "100 Morts"))</f>
        <v>900</v>
      </c>
      <c r="DG39" s="430">
        <f>(SUMIFS('Bucket Counts'!$P:$P, 'Bucket Counts'!$B:$B, DG$2, 'Bucket Counts'!$A:$A, "="&amp;$A39,  'Bucket Counts'!$F:$F, "224"))</f>
        <v>766.66666666666674</v>
      </c>
      <c r="DH39" s="430">
        <f>DJ38</f>
        <v>34500</v>
      </c>
      <c r="DI39" s="431">
        <f>SUM(DE39+DG39)</f>
        <v>28333.333333333336</v>
      </c>
      <c r="DJ39" s="432">
        <f>DE39+DD39</f>
        <v>27566.666666666668</v>
      </c>
      <c r="DK39" s="429">
        <f>SUMIFS(Collection!$O:$O, Collection!$K:$K, DK$2, Collection!$A:$A, "="&amp;$A39)</f>
        <v>0</v>
      </c>
      <c r="DL39" s="430">
        <f>(SUMIFS('Bucket Counts'!$P:$P, 'Bucket Counts'!$B:$B, DL$2, 'Bucket Counts'!$A:$A, "="&amp;$A39,  'Bucket Counts'!$F:$F, "&lt;&gt;100 Morts",  'Bucket Counts'!$F:$F, "&lt;&gt;224"))</f>
        <v>0</v>
      </c>
      <c r="DM39" s="430">
        <f>(SUMIFS('Bucket Counts'!$P:$P, 'Bucket Counts'!$B:$B, DM$2, 'Bucket Counts'!$A:$A, "="&amp;$A39,  'Bucket Counts'!$F:$F, "100 Morts"))</f>
        <v>0</v>
      </c>
      <c r="DN39" s="430">
        <f>(SUMIFS('Bucket Counts'!$P:$P, 'Bucket Counts'!$B:$B, DN$2, 'Bucket Counts'!$A:$A, "="&amp;$A39,  'Bucket Counts'!$F:$F, "224"))</f>
        <v>0</v>
      </c>
      <c r="DO39" s="430">
        <f>DQ38</f>
        <v>0</v>
      </c>
      <c r="DP39" s="431">
        <f>SUM(DL39+DN39)</f>
        <v>0</v>
      </c>
      <c r="DQ39" s="432">
        <f>DL39+DK39</f>
        <v>0</v>
      </c>
      <c r="DR39" s="429">
        <f>SUMIFS(Collection!$O:$O, Collection!$K:$K, DR$2, Collection!$A:$A, "="&amp;$A39)</f>
        <v>0</v>
      </c>
      <c r="DS39" s="430">
        <f>(SUMIFS('Bucket Counts'!$P:$P, 'Bucket Counts'!$B:$B, DS$2, 'Bucket Counts'!$A:$A, "="&amp;$A39,  'Bucket Counts'!$F:$F, "&lt;&gt;100 Morts",  'Bucket Counts'!$F:$F, "&lt;&gt;224"))</f>
        <v>0</v>
      </c>
      <c r="DT39" s="430">
        <f>(SUMIFS('Bucket Counts'!$P:$P, 'Bucket Counts'!$B:$B, DT$2, 'Bucket Counts'!$A:$A, "="&amp;$A39,  'Bucket Counts'!$F:$F, "100 Morts"))</f>
        <v>0</v>
      </c>
      <c r="DU39" s="430">
        <f>(SUMIFS('Bucket Counts'!$P:$P, 'Bucket Counts'!$B:$B, DU$2, 'Bucket Counts'!$A:$A, "="&amp;$A39,  'Bucket Counts'!$F:$F, "224"))</f>
        <v>0</v>
      </c>
      <c r="DV39" s="430">
        <f>DX38</f>
        <v>0</v>
      </c>
      <c r="DW39" s="431">
        <f>SUM(DS39+DU39)</f>
        <v>0</v>
      </c>
      <c r="DX39" s="432">
        <f>DS39+DR39</f>
        <v>0</v>
      </c>
      <c r="DY39" s="429">
        <f>SUMIFS(Collection!$O:$O, Collection!$K:$K, DY$2, Collection!$A:$A, "="&amp;$A39)</f>
        <v>0</v>
      </c>
      <c r="DZ39" s="430">
        <f>(SUMIFS('Bucket Counts'!$P:$P, 'Bucket Counts'!$B:$B, DZ$2, 'Bucket Counts'!$A:$A, "="&amp;$A39,  'Bucket Counts'!$F:$F, "&lt;&gt;100 Morts",  'Bucket Counts'!$F:$F, "&lt;&gt;224"))</f>
        <v>0</v>
      </c>
      <c r="EA39" s="430">
        <f>(SUMIFS('Bucket Counts'!$P:$P, 'Bucket Counts'!$B:$B, EA$2, 'Bucket Counts'!$A:$A, "="&amp;$A39,  'Bucket Counts'!$F:$F, "100 Morts"))</f>
        <v>0</v>
      </c>
      <c r="EB39" s="430">
        <f>(SUMIFS('Bucket Counts'!$P:$P, 'Bucket Counts'!$B:$B, EB$2, 'Bucket Counts'!$A:$A, "="&amp;$A39,  'Bucket Counts'!$F:$F, "224"))</f>
        <v>0</v>
      </c>
      <c r="EC39" s="430">
        <f>EE38</f>
        <v>0</v>
      </c>
      <c r="ED39" s="431">
        <f>SUM(DZ39+EB39)</f>
        <v>0</v>
      </c>
      <c r="EE39" s="432">
        <f>DZ39+DY39</f>
        <v>0</v>
      </c>
      <c r="EF39" s="429">
        <f>SUMIFS(Collection!$O:$O, Collection!$K:$K, EF$2, Collection!$A:$A, "="&amp;$A39)</f>
        <v>0</v>
      </c>
      <c r="EG39" s="430">
        <f>(SUMIFS('Bucket Counts'!$P:$P, 'Bucket Counts'!$B:$B, EG$2, 'Bucket Counts'!$A:$A, "="&amp;$A39,  'Bucket Counts'!$F:$F, "&lt;&gt;100 Morts",  'Bucket Counts'!$F:$F, "&lt;&gt;224"))</f>
        <v>0</v>
      </c>
      <c r="EH39" s="430">
        <f>(SUMIFS('Bucket Counts'!$P:$P, 'Bucket Counts'!$B:$B, EH$2, 'Bucket Counts'!$A:$A, "="&amp;$A39,  'Bucket Counts'!$F:$F, "100 Morts"))</f>
        <v>0</v>
      </c>
      <c r="EI39" s="430">
        <f>(SUMIFS('Bucket Counts'!$P:$P, 'Bucket Counts'!$B:$B, EI$2, 'Bucket Counts'!$A:$A, "="&amp;$A39,  'Bucket Counts'!$F:$F, "224"))</f>
        <v>0</v>
      </c>
      <c r="EJ39" s="430">
        <f>EL38</f>
        <v>0</v>
      </c>
      <c r="EK39" s="431">
        <f>SUM(EG39+EI39)</f>
        <v>0</v>
      </c>
      <c r="EL39" s="432">
        <f>EG39+EF39</f>
        <v>0</v>
      </c>
    </row>
    <row r="40" spans="1:142" x14ac:dyDescent="0.2">
      <c r="A40" s="16">
        <f t="shared" si="0"/>
        <v>42909</v>
      </c>
      <c r="B40" s="16" t="s">
        <v>487</v>
      </c>
      <c r="C40" s="369">
        <f>SUMIFS(Collection!$O:$O, Collection!$K:$K, C$2, Collection!$A:$A, "="&amp;$A40)</f>
        <v>0</v>
      </c>
      <c r="D40" s="116">
        <f>(SUMIFS('Bucket Counts'!$P:$P, 'Bucket Counts'!$B:$B, D$2, 'Bucket Counts'!$A:$A, "="&amp;$A40,  'Bucket Counts'!$F:$F, "&lt;&gt;100 Morts",  'Bucket Counts'!$F:$F, "&lt;&gt;224"))</f>
        <v>0</v>
      </c>
      <c r="E40" s="116">
        <f>(SUMIFS('Bucket Counts'!$P:$P, 'Bucket Counts'!$B:$B, E$2, 'Bucket Counts'!$A:$A, "="&amp;$A40,  'Bucket Counts'!$F:$F, "100 Morts"))</f>
        <v>0</v>
      </c>
      <c r="F40" s="116">
        <f>(SUMIFS('Bucket Counts'!$P:$P, 'Bucket Counts'!$B:$B, F$2, 'Bucket Counts'!$A:$A, "="&amp;$A40,  'Bucket Counts'!$F:$F, "224"))</f>
        <v>0</v>
      </c>
      <c r="G40" s="116"/>
      <c r="H40" s="426">
        <f>(F40+D40)/I39</f>
        <v>0</v>
      </c>
      <c r="I40" s="370">
        <f>D39+SUM(C39:C40)</f>
        <v>23100</v>
      </c>
      <c r="J40" s="369">
        <f>SUMIFS(Collection!$O:$O, Collection!$K:$K, J$2, Collection!$A:$A, "="&amp;$A40)</f>
        <v>0</v>
      </c>
      <c r="K40" s="116">
        <f>(SUMIFS('Bucket Counts'!$P:$P, 'Bucket Counts'!$B:$B, K$2, 'Bucket Counts'!$A:$A, "="&amp;$A40,  'Bucket Counts'!$F:$F, "&lt;&gt;100 Morts",  'Bucket Counts'!$F:$F, "&lt;&gt;224"))</f>
        <v>0</v>
      </c>
      <c r="L40" s="116">
        <f>(SUMIFS('Bucket Counts'!$P:$P, 'Bucket Counts'!$B:$B, L$2, 'Bucket Counts'!$A:$A, "="&amp;$A40,  'Bucket Counts'!$F:$F, "100 Morts"))</f>
        <v>0</v>
      </c>
      <c r="M40" s="116">
        <f>(SUMIFS('Bucket Counts'!$P:$P, 'Bucket Counts'!$B:$B, M$2, 'Bucket Counts'!$A:$A, "="&amp;$A40,  'Bucket Counts'!$F:$F, "224"))</f>
        <v>0</v>
      </c>
      <c r="N40" s="116"/>
      <c r="O40" s="426">
        <f>(M40+K40)/P39</f>
        <v>0</v>
      </c>
      <c r="P40" s="370">
        <f>K39+SUM(J39:J40)</f>
        <v>166.66666666666666</v>
      </c>
      <c r="Q40" s="369">
        <f>SUMIFS(Collection!$O:$O, Collection!$K:$K, Q$2, Collection!$A:$A, "="&amp;$A40)</f>
        <v>0</v>
      </c>
      <c r="R40" s="116">
        <f>(SUMIFS('Bucket Counts'!$P:$P, 'Bucket Counts'!$B:$B, R$2, 'Bucket Counts'!$A:$A, "="&amp;$A40,  'Bucket Counts'!$F:$F, "&lt;&gt;100 Morts",  'Bucket Counts'!$F:$F, "&lt;&gt;224"))</f>
        <v>0</v>
      </c>
      <c r="S40" s="116">
        <f>(SUMIFS('Bucket Counts'!$P:$P, 'Bucket Counts'!$B:$B, S$2, 'Bucket Counts'!$A:$A, "="&amp;$A40,  'Bucket Counts'!$F:$F, "100 Morts"))</f>
        <v>0</v>
      </c>
      <c r="T40" s="116">
        <f>(SUMIFS('Bucket Counts'!$P:$P, 'Bucket Counts'!$B:$B, T$2, 'Bucket Counts'!$A:$A, "="&amp;$A40,  'Bucket Counts'!$F:$F, "224"))</f>
        <v>0</v>
      </c>
      <c r="U40" s="116"/>
      <c r="V40" s="426">
        <f>(T40+R40)/W39</f>
        <v>0</v>
      </c>
      <c r="W40" s="370">
        <f>R39+SUM(Q39:Q40)</f>
        <v>6333.333333333333</v>
      </c>
      <c r="X40" s="369">
        <f>SUMIFS(Collection!$O:$O, Collection!$K:$K, X$2, Collection!$A:$A, "="&amp;$A40)</f>
        <v>0</v>
      </c>
      <c r="Y40" s="116">
        <f>(SUMIFS('Bucket Counts'!$P:$P, 'Bucket Counts'!$B:$B, Y$2, 'Bucket Counts'!$A:$A, "="&amp;$A40,  'Bucket Counts'!$F:$F, "&lt;&gt;100 Morts",  'Bucket Counts'!$F:$F, "&lt;&gt;224"))</f>
        <v>0</v>
      </c>
      <c r="Z40" s="116">
        <f>(SUMIFS('Bucket Counts'!$P:$P, 'Bucket Counts'!$B:$B, Z$2, 'Bucket Counts'!$A:$A, "="&amp;$A40,  'Bucket Counts'!$F:$F, "100 Morts"))</f>
        <v>0</v>
      </c>
      <c r="AA40" s="116">
        <f>(SUMIFS('Bucket Counts'!$P:$P, 'Bucket Counts'!$B:$B, AA$2, 'Bucket Counts'!$A:$A, "="&amp;$A40,  'Bucket Counts'!$F:$F, "224"))</f>
        <v>0</v>
      </c>
      <c r="AB40" s="116"/>
      <c r="AC40" s="426">
        <f>(AA40+Y40)/AD39</f>
        <v>0</v>
      </c>
      <c r="AD40" s="370">
        <f>Y39+SUM(X39:X40)</f>
        <v>65172.222222222219</v>
      </c>
      <c r="AE40" s="369">
        <f>SUMIFS(Collection!$O:$O, Collection!$K:$K, AE$2, Collection!$A:$A, "="&amp;$A40)</f>
        <v>0</v>
      </c>
      <c r="AF40" s="116">
        <f>(SUMIFS('Bucket Counts'!$P:$P, 'Bucket Counts'!$B:$B, AF$2, 'Bucket Counts'!$A:$A, "="&amp;$A40,  'Bucket Counts'!$F:$F, "&lt;&gt;100 Morts",  'Bucket Counts'!$F:$F, "&lt;&gt;224"))</f>
        <v>0</v>
      </c>
      <c r="AG40" s="116">
        <f>(SUMIFS('Bucket Counts'!$P:$P, 'Bucket Counts'!$B:$B, AG$2, 'Bucket Counts'!$A:$A, "="&amp;$A40,  'Bucket Counts'!$F:$F, "100 Morts"))</f>
        <v>0</v>
      </c>
      <c r="AH40" s="116">
        <f>(SUMIFS('Bucket Counts'!$P:$P, 'Bucket Counts'!$B:$B, AH$2, 'Bucket Counts'!$A:$A, "="&amp;$A40,  'Bucket Counts'!$F:$F, "224"))</f>
        <v>0</v>
      </c>
      <c r="AI40" s="116"/>
      <c r="AJ40" s="426">
        <f>(AH40+AF40)/AK39</f>
        <v>0</v>
      </c>
      <c r="AK40" s="370">
        <f>AF39+SUM(AE39:AE40)</f>
        <v>25591.666666666664</v>
      </c>
      <c r="AL40" s="369">
        <f>SUMIFS(Collection!$O:$O, Collection!$K:$K, AL$2, Collection!$A:$A, "="&amp;$A40)</f>
        <v>0</v>
      </c>
      <c r="AM40" s="116">
        <f>(SUMIFS('Bucket Counts'!$P:$P, 'Bucket Counts'!$B:$B, AM$2, 'Bucket Counts'!$A:$A, "="&amp;$A40,  'Bucket Counts'!$F:$F, "&lt;&gt;100 Morts",  'Bucket Counts'!$F:$F, "&lt;&gt;224"))</f>
        <v>0</v>
      </c>
      <c r="AN40" s="116">
        <f>(SUMIFS('Bucket Counts'!$P:$P, 'Bucket Counts'!$B:$B, AN$2, 'Bucket Counts'!$A:$A, "="&amp;$A40,  'Bucket Counts'!$F:$F, "100 Morts"))</f>
        <v>0</v>
      </c>
      <c r="AO40" s="116">
        <f>(SUMIFS('Bucket Counts'!$P:$P, 'Bucket Counts'!$B:$B, AO$2, 'Bucket Counts'!$A:$A, "="&amp;$A40,  'Bucket Counts'!$F:$F, "224"))</f>
        <v>0</v>
      </c>
      <c r="AP40" s="116"/>
      <c r="AQ40" s="426">
        <f>(AO40+AM40)/AR39</f>
        <v>0</v>
      </c>
      <c r="AR40" s="370">
        <f>AM39+SUM(AL39:AL40)</f>
        <v>53800</v>
      </c>
      <c r="AS40" s="369">
        <f>SUMIFS(Collection!$O:$O, Collection!$K:$K, AS$2, Collection!$A:$A, "="&amp;$A40)</f>
        <v>0</v>
      </c>
      <c r="AT40" s="116">
        <f>(SUMIFS('Bucket Counts'!$P:$P, 'Bucket Counts'!$B:$B, AT$2, 'Bucket Counts'!$A:$A, "="&amp;$A40,  'Bucket Counts'!$F:$F, "&lt;&gt;100 Morts",  'Bucket Counts'!$F:$F, "&lt;&gt;224"))</f>
        <v>0</v>
      </c>
      <c r="AU40" s="116">
        <f>(SUMIFS('Bucket Counts'!$P:$P, 'Bucket Counts'!$B:$B, AU$2, 'Bucket Counts'!$A:$A, "="&amp;$A40,  'Bucket Counts'!$F:$F, "100 Morts"))</f>
        <v>0</v>
      </c>
      <c r="AV40" s="116">
        <f>(SUMIFS('Bucket Counts'!$P:$P, 'Bucket Counts'!$B:$B, AV$2, 'Bucket Counts'!$A:$A, "="&amp;$A40,  'Bucket Counts'!$F:$F, "224"))</f>
        <v>0</v>
      </c>
      <c r="AW40" s="116"/>
      <c r="AX40" s="426">
        <f>(AV40+AT40)/AY39</f>
        <v>0</v>
      </c>
      <c r="AY40" s="370">
        <f>AT39+SUM(AS39:AS40)</f>
        <v>74241.666666666657</v>
      </c>
      <c r="AZ40" s="369">
        <f>SUMIFS(Collection!$O:$O, Collection!$K:$K, AZ$2, Collection!$A:$A, "="&amp;$A40)</f>
        <v>0</v>
      </c>
      <c r="BA40" s="116">
        <f>(SUMIFS('Bucket Counts'!$P:$P, 'Bucket Counts'!$B:$B, BA$2, 'Bucket Counts'!$A:$A, "="&amp;$A40,  'Bucket Counts'!$F:$F, "&lt;&gt;100 Morts",  'Bucket Counts'!$F:$F, "&lt;&gt;224"))</f>
        <v>0</v>
      </c>
      <c r="BB40" s="116">
        <f>(SUMIFS('Bucket Counts'!$P:$P, 'Bucket Counts'!$B:$B, BB$2, 'Bucket Counts'!$A:$A, "="&amp;$A40,  'Bucket Counts'!$F:$F, "100 Morts"))</f>
        <v>0</v>
      </c>
      <c r="BC40" s="116">
        <f>(SUMIFS('Bucket Counts'!$P:$P, 'Bucket Counts'!$B:$B, BC$2, 'Bucket Counts'!$A:$A, "="&amp;$A40,  'Bucket Counts'!$F:$F, "224"))</f>
        <v>0</v>
      </c>
      <c r="BD40" s="116"/>
      <c r="BE40" s="426">
        <f>(BC40+BA40)/BF39</f>
        <v>0</v>
      </c>
      <c r="BF40" s="370">
        <f>BA39+SUM(AZ39:AZ40)</f>
        <v>23000</v>
      </c>
      <c r="BG40" s="369">
        <f>SUMIFS(Collection!$O:$O, Collection!$K:$K, BG$2, Collection!$A:$A, "="&amp;$A40)</f>
        <v>0</v>
      </c>
      <c r="BH40" s="116">
        <f>(SUMIFS('Bucket Counts'!$P:$P, 'Bucket Counts'!$B:$B, BH$2, 'Bucket Counts'!$A:$A, "="&amp;$A40,  'Bucket Counts'!$F:$F, "&lt;&gt;100 Morts",  'Bucket Counts'!$F:$F, "&lt;&gt;224"))</f>
        <v>0</v>
      </c>
      <c r="BI40" s="116">
        <f>(SUMIFS('Bucket Counts'!$P:$P, 'Bucket Counts'!$B:$B, BI$2, 'Bucket Counts'!$A:$A, "="&amp;$A40,  'Bucket Counts'!$F:$F, "100 Morts"))</f>
        <v>0</v>
      </c>
      <c r="BJ40" s="116">
        <f>(SUMIFS('Bucket Counts'!$P:$P, 'Bucket Counts'!$B:$B, BJ$2, 'Bucket Counts'!$A:$A, "="&amp;$A40,  'Bucket Counts'!$F:$F, "224"))</f>
        <v>0</v>
      </c>
      <c r="BK40" s="116"/>
      <c r="BL40" s="426">
        <f>(BJ40+BH40)/BM39</f>
        <v>0</v>
      </c>
      <c r="BM40" s="370">
        <f>BH39+SUM(BG39:BG40)</f>
        <v>41121.111111111117</v>
      </c>
      <c r="BN40" s="369">
        <f>SUMIFS(Collection!$O:$O, Collection!$K:$K, BN$2, Collection!$A:$A, "="&amp;$A40)</f>
        <v>0</v>
      </c>
      <c r="BO40" s="116">
        <f>(SUMIFS('Bucket Counts'!$P:$P, 'Bucket Counts'!$B:$B, BO$2, 'Bucket Counts'!$A:$A, "="&amp;$A40,  'Bucket Counts'!$F:$F, "&lt;&gt;100 Morts",  'Bucket Counts'!$F:$F, "&lt;&gt;224"))</f>
        <v>0</v>
      </c>
      <c r="BP40" s="116">
        <f>(SUMIFS('Bucket Counts'!$P:$P, 'Bucket Counts'!$B:$B, BP$2, 'Bucket Counts'!$A:$A, "="&amp;$A40,  'Bucket Counts'!$F:$F, "100 Morts"))</f>
        <v>0</v>
      </c>
      <c r="BQ40" s="116">
        <f>(SUMIFS('Bucket Counts'!$P:$P, 'Bucket Counts'!$B:$B, BQ$2, 'Bucket Counts'!$A:$A, "="&amp;$A40,  'Bucket Counts'!$F:$F, "224"))</f>
        <v>0</v>
      </c>
      <c r="BR40" s="116"/>
      <c r="BS40" s="426">
        <f>(BQ40+BO40)/BT39</f>
        <v>0</v>
      </c>
      <c r="BT40" s="370">
        <f>BO39+SUM(BN39:BN40)</f>
        <v>75600</v>
      </c>
      <c r="BU40" s="369">
        <f>SUMIFS(Collection!$O:$O, Collection!$K:$K, BU$2, Collection!$A:$A, "="&amp;$A40)</f>
        <v>0</v>
      </c>
      <c r="BV40" s="116">
        <f>(SUMIFS('Bucket Counts'!$P:$P, 'Bucket Counts'!$B:$B, BV$2, 'Bucket Counts'!$A:$A, "="&amp;$A40,  'Bucket Counts'!$F:$F, "&lt;&gt;100 Morts",  'Bucket Counts'!$F:$F, "&lt;&gt;224"))</f>
        <v>0</v>
      </c>
      <c r="BW40" s="116">
        <f>(SUMIFS('Bucket Counts'!$P:$P, 'Bucket Counts'!$B:$B, BW$2, 'Bucket Counts'!$A:$A, "="&amp;$A40,  'Bucket Counts'!$F:$F, "100 Morts"))</f>
        <v>0</v>
      </c>
      <c r="BX40" s="116">
        <f>(SUMIFS('Bucket Counts'!$P:$P, 'Bucket Counts'!$B:$B, BX$2, 'Bucket Counts'!$A:$A, "="&amp;$A40,  'Bucket Counts'!$F:$F, "224"))</f>
        <v>0</v>
      </c>
      <c r="BY40" s="116"/>
      <c r="BZ40" s="426">
        <f>(BX40+BV40)/CA39</f>
        <v>0</v>
      </c>
      <c r="CA40" s="370">
        <f>BV39+SUM(BU39:BU40)</f>
        <v>28033.333333333332</v>
      </c>
      <c r="CB40" s="369">
        <f>SUMIFS(Collection!$O:$O, Collection!$K:$K, CB$2, Collection!$A:$A, "="&amp;$A40)</f>
        <v>0</v>
      </c>
      <c r="CC40" s="116">
        <f>(SUMIFS('Bucket Counts'!$P:$P, 'Bucket Counts'!$B:$B, CC$2, 'Bucket Counts'!$A:$A, "="&amp;$A40,  'Bucket Counts'!$F:$F, "&lt;&gt;100 Morts",  'Bucket Counts'!$F:$F, "&lt;&gt;224"))</f>
        <v>0</v>
      </c>
      <c r="CD40" s="116">
        <f>(SUMIFS('Bucket Counts'!$P:$P, 'Bucket Counts'!$B:$B, CD$2, 'Bucket Counts'!$A:$A, "="&amp;$A40,  'Bucket Counts'!$F:$F, "100 Morts"))</f>
        <v>0</v>
      </c>
      <c r="CE40" s="116">
        <f>(SUMIFS('Bucket Counts'!$P:$P, 'Bucket Counts'!$B:$B, CE$2, 'Bucket Counts'!$A:$A, "="&amp;$A40,  'Bucket Counts'!$F:$F, "224"))</f>
        <v>0</v>
      </c>
      <c r="CF40" s="116"/>
      <c r="CG40" s="426">
        <f>(CE40+CC40)/CH39</f>
        <v>0</v>
      </c>
      <c r="CH40" s="370">
        <f>CC39+SUM(CB39:CB40)</f>
        <v>89428.888888888905</v>
      </c>
      <c r="CI40" s="369">
        <f>SUMIFS(Collection!$O:$O, Collection!$K:$K, CI$2, Collection!$A:$A, "="&amp;$A40)</f>
        <v>0</v>
      </c>
      <c r="CJ40" s="116">
        <f>(SUMIFS('Bucket Counts'!$P:$P, 'Bucket Counts'!$B:$B, CJ$2, 'Bucket Counts'!$A:$A, "="&amp;$A40,  'Bucket Counts'!$F:$F, "&lt;&gt;100 Morts",  'Bucket Counts'!$F:$F, "&lt;&gt;224"))</f>
        <v>0</v>
      </c>
      <c r="CK40" s="116">
        <f>(SUMIFS('Bucket Counts'!$P:$P, 'Bucket Counts'!$B:$B, CK$2, 'Bucket Counts'!$A:$A, "="&amp;$A40,  'Bucket Counts'!$F:$F, "100 Morts"))</f>
        <v>0</v>
      </c>
      <c r="CL40" s="116">
        <f>(SUMIFS('Bucket Counts'!$P:$P, 'Bucket Counts'!$B:$B, CL$2, 'Bucket Counts'!$A:$A, "="&amp;$A40,  'Bucket Counts'!$F:$F, "224"))</f>
        <v>0</v>
      </c>
      <c r="CM40" s="116"/>
      <c r="CN40" s="426">
        <f>(CL40+CJ40)/CO39</f>
        <v>0</v>
      </c>
      <c r="CO40" s="370">
        <f>CJ39+SUM(CI39:CI40)</f>
        <v>27300</v>
      </c>
      <c r="CP40" s="369">
        <f>SUMIFS(Collection!$O:$O, Collection!$K:$K, CP$2, Collection!$A:$A, "="&amp;$A40)</f>
        <v>0</v>
      </c>
      <c r="CQ40" s="116">
        <f>(SUMIFS('Bucket Counts'!$P:$P, 'Bucket Counts'!$B:$B, CQ$2, 'Bucket Counts'!$A:$A, "="&amp;$A40,  'Bucket Counts'!$F:$F, "&lt;&gt;100 Morts",  'Bucket Counts'!$F:$F, "&lt;&gt;224"))</f>
        <v>0</v>
      </c>
      <c r="CR40" s="116">
        <f>(SUMIFS('Bucket Counts'!$P:$P, 'Bucket Counts'!$B:$B, CR$2, 'Bucket Counts'!$A:$A, "="&amp;$A40,  'Bucket Counts'!$F:$F, "100 Morts"))</f>
        <v>0</v>
      </c>
      <c r="CS40" s="116">
        <f>(SUMIFS('Bucket Counts'!$P:$P, 'Bucket Counts'!$B:$B, CS$2, 'Bucket Counts'!$A:$A, "="&amp;$A40,  'Bucket Counts'!$F:$F, "224"))</f>
        <v>0</v>
      </c>
      <c r="CT40" s="116"/>
      <c r="CU40" s="426">
        <f>(CS40+CQ40)/CV39</f>
        <v>0</v>
      </c>
      <c r="CV40" s="370">
        <f>CQ39+SUM(CP39:CP40)</f>
        <v>7876.666666666667</v>
      </c>
      <c r="CW40" s="369">
        <f>SUMIFS(Collection!$O:$O, Collection!$K:$K, CW$2, Collection!$A:$A, "="&amp;$A40)</f>
        <v>0</v>
      </c>
      <c r="CX40" s="116">
        <f>(SUMIFS('Bucket Counts'!$P:$P, 'Bucket Counts'!$B:$B, CX$2, 'Bucket Counts'!$A:$A, "="&amp;$A40,  'Bucket Counts'!$F:$F, "&lt;&gt;100 Morts",  'Bucket Counts'!$F:$F, "&lt;&gt;224"))</f>
        <v>0</v>
      </c>
      <c r="CY40" s="116">
        <f>(SUMIFS('Bucket Counts'!$P:$P, 'Bucket Counts'!$B:$B, CY$2, 'Bucket Counts'!$A:$A, "="&amp;$A40,  'Bucket Counts'!$F:$F, "100 Morts"))</f>
        <v>0</v>
      </c>
      <c r="CZ40" s="116">
        <f>(SUMIFS('Bucket Counts'!$P:$P, 'Bucket Counts'!$B:$B, CZ$2, 'Bucket Counts'!$A:$A, "="&amp;$A40,  'Bucket Counts'!$F:$F, "224"))</f>
        <v>0</v>
      </c>
      <c r="DA40" s="116"/>
      <c r="DB40" s="426">
        <f>(CZ40+CX40)/DC39</f>
        <v>0</v>
      </c>
      <c r="DC40" s="370">
        <f>CX39+SUM(CW39:CW40)</f>
        <v>73380</v>
      </c>
      <c r="DD40" s="369">
        <f>SUMIFS(Collection!$O:$O, Collection!$K:$K, DD$2, Collection!$A:$A, "="&amp;$A40)</f>
        <v>0</v>
      </c>
      <c r="DE40" s="116">
        <f>(SUMIFS('Bucket Counts'!$P:$P, 'Bucket Counts'!$B:$B, DE$2, 'Bucket Counts'!$A:$A, "="&amp;$A40,  'Bucket Counts'!$F:$F, "&lt;&gt;100 Morts",  'Bucket Counts'!$F:$F, "&lt;&gt;224"))</f>
        <v>0</v>
      </c>
      <c r="DF40" s="116">
        <f>(SUMIFS('Bucket Counts'!$P:$P, 'Bucket Counts'!$B:$B, DF$2, 'Bucket Counts'!$A:$A, "="&amp;$A40,  'Bucket Counts'!$F:$F, "100 Morts"))</f>
        <v>0</v>
      </c>
      <c r="DG40" s="116">
        <f>(SUMIFS('Bucket Counts'!$P:$P, 'Bucket Counts'!$B:$B, DG$2, 'Bucket Counts'!$A:$A, "="&amp;$A40,  'Bucket Counts'!$F:$F, "224"))</f>
        <v>0</v>
      </c>
      <c r="DH40" s="116"/>
      <c r="DI40" s="426">
        <f>(DG40+DE40)/DJ39</f>
        <v>0</v>
      </c>
      <c r="DJ40" s="370">
        <f>DE39+SUM(DD39:DD40)</f>
        <v>27566.666666666668</v>
      </c>
      <c r="DK40" s="369">
        <f>SUMIFS(Collection!$O:$O, Collection!$K:$K, DK$2, Collection!$A:$A, "="&amp;$A40)</f>
        <v>0</v>
      </c>
      <c r="DL40" s="116">
        <f>(SUMIFS('Bucket Counts'!$P:$P, 'Bucket Counts'!$B:$B, DL$2, 'Bucket Counts'!$A:$A, "="&amp;$A40,  'Bucket Counts'!$F:$F, "&lt;&gt;100 Morts",  'Bucket Counts'!$F:$F, "&lt;&gt;224"))</f>
        <v>0</v>
      </c>
      <c r="DM40" s="116">
        <f>(SUMIFS('Bucket Counts'!$P:$P, 'Bucket Counts'!$B:$B, DM$2, 'Bucket Counts'!$A:$A, "="&amp;$A40,  'Bucket Counts'!$F:$F, "100 Morts"))</f>
        <v>0</v>
      </c>
      <c r="DN40" s="116">
        <f>(SUMIFS('Bucket Counts'!$P:$P, 'Bucket Counts'!$B:$B, DN$2, 'Bucket Counts'!$A:$A, "="&amp;$A40,  'Bucket Counts'!$F:$F, "224"))</f>
        <v>0</v>
      </c>
      <c r="DO40" s="116"/>
      <c r="DP40" s="426" t="e">
        <f>(DN40+DL40)/DQ39</f>
        <v>#DIV/0!</v>
      </c>
      <c r="DQ40" s="370">
        <f>DL39+SUM(DK39:DK40)</f>
        <v>0</v>
      </c>
      <c r="DR40" s="369">
        <f>SUMIFS(Collection!$O:$O, Collection!$K:$K, DR$2, Collection!$A:$A, "="&amp;$A40)</f>
        <v>0</v>
      </c>
      <c r="DS40" s="116">
        <f>(SUMIFS('Bucket Counts'!$P:$P, 'Bucket Counts'!$B:$B, DS$2, 'Bucket Counts'!$A:$A, "="&amp;$A40,  'Bucket Counts'!$F:$F, "&lt;&gt;100 Morts",  'Bucket Counts'!$F:$F, "&lt;&gt;224"))</f>
        <v>0</v>
      </c>
      <c r="DT40" s="116">
        <f>(SUMIFS('Bucket Counts'!$P:$P, 'Bucket Counts'!$B:$B, DT$2, 'Bucket Counts'!$A:$A, "="&amp;$A40,  'Bucket Counts'!$F:$F, "100 Morts"))</f>
        <v>0</v>
      </c>
      <c r="DU40" s="116">
        <f>(SUMIFS('Bucket Counts'!$P:$P, 'Bucket Counts'!$B:$B, DU$2, 'Bucket Counts'!$A:$A, "="&amp;$A40,  'Bucket Counts'!$F:$F, "224"))</f>
        <v>0</v>
      </c>
      <c r="DV40" s="116"/>
      <c r="DW40" s="426" t="e">
        <f>(DU40+DS40)/DX39</f>
        <v>#DIV/0!</v>
      </c>
      <c r="DX40" s="370">
        <f>DS39+SUM(DR39:DR40)</f>
        <v>0</v>
      </c>
      <c r="DY40" s="369">
        <f>SUMIFS(Collection!$O:$O, Collection!$K:$K, DY$2, Collection!$A:$A, "="&amp;$A40)</f>
        <v>0</v>
      </c>
      <c r="DZ40" s="116">
        <f>(SUMIFS('Bucket Counts'!$P:$P, 'Bucket Counts'!$B:$B, DZ$2, 'Bucket Counts'!$A:$A, "="&amp;$A40,  'Bucket Counts'!$F:$F, "&lt;&gt;100 Morts",  'Bucket Counts'!$F:$F, "&lt;&gt;224"))</f>
        <v>0</v>
      </c>
      <c r="EA40" s="116">
        <f>(SUMIFS('Bucket Counts'!$P:$P, 'Bucket Counts'!$B:$B, EA$2, 'Bucket Counts'!$A:$A, "="&amp;$A40,  'Bucket Counts'!$F:$F, "100 Morts"))</f>
        <v>0</v>
      </c>
      <c r="EB40" s="116">
        <f>(SUMIFS('Bucket Counts'!$P:$P, 'Bucket Counts'!$B:$B, EB$2, 'Bucket Counts'!$A:$A, "="&amp;$A40,  'Bucket Counts'!$F:$F, "224"))</f>
        <v>0</v>
      </c>
      <c r="EC40" s="116"/>
      <c r="ED40" s="426" t="e">
        <f>(EB40+DZ40)/EE39</f>
        <v>#DIV/0!</v>
      </c>
      <c r="EE40" s="370">
        <f>DZ39+SUM(DY39:DY40)</f>
        <v>0</v>
      </c>
      <c r="EF40" s="369">
        <f>SUMIFS(Collection!$O:$O, Collection!$K:$K, EF$2, Collection!$A:$A, "="&amp;$A40)</f>
        <v>0</v>
      </c>
      <c r="EG40" s="116">
        <f>(SUMIFS('Bucket Counts'!$P:$P, 'Bucket Counts'!$B:$B, EG$2, 'Bucket Counts'!$A:$A, "="&amp;$A40,  'Bucket Counts'!$F:$F, "&lt;&gt;100 Morts",  'Bucket Counts'!$F:$F, "&lt;&gt;224"))</f>
        <v>0</v>
      </c>
      <c r="EH40" s="116">
        <f>(SUMIFS('Bucket Counts'!$P:$P, 'Bucket Counts'!$B:$B, EH$2, 'Bucket Counts'!$A:$A, "="&amp;$A40,  'Bucket Counts'!$F:$F, "100 Morts"))</f>
        <v>0</v>
      </c>
      <c r="EI40" s="116">
        <f>(SUMIFS('Bucket Counts'!$P:$P, 'Bucket Counts'!$B:$B, EI$2, 'Bucket Counts'!$A:$A, "="&amp;$A40,  'Bucket Counts'!$F:$F, "224"))</f>
        <v>0</v>
      </c>
      <c r="EJ40" s="116"/>
      <c r="EK40" s="426" t="e">
        <f>(EI40+EG40)/EL39</f>
        <v>#DIV/0!</v>
      </c>
      <c r="EL40" s="370">
        <f>EG39+SUM(EF39:EF40)</f>
        <v>0</v>
      </c>
    </row>
    <row r="41" spans="1:142" x14ac:dyDescent="0.2">
      <c r="A41" s="16">
        <f t="shared" si="0"/>
        <v>42910</v>
      </c>
      <c r="B41" s="16" t="s">
        <v>487</v>
      </c>
      <c r="C41" s="369">
        <f>SUMIFS(Collection!$O:$O, Collection!$K:$K, C$2, Collection!$A:$A, "="&amp;$A41)</f>
        <v>0</v>
      </c>
      <c r="D41" s="116">
        <f>(SUMIFS('Bucket Counts'!$P:$P, 'Bucket Counts'!$B:$B, D$2, 'Bucket Counts'!$A:$A, "="&amp;$A41,  'Bucket Counts'!$F:$F, "&lt;&gt;100 Morts",  'Bucket Counts'!$F:$F, "&lt;&gt;224"))</f>
        <v>0</v>
      </c>
      <c r="E41" s="116">
        <f>(SUMIFS('Bucket Counts'!$P:$P, 'Bucket Counts'!$B:$B, E$2, 'Bucket Counts'!$A:$A, "="&amp;$A41,  'Bucket Counts'!$F:$F, "100 Morts"))</f>
        <v>0</v>
      </c>
      <c r="F41" s="116">
        <f>(SUMIFS('Bucket Counts'!$P:$P, 'Bucket Counts'!$B:$B, F$2, 'Bucket Counts'!$A:$A, "="&amp;$A41,  'Bucket Counts'!$F:$F, "224"))</f>
        <v>0</v>
      </c>
      <c r="G41" s="116"/>
      <c r="H41" s="426">
        <f>(F41+D41)/I40</f>
        <v>0</v>
      </c>
      <c r="I41" s="370">
        <f>D39+SUM(C39:C41)</f>
        <v>23100</v>
      </c>
      <c r="J41" s="369">
        <f>SUMIFS(Collection!$O:$O, Collection!$K:$K, J$2, Collection!$A:$A, "="&amp;$A41)</f>
        <v>0</v>
      </c>
      <c r="K41" s="116">
        <f>(SUMIFS('Bucket Counts'!$P:$P, 'Bucket Counts'!$B:$B, K$2, 'Bucket Counts'!$A:$A, "="&amp;$A41,  'Bucket Counts'!$F:$F, "&lt;&gt;100 Morts",  'Bucket Counts'!$F:$F, "&lt;&gt;224"))</f>
        <v>0</v>
      </c>
      <c r="L41" s="116">
        <f>(SUMIFS('Bucket Counts'!$P:$P, 'Bucket Counts'!$B:$B, L$2, 'Bucket Counts'!$A:$A, "="&amp;$A41,  'Bucket Counts'!$F:$F, "100 Morts"))</f>
        <v>0</v>
      </c>
      <c r="M41" s="116">
        <f>(SUMIFS('Bucket Counts'!$P:$P, 'Bucket Counts'!$B:$B, M$2, 'Bucket Counts'!$A:$A, "="&amp;$A41,  'Bucket Counts'!$F:$F, "224"))</f>
        <v>0</v>
      </c>
      <c r="N41" s="116"/>
      <c r="O41" s="426">
        <f>(M41+K41)/P40</f>
        <v>0</v>
      </c>
      <c r="P41" s="370">
        <f>K39+SUM(J39:J41)</f>
        <v>166.66666666666666</v>
      </c>
      <c r="Q41" s="369">
        <f>SUMIFS(Collection!$O:$O, Collection!$K:$K, Q$2, Collection!$A:$A, "="&amp;$A41)</f>
        <v>0</v>
      </c>
      <c r="R41" s="116">
        <f>(SUMIFS('Bucket Counts'!$P:$P, 'Bucket Counts'!$B:$B, R$2, 'Bucket Counts'!$A:$A, "="&amp;$A41,  'Bucket Counts'!$F:$F, "&lt;&gt;100 Morts",  'Bucket Counts'!$F:$F, "&lt;&gt;224"))</f>
        <v>0</v>
      </c>
      <c r="S41" s="116">
        <f>(SUMIFS('Bucket Counts'!$P:$P, 'Bucket Counts'!$B:$B, S$2, 'Bucket Counts'!$A:$A, "="&amp;$A41,  'Bucket Counts'!$F:$F, "100 Morts"))</f>
        <v>0</v>
      </c>
      <c r="T41" s="116">
        <f>(SUMIFS('Bucket Counts'!$P:$P, 'Bucket Counts'!$B:$B, T$2, 'Bucket Counts'!$A:$A, "="&amp;$A41,  'Bucket Counts'!$F:$F, "224"))</f>
        <v>0</v>
      </c>
      <c r="U41" s="116"/>
      <c r="V41" s="426">
        <f>(T41+R41)/W40</f>
        <v>0</v>
      </c>
      <c r="W41" s="370">
        <f>R39+SUM(Q39:Q41)</f>
        <v>6333.333333333333</v>
      </c>
      <c r="X41" s="369">
        <f>SUMIFS(Collection!$O:$O, Collection!$K:$K, X$2, Collection!$A:$A, "="&amp;$A41)</f>
        <v>0</v>
      </c>
      <c r="Y41" s="116">
        <f>(SUMIFS('Bucket Counts'!$P:$P, 'Bucket Counts'!$B:$B, Y$2, 'Bucket Counts'!$A:$A, "="&amp;$A41,  'Bucket Counts'!$F:$F, "&lt;&gt;100 Morts",  'Bucket Counts'!$F:$F, "&lt;&gt;224"))</f>
        <v>0</v>
      </c>
      <c r="Z41" s="116">
        <f>(SUMIFS('Bucket Counts'!$P:$P, 'Bucket Counts'!$B:$B, Z$2, 'Bucket Counts'!$A:$A, "="&amp;$A41,  'Bucket Counts'!$F:$F, "100 Morts"))</f>
        <v>0</v>
      </c>
      <c r="AA41" s="116">
        <f>(SUMIFS('Bucket Counts'!$P:$P, 'Bucket Counts'!$B:$B, AA$2, 'Bucket Counts'!$A:$A, "="&amp;$A41,  'Bucket Counts'!$F:$F, "224"))</f>
        <v>0</v>
      </c>
      <c r="AB41" s="116"/>
      <c r="AC41" s="426">
        <f>(AA41+Y41)/AD40</f>
        <v>0</v>
      </c>
      <c r="AD41" s="370">
        <f>Y39+SUM(X39:X41)</f>
        <v>65172.222222222219</v>
      </c>
      <c r="AE41" s="369">
        <f>SUMIFS(Collection!$O:$O, Collection!$K:$K, AE$2, Collection!$A:$A, "="&amp;$A41)</f>
        <v>0</v>
      </c>
      <c r="AF41" s="116">
        <f>(SUMIFS('Bucket Counts'!$P:$P, 'Bucket Counts'!$B:$B, AF$2, 'Bucket Counts'!$A:$A, "="&amp;$A41,  'Bucket Counts'!$F:$F, "&lt;&gt;100 Morts",  'Bucket Counts'!$F:$F, "&lt;&gt;224"))</f>
        <v>0</v>
      </c>
      <c r="AG41" s="116">
        <f>(SUMIFS('Bucket Counts'!$P:$P, 'Bucket Counts'!$B:$B, AG$2, 'Bucket Counts'!$A:$A, "="&amp;$A41,  'Bucket Counts'!$F:$F, "100 Morts"))</f>
        <v>0</v>
      </c>
      <c r="AH41" s="116">
        <f>(SUMIFS('Bucket Counts'!$P:$P, 'Bucket Counts'!$B:$B, AH$2, 'Bucket Counts'!$A:$A, "="&amp;$A41,  'Bucket Counts'!$F:$F, "224"))</f>
        <v>0</v>
      </c>
      <c r="AI41" s="116"/>
      <c r="AJ41" s="426">
        <f>(AH41+AF41)/AK40</f>
        <v>0</v>
      </c>
      <c r="AK41" s="370">
        <f>AF39+SUM(AE39:AE41)</f>
        <v>25591.666666666664</v>
      </c>
      <c r="AL41" s="369">
        <f>SUMIFS(Collection!$O:$O, Collection!$K:$K, AL$2, Collection!$A:$A, "="&amp;$A41)</f>
        <v>77566.666666666657</v>
      </c>
      <c r="AM41" s="116">
        <f>(SUMIFS('Bucket Counts'!$P:$P, 'Bucket Counts'!$B:$B, AM$2, 'Bucket Counts'!$A:$A, "="&amp;$A41,  'Bucket Counts'!$F:$F, "&lt;&gt;100 Morts",  'Bucket Counts'!$F:$F, "&lt;&gt;224"))</f>
        <v>0</v>
      </c>
      <c r="AN41" s="116">
        <f>(SUMIFS('Bucket Counts'!$P:$P, 'Bucket Counts'!$B:$B, AN$2, 'Bucket Counts'!$A:$A, "="&amp;$A41,  'Bucket Counts'!$F:$F, "100 Morts"))</f>
        <v>0</v>
      </c>
      <c r="AO41" s="116">
        <f>(SUMIFS('Bucket Counts'!$P:$P, 'Bucket Counts'!$B:$B, AO$2, 'Bucket Counts'!$A:$A, "="&amp;$A41,  'Bucket Counts'!$F:$F, "224"))</f>
        <v>0</v>
      </c>
      <c r="AP41" s="116"/>
      <c r="AQ41" s="426">
        <f>(AO41+AM41)/AR40</f>
        <v>0</v>
      </c>
      <c r="AR41" s="370">
        <f>AM39+SUM(AL39:AL41)</f>
        <v>131366.66666666666</v>
      </c>
      <c r="AS41" s="369">
        <f>SUMIFS(Collection!$O:$O, Collection!$K:$K, AS$2, Collection!$A:$A, "="&amp;$A41)</f>
        <v>0</v>
      </c>
      <c r="AT41" s="116">
        <f>(SUMIFS('Bucket Counts'!$P:$P, 'Bucket Counts'!$B:$B, AT$2, 'Bucket Counts'!$A:$A, "="&amp;$A41,  'Bucket Counts'!$F:$F, "&lt;&gt;100 Morts",  'Bucket Counts'!$F:$F, "&lt;&gt;224"))</f>
        <v>0</v>
      </c>
      <c r="AU41" s="116">
        <f>(SUMIFS('Bucket Counts'!$P:$P, 'Bucket Counts'!$B:$B, AU$2, 'Bucket Counts'!$A:$A, "="&amp;$A41,  'Bucket Counts'!$F:$F, "100 Morts"))</f>
        <v>0</v>
      </c>
      <c r="AV41" s="116">
        <f>(SUMIFS('Bucket Counts'!$P:$P, 'Bucket Counts'!$B:$B, AV$2, 'Bucket Counts'!$A:$A, "="&amp;$A41,  'Bucket Counts'!$F:$F, "224"))</f>
        <v>0</v>
      </c>
      <c r="AW41" s="116"/>
      <c r="AX41" s="426">
        <f>(AV41+AT41)/AY40</f>
        <v>0</v>
      </c>
      <c r="AY41" s="370">
        <f>AT39+SUM(AS39:AS41)</f>
        <v>74241.666666666657</v>
      </c>
      <c r="AZ41" s="369">
        <f>SUMIFS(Collection!$O:$O, Collection!$K:$K, AZ$2, Collection!$A:$A, "="&amp;$A41)</f>
        <v>0</v>
      </c>
      <c r="BA41" s="116">
        <f>(SUMIFS('Bucket Counts'!$P:$P, 'Bucket Counts'!$B:$B, BA$2, 'Bucket Counts'!$A:$A, "="&amp;$A41,  'Bucket Counts'!$F:$F, "&lt;&gt;100 Morts",  'Bucket Counts'!$F:$F, "&lt;&gt;224"))</f>
        <v>0</v>
      </c>
      <c r="BB41" s="116">
        <f>(SUMIFS('Bucket Counts'!$P:$P, 'Bucket Counts'!$B:$B, BB$2, 'Bucket Counts'!$A:$A, "="&amp;$A41,  'Bucket Counts'!$F:$F, "100 Morts"))</f>
        <v>0</v>
      </c>
      <c r="BC41" s="116">
        <f>(SUMIFS('Bucket Counts'!$P:$P, 'Bucket Counts'!$B:$B, BC$2, 'Bucket Counts'!$A:$A, "="&amp;$A41,  'Bucket Counts'!$F:$F, "224"))</f>
        <v>0</v>
      </c>
      <c r="BD41" s="116"/>
      <c r="BE41" s="426">
        <f>(BC41+BA41)/BF40</f>
        <v>0</v>
      </c>
      <c r="BF41" s="370">
        <f>BA39+SUM(AZ39:AZ41)</f>
        <v>23000</v>
      </c>
      <c r="BG41" s="369">
        <f>SUMIFS(Collection!$O:$O, Collection!$K:$K, BG$2, Collection!$A:$A, "="&amp;$A41)</f>
        <v>0</v>
      </c>
      <c r="BH41" s="116">
        <f>(SUMIFS('Bucket Counts'!$P:$P, 'Bucket Counts'!$B:$B, BH$2, 'Bucket Counts'!$A:$A, "="&amp;$A41,  'Bucket Counts'!$F:$F, "&lt;&gt;100 Morts",  'Bucket Counts'!$F:$F, "&lt;&gt;224"))</f>
        <v>0</v>
      </c>
      <c r="BI41" s="116">
        <f>(SUMIFS('Bucket Counts'!$P:$P, 'Bucket Counts'!$B:$B, BI$2, 'Bucket Counts'!$A:$A, "="&amp;$A41,  'Bucket Counts'!$F:$F, "100 Morts"))</f>
        <v>0</v>
      </c>
      <c r="BJ41" s="116">
        <f>(SUMIFS('Bucket Counts'!$P:$P, 'Bucket Counts'!$B:$B, BJ$2, 'Bucket Counts'!$A:$A, "="&amp;$A41,  'Bucket Counts'!$F:$F, "224"))</f>
        <v>0</v>
      </c>
      <c r="BK41" s="116"/>
      <c r="BL41" s="426">
        <f>(BJ41+BH41)/BM40</f>
        <v>0</v>
      </c>
      <c r="BM41" s="370">
        <f>BH39+SUM(BG39:BG41)</f>
        <v>41121.111111111117</v>
      </c>
      <c r="BN41" s="369">
        <f>SUMIFS(Collection!$O:$O, Collection!$K:$K, BN$2, Collection!$A:$A, "="&amp;$A41)</f>
        <v>10000</v>
      </c>
      <c r="BO41" s="116">
        <f>(SUMIFS('Bucket Counts'!$P:$P, 'Bucket Counts'!$B:$B, BO$2, 'Bucket Counts'!$A:$A, "="&amp;$A41,  'Bucket Counts'!$F:$F, "&lt;&gt;100 Morts",  'Bucket Counts'!$F:$F, "&lt;&gt;224"))</f>
        <v>0</v>
      </c>
      <c r="BP41" s="116">
        <f>(SUMIFS('Bucket Counts'!$P:$P, 'Bucket Counts'!$B:$B, BP$2, 'Bucket Counts'!$A:$A, "="&amp;$A41,  'Bucket Counts'!$F:$F, "100 Morts"))</f>
        <v>0</v>
      </c>
      <c r="BQ41" s="116">
        <f>(SUMIFS('Bucket Counts'!$P:$P, 'Bucket Counts'!$B:$B, BQ$2, 'Bucket Counts'!$A:$A, "="&amp;$A41,  'Bucket Counts'!$F:$F, "224"))</f>
        <v>0</v>
      </c>
      <c r="BR41" s="116"/>
      <c r="BS41" s="426">
        <f>(BQ41+BO41)/BT40</f>
        <v>0</v>
      </c>
      <c r="BT41" s="370">
        <f>BO39+SUM(BN39:BN41)</f>
        <v>85600</v>
      </c>
      <c r="BU41" s="369">
        <f>SUMIFS(Collection!$O:$O, Collection!$K:$K, BU$2, Collection!$A:$A, "="&amp;$A41)</f>
        <v>0</v>
      </c>
      <c r="BV41" s="116">
        <f>(SUMIFS('Bucket Counts'!$P:$P, 'Bucket Counts'!$B:$B, BV$2, 'Bucket Counts'!$A:$A, "="&amp;$A41,  'Bucket Counts'!$F:$F, "&lt;&gt;100 Morts",  'Bucket Counts'!$F:$F, "&lt;&gt;224"))</f>
        <v>0</v>
      </c>
      <c r="BW41" s="116">
        <f>(SUMIFS('Bucket Counts'!$P:$P, 'Bucket Counts'!$B:$B, BW$2, 'Bucket Counts'!$A:$A, "="&amp;$A41,  'Bucket Counts'!$F:$F, "100 Morts"))</f>
        <v>0</v>
      </c>
      <c r="BX41" s="116">
        <f>(SUMIFS('Bucket Counts'!$P:$P, 'Bucket Counts'!$B:$B, BX$2, 'Bucket Counts'!$A:$A, "="&amp;$A41,  'Bucket Counts'!$F:$F, "224"))</f>
        <v>0</v>
      </c>
      <c r="BY41" s="116"/>
      <c r="BZ41" s="426">
        <f>(BX41+BV41)/CA40</f>
        <v>0</v>
      </c>
      <c r="CA41" s="370">
        <f>BV39+SUM(BU39:BU41)</f>
        <v>28033.333333333332</v>
      </c>
      <c r="CB41" s="369">
        <f>SUMIFS(Collection!$O:$O, Collection!$K:$K, CB$2, Collection!$A:$A, "="&amp;$A41)</f>
        <v>0</v>
      </c>
      <c r="CC41" s="116">
        <f>(SUMIFS('Bucket Counts'!$P:$P, 'Bucket Counts'!$B:$B, CC$2, 'Bucket Counts'!$A:$A, "="&amp;$A41,  'Bucket Counts'!$F:$F, "&lt;&gt;100 Morts",  'Bucket Counts'!$F:$F, "&lt;&gt;224"))</f>
        <v>0</v>
      </c>
      <c r="CD41" s="116">
        <f>(SUMIFS('Bucket Counts'!$P:$P, 'Bucket Counts'!$B:$B, CD$2, 'Bucket Counts'!$A:$A, "="&amp;$A41,  'Bucket Counts'!$F:$F, "100 Morts"))</f>
        <v>0</v>
      </c>
      <c r="CE41" s="116">
        <f>(SUMIFS('Bucket Counts'!$P:$P, 'Bucket Counts'!$B:$B, CE$2, 'Bucket Counts'!$A:$A, "="&amp;$A41,  'Bucket Counts'!$F:$F, "224"))</f>
        <v>0</v>
      </c>
      <c r="CF41" s="116"/>
      <c r="CG41" s="426">
        <f>(CE41+CC41)/CH40</f>
        <v>0</v>
      </c>
      <c r="CH41" s="370">
        <f>CC39+SUM(CB39:CB41)</f>
        <v>89428.888888888905</v>
      </c>
      <c r="CI41" s="369">
        <f>SUMIFS(Collection!$O:$O, Collection!$K:$K, CI$2, Collection!$A:$A, "="&amp;$A41)</f>
        <v>0</v>
      </c>
      <c r="CJ41" s="116">
        <f>(SUMIFS('Bucket Counts'!$P:$P, 'Bucket Counts'!$B:$B, CJ$2, 'Bucket Counts'!$A:$A, "="&amp;$A41,  'Bucket Counts'!$F:$F, "&lt;&gt;100 Morts",  'Bucket Counts'!$F:$F, "&lt;&gt;224"))</f>
        <v>0</v>
      </c>
      <c r="CK41" s="116">
        <f>(SUMIFS('Bucket Counts'!$P:$P, 'Bucket Counts'!$B:$B, CK$2, 'Bucket Counts'!$A:$A, "="&amp;$A41,  'Bucket Counts'!$F:$F, "100 Morts"))</f>
        <v>0</v>
      </c>
      <c r="CL41" s="116">
        <f>(SUMIFS('Bucket Counts'!$P:$P, 'Bucket Counts'!$B:$B, CL$2, 'Bucket Counts'!$A:$A, "="&amp;$A41,  'Bucket Counts'!$F:$F, "224"))</f>
        <v>0</v>
      </c>
      <c r="CM41" s="116"/>
      <c r="CN41" s="426">
        <f>(CL41+CJ41)/CO40</f>
        <v>0</v>
      </c>
      <c r="CO41" s="370">
        <f>CJ39+SUM(CI39:CI41)</f>
        <v>27300</v>
      </c>
      <c r="CP41" s="369">
        <f>SUMIFS(Collection!$O:$O, Collection!$K:$K, CP$2, Collection!$A:$A, "="&amp;$A41)</f>
        <v>0</v>
      </c>
      <c r="CQ41" s="116">
        <f>(SUMIFS('Bucket Counts'!$P:$P, 'Bucket Counts'!$B:$B, CQ$2, 'Bucket Counts'!$A:$A, "="&amp;$A41,  'Bucket Counts'!$F:$F, "&lt;&gt;100 Morts",  'Bucket Counts'!$F:$F, "&lt;&gt;224"))</f>
        <v>0</v>
      </c>
      <c r="CR41" s="116">
        <f>(SUMIFS('Bucket Counts'!$P:$P, 'Bucket Counts'!$B:$B, CR$2, 'Bucket Counts'!$A:$A, "="&amp;$A41,  'Bucket Counts'!$F:$F, "100 Morts"))</f>
        <v>0</v>
      </c>
      <c r="CS41" s="116">
        <f>(SUMIFS('Bucket Counts'!$P:$P, 'Bucket Counts'!$B:$B, CS$2, 'Bucket Counts'!$A:$A, "="&amp;$A41,  'Bucket Counts'!$F:$F, "224"))</f>
        <v>0</v>
      </c>
      <c r="CT41" s="116"/>
      <c r="CU41" s="426">
        <f>(CS41+CQ41)/CV40</f>
        <v>0</v>
      </c>
      <c r="CV41" s="370">
        <f>CQ39+SUM(CP39:CP41)</f>
        <v>7876.666666666667</v>
      </c>
      <c r="CW41" s="369">
        <f>SUMIFS(Collection!$O:$O, Collection!$K:$K, CW$2, Collection!$A:$A, "="&amp;$A41)</f>
        <v>0</v>
      </c>
      <c r="CX41" s="116">
        <f>(SUMIFS('Bucket Counts'!$P:$P, 'Bucket Counts'!$B:$B, CX$2, 'Bucket Counts'!$A:$A, "="&amp;$A41,  'Bucket Counts'!$F:$F, "&lt;&gt;100 Morts",  'Bucket Counts'!$F:$F, "&lt;&gt;224"))</f>
        <v>0</v>
      </c>
      <c r="CY41" s="116">
        <f>(SUMIFS('Bucket Counts'!$P:$P, 'Bucket Counts'!$B:$B, CY$2, 'Bucket Counts'!$A:$A, "="&amp;$A41,  'Bucket Counts'!$F:$F, "100 Morts"))</f>
        <v>0</v>
      </c>
      <c r="CZ41" s="116">
        <f>(SUMIFS('Bucket Counts'!$P:$P, 'Bucket Counts'!$B:$B, CZ$2, 'Bucket Counts'!$A:$A, "="&amp;$A41,  'Bucket Counts'!$F:$F, "224"))</f>
        <v>0</v>
      </c>
      <c r="DA41" s="116"/>
      <c r="DB41" s="426">
        <f>(CZ41+CX41)/DC40</f>
        <v>0</v>
      </c>
      <c r="DC41" s="370">
        <f>CX39+SUM(CW39:CW41)</f>
        <v>73380</v>
      </c>
      <c r="DD41" s="369">
        <f>SUMIFS(Collection!$O:$O, Collection!$K:$K, DD$2, Collection!$A:$A, "="&amp;$A41)</f>
        <v>0</v>
      </c>
      <c r="DE41" s="116">
        <f>(SUMIFS('Bucket Counts'!$P:$P, 'Bucket Counts'!$B:$B, DE$2, 'Bucket Counts'!$A:$A, "="&amp;$A41,  'Bucket Counts'!$F:$F, "&lt;&gt;100 Morts",  'Bucket Counts'!$F:$F, "&lt;&gt;224"))</f>
        <v>0</v>
      </c>
      <c r="DF41" s="116">
        <f>(SUMIFS('Bucket Counts'!$P:$P, 'Bucket Counts'!$B:$B, DF$2, 'Bucket Counts'!$A:$A, "="&amp;$A41,  'Bucket Counts'!$F:$F, "100 Morts"))</f>
        <v>0</v>
      </c>
      <c r="DG41" s="116">
        <f>(SUMIFS('Bucket Counts'!$P:$P, 'Bucket Counts'!$B:$B, DG$2, 'Bucket Counts'!$A:$A, "="&amp;$A41,  'Bucket Counts'!$F:$F, "224"))</f>
        <v>0</v>
      </c>
      <c r="DH41" s="116"/>
      <c r="DI41" s="426">
        <f>(DG41+DE41)/DJ40</f>
        <v>0</v>
      </c>
      <c r="DJ41" s="370">
        <f>DE39+SUM(DD39:DD41)</f>
        <v>27566.666666666668</v>
      </c>
      <c r="DK41" s="369">
        <f>SUMIFS(Collection!$O:$O, Collection!$K:$K, DK$2, Collection!$A:$A, "="&amp;$A41)</f>
        <v>0</v>
      </c>
      <c r="DL41" s="116">
        <f>(SUMIFS('Bucket Counts'!$P:$P, 'Bucket Counts'!$B:$B, DL$2, 'Bucket Counts'!$A:$A, "="&amp;$A41,  'Bucket Counts'!$F:$F, "&lt;&gt;100 Morts",  'Bucket Counts'!$F:$F, "&lt;&gt;224"))</f>
        <v>0</v>
      </c>
      <c r="DM41" s="116">
        <f>(SUMIFS('Bucket Counts'!$P:$P, 'Bucket Counts'!$B:$B, DM$2, 'Bucket Counts'!$A:$A, "="&amp;$A41,  'Bucket Counts'!$F:$F, "100 Morts"))</f>
        <v>0</v>
      </c>
      <c r="DN41" s="116">
        <f>(SUMIFS('Bucket Counts'!$P:$P, 'Bucket Counts'!$B:$B, DN$2, 'Bucket Counts'!$A:$A, "="&amp;$A41,  'Bucket Counts'!$F:$F, "224"))</f>
        <v>0</v>
      </c>
      <c r="DO41" s="116"/>
      <c r="DP41" s="426" t="e">
        <f>(DN41+DL41)/DQ40</f>
        <v>#DIV/0!</v>
      </c>
      <c r="DQ41" s="370">
        <f>DL39+SUM(DK39:DK41)</f>
        <v>0</v>
      </c>
      <c r="DR41" s="369">
        <f>SUMIFS(Collection!$O:$O, Collection!$K:$K, DR$2, Collection!$A:$A, "="&amp;$A41)</f>
        <v>0</v>
      </c>
      <c r="DS41" s="116">
        <f>(SUMIFS('Bucket Counts'!$P:$P, 'Bucket Counts'!$B:$B, DS$2, 'Bucket Counts'!$A:$A, "="&amp;$A41,  'Bucket Counts'!$F:$F, "&lt;&gt;100 Morts",  'Bucket Counts'!$F:$F, "&lt;&gt;224"))</f>
        <v>0</v>
      </c>
      <c r="DT41" s="116">
        <f>(SUMIFS('Bucket Counts'!$P:$P, 'Bucket Counts'!$B:$B, DT$2, 'Bucket Counts'!$A:$A, "="&amp;$A41,  'Bucket Counts'!$F:$F, "100 Morts"))</f>
        <v>0</v>
      </c>
      <c r="DU41" s="116">
        <f>(SUMIFS('Bucket Counts'!$P:$P, 'Bucket Counts'!$B:$B, DU$2, 'Bucket Counts'!$A:$A, "="&amp;$A41,  'Bucket Counts'!$F:$F, "224"))</f>
        <v>0</v>
      </c>
      <c r="DV41" s="116"/>
      <c r="DW41" s="426" t="e">
        <f>(DU41+DS41)/DX40</f>
        <v>#DIV/0!</v>
      </c>
      <c r="DX41" s="370">
        <f>DS39+SUM(DR39:DR41)</f>
        <v>0</v>
      </c>
      <c r="DY41" s="369">
        <f>SUMIFS(Collection!$O:$O, Collection!$K:$K, DY$2, Collection!$A:$A, "="&amp;$A41)</f>
        <v>0</v>
      </c>
      <c r="DZ41" s="116">
        <f>(SUMIFS('Bucket Counts'!$P:$P, 'Bucket Counts'!$B:$B, DZ$2, 'Bucket Counts'!$A:$A, "="&amp;$A41,  'Bucket Counts'!$F:$F, "&lt;&gt;100 Morts",  'Bucket Counts'!$F:$F, "&lt;&gt;224"))</f>
        <v>0</v>
      </c>
      <c r="EA41" s="116">
        <f>(SUMIFS('Bucket Counts'!$P:$P, 'Bucket Counts'!$B:$B, EA$2, 'Bucket Counts'!$A:$A, "="&amp;$A41,  'Bucket Counts'!$F:$F, "100 Morts"))</f>
        <v>0</v>
      </c>
      <c r="EB41" s="116">
        <f>(SUMIFS('Bucket Counts'!$P:$P, 'Bucket Counts'!$B:$B, EB$2, 'Bucket Counts'!$A:$A, "="&amp;$A41,  'Bucket Counts'!$F:$F, "224"))</f>
        <v>0</v>
      </c>
      <c r="EC41" s="116"/>
      <c r="ED41" s="426" t="e">
        <f>(EB41+DZ41)/EE40</f>
        <v>#DIV/0!</v>
      </c>
      <c r="EE41" s="370">
        <f>DZ39+SUM(DY39:DY41)</f>
        <v>0</v>
      </c>
      <c r="EF41" s="369">
        <f>SUMIFS(Collection!$O:$O, Collection!$K:$K, EF$2, Collection!$A:$A, "="&amp;$A41)</f>
        <v>0</v>
      </c>
      <c r="EG41" s="116">
        <f>(SUMIFS('Bucket Counts'!$P:$P, 'Bucket Counts'!$B:$B, EG$2, 'Bucket Counts'!$A:$A, "="&amp;$A41,  'Bucket Counts'!$F:$F, "&lt;&gt;100 Morts",  'Bucket Counts'!$F:$F, "&lt;&gt;224"))</f>
        <v>0</v>
      </c>
      <c r="EH41" s="116">
        <f>(SUMIFS('Bucket Counts'!$P:$P, 'Bucket Counts'!$B:$B, EH$2, 'Bucket Counts'!$A:$A, "="&amp;$A41,  'Bucket Counts'!$F:$F, "100 Morts"))</f>
        <v>0</v>
      </c>
      <c r="EI41" s="116">
        <f>(SUMIFS('Bucket Counts'!$P:$P, 'Bucket Counts'!$B:$B, EI$2, 'Bucket Counts'!$A:$A, "="&amp;$A41,  'Bucket Counts'!$F:$F, "224"))</f>
        <v>0</v>
      </c>
      <c r="EJ41" s="116"/>
      <c r="EK41" s="426" t="e">
        <f>(EI41+EG41)/EL40</f>
        <v>#DIV/0!</v>
      </c>
      <c r="EL41" s="370">
        <f>EG39+SUM(EF39:EF41)</f>
        <v>0</v>
      </c>
    </row>
    <row r="42" spans="1:142" x14ac:dyDescent="0.2">
      <c r="A42" s="16">
        <f t="shared" si="0"/>
        <v>42911</v>
      </c>
      <c r="B42" s="16" t="s">
        <v>487</v>
      </c>
      <c r="C42" s="369">
        <f>SUMIFS(Collection!$O:$O, Collection!$K:$K, C$2, Collection!$A:$A, "="&amp;$A42)</f>
        <v>0</v>
      </c>
      <c r="D42" s="116">
        <f>(SUMIFS('Bucket Counts'!$P:$P, 'Bucket Counts'!$B:$B, D$2, 'Bucket Counts'!$A:$A, "="&amp;$A42,  'Bucket Counts'!$F:$F, "&lt;&gt;100 Morts",  'Bucket Counts'!$F:$F, "&lt;&gt;224"))</f>
        <v>0</v>
      </c>
      <c r="E42" s="116">
        <f>(SUMIFS('Bucket Counts'!$P:$P, 'Bucket Counts'!$B:$B, E$2, 'Bucket Counts'!$A:$A, "="&amp;$A42,  'Bucket Counts'!$F:$F, "100 Morts"))</f>
        <v>0</v>
      </c>
      <c r="F42" s="116">
        <f>(SUMIFS('Bucket Counts'!$P:$P, 'Bucket Counts'!$B:$B, F$2, 'Bucket Counts'!$A:$A, "="&amp;$A42,  'Bucket Counts'!$F:$F, "224"))</f>
        <v>0</v>
      </c>
      <c r="G42" s="116"/>
      <c r="H42" s="426">
        <f>(F42+D42)/I41</f>
        <v>0</v>
      </c>
      <c r="I42" s="370">
        <f>D39+SUM(C39:C42)</f>
        <v>23100</v>
      </c>
      <c r="J42" s="369">
        <f>SUMIFS(Collection!$O:$O, Collection!$K:$K, J$2, Collection!$A:$A, "="&amp;$A42)</f>
        <v>0</v>
      </c>
      <c r="K42" s="116">
        <f>(SUMIFS('Bucket Counts'!$P:$P, 'Bucket Counts'!$B:$B, K$2, 'Bucket Counts'!$A:$A, "="&amp;$A42,  'Bucket Counts'!$F:$F, "&lt;&gt;100 Morts",  'Bucket Counts'!$F:$F, "&lt;&gt;224"))</f>
        <v>0</v>
      </c>
      <c r="L42" s="116">
        <f>(SUMIFS('Bucket Counts'!$P:$P, 'Bucket Counts'!$B:$B, L$2, 'Bucket Counts'!$A:$A, "="&amp;$A42,  'Bucket Counts'!$F:$F, "100 Morts"))</f>
        <v>0</v>
      </c>
      <c r="M42" s="116">
        <f>(SUMIFS('Bucket Counts'!$P:$P, 'Bucket Counts'!$B:$B, M$2, 'Bucket Counts'!$A:$A, "="&amp;$A42,  'Bucket Counts'!$F:$F, "224"))</f>
        <v>0</v>
      </c>
      <c r="N42" s="116"/>
      <c r="O42" s="426">
        <f>(M42+K42)/P41</f>
        <v>0</v>
      </c>
      <c r="P42" s="370">
        <f>K39+SUM(J39:J42)</f>
        <v>166.66666666666666</v>
      </c>
      <c r="Q42" s="369">
        <f>SUMIFS(Collection!$O:$O, Collection!$K:$K, Q$2, Collection!$A:$A, "="&amp;$A42)</f>
        <v>0</v>
      </c>
      <c r="R42" s="116">
        <f>(SUMIFS('Bucket Counts'!$P:$P, 'Bucket Counts'!$B:$B, R$2, 'Bucket Counts'!$A:$A, "="&amp;$A42,  'Bucket Counts'!$F:$F, "&lt;&gt;100 Morts",  'Bucket Counts'!$F:$F, "&lt;&gt;224"))</f>
        <v>0</v>
      </c>
      <c r="S42" s="116">
        <f>(SUMIFS('Bucket Counts'!$P:$P, 'Bucket Counts'!$B:$B, S$2, 'Bucket Counts'!$A:$A, "="&amp;$A42,  'Bucket Counts'!$F:$F, "100 Morts"))</f>
        <v>0</v>
      </c>
      <c r="T42" s="116">
        <f>(SUMIFS('Bucket Counts'!$P:$P, 'Bucket Counts'!$B:$B, T$2, 'Bucket Counts'!$A:$A, "="&amp;$A42,  'Bucket Counts'!$F:$F, "224"))</f>
        <v>0</v>
      </c>
      <c r="U42" s="116"/>
      <c r="V42" s="426">
        <f>(T42+R42)/W41</f>
        <v>0</v>
      </c>
      <c r="W42" s="370">
        <f>R39+SUM(Q39:Q42)</f>
        <v>6333.333333333333</v>
      </c>
      <c r="X42" s="369">
        <f>SUMIFS(Collection!$O:$O, Collection!$K:$K, X$2, Collection!$A:$A, "="&amp;$A42)</f>
        <v>0</v>
      </c>
      <c r="Y42" s="116">
        <f>(SUMIFS('Bucket Counts'!$P:$P, 'Bucket Counts'!$B:$B, Y$2, 'Bucket Counts'!$A:$A, "="&amp;$A42,  'Bucket Counts'!$F:$F, "&lt;&gt;100 Morts",  'Bucket Counts'!$F:$F, "&lt;&gt;224"))</f>
        <v>0</v>
      </c>
      <c r="Z42" s="116">
        <f>(SUMIFS('Bucket Counts'!$P:$P, 'Bucket Counts'!$B:$B, Z$2, 'Bucket Counts'!$A:$A, "="&amp;$A42,  'Bucket Counts'!$F:$F, "100 Morts"))</f>
        <v>0</v>
      </c>
      <c r="AA42" s="116">
        <f>(SUMIFS('Bucket Counts'!$P:$P, 'Bucket Counts'!$B:$B, AA$2, 'Bucket Counts'!$A:$A, "="&amp;$A42,  'Bucket Counts'!$F:$F, "224"))</f>
        <v>0</v>
      </c>
      <c r="AB42" s="116"/>
      <c r="AC42" s="426">
        <f>(AA42+Y42)/AD41</f>
        <v>0</v>
      </c>
      <c r="AD42" s="370">
        <f>Y39+SUM(X39:X42)</f>
        <v>65172.222222222219</v>
      </c>
      <c r="AE42" s="369">
        <f>SUMIFS(Collection!$O:$O, Collection!$K:$K, AE$2, Collection!$A:$A, "="&amp;$A42)</f>
        <v>0</v>
      </c>
      <c r="AF42" s="116">
        <f>(SUMIFS('Bucket Counts'!$P:$P, 'Bucket Counts'!$B:$B, AF$2, 'Bucket Counts'!$A:$A, "="&amp;$A42,  'Bucket Counts'!$F:$F, "&lt;&gt;100 Morts",  'Bucket Counts'!$F:$F, "&lt;&gt;224"))</f>
        <v>0</v>
      </c>
      <c r="AG42" s="116">
        <f>(SUMIFS('Bucket Counts'!$P:$P, 'Bucket Counts'!$B:$B, AG$2, 'Bucket Counts'!$A:$A, "="&amp;$A42,  'Bucket Counts'!$F:$F, "100 Morts"))</f>
        <v>0</v>
      </c>
      <c r="AH42" s="116">
        <f>(SUMIFS('Bucket Counts'!$P:$P, 'Bucket Counts'!$B:$B, AH$2, 'Bucket Counts'!$A:$A, "="&amp;$A42,  'Bucket Counts'!$F:$F, "224"))</f>
        <v>0</v>
      </c>
      <c r="AI42" s="116"/>
      <c r="AJ42" s="426">
        <f>(AH42+AF42)/AK41</f>
        <v>0</v>
      </c>
      <c r="AK42" s="370">
        <f>AF39+SUM(AE39:AE42)</f>
        <v>25591.666666666664</v>
      </c>
      <c r="AL42" s="369">
        <f>SUMIFS(Collection!$O:$O, Collection!$K:$K, AL$2, Collection!$A:$A, "="&amp;$A42)</f>
        <v>0</v>
      </c>
      <c r="AM42" s="116">
        <f>(SUMIFS('Bucket Counts'!$P:$P, 'Bucket Counts'!$B:$B, AM$2, 'Bucket Counts'!$A:$A, "="&amp;$A42,  'Bucket Counts'!$F:$F, "&lt;&gt;100 Morts",  'Bucket Counts'!$F:$F, "&lt;&gt;224"))</f>
        <v>0</v>
      </c>
      <c r="AN42" s="116">
        <f>(SUMIFS('Bucket Counts'!$P:$P, 'Bucket Counts'!$B:$B, AN$2, 'Bucket Counts'!$A:$A, "="&amp;$A42,  'Bucket Counts'!$F:$F, "100 Morts"))</f>
        <v>0</v>
      </c>
      <c r="AO42" s="116">
        <f>(SUMIFS('Bucket Counts'!$P:$P, 'Bucket Counts'!$B:$B, AO$2, 'Bucket Counts'!$A:$A, "="&amp;$A42,  'Bucket Counts'!$F:$F, "224"))</f>
        <v>0</v>
      </c>
      <c r="AP42" s="116"/>
      <c r="AQ42" s="426">
        <f>(AO42+AM42)/AR41</f>
        <v>0</v>
      </c>
      <c r="AR42" s="370">
        <f>AM39+SUM(AL39:AL42)</f>
        <v>131366.66666666666</v>
      </c>
      <c r="AS42" s="369">
        <f>SUMIFS(Collection!$O:$O, Collection!$K:$K, AS$2, Collection!$A:$A, "="&amp;$A42)</f>
        <v>0</v>
      </c>
      <c r="AT42" s="116">
        <f>(SUMIFS('Bucket Counts'!$P:$P, 'Bucket Counts'!$B:$B, AT$2, 'Bucket Counts'!$A:$A, "="&amp;$A42,  'Bucket Counts'!$F:$F, "&lt;&gt;100 Morts",  'Bucket Counts'!$F:$F, "&lt;&gt;224"))</f>
        <v>0</v>
      </c>
      <c r="AU42" s="116">
        <f>(SUMIFS('Bucket Counts'!$P:$P, 'Bucket Counts'!$B:$B, AU$2, 'Bucket Counts'!$A:$A, "="&amp;$A42,  'Bucket Counts'!$F:$F, "100 Morts"))</f>
        <v>0</v>
      </c>
      <c r="AV42" s="116">
        <f>(SUMIFS('Bucket Counts'!$P:$P, 'Bucket Counts'!$B:$B, AV$2, 'Bucket Counts'!$A:$A, "="&amp;$A42,  'Bucket Counts'!$F:$F, "224"))</f>
        <v>0</v>
      </c>
      <c r="AW42" s="116"/>
      <c r="AX42" s="426">
        <f>(AV42+AT42)/AY41</f>
        <v>0</v>
      </c>
      <c r="AY42" s="370">
        <f>AT39+SUM(AS39:AS42)</f>
        <v>74241.666666666657</v>
      </c>
      <c r="AZ42" s="369">
        <f>SUMIFS(Collection!$O:$O, Collection!$K:$K, AZ$2, Collection!$A:$A, "="&amp;$A42)</f>
        <v>0</v>
      </c>
      <c r="BA42" s="116">
        <f>(SUMIFS('Bucket Counts'!$P:$P, 'Bucket Counts'!$B:$B, BA$2, 'Bucket Counts'!$A:$A, "="&amp;$A42,  'Bucket Counts'!$F:$F, "&lt;&gt;100 Morts",  'Bucket Counts'!$F:$F, "&lt;&gt;224"))</f>
        <v>0</v>
      </c>
      <c r="BB42" s="116">
        <f>(SUMIFS('Bucket Counts'!$P:$P, 'Bucket Counts'!$B:$B, BB$2, 'Bucket Counts'!$A:$A, "="&amp;$A42,  'Bucket Counts'!$F:$F, "100 Morts"))</f>
        <v>0</v>
      </c>
      <c r="BC42" s="116">
        <f>(SUMIFS('Bucket Counts'!$P:$P, 'Bucket Counts'!$B:$B, BC$2, 'Bucket Counts'!$A:$A, "="&amp;$A42,  'Bucket Counts'!$F:$F, "224"))</f>
        <v>0</v>
      </c>
      <c r="BD42" s="116"/>
      <c r="BE42" s="426">
        <f>(BC42+BA42)/BF41</f>
        <v>0</v>
      </c>
      <c r="BF42" s="370">
        <f>BA39+SUM(AZ39:AZ42)</f>
        <v>23000</v>
      </c>
      <c r="BG42" s="369">
        <f>SUMIFS(Collection!$O:$O, Collection!$K:$K, BG$2, Collection!$A:$A, "="&amp;$A42)</f>
        <v>0</v>
      </c>
      <c r="BH42" s="116">
        <f>(SUMIFS('Bucket Counts'!$P:$P, 'Bucket Counts'!$B:$B, BH$2, 'Bucket Counts'!$A:$A, "="&amp;$A42,  'Bucket Counts'!$F:$F, "&lt;&gt;100 Morts",  'Bucket Counts'!$F:$F, "&lt;&gt;224"))</f>
        <v>0</v>
      </c>
      <c r="BI42" s="116">
        <f>(SUMIFS('Bucket Counts'!$P:$P, 'Bucket Counts'!$B:$B, BI$2, 'Bucket Counts'!$A:$A, "="&amp;$A42,  'Bucket Counts'!$F:$F, "100 Morts"))</f>
        <v>0</v>
      </c>
      <c r="BJ42" s="116">
        <f>(SUMIFS('Bucket Counts'!$P:$P, 'Bucket Counts'!$B:$B, BJ$2, 'Bucket Counts'!$A:$A, "="&amp;$A42,  'Bucket Counts'!$F:$F, "224"))</f>
        <v>0</v>
      </c>
      <c r="BK42" s="116"/>
      <c r="BL42" s="426">
        <f>(BJ42+BH42)/BM41</f>
        <v>0</v>
      </c>
      <c r="BM42" s="370">
        <f>BH39+SUM(BG39:BG42)</f>
        <v>41121.111111111117</v>
      </c>
      <c r="BN42" s="369">
        <f>SUMIFS(Collection!$O:$O, Collection!$K:$K, BN$2, Collection!$A:$A, "="&amp;$A42)</f>
        <v>0</v>
      </c>
      <c r="BO42" s="116">
        <f>(SUMIFS('Bucket Counts'!$P:$P, 'Bucket Counts'!$B:$B, BO$2, 'Bucket Counts'!$A:$A, "="&amp;$A42,  'Bucket Counts'!$F:$F, "&lt;&gt;100 Morts",  'Bucket Counts'!$F:$F, "&lt;&gt;224"))</f>
        <v>0</v>
      </c>
      <c r="BP42" s="116">
        <f>(SUMIFS('Bucket Counts'!$P:$P, 'Bucket Counts'!$B:$B, BP$2, 'Bucket Counts'!$A:$A, "="&amp;$A42,  'Bucket Counts'!$F:$F, "100 Morts"))</f>
        <v>0</v>
      </c>
      <c r="BQ42" s="116">
        <f>(SUMIFS('Bucket Counts'!$P:$P, 'Bucket Counts'!$B:$B, BQ$2, 'Bucket Counts'!$A:$A, "="&amp;$A42,  'Bucket Counts'!$F:$F, "224"))</f>
        <v>0</v>
      </c>
      <c r="BR42" s="116"/>
      <c r="BS42" s="426">
        <f>(BQ42+BO42)/BT41</f>
        <v>0</v>
      </c>
      <c r="BT42" s="370">
        <f>BO39+SUM(BN39:BN42)</f>
        <v>85600</v>
      </c>
      <c r="BU42" s="369">
        <f>SUMIFS(Collection!$O:$O, Collection!$K:$K, BU$2, Collection!$A:$A, "="&amp;$A42)</f>
        <v>0</v>
      </c>
      <c r="BV42" s="116">
        <f>(SUMIFS('Bucket Counts'!$P:$P, 'Bucket Counts'!$B:$B, BV$2, 'Bucket Counts'!$A:$A, "="&amp;$A42,  'Bucket Counts'!$F:$F, "&lt;&gt;100 Morts",  'Bucket Counts'!$F:$F, "&lt;&gt;224"))</f>
        <v>0</v>
      </c>
      <c r="BW42" s="116">
        <f>(SUMIFS('Bucket Counts'!$P:$P, 'Bucket Counts'!$B:$B, BW$2, 'Bucket Counts'!$A:$A, "="&amp;$A42,  'Bucket Counts'!$F:$F, "100 Morts"))</f>
        <v>0</v>
      </c>
      <c r="BX42" s="116">
        <f>(SUMIFS('Bucket Counts'!$P:$P, 'Bucket Counts'!$B:$B, BX$2, 'Bucket Counts'!$A:$A, "="&amp;$A42,  'Bucket Counts'!$F:$F, "224"))</f>
        <v>0</v>
      </c>
      <c r="BY42" s="116"/>
      <c r="BZ42" s="426">
        <f>(BX42+BV42)/CA41</f>
        <v>0</v>
      </c>
      <c r="CA42" s="370">
        <f>BV39+SUM(BU39:BU42)</f>
        <v>28033.333333333332</v>
      </c>
      <c r="CB42" s="369">
        <f>SUMIFS(Collection!$O:$O, Collection!$K:$K, CB$2, Collection!$A:$A, "="&amp;$A42)</f>
        <v>0</v>
      </c>
      <c r="CC42" s="116">
        <f>(SUMIFS('Bucket Counts'!$P:$P, 'Bucket Counts'!$B:$B, CC$2, 'Bucket Counts'!$A:$A, "="&amp;$A42,  'Bucket Counts'!$F:$F, "&lt;&gt;100 Morts",  'Bucket Counts'!$F:$F, "&lt;&gt;224"))</f>
        <v>0</v>
      </c>
      <c r="CD42" s="116">
        <f>(SUMIFS('Bucket Counts'!$P:$P, 'Bucket Counts'!$B:$B, CD$2, 'Bucket Counts'!$A:$A, "="&amp;$A42,  'Bucket Counts'!$F:$F, "100 Morts"))</f>
        <v>0</v>
      </c>
      <c r="CE42" s="116">
        <f>(SUMIFS('Bucket Counts'!$P:$P, 'Bucket Counts'!$B:$B, CE$2, 'Bucket Counts'!$A:$A, "="&amp;$A42,  'Bucket Counts'!$F:$F, "224"))</f>
        <v>0</v>
      </c>
      <c r="CF42" s="116"/>
      <c r="CG42" s="426">
        <f>(CE42+CC42)/CH41</f>
        <v>0</v>
      </c>
      <c r="CH42" s="370">
        <f>CC39+SUM(CB39:CB42)</f>
        <v>89428.888888888905</v>
      </c>
      <c r="CI42" s="369">
        <f>SUMIFS(Collection!$O:$O, Collection!$K:$K, CI$2, Collection!$A:$A, "="&amp;$A42)</f>
        <v>0</v>
      </c>
      <c r="CJ42" s="116">
        <f>(SUMIFS('Bucket Counts'!$P:$P, 'Bucket Counts'!$B:$B, CJ$2, 'Bucket Counts'!$A:$A, "="&amp;$A42,  'Bucket Counts'!$F:$F, "&lt;&gt;100 Morts",  'Bucket Counts'!$F:$F, "&lt;&gt;224"))</f>
        <v>0</v>
      </c>
      <c r="CK42" s="116">
        <f>(SUMIFS('Bucket Counts'!$P:$P, 'Bucket Counts'!$B:$B, CK$2, 'Bucket Counts'!$A:$A, "="&amp;$A42,  'Bucket Counts'!$F:$F, "100 Morts"))</f>
        <v>0</v>
      </c>
      <c r="CL42" s="116">
        <f>(SUMIFS('Bucket Counts'!$P:$P, 'Bucket Counts'!$B:$B, CL$2, 'Bucket Counts'!$A:$A, "="&amp;$A42,  'Bucket Counts'!$F:$F, "224"))</f>
        <v>0</v>
      </c>
      <c r="CM42" s="116"/>
      <c r="CN42" s="426">
        <f>(CL42+CJ42)/CO41</f>
        <v>0</v>
      </c>
      <c r="CO42" s="370">
        <f>CJ39+SUM(CI39:CI42)</f>
        <v>27300</v>
      </c>
      <c r="CP42" s="369">
        <f>SUMIFS(Collection!$O:$O, Collection!$K:$K, CP$2, Collection!$A:$A, "="&amp;$A42)</f>
        <v>0</v>
      </c>
      <c r="CQ42" s="116">
        <f>(SUMIFS('Bucket Counts'!$P:$P, 'Bucket Counts'!$B:$B, CQ$2, 'Bucket Counts'!$A:$A, "="&amp;$A42,  'Bucket Counts'!$F:$F, "&lt;&gt;100 Morts",  'Bucket Counts'!$F:$F, "&lt;&gt;224"))</f>
        <v>0</v>
      </c>
      <c r="CR42" s="116">
        <f>(SUMIFS('Bucket Counts'!$P:$P, 'Bucket Counts'!$B:$B, CR$2, 'Bucket Counts'!$A:$A, "="&amp;$A42,  'Bucket Counts'!$F:$F, "100 Morts"))</f>
        <v>0</v>
      </c>
      <c r="CS42" s="116">
        <f>(SUMIFS('Bucket Counts'!$P:$P, 'Bucket Counts'!$B:$B, CS$2, 'Bucket Counts'!$A:$A, "="&amp;$A42,  'Bucket Counts'!$F:$F, "224"))</f>
        <v>0</v>
      </c>
      <c r="CT42" s="116"/>
      <c r="CU42" s="426">
        <f>(CS42+CQ42)/CV41</f>
        <v>0</v>
      </c>
      <c r="CV42" s="370">
        <f>CQ39+SUM(CP39:CP42)</f>
        <v>7876.666666666667</v>
      </c>
      <c r="CW42" s="369">
        <f>SUMIFS(Collection!$O:$O, Collection!$K:$K, CW$2, Collection!$A:$A, "="&amp;$A42)</f>
        <v>0</v>
      </c>
      <c r="CX42" s="116">
        <f>(SUMIFS('Bucket Counts'!$P:$P, 'Bucket Counts'!$B:$B, CX$2, 'Bucket Counts'!$A:$A, "="&amp;$A42,  'Bucket Counts'!$F:$F, "&lt;&gt;100 Morts",  'Bucket Counts'!$F:$F, "&lt;&gt;224"))</f>
        <v>0</v>
      </c>
      <c r="CY42" s="116">
        <f>(SUMIFS('Bucket Counts'!$P:$P, 'Bucket Counts'!$B:$B, CY$2, 'Bucket Counts'!$A:$A, "="&amp;$A42,  'Bucket Counts'!$F:$F, "100 Morts"))</f>
        <v>0</v>
      </c>
      <c r="CZ42" s="116">
        <f>(SUMIFS('Bucket Counts'!$P:$P, 'Bucket Counts'!$B:$B, CZ$2, 'Bucket Counts'!$A:$A, "="&amp;$A42,  'Bucket Counts'!$F:$F, "224"))</f>
        <v>0</v>
      </c>
      <c r="DA42" s="116"/>
      <c r="DB42" s="426">
        <f>(CZ42+CX42)/DC41</f>
        <v>0</v>
      </c>
      <c r="DC42" s="370">
        <f>CX39+SUM(CW39:CW42)</f>
        <v>73380</v>
      </c>
      <c r="DD42" s="369">
        <f>SUMIFS(Collection!$O:$O, Collection!$K:$K, DD$2, Collection!$A:$A, "="&amp;$A42)</f>
        <v>0</v>
      </c>
      <c r="DE42" s="116">
        <f>(SUMIFS('Bucket Counts'!$P:$P, 'Bucket Counts'!$B:$B, DE$2, 'Bucket Counts'!$A:$A, "="&amp;$A42,  'Bucket Counts'!$F:$F, "&lt;&gt;100 Morts",  'Bucket Counts'!$F:$F, "&lt;&gt;224"))</f>
        <v>0</v>
      </c>
      <c r="DF42" s="116">
        <f>(SUMIFS('Bucket Counts'!$P:$P, 'Bucket Counts'!$B:$B, DF$2, 'Bucket Counts'!$A:$A, "="&amp;$A42,  'Bucket Counts'!$F:$F, "100 Morts"))</f>
        <v>0</v>
      </c>
      <c r="DG42" s="116">
        <f>(SUMIFS('Bucket Counts'!$P:$P, 'Bucket Counts'!$B:$B, DG$2, 'Bucket Counts'!$A:$A, "="&amp;$A42,  'Bucket Counts'!$F:$F, "224"))</f>
        <v>0</v>
      </c>
      <c r="DH42" s="116"/>
      <c r="DI42" s="426">
        <f>(DG42+DE42)/DJ41</f>
        <v>0</v>
      </c>
      <c r="DJ42" s="370">
        <f>DE39+SUM(DD39:DD42)</f>
        <v>27566.666666666668</v>
      </c>
      <c r="DK42" s="369">
        <f>SUMIFS(Collection!$O:$O, Collection!$K:$K, DK$2, Collection!$A:$A, "="&amp;$A42)</f>
        <v>0</v>
      </c>
      <c r="DL42" s="116">
        <f>(SUMIFS('Bucket Counts'!$P:$P, 'Bucket Counts'!$B:$B, DL$2, 'Bucket Counts'!$A:$A, "="&amp;$A42,  'Bucket Counts'!$F:$F, "&lt;&gt;100 Morts",  'Bucket Counts'!$F:$F, "&lt;&gt;224"))</f>
        <v>0</v>
      </c>
      <c r="DM42" s="116">
        <f>(SUMIFS('Bucket Counts'!$P:$P, 'Bucket Counts'!$B:$B, DM$2, 'Bucket Counts'!$A:$A, "="&amp;$A42,  'Bucket Counts'!$F:$F, "100 Morts"))</f>
        <v>0</v>
      </c>
      <c r="DN42" s="116">
        <f>(SUMIFS('Bucket Counts'!$P:$P, 'Bucket Counts'!$B:$B, DN$2, 'Bucket Counts'!$A:$A, "="&amp;$A42,  'Bucket Counts'!$F:$F, "224"))</f>
        <v>0</v>
      </c>
      <c r="DO42" s="116"/>
      <c r="DP42" s="426" t="e">
        <f>(DN42+DL42)/DQ41</f>
        <v>#DIV/0!</v>
      </c>
      <c r="DQ42" s="370">
        <f>DL39+SUM(DK39:DK42)</f>
        <v>0</v>
      </c>
      <c r="DR42" s="369">
        <f>SUMIFS(Collection!$O:$O, Collection!$K:$K, DR$2, Collection!$A:$A, "="&amp;$A42)</f>
        <v>0</v>
      </c>
      <c r="DS42" s="116">
        <f>(SUMIFS('Bucket Counts'!$P:$P, 'Bucket Counts'!$B:$B, DS$2, 'Bucket Counts'!$A:$A, "="&amp;$A42,  'Bucket Counts'!$F:$F, "&lt;&gt;100 Morts",  'Bucket Counts'!$F:$F, "&lt;&gt;224"))</f>
        <v>0</v>
      </c>
      <c r="DT42" s="116">
        <f>(SUMIFS('Bucket Counts'!$P:$P, 'Bucket Counts'!$B:$B, DT$2, 'Bucket Counts'!$A:$A, "="&amp;$A42,  'Bucket Counts'!$F:$F, "100 Morts"))</f>
        <v>0</v>
      </c>
      <c r="DU42" s="116">
        <f>(SUMIFS('Bucket Counts'!$P:$P, 'Bucket Counts'!$B:$B, DU$2, 'Bucket Counts'!$A:$A, "="&amp;$A42,  'Bucket Counts'!$F:$F, "224"))</f>
        <v>0</v>
      </c>
      <c r="DV42" s="116"/>
      <c r="DW42" s="426" t="e">
        <f>(DU42+DS42)/DX41</f>
        <v>#DIV/0!</v>
      </c>
      <c r="DX42" s="370">
        <f>DS39+SUM(DR39:DR42)</f>
        <v>0</v>
      </c>
      <c r="DY42" s="369">
        <f>SUMIFS(Collection!$O:$O, Collection!$K:$K, DY$2, Collection!$A:$A, "="&amp;$A42)</f>
        <v>0</v>
      </c>
      <c r="DZ42" s="116">
        <f>(SUMIFS('Bucket Counts'!$P:$P, 'Bucket Counts'!$B:$B, DZ$2, 'Bucket Counts'!$A:$A, "="&amp;$A42,  'Bucket Counts'!$F:$F, "&lt;&gt;100 Morts",  'Bucket Counts'!$F:$F, "&lt;&gt;224"))</f>
        <v>0</v>
      </c>
      <c r="EA42" s="116">
        <f>(SUMIFS('Bucket Counts'!$P:$P, 'Bucket Counts'!$B:$B, EA$2, 'Bucket Counts'!$A:$A, "="&amp;$A42,  'Bucket Counts'!$F:$F, "100 Morts"))</f>
        <v>0</v>
      </c>
      <c r="EB42" s="116">
        <f>(SUMIFS('Bucket Counts'!$P:$P, 'Bucket Counts'!$B:$B, EB$2, 'Bucket Counts'!$A:$A, "="&amp;$A42,  'Bucket Counts'!$F:$F, "224"))</f>
        <v>0</v>
      </c>
      <c r="EC42" s="116"/>
      <c r="ED42" s="426" t="e">
        <f>(EB42+DZ42)/EE41</f>
        <v>#DIV/0!</v>
      </c>
      <c r="EE42" s="370">
        <f>DZ39+SUM(DY39:DY42)</f>
        <v>0</v>
      </c>
      <c r="EF42" s="369">
        <f>SUMIFS(Collection!$O:$O, Collection!$K:$K, EF$2, Collection!$A:$A, "="&amp;$A42)</f>
        <v>0</v>
      </c>
      <c r="EG42" s="116">
        <f>(SUMIFS('Bucket Counts'!$P:$P, 'Bucket Counts'!$B:$B, EG$2, 'Bucket Counts'!$A:$A, "="&amp;$A42,  'Bucket Counts'!$F:$F, "&lt;&gt;100 Morts",  'Bucket Counts'!$F:$F, "&lt;&gt;224"))</f>
        <v>0</v>
      </c>
      <c r="EH42" s="116">
        <f>(SUMIFS('Bucket Counts'!$P:$P, 'Bucket Counts'!$B:$B, EH$2, 'Bucket Counts'!$A:$A, "="&amp;$A42,  'Bucket Counts'!$F:$F, "100 Morts"))</f>
        <v>0</v>
      </c>
      <c r="EI42" s="116">
        <f>(SUMIFS('Bucket Counts'!$P:$P, 'Bucket Counts'!$B:$B, EI$2, 'Bucket Counts'!$A:$A, "="&amp;$A42,  'Bucket Counts'!$F:$F, "224"))</f>
        <v>0</v>
      </c>
      <c r="EJ42" s="116"/>
      <c r="EK42" s="426" t="e">
        <f>(EI42+EG42)/EL41</f>
        <v>#DIV/0!</v>
      </c>
      <c r="EL42" s="370">
        <f>EG39+SUM(EF39:EF42)</f>
        <v>0</v>
      </c>
    </row>
    <row r="43" spans="1:142" s="434" customFormat="1" x14ac:dyDescent="0.2">
      <c r="A43" s="428">
        <f t="shared" si="0"/>
        <v>42912</v>
      </c>
      <c r="B43" s="428" t="s">
        <v>486</v>
      </c>
      <c r="C43" s="429">
        <f>SUMIFS(Collection!$O:$O, Collection!$K:$K, C$2, Collection!$A:$A, "="&amp;$A43)</f>
        <v>0</v>
      </c>
      <c r="D43" s="430">
        <f>(SUMIFS('Bucket Counts'!$P:$P, 'Bucket Counts'!$B:$B, D$2, 'Bucket Counts'!$A:$A, "="&amp;$A43,  'Bucket Counts'!$F:$F, "&lt;&gt;100 Morts",  'Bucket Counts'!$F:$F, "&lt;&gt;224"))</f>
        <v>8350</v>
      </c>
      <c r="E43" s="430">
        <f>(SUMIFS('Bucket Counts'!$P:$P, 'Bucket Counts'!$B:$B, E$2, 'Bucket Counts'!$A:$A, "="&amp;$A43,  'Bucket Counts'!$F:$F, "100 Morts"))</f>
        <v>1166.6666666666667</v>
      </c>
      <c r="F43" s="430">
        <f>(SUMIFS('Bucket Counts'!$P:$P, 'Bucket Counts'!$B:$B, F$2, 'Bucket Counts'!$A:$A, "="&amp;$A43,  'Bucket Counts'!$F:$F, "224"))</f>
        <v>650</v>
      </c>
      <c r="G43" s="430">
        <f>I42</f>
        <v>23100</v>
      </c>
      <c r="H43" s="431">
        <f>SUM(D43+F43)</f>
        <v>9000</v>
      </c>
      <c r="I43" s="432">
        <f>D43+C43</f>
        <v>8350</v>
      </c>
      <c r="J43" s="429">
        <f>SUMIFS(Collection!$O:$O, Collection!$K:$K, J$2, Collection!$A:$A, "="&amp;$A43)</f>
        <v>0</v>
      </c>
      <c r="K43" s="430">
        <f>(SUMIFS('Bucket Counts'!$P:$P, 'Bucket Counts'!$B:$B, K$2, 'Bucket Counts'!$A:$A, "="&amp;$A43,  'Bucket Counts'!$F:$F, "&lt;&gt;100 Morts",  'Bucket Counts'!$F:$F, "&lt;&gt;224"))</f>
        <v>246.66666666666666</v>
      </c>
      <c r="L43" s="430">
        <f>(SUMIFS('Bucket Counts'!$P:$P, 'Bucket Counts'!$B:$B, L$2, 'Bucket Counts'!$A:$A, "="&amp;$A43,  'Bucket Counts'!$F:$F, "100 Morts"))</f>
        <v>0</v>
      </c>
      <c r="M43" s="430">
        <f>(SUMIFS('Bucket Counts'!$P:$P, 'Bucket Counts'!$B:$B, M$2, 'Bucket Counts'!$A:$A, "="&amp;$A43,  'Bucket Counts'!$F:$F, "224"))</f>
        <v>0</v>
      </c>
      <c r="N43" s="430">
        <f>P42</f>
        <v>166.66666666666666</v>
      </c>
      <c r="O43" s="431">
        <f>SUM(K43+M43)</f>
        <v>246.66666666666666</v>
      </c>
      <c r="P43" s="432">
        <f>K43+J43</f>
        <v>246.66666666666666</v>
      </c>
      <c r="Q43" s="429">
        <f>SUMIFS(Collection!$O:$O, Collection!$K:$K, Q$2, Collection!$A:$A, "="&amp;$A43)</f>
        <v>0</v>
      </c>
      <c r="R43" s="430">
        <f>(SUMIFS('Bucket Counts'!$P:$P, 'Bucket Counts'!$B:$B, R$2, 'Bucket Counts'!$A:$A, "="&amp;$A43,  'Bucket Counts'!$F:$F, "&lt;&gt;100 Morts",  'Bucket Counts'!$F:$F, "&lt;&gt;224"))</f>
        <v>3403.333333333333</v>
      </c>
      <c r="S43" s="430">
        <f>(SUMIFS('Bucket Counts'!$P:$P, 'Bucket Counts'!$B:$B, S$2, 'Bucket Counts'!$A:$A, "="&amp;$A43,  'Bucket Counts'!$F:$F, "100 Morts"))</f>
        <v>0</v>
      </c>
      <c r="T43" s="430">
        <f>(SUMIFS('Bucket Counts'!$P:$P, 'Bucket Counts'!$B:$B, T$2, 'Bucket Counts'!$A:$A, "="&amp;$A43,  'Bucket Counts'!$F:$F, "224"))</f>
        <v>1166.6666666666667</v>
      </c>
      <c r="U43" s="430">
        <f>W42</f>
        <v>6333.333333333333</v>
      </c>
      <c r="V43" s="431">
        <f>SUM(R43+T43)</f>
        <v>4570</v>
      </c>
      <c r="W43" s="432">
        <f>R43+Q43</f>
        <v>3403.333333333333</v>
      </c>
      <c r="X43" s="429">
        <f>SUMIFS(Collection!$O:$O, Collection!$K:$K, X$2, Collection!$A:$A, "="&amp;$A43)</f>
        <v>0</v>
      </c>
      <c r="Y43" s="430">
        <f>(SUMIFS('Bucket Counts'!$P:$P, 'Bucket Counts'!$B:$B, Y$2, 'Bucket Counts'!$A:$A, "="&amp;$A43,  'Bucket Counts'!$F:$F, "&lt;&gt;100 Morts",  'Bucket Counts'!$F:$F, "&lt;&gt;224"))</f>
        <v>46816.666666666672</v>
      </c>
      <c r="Z43" s="430">
        <f>(SUMIFS('Bucket Counts'!$P:$P, 'Bucket Counts'!$B:$B, Z$2, 'Bucket Counts'!$A:$A, "="&amp;$A43,  'Bucket Counts'!$F:$F, "100 Morts"))</f>
        <v>0</v>
      </c>
      <c r="AA43" s="430">
        <f>(SUMIFS('Bucket Counts'!$P:$P, 'Bucket Counts'!$B:$B, AA$2, 'Bucket Counts'!$A:$A, "="&amp;$A43,  'Bucket Counts'!$F:$F, "224"))</f>
        <v>2030</v>
      </c>
      <c r="AB43" s="430">
        <f>AD42</f>
        <v>65172.222222222219</v>
      </c>
      <c r="AC43" s="431">
        <f>SUM(Y43+AA43)</f>
        <v>48846.666666666672</v>
      </c>
      <c r="AD43" s="432">
        <f>Y43+X43</f>
        <v>46816.666666666672</v>
      </c>
      <c r="AE43" s="429">
        <f>SUMIFS(Collection!$O:$O, Collection!$K:$K, AE$2, Collection!$A:$A, "="&amp;$A43)</f>
        <v>0</v>
      </c>
      <c r="AF43" s="430">
        <f>(SUMIFS('Bucket Counts'!$P:$P, 'Bucket Counts'!$B:$B, AF$2, 'Bucket Counts'!$A:$A, "="&amp;$A43,  'Bucket Counts'!$F:$F, "&lt;&gt;100 Morts",  'Bucket Counts'!$F:$F, "&lt;&gt;224"))</f>
        <v>450</v>
      </c>
      <c r="AG43" s="430">
        <f>(SUMIFS('Bucket Counts'!$P:$P, 'Bucket Counts'!$B:$B, AG$2, 'Bucket Counts'!$A:$A, "="&amp;$A43,  'Bucket Counts'!$F:$F, "100 Morts"))</f>
        <v>0</v>
      </c>
      <c r="AH43" s="430">
        <f>(SUMIFS('Bucket Counts'!$P:$P, 'Bucket Counts'!$B:$B, AH$2, 'Bucket Counts'!$A:$A, "="&amp;$A43,  'Bucket Counts'!$F:$F, "224"))</f>
        <v>0</v>
      </c>
      <c r="AI43" s="430">
        <f>AK42</f>
        <v>25591.666666666664</v>
      </c>
      <c r="AJ43" s="431">
        <f>SUM(AF43+AH43)</f>
        <v>450</v>
      </c>
      <c r="AK43" s="432">
        <f>AF43+AE43</f>
        <v>450</v>
      </c>
      <c r="AL43" s="429">
        <f>SUMIFS(Collection!$O:$O, Collection!$K:$K, AL$2, Collection!$A:$A, "="&amp;$A43)</f>
        <v>0</v>
      </c>
      <c r="AM43" s="430">
        <f>(SUMIFS('Bucket Counts'!$P:$P, 'Bucket Counts'!$B:$B, AM$2, 'Bucket Counts'!$A:$A, "="&amp;$A43,  'Bucket Counts'!$F:$F, "&lt;&gt;100 Morts",  'Bucket Counts'!$F:$F, "&lt;&gt;224"))</f>
        <v>28746.666666666664</v>
      </c>
      <c r="AN43" s="430">
        <f>(SUMIFS('Bucket Counts'!$P:$P, 'Bucket Counts'!$B:$B, AN$2, 'Bucket Counts'!$A:$A, "="&amp;$A43,  'Bucket Counts'!$F:$F, "100 Morts"))</f>
        <v>2000</v>
      </c>
      <c r="AO43" s="430">
        <f>(SUMIFS('Bucket Counts'!$P:$P, 'Bucket Counts'!$B:$B, AO$2, 'Bucket Counts'!$A:$A, "="&amp;$A43,  'Bucket Counts'!$F:$F, "224"))</f>
        <v>4060</v>
      </c>
      <c r="AP43" s="430">
        <f>AR42</f>
        <v>131366.66666666666</v>
      </c>
      <c r="AQ43" s="431">
        <f>SUM(AM43+AO43)</f>
        <v>32806.666666666664</v>
      </c>
      <c r="AR43" s="432">
        <f>AM43+AL43</f>
        <v>28746.666666666664</v>
      </c>
      <c r="AS43" s="429">
        <f>SUMIFS(Collection!$O:$O, Collection!$K:$K, AS$2, Collection!$A:$A, "="&amp;$A43)</f>
        <v>0</v>
      </c>
      <c r="AT43" s="430">
        <f>(SUMIFS('Bucket Counts'!$P:$P, 'Bucket Counts'!$B:$B, AT$2, 'Bucket Counts'!$A:$A, "="&amp;$A43,  'Bucket Counts'!$F:$F, "&lt;&gt;100 Morts",  'Bucket Counts'!$F:$F, "&lt;&gt;224"))</f>
        <v>34746.666666666664</v>
      </c>
      <c r="AU43" s="430">
        <f>(SUMIFS('Bucket Counts'!$P:$P, 'Bucket Counts'!$B:$B, AU$2, 'Bucket Counts'!$A:$A, "="&amp;$A43,  'Bucket Counts'!$F:$F, "100 Morts"))</f>
        <v>6593.3333333333339</v>
      </c>
      <c r="AV43" s="430">
        <f>(SUMIFS('Bucket Counts'!$P:$P, 'Bucket Counts'!$B:$B, AV$2, 'Bucket Counts'!$A:$A, "="&amp;$A43,  'Bucket Counts'!$F:$F, "224"))</f>
        <v>1560</v>
      </c>
      <c r="AW43" s="430">
        <f>AY42</f>
        <v>74241.666666666657</v>
      </c>
      <c r="AX43" s="431">
        <f>SUM(AT43+AV43)</f>
        <v>36306.666666666664</v>
      </c>
      <c r="AY43" s="432">
        <f>AT43+AS43</f>
        <v>34746.666666666664</v>
      </c>
      <c r="AZ43" s="429">
        <f>SUMIFS(Collection!$O:$O, Collection!$K:$K, AZ$2, Collection!$A:$A, "="&amp;$A43)</f>
        <v>0</v>
      </c>
      <c r="BA43" s="430">
        <f>(SUMIFS('Bucket Counts'!$P:$P, 'Bucket Counts'!$B:$B, BA$2, 'Bucket Counts'!$A:$A, "="&amp;$A43,  'Bucket Counts'!$F:$F, "&lt;&gt;100 Morts",  'Bucket Counts'!$F:$F, "&lt;&gt;224"))</f>
        <v>6060</v>
      </c>
      <c r="BB43" s="430">
        <f>(SUMIFS('Bucket Counts'!$P:$P, 'Bucket Counts'!$B:$B, BB$2, 'Bucket Counts'!$A:$A, "="&amp;$A43,  'Bucket Counts'!$F:$F, "100 Morts"))</f>
        <v>0</v>
      </c>
      <c r="BC43" s="430">
        <f>(SUMIFS('Bucket Counts'!$P:$P, 'Bucket Counts'!$B:$B, BC$2, 'Bucket Counts'!$A:$A, "="&amp;$A43,  'Bucket Counts'!$F:$F, "224"))</f>
        <v>150</v>
      </c>
      <c r="BD43" s="430">
        <f>BF42</f>
        <v>23000</v>
      </c>
      <c r="BE43" s="431">
        <f>SUM(BA43+BC43)</f>
        <v>6210</v>
      </c>
      <c r="BF43" s="432">
        <f>BA43+AZ43</f>
        <v>6060</v>
      </c>
      <c r="BG43" s="429">
        <f>SUMIFS(Collection!$O:$O, Collection!$K:$K, BG$2, Collection!$A:$A, "="&amp;$A43)</f>
        <v>0</v>
      </c>
      <c r="BH43" s="430">
        <f>(SUMIFS('Bucket Counts'!$P:$P, 'Bucket Counts'!$B:$B, BH$2, 'Bucket Counts'!$A:$A, "="&amp;$A43,  'Bucket Counts'!$F:$F, "&lt;&gt;100 Morts",  'Bucket Counts'!$F:$F, "&lt;&gt;224"))</f>
        <v>23446.666666666668</v>
      </c>
      <c r="BI43" s="430">
        <f>(SUMIFS('Bucket Counts'!$P:$P, 'Bucket Counts'!$B:$B, BI$2, 'Bucket Counts'!$A:$A, "="&amp;$A43,  'Bucket Counts'!$F:$F, "100 Morts"))</f>
        <v>3466.6666666666665</v>
      </c>
      <c r="BJ43" s="430">
        <f>(SUMIFS('Bucket Counts'!$P:$P, 'Bucket Counts'!$B:$B, BJ$2, 'Bucket Counts'!$A:$A, "="&amp;$A43,  'Bucket Counts'!$F:$F, "224"))</f>
        <v>2000</v>
      </c>
      <c r="BK43" s="430">
        <f>BM42</f>
        <v>41121.111111111117</v>
      </c>
      <c r="BL43" s="431">
        <f>SUM(BH43+BJ43)</f>
        <v>25446.666666666668</v>
      </c>
      <c r="BM43" s="432">
        <f>BH43+BG43</f>
        <v>23446.666666666668</v>
      </c>
      <c r="BN43" s="429">
        <f>SUMIFS(Collection!$O:$O, Collection!$K:$K, BN$2, Collection!$A:$A, "="&amp;$A43)</f>
        <v>0</v>
      </c>
      <c r="BO43" s="430">
        <f>(SUMIFS('Bucket Counts'!$P:$P, 'Bucket Counts'!$B:$B, BO$2, 'Bucket Counts'!$A:$A, "="&amp;$A43,  'Bucket Counts'!$F:$F, "&lt;&gt;100 Morts",  'Bucket Counts'!$F:$F, "&lt;&gt;224"))</f>
        <v>45833.333333333328</v>
      </c>
      <c r="BP43" s="430">
        <f>(SUMIFS('Bucket Counts'!$P:$P, 'Bucket Counts'!$B:$B, BP$2, 'Bucket Counts'!$A:$A, "="&amp;$A43,  'Bucket Counts'!$F:$F, "100 Morts"))</f>
        <v>316.66666666666663</v>
      </c>
      <c r="BQ43" s="430">
        <f>(SUMIFS('Bucket Counts'!$P:$P, 'Bucket Counts'!$B:$B, BQ$2, 'Bucket Counts'!$A:$A, "="&amp;$A43,  'Bucket Counts'!$F:$F, "224"))</f>
        <v>653.33333333333337</v>
      </c>
      <c r="BR43" s="430">
        <f>BT42</f>
        <v>85600</v>
      </c>
      <c r="BS43" s="431">
        <f>SUM(BO43+BQ43)</f>
        <v>46486.666666666664</v>
      </c>
      <c r="BT43" s="432">
        <f>BO43+BN43</f>
        <v>45833.333333333328</v>
      </c>
      <c r="BU43" s="429">
        <f>SUMIFS(Collection!$O:$O, Collection!$K:$K, BU$2, Collection!$A:$A, "="&amp;$A43)</f>
        <v>0</v>
      </c>
      <c r="BV43" s="430">
        <f>(SUMIFS('Bucket Counts'!$P:$P, 'Bucket Counts'!$B:$B, BV$2, 'Bucket Counts'!$A:$A, "="&amp;$A43,  'Bucket Counts'!$F:$F, "&lt;&gt;100 Morts",  'Bucket Counts'!$F:$F, "&lt;&gt;224"))</f>
        <v>27800</v>
      </c>
      <c r="BW43" s="430">
        <f>(SUMIFS('Bucket Counts'!$P:$P, 'Bucket Counts'!$B:$B, BW$2, 'Bucket Counts'!$A:$A, "="&amp;$A43,  'Bucket Counts'!$F:$F, "100 Morts"))</f>
        <v>0</v>
      </c>
      <c r="BX43" s="430">
        <f>(SUMIFS('Bucket Counts'!$P:$P, 'Bucket Counts'!$B:$B, BX$2, 'Bucket Counts'!$A:$A, "="&amp;$A43,  'Bucket Counts'!$F:$F, "224"))</f>
        <v>0</v>
      </c>
      <c r="BY43" s="430">
        <f>CA42</f>
        <v>28033.333333333332</v>
      </c>
      <c r="BZ43" s="431">
        <f>SUM(BV43+BX43)</f>
        <v>27800</v>
      </c>
      <c r="CA43" s="432">
        <f>BV43+BU43</f>
        <v>27800</v>
      </c>
      <c r="CB43" s="429">
        <f>SUMIFS(Collection!$O:$O, Collection!$K:$K, CB$2, Collection!$A:$A, "="&amp;$A43)</f>
        <v>0</v>
      </c>
      <c r="CC43" s="430">
        <f>(SUMIFS('Bucket Counts'!$P:$P, 'Bucket Counts'!$B:$B, CC$2, 'Bucket Counts'!$A:$A, "="&amp;$A43,  'Bucket Counts'!$F:$F, "&lt;&gt;100 Morts",  'Bucket Counts'!$F:$F, "&lt;&gt;224"))</f>
        <v>26160</v>
      </c>
      <c r="CD43" s="430">
        <f>(SUMIFS('Bucket Counts'!$P:$P, 'Bucket Counts'!$B:$B, CD$2, 'Bucket Counts'!$A:$A, "="&amp;$A43,  'Bucket Counts'!$F:$F, "100 Morts"))</f>
        <v>458.33333333333337</v>
      </c>
      <c r="CE43" s="430">
        <f>(SUMIFS('Bucket Counts'!$P:$P, 'Bucket Counts'!$B:$B, CE$2, 'Bucket Counts'!$A:$A, "="&amp;$A43,  'Bucket Counts'!$F:$F, "224"))</f>
        <v>680</v>
      </c>
      <c r="CF43" s="430">
        <f>CH42</f>
        <v>89428.888888888905</v>
      </c>
      <c r="CG43" s="431">
        <f>SUM(CC43+CE43)</f>
        <v>26840</v>
      </c>
      <c r="CH43" s="432">
        <f>CC43+CB43</f>
        <v>26160</v>
      </c>
      <c r="CI43" s="429">
        <f>SUMIFS(Collection!$O:$O, Collection!$K:$K, CI$2, Collection!$A:$A, "="&amp;$A43)</f>
        <v>0</v>
      </c>
      <c r="CJ43" s="430">
        <f>(SUMIFS('Bucket Counts'!$P:$P, 'Bucket Counts'!$B:$B, CJ$2, 'Bucket Counts'!$A:$A, "="&amp;$A43,  'Bucket Counts'!$F:$F, "&lt;&gt;100 Morts",  'Bucket Counts'!$F:$F, "&lt;&gt;224"))</f>
        <v>11090</v>
      </c>
      <c r="CK43" s="430">
        <f>(SUMIFS('Bucket Counts'!$P:$P, 'Bucket Counts'!$B:$B, CK$2, 'Bucket Counts'!$A:$A, "="&amp;$A43,  'Bucket Counts'!$F:$F, "100 Morts"))</f>
        <v>1066.6666666666665</v>
      </c>
      <c r="CL43" s="430">
        <f>(SUMIFS('Bucket Counts'!$P:$P, 'Bucket Counts'!$B:$B, CL$2, 'Bucket Counts'!$A:$A, "="&amp;$A43,  'Bucket Counts'!$F:$F, "224"))</f>
        <v>600</v>
      </c>
      <c r="CM43" s="430">
        <f>CO42</f>
        <v>27300</v>
      </c>
      <c r="CN43" s="431">
        <f>SUM(CJ43+CL43)</f>
        <v>11690</v>
      </c>
      <c r="CO43" s="432">
        <f>CJ43+CI43</f>
        <v>11090</v>
      </c>
      <c r="CP43" s="429">
        <f>SUMIFS(Collection!$O:$O, Collection!$K:$K, CP$2, Collection!$A:$A, "="&amp;$A43)</f>
        <v>0</v>
      </c>
      <c r="CQ43" s="430">
        <f>(SUMIFS('Bucket Counts'!$P:$P, 'Bucket Counts'!$B:$B, CQ$2, 'Bucket Counts'!$A:$A, "="&amp;$A43,  'Bucket Counts'!$F:$F, "&lt;&gt;100 Morts",  'Bucket Counts'!$F:$F, "&lt;&gt;224"))</f>
        <v>6405</v>
      </c>
      <c r="CR43" s="430">
        <f>(SUMIFS('Bucket Counts'!$P:$P, 'Bucket Counts'!$B:$B, CR$2, 'Bucket Counts'!$A:$A, "="&amp;$A43,  'Bucket Counts'!$F:$F, "100 Morts"))</f>
        <v>233.33333333333334</v>
      </c>
      <c r="CS43" s="430">
        <f>(SUMIFS('Bucket Counts'!$P:$P, 'Bucket Counts'!$B:$B, CS$2, 'Bucket Counts'!$A:$A, "="&amp;$A43,  'Bucket Counts'!$F:$F, "224"))</f>
        <v>125</v>
      </c>
      <c r="CT43" s="430">
        <f>CV42</f>
        <v>7876.666666666667</v>
      </c>
      <c r="CU43" s="431">
        <f>SUM(CQ43+CS43)</f>
        <v>6530</v>
      </c>
      <c r="CV43" s="432">
        <f>CQ43+CP43</f>
        <v>6405</v>
      </c>
      <c r="CW43" s="429">
        <f>SUMIFS(Collection!$O:$O, Collection!$K:$K, CW$2, Collection!$A:$A, "="&amp;$A43)</f>
        <v>0</v>
      </c>
      <c r="CX43" s="430">
        <f>(SUMIFS('Bucket Counts'!$P:$P, 'Bucket Counts'!$B:$B, CX$2, 'Bucket Counts'!$A:$A, "="&amp;$A43,  'Bucket Counts'!$F:$F, "&lt;&gt;100 Morts",  'Bucket Counts'!$F:$F, "&lt;&gt;224"))</f>
        <v>40400</v>
      </c>
      <c r="CY43" s="430">
        <f>(SUMIFS('Bucket Counts'!$P:$P, 'Bucket Counts'!$B:$B, CY$2, 'Bucket Counts'!$A:$A, "="&amp;$A43,  'Bucket Counts'!$F:$F, "100 Morts"))</f>
        <v>3000</v>
      </c>
      <c r="CZ43" s="430">
        <f>(SUMIFS('Bucket Counts'!$P:$P, 'Bucket Counts'!$B:$B, CZ$2, 'Bucket Counts'!$A:$A, "="&amp;$A43,  'Bucket Counts'!$F:$F, "224"))</f>
        <v>1850</v>
      </c>
      <c r="DA43" s="430">
        <f>DC42</f>
        <v>73380</v>
      </c>
      <c r="DB43" s="431">
        <f>SUM(CX43+CZ43)</f>
        <v>42250</v>
      </c>
      <c r="DC43" s="432">
        <f>CX43+CW43</f>
        <v>40400</v>
      </c>
      <c r="DD43" s="429">
        <f>SUMIFS(Collection!$O:$O, Collection!$K:$K, DD$2, Collection!$A:$A, "="&amp;$A43)</f>
        <v>0</v>
      </c>
      <c r="DE43" s="430">
        <f>(SUMIFS('Bucket Counts'!$P:$P, 'Bucket Counts'!$B:$B, DE$2, 'Bucket Counts'!$A:$A, "="&amp;$A43,  'Bucket Counts'!$F:$F, "&lt;&gt;100 Morts",  'Bucket Counts'!$F:$F, "&lt;&gt;224"))</f>
        <v>17900</v>
      </c>
      <c r="DF43" s="430">
        <f>(SUMIFS('Bucket Counts'!$P:$P, 'Bucket Counts'!$B:$B, DF$2, 'Bucket Counts'!$A:$A, "="&amp;$A43,  'Bucket Counts'!$F:$F, "100 Morts"))</f>
        <v>600</v>
      </c>
      <c r="DG43" s="430">
        <f>(SUMIFS('Bucket Counts'!$P:$P, 'Bucket Counts'!$B:$B, DG$2, 'Bucket Counts'!$A:$A, "="&amp;$A43,  'Bucket Counts'!$F:$F, "224"))</f>
        <v>2000</v>
      </c>
      <c r="DH43" s="430">
        <f>DJ42</f>
        <v>27566.666666666668</v>
      </c>
      <c r="DI43" s="431">
        <f>SUM(DE43+DG43)</f>
        <v>19900</v>
      </c>
      <c r="DJ43" s="432">
        <f>DE43+DD43</f>
        <v>17900</v>
      </c>
      <c r="DK43" s="429">
        <f>SUMIFS(Collection!$O:$O, Collection!$K:$K, DK$2, Collection!$A:$A, "="&amp;$A43)</f>
        <v>0</v>
      </c>
      <c r="DL43" s="430">
        <f>(SUMIFS('Bucket Counts'!$P:$P, 'Bucket Counts'!$B:$B, DL$2, 'Bucket Counts'!$A:$A, "="&amp;$A43,  'Bucket Counts'!$F:$F, "&lt;&gt;100 Morts",  'Bucket Counts'!$F:$F, "&lt;&gt;224"))</f>
        <v>0</v>
      </c>
      <c r="DM43" s="430">
        <f>(SUMIFS('Bucket Counts'!$P:$P, 'Bucket Counts'!$B:$B, DM$2, 'Bucket Counts'!$A:$A, "="&amp;$A43,  'Bucket Counts'!$F:$F, "100 Morts"))</f>
        <v>0</v>
      </c>
      <c r="DN43" s="430">
        <f>(SUMIFS('Bucket Counts'!$P:$P, 'Bucket Counts'!$B:$B, DN$2, 'Bucket Counts'!$A:$A, "="&amp;$A43,  'Bucket Counts'!$F:$F, "224"))</f>
        <v>0</v>
      </c>
      <c r="DO43" s="430">
        <f>DQ42</f>
        <v>0</v>
      </c>
      <c r="DP43" s="431">
        <f>SUM(DL43+DN43)</f>
        <v>0</v>
      </c>
      <c r="DQ43" s="432">
        <f>DL43+DK43</f>
        <v>0</v>
      </c>
      <c r="DR43" s="429">
        <f>SUMIFS(Collection!$O:$O, Collection!$K:$K, DR$2, Collection!$A:$A, "="&amp;$A43)</f>
        <v>0</v>
      </c>
      <c r="DS43" s="430">
        <f>(SUMIFS('Bucket Counts'!$P:$P, 'Bucket Counts'!$B:$B, DS$2, 'Bucket Counts'!$A:$A, "="&amp;$A43,  'Bucket Counts'!$F:$F, "&lt;&gt;100 Morts",  'Bucket Counts'!$F:$F, "&lt;&gt;224"))</f>
        <v>0</v>
      </c>
      <c r="DT43" s="430">
        <f>(SUMIFS('Bucket Counts'!$P:$P, 'Bucket Counts'!$B:$B, DT$2, 'Bucket Counts'!$A:$A, "="&amp;$A43,  'Bucket Counts'!$F:$F, "100 Morts"))</f>
        <v>0</v>
      </c>
      <c r="DU43" s="430">
        <f>(SUMIFS('Bucket Counts'!$P:$P, 'Bucket Counts'!$B:$B, DU$2, 'Bucket Counts'!$A:$A, "="&amp;$A43,  'Bucket Counts'!$F:$F, "224"))</f>
        <v>0</v>
      </c>
      <c r="DV43" s="430">
        <f>DX42</f>
        <v>0</v>
      </c>
      <c r="DW43" s="431">
        <f>SUM(DS43+DU43)</f>
        <v>0</v>
      </c>
      <c r="DX43" s="432">
        <f>DS43+DR43</f>
        <v>0</v>
      </c>
      <c r="DY43" s="429">
        <f>SUMIFS(Collection!$O:$O, Collection!$K:$K, DY$2, Collection!$A:$A, "="&amp;$A43)</f>
        <v>0</v>
      </c>
      <c r="DZ43" s="430">
        <f>(SUMIFS('Bucket Counts'!$P:$P, 'Bucket Counts'!$B:$B, DZ$2, 'Bucket Counts'!$A:$A, "="&amp;$A43,  'Bucket Counts'!$F:$F, "&lt;&gt;100 Morts",  'Bucket Counts'!$F:$F, "&lt;&gt;224"))</f>
        <v>0</v>
      </c>
      <c r="EA43" s="430">
        <f>(SUMIFS('Bucket Counts'!$P:$P, 'Bucket Counts'!$B:$B, EA$2, 'Bucket Counts'!$A:$A, "="&amp;$A43,  'Bucket Counts'!$F:$F, "100 Morts"))</f>
        <v>0</v>
      </c>
      <c r="EB43" s="430">
        <f>(SUMIFS('Bucket Counts'!$P:$P, 'Bucket Counts'!$B:$B, EB$2, 'Bucket Counts'!$A:$A, "="&amp;$A43,  'Bucket Counts'!$F:$F, "224"))</f>
        <v>0</v>
      </c>
      <c r="EC43" s="430">
        <f>EE42</f>
        <v>0</v>
      </c>
      <c r="ED43" s="431">
        <f>SUM(DZ43+EB43)</f>
        <v>0</v>
      </c>
      <c r="EE43" s="432">
        <f>DZ43+DY43</f>
        <v>0</v>
      </c>
      <c r="EF43" s="429">
        <f>SUMIFS(Collection!$O:$O, Collection!$K:$K, EF$2, Collection!$A:$A, "="&amp;$A43)</f>
        <v>0</v>
      </c>
      <c r="EG43" s="430">
        <f>(SUMIFS('Bucket Counts'!$P:$P, 'Bucket Counts'!$B:$B, EG$2, 'Bucket Counts'!$A:$A, "="&amp;$A43,  'Bucket Counts'!$F:$F, "&lt;&gt;100 Morts",  'Bucket Counts'!$F:$F, "&lt;&gt;224"))</f>
        <v>0</v>
      </c>
      <c r="EH43" s="430">
        <f>(SUMIFS('Bucket Counts'!$P:$P, 'Bucket Counts'!$B:$B, EH$2, 'Bucket Counts'!$A:$A, "="&amp;$A43,  'Bucket Counts'!$F:$F, "100 Morts"))</f>
        <v>0</v>
      </c>
      <c r="EI43" s="430">
        <f>(SUMIFS('Bucket Counts'!$P:$P, 'Bucket Counts'!$B:$B, EI$2, 'Bucket Counts'!$A:$A, "="&amp;$A43,  'Bucket Counts'!$F:$F, "224"))</f>
        <v>0</v>
      </c>
      <c r="EJ43" s="430">
        <f>EL42</f>
        <v>0</v>
      </c>
      <c r="EK43" s="431">
        <f>SUM(EG43+EI43)</f>
        <v>0</v>
      </c>
      <c r="EL43" s="432">
        <f>EG43+EF43</f>
        <v>0</v>
      </c>
    </row>
    <row r="44" spans="1:142" x14ac:dyDescent="0.2">
      <c r="A44" s="16">
        <f t="shared" si="0"/>
        <v>42913</v>
      </c>
      <c r="B44" s="16" t="s">
        <v>487</v>
      </c>
      <c r="C44" s="369">
        <f>SUMIFS(Collection!$O:$O, Collection!$K:$K, C$2, Collection!$A:$A, "="&amp;$A44)</f>
        <v>0</v>
      </c>
      <c r="D44" s="116">
        <f>(SUMIFS('Bucket Counts'!$P:$P, 'Bucket Counts'!$B:$B, D$2, 'Bucket Counts'!$A:$A, "="&amp;$A44,  'Bucket Counts'!$F:$F, "&lt;&gt;100 Morts",  'Bucket Counts'!$F:$F, "&lt;&gt;224"))</f>
        <v>0</v>
      </c>
      <c r="E44" s="116">
        <f>(SUMIFS('Bucket Counts'!$P:$P, 'Bucket Counts'!$B:$B, E$2, 'Bucket Counts'!$A:$A, "="&amp;$A44,  'Bucket Counts'!$F:$F, "100 Morts"))</f>
        <v>0</v>
      </c>
      <c r="F44" s="116">
        <f>(SUMIFS('Bucket Counts'!$P:$P, 'Bucket Counts'!$B:$B, F$2, 'Bucket Counts'!$A:$A, "="&amp;$A44,  'Bucket Counts'!$F:$F, "224"))</f>
        <v>0</v>
      </c>
      <c r="G44" s="116"/>
      <c r="H44" s="426">
        <f>(F44+D44)/I43</f>
        <v>0</v>
      </c>
      <c r="I44" s="370">
        <f>D43+SUM(C43:C44)</f>
        <v>8350</v>
      </c>
      <c r="J44" s="369">
        <f>SUMIFS(Collection!$O:$O, Collection!$K:$K, J$2, Collection!$A:$A, "="&amp;$A44)</f>
        <v>0</v>
      </c>
      <c r="K44" s="116">
        <f>(SUMIFS('Bucket Counts'!$P:$P, 'Bucket Counts'!$B:$B, K$2, 'Bucket Counts'!$A:$A, "="&amp;$A44,  'Bucket Counts'!$F:$F, "&lt;&gt;100 Morts",  'Bucket Counts'!$F:$F, "&lt;&gt;224"))</f>
        <v>0</v>
      </c>
      <c r="L44" s="116">
        <f>(SUMIFS('Bucket Counts'!$P:$P, 'Bucket Counts'!$B:$B, L$2, 'Bucket Counts'!$A:$A, "="&amp;$A44,  'Bucket Counts'!$F:$F, "100 Morts"))</f>
        <v>0</v>
      </c>
      <c r="M44" s="116">
        <f>(SUMIFS('Bucket Counts'!$P:$P, 'Bucket Counts'!$B:$B, M$2, 'Bucket Counts'!$A:$A, "="&amp;$A44,  'Bucket Counts'!$F:$F, "224"))</f>
        <v>0</v>
      </c>
      <c r="N44" s="116"/>
      <c r="O44" s="426">
        <f>(M44+K44)/P43</f>
        <v>0</v>
      </c>
      <c r="P44" s="370">
        <f>K43+SUM(J43:J44)</f>
        <v>246.66666666666666</v>
      </c>
      <c r="Q44" s="369">
        <f>SUMIFS(Collection!$O:$O, Collection!$K:$K, Q$2, Collection!$A:$A, "="&amp;$A44)</f>
        <v>0</v>
      </c>
      <c r="R44" s="116">
        <f>(SUMIFS('Bucket Counts'!$P:$P, 'Bucket Counts'!$B:$B, R$2, 'Bucket Counts'!$A:$A, "="&amp;$A44,  'Bucket Counts'!$F:$F, "&lt;&gt;100 Morts",  'Bucket Counts'!$F:$F, "&lt;&gt;224"))</f>
        <v>0</v>
      </c>
      <c r="S44" s="116">
        <f>(SUMIFS('Bucket Counts'!$P:$P, 'Bucket Counts'!$B:$B, S$2, 'Bucket Counts'!$A:$A, "="&amp;$A44,  'Bucket Counts'!$F:$F, "100 Morts"))</f>
        <v>0</v>
      </c>
      <c r="T44" s="116">
        <f>(SUMIFS('Bucket Counts'!$P:$P, 'Bucket Counts'!$B:$B, T$2, 'Bucket Counts'!$A:$A, "="&amp;$A44,  'Bucket Counts'!$F:$F, "224"))</f>
        <v>0</v>
      </c>
      <c r="U44" s="116"/>
      <c r="V44" s="426">
        <f>(T44+R44)/W43</f>
        <v>0</v>
      </c>
      <c r="W44" s="370">
        <f>R43+SUM(Q43:Q44)</f>
        <v>3403.333333333333</v>
      </c>
      <c r="X44" s="369">
        <f>SUMIFS(Collection!$O:$O, Collection!$K:$K, X$2, Collection!$A:$A, "="&amp;$A44)</f>
        <v>0</v>
      </c>
      <c r="Y44" s="116">
        <f>(SUMIFS('Bucket Counts'!$P:$P, 'Bucket Counts'!$B:$B, Y$2, 'Bucket Counts'!$A:$A, "="&amp;$A44,  'Bucket Counts'!$F:$F, "&lt;&gt;100 Morts",  'Bucket Counts'!$F:$F, "&lt;&gt;224"))</f>
        <v>0</v>
      </c>
      <c r="Z44" s="116">
        <f>(SUMIFS('Bucket Counts'!$P:$P, 'Bucket Counts'!$B:$B, Z$2, 'Bucket Counts'!$A:$A, "="&amp;$A44,  'Bucket Counts'!$F:$F, "100 Morts"))</f>
        <v>0</v>
      </c>
      <c r="AA44" s="116">
        <f>(SUMIFS('Bucket Counts'!$P:$P, 'Bucket Counts'!$B:$B, AA$2, 'Bucket Counts'!$A:$A, "="&amp;$A44,  'Bucket Counts'!$F:$F, "224"))</f>
        <v>0</v>
      </c>
      <c r="AB44" s="116"/>
      <c r="AC44" s="426">
        <f>(AA44+Y44)/AD43</f>
        <v>0</v>
      </c>
      <c r="AD44" s="370">
        <f>Y43+SUM(X43:X44)</f>
        <v>46816.666666666672</v>
      </c>
      <c r="AE44" s="369">
        <f>SUMIFS(Collection!$O:$O, Collection!$K:$K, AE$2, Collection!$A:$A, "="&amp;$A44)</f>
        <v>0</v>
      </c>
      <c r="AF44" s="116">
        <f>(SUMIFS('Bucket Counts'!$P:$P, 'Bucket Counts'!$B:$B, AF$2, 'Bucket Counts'!$A:$A, "="&amp;$A44,  'Bucket Counts'!$F:$F, "&lt;&gt;100 Morts",  'Bucket Counts'!$F:$F, "&lt;&gt;224"))</f>
        <v>0</v>
      </c>
      <c r="AG44" s="116">
        <f>(SUMIFS('Bucket Counts'!$P:$P, 'Bucket Counts'!$B:$B, AG$2, 'Bucket Counts'!$A:$A, "="&amp;$A44,  'Bucket Counts'!$F:$F, "100 Morts"))</f>
        <v>0</v>
      </c>
      <c r="AH44" s="116">
        <f>(SUMIFS('Bucket Counts'!$P:$P, 'Bucket Counts'!$B:$B, AH$2, 'Bucket Counts'!$A:$A, "="&amp;$A44,  'Bucket Counts'!$F:$F, "224"))</f>
        <v>0</v>
      </c>
      <c r="AI44" s="116"/>
      <c r="AJ44" s="426">
        <f>(AH44+AF44)/AK43</f>
        <v>0</v>
      </c>
      <c r="AK44" s="370">
        <f>AF43+SUM(AE43:AE44)</f>
        <v>450</v>
      </c>
      <c r="AL44" s="369">
        <f>SUMIFS(Collection!$O:$O, Collection!$K:$K, AL$2, Collection!$A:$A, "="&amp;$A44)</f>
        <v>0</v>
      </c>
      <c r="AM44" s="116">
        <f>(SUMIFS('Bucket Counts'!$P:$P, 'Bucket Counts'!$B:$B, AM$2, 'Bucket Counts'!$A:$A, "="&amp;$A44,  'Bucket Counts'!$F:$F, "&lt;&gt;100 Morts",  'Bucket Counts'!$F:$F, "&lt;&gt;224"))</f>
        <v>0</v>
      </c>
      <c r="AN44" s="116">
        <f>(SUMIFS('Bucket Counts'!$P:$P, 'Bucket Counts'!$B:$B, AN$2, 'Bucket Counts'!$A:$A, "="&amp;$A44,  'Bucket Counts'!$F:$F, "100 Morts"))</f>
        <v>0</v>
      </c>
      <c r="AO44" s="116">
        <f>(SUMIFS('Bucket Counts'!$P:$P, 'Bucket Counts'!$B:$B, AO$2, 'Bucket Counts'!$A:$A, "="&amp;$A44,  'Bucket Counts'!$F:$F, "224"))</f>
        <v>0</v>
      </c>
      <c r="AP44" s="116"/>
      <c r="AQ44" s="426">
        <f>(AO44+AM44)/AR43</f>
        <v>0</v>
      </c>
      <c r="AR44" s="370">
        <f>AM43+SUM(AL43:AL44)</f>
        <v>28746.666666666664</v>
      </c>
      <c r="AS44" s="369">
        <f>SUMIFS(Collection!$O:$O, Collection!$K:$K, AS$2, Collection!$A:$A, "="&amp;$A44)</f>
        <v>0</v>
      </c>
      <c r="AT44" s="116">
        <f>(SUMIFS('Bucket Counts'!$P:$P, 'Bucket Counts'!$B:$B, AT$2, 'Bucket Counts'!$A:$A, "="&amp;$A44,  'Bucket Counts'!$F:$F, "&lt;&gt;100 Morts",  'Bucket Counts'!$F:$F, "&lt;&gt;224"))</f>
        <v>0</v>
      </c>
      <c r="AU44" s="116">
        <f>(SUMIFS('Bucket Counts'!$P:$P, 'Bucket Counts'!$B:$B, AU$2, 'Bucket Counts'!$A:$A, "="&amp;$A44,  'Bucket Counts'!$F:$F, "100 Morts"))</f>
        <v>0</v>
      </c>
      <c r="AV44" s="116">
        <f>(SUMIFS('Bucket Counts'!$P:$P, 'Bucket Counts'!$B:$B, AV$2, 'Bucket Counts'!$A:$A, "="&amp;$A44,  'Bucket Counts'!$F:$F, "224"))</f>
        <v>0</v>
      </c>
      <c r="AW44" s="116"/>
      <c r="AX44" s="426">
        <f>(AV44+AT44)/AY43</f>
        <v>0</v>
      </c>
      <c r="AY44" s="370">
        <f>AT43+SUM(AS43:AS44)</f>
        <v>34746.666666666664</v>
      </c>
      <c r="AZ44" s="369">
        <f>SUMIFS(Collection!$O:$O, Collection!$K:$K, AZ$2, Collection!$A:$A, "="&amp;$A44)</f>
        <v>0</v>
      </c>
      <c r="BA44" s="116">
        <f>(SUMIFS('Bucket Counts'!$P:$P, 'Bucket Counts'!$B:$B, BA$2, 'Bucket Counts'!$A:$A, "="&amp;$A44,  'Bucket Counts'!$F:$F, "&lt;&gt;100 Morts",  'Bucket Counts'!$F:$F, "&lt;&gt;224"))</f>
        <v>0</v>
      </c>
      <c r="BB44" s="116">
        <f>(SUMIFS('Bucket Counts'!$P:$P, 'Bucket Counts'!$B:$B, BB$2, 'Bucket Counts'!$A:$A, "="&amp;$A44,  'Bucket Counts'!$F:$F, "100 Morts"))</f>
        <v>0</v>
      </c>
      <c r="BC44" s="116">
        <f>(SUMIFS('Bucket Counts'!$P:$P, 'Bucket Counts'!$B:$B, BC$2, 'Bucket Counts'!$A:$A, "="&amp;$A44,  'Bucket Counts'!$F:$F, "224"))</f>
        <v>0</v>
      </c>
      <c r="BD44" s="116"/>
      <c r="BE44" s="426">
        <f>(BC44+BA44)/BF43</f>
        <v>0</v>
      </c>
      <c r="BF44" s="370">
        <f>BA43+SUM(AZ43:AZ44)</f>
        <v>6060</v>
      </c>
      <c r="BG44" s="369">
        <f>SUMIFS(Collection!$O:$O, Collection!$K:$K, BG$2, Collection!$A:$A, "="&amp;$A44)</f>
        <v>0</v>
      </c>
      <c r="BH44" s="116">
        <f>(SUMIFS('Bucket Counts'!$P:$P, 'Bucket Counts'!$B:$B, BH$2, 'Bucket Counts'!$A:$A, "="&amp;$A44,  'Bucket Counts'!$F:$F, "&lt;&gt;100 Morts",  'Bucket Counts'!$F:$F, "&lt;&gt;224"))</f>
        <v>0</v>
      </c>
      <c r="BI44" s="116">
        <f>(SUMIFS('Bucket Counts'!$P:$P, 'Bucket Counts'!$B:$B, BI$2, 'Bucket Counts'!$A:$A, "="&amp;$A44,  'Bucket Counts'!$F:$F, "100 Morts"))</f>
        <v>0</v>
      </c>
      <c r="BJ44" s="116">
        <f>(SUMIFS('Bucket Counts'!$P:$P, 'Bucket Counts'!$B:$B, BJ$2, 'Bucket Counts'!$A:$A, "="&amp;$A44,  'Bucket Counts'!$F:$F, "224"))</f>
        <v>0</v>
      </c>
      <c r="BK44" s="116"/>
      <c r="BL44" s="426">
        <f>(BJ44+BH44)/BM43</f>
        <v>0</v>
      </c>
      <c r="BM44" s="370">
        <f>BH43+SUM(BG43:BG44)</f>
        <v>23446.666666666668</v>
      </c>
      <c r="BN44" s="369">
        <f>SUMIFS(Collection!$O:$O, Collection!$K:$K, BN$2, Collection!$A:$A, "="&amp;$A44)</f>
        <v>0</v>
      </c>
      <c r="BO44" s="116">
        <f>(SUMIFS('Bucket Counts'!$P:$P, 'Bucket Counts'!$B:$B, BO$2, 'Bucket Counts'!$A:$A, "="&amp;$A44,  'Bucket Counts'!$F:$F, "&lt;&gt;100 Morts",  'Bucket Counts'!$F:$F, "&lt;&gt;224"))</f>
        <v>0</v>
      </c>
      <c r="BP44" s="116">
        <f>(SUMIFS('Bucket Counts'!$P:$P, 'Bucket Counts'!$B:$B, BP$2, 'Bucket Counts'!$A:$A, "="&amp;$A44,  'Bucket Counts'!$F:$F, "100 Morts"))</f>
        <v>0</v>
      </c>
      <c r="BQ44" s="116">
        <f>(SUMIFS('Bucket Counts'!$P:$P, 'Bucket Counts'!$B:$B, BQ$2, 'Bucket Counts'!$A:$A, "="&amp;$A44,  'Bucket Counts'!$F:$F, "224"))</f>
        <v>0</v>
      </c>
      <c r="BR44" s="116"/>
      <c r="BS44" s="426">
        <f>(BQ44+BO44)/BT43</f>
        <v>0</v>
      </c>
      <c r="BT44" s="370">
        <f>BO43+SUM(BN43:BN44)</f>
        <v>45833.333333333328</v>
      </c>
      <c r="BU44" s="369">
        <f>SUMIFS(Collection!$O:$O, Collection!$K:$K, BU$2, Collection!$A:$A, "="&amp;$A44)</f>
        <v>0</v>
      </c>
      <c r="BV44" s="116">
        <f>(SUMIFS('Bucket Counts'!$P:$P, 'Bucket Counts'!$B:$B, BV$2, 'Bucket Counts'!$A:$A, "="&amp;$A44,  'Bucket Counts'!$F:$F, "&lt;&gt;100 Morts",  'Bucket Counts'!$F:$F, "&lt;&gt;224"))</f>
        <v>0</v>
      </c>
      <c r="BW44" s="116">
        <f>(SUMIFS('Bucket Counts'!$P:$P, 'Bucket Counts'!$B:$B, BW$2, 'Bucket Counts'!$A:$A, "="&amp;$A44,  'Bucket Counts'!$F:$F, "100 Morts"))</f>
        <v>0</v>
      </c>
      <c r="BX44" s="116">
        <f>(SUMIFS('Bucket Counts'!$P:$P, 'Bucket Counts'!$B:$B, BX$2, 'Bucket Counts'!$A:$A, "="&amp;$A44,  'Bucket Counts'!$F:$F, "224"))</f>
        <v>0</v>
      </c>
      <c r="BY44" s="116"/>
      <c r="BZ44" s="426">
        <f>(BX44+BV44)/CA43</f>
        <v>0</v>
      </c>
      <c r="CA44" s="370">
        <f>BV43+SUM(BU43:BU44)</f>
        <v>27800</v>
      </c>
      <c r="CB44" s="369">
        <f>SUMIFS(Collection!$O:$O, Collection!$K:$K, CB$2, Collection!$A:$A, "="&amp;$A44)</f>
        <v>0</v>
      </c>
      <c r="CC44" s="116">
        <f>(SUMIFS('Bucket Counts'!$P:$P, 'Bucket Counts'!$B:$B, CC$2, 'Bucket Counts'!$A:$A, "="&amp;$A44,  'Bucket Counts'!$F:$F, "&lt;&gt;100 Morts",  'Bucket Counts'!$F:$F, "&lt;&gt;224"))</f>
        <v>0</v>
      </c>
      <c r="CD44" s="116">
        <f>(SUMIFS('Bucket Counts'!$P:$P, 'Bucket Counts'!$B:$B, CD$2, 'Bucket Counts'!$A:$A, "="&amp;$A44,  'Bucket Counts'!$F:$F, "100 Morts"))</f>
        <v>0</v>
      </c>
      <c r="CE44" s="116">
        <f>(SUMIFS('Bucket Counts'!$P:$P, 'Bucket Counts'!$B:$B, CE$2, 'Bucket Counts'!$A:$A, "="&amp;$A44,  'Bucket Counts'!$F:$F, "224"))</f>
        <v>0</v>
      </c>
      <c r="CF44" s="116"/>
      <c r="CG44" s="426">
        <f>(CE44+CC44)/CH43</f>
        <v>0</v>
      </c>
      <c r="CH44" s="370">
        <f>CC43+SUM(CB43:CB44)</f>
        <v>26160</v>
      </c>
      <c r="CI44" s="369">
        <f>SUMIFS(Collection!$O:$O, Collection!$K:$K, CI$2, Collection!$A:$A, "="&amp;$A44)</f>
        <v>0</v>
      </c>
      <c r="CJ44" s="116">
        <f>(SUMIFS('Bucket Counts'!$P:$P, 'Bucket Counts'!$B:$B, CJ$2, 'Bucket Counts'!$A:$A, "="&amp;$A44,  'Bucket Counts'!$F:$F, "&lt;&gt;100 Morts",  'Bucket Counts'!$F:$F, "&lt;&gt;224"))</f>
        <v>0</v>
      </c>
      <c r="CK44" s="116">
        <f>(SUMIFS('Bucket Counts'!$P:$P, 'Bucket Counts'!$B:$B, CK$2, 'Bucket Counts'!$A:$A, "="&amp;$A44,  'Bucket Counts'!$F:$F, "100 Morts"))</f>
        <v>0</v>
      </c>
      <c r="CL44" s="116">
        <f>(SUMIFS('Bucket Counts'!$P:$P, 'Bucket Counts'!$B:$B, CL$2, 'Bucket Counts'!$A:$A, "="&amp;$A44,  'Bucket Counts'!$F:$F, "224"))</f>
        <v>0</v>
      </c>
      <c r="CM44" s="116"/>
      <c r="CN44" s="426">
        <f>(CL44+CJ44)/CO43</f>
        <v>0</v>
      </c>
      <c r="CO44" s="370">
        <f>CJ43+SUM(CI43:CI44)</f>
        <v>11090</v>
      </c>
      <c r="CP44" s="369">
        <f>SUMIFS(Collection!$O:$O, Collection!$K:$K, CP$2, Collection!$A:$A, "="&amp;$A44)</f>
        <v>0</v>
      </c>
      <c r="CQ44" s="116">
        <f>(SUMIFS('Bucket Counts'!$P:$P, 'Bucket Counts'!$B:$B, CQ$2, 'Bucket Counts'!$A:$A, "="&amp;$A44,  'Bucket Counts'!$F:$F, "&lt;&gt;100 Morts",  'Bucket Counts'!$F:$F, "&lt;&gt;224"))</f>
        <v>0</v>
      </c>
      <c r="CR44" s="116">
        <f>(SUMIFS('Bucket Counts'!$P:$P, 'Bucket Counts'!$B:$B, CR$2, 'Bucket Counts'!$A:$A, "="&amp;$A44,  'Bucket Counts'!$F:$F, "100 Morts"))</f>
        <v>0</v>
      </c>
      <c r="CS44" s="116">
        <f>(SUMIFS('Bucket Counts'!$P:$P, 'Bucket Counts'!$B:$B, CS$2, 'Bucket Counts'!$A:$A, "="&amp;$A44,  'Bucket Counts'!$F:$F, "224"))</f>
        <v>0</v>
      </c>
      <c r="CT44" s="116"/>
      <c r="CU44" s="426">
        <f>(CS44+CQ44)/CV43</f>
        <v>0</v>
      </c>
      <c r="CV44" s="370">
        <f>CQ43+SUM(CP43:CP44)</f>
        <v>6405</v>
      </c>
      <c r="CW44" s="369">
        <f>SUMIFS(Collection!$O:$O, Collection!$K:$K, CW$2, Collection!$A:$A, "="&amp;$A44)</f>
        <v>0</v>
      </c>
      <c r="CX44" s="116">
        <f>(SUMIFS('Bucket Counts'!$P:$P, 'Bucket Counts'!$B:$B, CX$2, 'Bucket Counts'!$A:$A, "="&amp;$A44,  'Bucket Counts'!$F:$F, "&lt;&gt;100 Morts",  'Bucket Counts'!$F:$F, "&lt;&gt;224"))</f>
        <v>0</v>
      </c>
      <c r="CY44" s="116">
        <f>(SUMIFS('Bucket Counts'!$P:$P, 'Bucket Counts'!$B:$B, CY$2, 'Bucket Counts'!$A:$A, "="&amp;$A44,  'Bucket Counts'!$F:$F, "100 Morts"))</f>
        <v>0</v>
      </c>
      <c r="CZ44" s="116">
        <f>(SUMIFS('Bucket Counts'!$P:$P, 'Bucket Counts'!$B:$B, CZ$2, 'Bucket Counts'!$A:$A, "="&amp;$A44,  'Bucket Counts'!$F:$F, "224"))</f>
        <v>0</v>
      </c>
      <c r="DA44" s="116"/>
      <c r="DB44" s="426">
        <f>(CZ44+CX44)/DC43</f>
        <v>0</v>
      </c>
      <c r="DC44" s="370">
        <f>CX43+SUM(CW43:CW44)</f>
        <v>40400</v>
      </c>
      <c r="DD44" s="369">
        <f>SUMIFS(Collection!$O:$O, Collection!$K:$K, DD$2, Collection!$A:$A, "="&amp;$A44)</f>
        <v>0</v>
      </c>
      <c r="DE44" s="116">
        <f>(SUMIFS('Bucket Counts'!$P:$P, 'Bucket Counts'!$B:$B, DE$2, 'Bucket Counts'!$A:$A, "="&amp;$A44,  'Bucket Counts'!$F:$F, "&lt;&gt;100 Morts",  'Bucket Counts'!$F:$F, "&lt;&gt;224"))</f>
        <v>0</v>
      </c>
      <c r="DF44" s="116">
        <f>(SUMIFS('Bucket Counts'!$P:$P, 'Bucket Counts'!$B:$B, DF$2, 'Bucket Counts'!$A:$A, "="&amp;$A44,  'Bucket Counts'!$F:$F, "100 Morts"))</f>
        <v>0</v>
      </c>
      <c r="DG44" s="116">
        <f>(SUMIFS('Bucket Counts'!$P:$P, 'Bucket Counts'!$B:$B, DG$2, 'Bucket Counts'!$A:$A, "="&amp;$A44,  'Bucket Counts'!$F:$F, "224"))</f>
        <v>0</v>
      </c>
      <c r="DH44" s="116"/>
      <c r="DI44" s="426">
        <f>(DG44+DE44)/DJ43</f>
        <v>0</v>
      </c>
      <c r="DJ44" s="370">
        <f>DE43+SUM(DD43:DD44)</f>
        <v>17900</v>
      </c>
      <c r="DK44" s="369">
        <f>SUMIFS(Collection!$O:$O, Collection!$K:$K, DK$2, Collection!$A:$A, "="&amp;$A44)</f>
        <v>0</v>
      </c>
      <c r="DL44" s="116">
        <f>(SUMIFS('Bucket Counts'!$P:$P, 'Bucket Counts'!$B:$B, DL$2, 'Bucket Counts'!$A:$A, "="&amp;$A44,  'Bucket Counts'!$F:$F, "&lt;&gt;100 Morts",  'Bucket Counts'!$F:$F, "&lt;&gt;224"))</f>
        <v>0</v>
      </c>
      <c r="DM44" s="116">
        <f>(SUMIFS('Bucket Counts'!$P:$P, 'Bucket Counts'!$B:$B, DM$2, 'Bucket Counts'!$A:$A, "="&amp;$A44,  'Bucket Counts'!$F:$F, "100 Morts"))</f>
        <v>0</v>
      </c>
      <c r="DN44" s="116">
        <f>(SUMIFS('Bucket Counts'!$P:$P, 'Bucket Counts'!$B:$B, DN$2, 'Bucket Counts'!$A:$A, "="&amp;$A44,  'Bucket Counts'!$F:$F, "224"))</f>
        <v>0</v>
      </c>
      <c r="DO44" s="116"/>
      <c r="DP44" s="426" t="e">
        <f>(DN44+DL44)/DQ43</f>
        <v>#DIV/0!</v>
      </c>
      <c r="DQ44" s="370">
        <f>DL43+SUM(DK43:DK44)</f>
        <v>0</v>
      </c>
      <c r="DR44" s="369">
        <f>SUMIFS(Collection!$O:$O, Collection!$K:$K, DR$2, Collection!$A:$A, "="&amp;$A44)</f>
        <v>0</v>
      </c>
      <c r="DS44" s="116">
        <f>(SUMIFS('Bucket Counts'!$P:$P, 'Bucket Counts'!$B:$B, DS$2, 'Bucket Counts'!$A:$A, "="&amp;$A44,  'Bucket Counts'!$F:$F, "&lt;&gt;100 Morts",  'Bucket Counts'!$F:$F, "&lt;&gt;224"))</f>
        <v>0</v>
      </c>
      <c r="DT44" s="116">
        <f>(SUMIFS('Bucket Counts'!$P:$P, 'Bucket Counts'!$B:$B, DT$2, 'Bucket Counts'!$A:$A, "="&amp;$A44,  'Bucket Counts'!$F:$F, "100 Morts"))</f>
        <v>0</v>
      </c>
      <c r="DU44" s="116">
        <f>(SUMIFS('Bucket Counts'!$P:$P, 'Bucket Counts'!$B:$B, DU$2, 'Bucket Counts'!$A:$A, "="&amp;$A44,  'Bucket Counts'!$F:$F, "224"))</f>
        <v>0</v>
      </c>
      <c r="DV44" s="116"/>
      <c r="DW44" s="426" t="e">
        <f>(DU44+DS44)/DX43</f>
        <v>#DIV/0!</v>
      </c>
      <c r="DX44" s="370">
        <f>DS43+SUM(DR43:DR44)</f>
        <v>0</v>
      </c>
      <c r="DY44" s="369">
        <f>SUMIFS(Collection!$O:$O, Collection!$K:$K, DY$2, Collection!$A:$A, "="&amp;$A44)</f>
        <v>0</v>
      </c>
      <c r="DZ44" s="116">
        <f>(SUMIFS('Bucket Counts'!$P:$P, 'Bucket Counts'!$B:$B, DZ$2, 'Bucket Counts'!$A:$A, "="&amp;$A44,  'Bucket Counts'!$F:$F, "&lt;&gt;100 Morts",  'Bucket Counts'!$F:$F, "&lt;&gt;224"))</f>
        <v>0</v>
      </c>
      <c r="EA44" s="116">
        <f>(SUMIFS('Bucket Counts'!$P:$P, 'Bucket Counts'!$B:$B, EA$2, 'Bucket Counts'!$A:$A, "="&amp;$A44,  'Bucket Counts'!$F:$F, "100 Morts"))</f>
        <v>0</v>
      </c>
      <c r="EB44" s="116">
        <f>(SUMIFS('Bucket Counts'!$P:$P, 'Bucket Counts'!$B:$B, EB$2, 'Bucket Counts'!$A:$A, "="&amp;$A44,  'Bucket Counts'!$F:$F, "224"))</f>
        <v>0</v>
      </c>
      <c r="EC44" s="116"/>
      <c r="ED44" s="426" t="e">
        <f>(EB44+DZ44)/EE43</f>
        <v>#DIV/0!</v>
      </c>
      <c r="EE44" s="370">
        <f>DZ43+SUM(DY43:DY44)</f>
        <v>0</v>
      </c>
      <c r="EF44" s="369">
        <f>SUMIFS(Collection!$O:$O, Collection!$K:$K, EF$2, Collection!$A:$A, "="&amp;$A44)</f>
        <v>0</v>
      </c>
      <c r="EG44" s="116">
        <f>(SUMIFS('Bucket Counts'!$P:$P, 'Bucket Counts'!$B:$B, EG$2, 'Bucket Counts'!$A:$A, "="&amp;$A44,  'Bucket Counts'!$F:$F, "&lt;&gt;100 Morts",  'Bucket Counts'!$F:$F, "&lt;&gt;224"))</f>
        <v>0</v>
      </c>
      <c r="EH44" s="116">
        <f>(SUMIFS('Bucket Counts'!$P:$P, 'Bucket Counts'!$B:$B, EH$2, 'Bucket Counts'!$A:$A, "="&amp;$A44,  'Bucket Counts'!$F:$F, "100 Morts"))</f>
        <v>0</v>
      </c>
      <c r="EI44" s="116">
        <f>(SUMIFS('Bucket Counts'!$P:$P, 'Bucket Counts'!$B:$B, EI$2, 'Bucket Counts'!$A:$A, "="&amp;$A44,  'Bucket Counts'!$F:$F, "224"))</f>
        <v>0</v>
      </c>
      <c r="EJ44" s="116"/>
      <c r="EK44" s="426" t="e">
        <f>(EI44+EG44)/EL43</f>
        <v>#DIV/0!</v>
      </c>
      <c r="EL44" s="370">
        <f>EG43+SUM(EF43:EF44)</f>
        <v>0</v>
      </c>
    </row>
    <row r="45" spans="1:142" x14ac:dyDescent="0.2">
      <c r="A45" s="16">
        <f t="shared" si="0"/>
        <v>42914</v>
      </c>
      <c r="B45" s="16" t="s">
        <v>487</v>
      </c>
      <c r="C45" s="369">
        <f>SUMIFS(Collection!$O:$O, Collection!$K:$K, C$2, Collection!$A:$A, "="&amp;$A45)</f>
        <v>0</v>
      </c>
      <c r="D45" s="116">
        <f>(SUMIFS('Bucket Counts'!$P:$P, 'Bucket Counts'!$B:$B, D$2, 'Bucket Counts'!$A:$A, "="&amp;$A45,  'Bucket Counts'!$F:$F, "&lt;&gt;100 Morts",  'Bucket Counts'!$F:$F, "&lt;&gt;224"))</f>
        <v>0</v>
      </c>
      <c r="E45" s="116">
        <f>(SUMIFS('Bucket Counts'!$P:$P, 'Bucket Counts'!$B:$B, E$2, 'Bucket Counts'!$A:$A, "="&amp;$A45,  'Bucket Counts'!$F:$F, "100 Morts"))</f>
        <v>0</v>
      </c>
      <c r="F45" s="116">
        <f>(SUMIFS('Bucket Counts'!$P:$P, 'Bucket Counts'!$B:$B, F$2, 'Bucket Counts'!$A:$A, "="&amp;$A45,  'Bucket Counts'!$F:$F, "224"))</f>
        <v>0</v>
      </c>
      <c r="G45" s="116"/>
      <c r="H45" s="426">
        <f>(F45+D45)/I44</f>
        <v>0</v>
      </c>
      <c r="I45" s="370">
        <f>D43+SUM(C43:C45)</f>
        <v>8350</v>
      </c>
      <c r="J45" s="369">
        <f>SUMIFS(Collection!$O:$O, Collection!$K:$K, J$2, Collection!$A:$A, "="&amp;$A45)</f>
        <v>0</v>
      </c>
      <c r="K45" s="116">
        <f>(SUMIFS('Bucket Counts'!$P:$P, 'Bucket Counts'!$B:$B, K$2, 'Bucket Counts'!$A:$A, "="&amp;$A45,  'Bucket Counts'!$F:$F, "&lt;&gt;100 Morts",  'Bucket Counts'!$F:$F, "&lt;&gt;224"))</f>
        <v>0</v>
      </c>
      <c r="L45" s="116">
        <f>(SUMIFS('Bucket Counts'!$P:$P, 'Bucket Counts'!$B:$B, L$2, 'Bucket Counts'!$A:$A, "="&amp;$A45,  'Bucket Counts'!$F:$F, "100 Morts"))</f>
        <v>0</v>
      </c>
      <c r="M45" s="116">
        <f>(SUMIFS('Bucket Counts'!$P:$P, 'Bucket Counts'!$B:$B, M$2, 'Bucket Counts'!$A:$A, "="&amp;$A45,  'Bucket Counts'!$F:$F, "224"))</f>
        <v>0</v>
      </c>
      <c r="N45" s="116"/>
      <c r="O45" s="426">
        <f>(M45+K45)/P44</f>
        <v>0</v>
      </c>
      <c r="P45" s="370">
        <f>K43+SUM(J43:J45)</f>
        <v>246.66666666666666</v>
      </c>
      <c r="Q45" s="369">
        <f>SUMIFS(Collection!$O:$O, Collection!$K:$K, Q$2, Collection!$A:$A, "="&amp;$A45)</f>
        <v>0</v>
      </c>
      <c r="R45" s="116">
        <f>(SUMIFS('Bucket Counts'!$P:$P, 'Bucket Counts'!$B:$B, R$2, 'Bucket Counts'!$A:$A, "="&amp;$A45,  'Bucket Counts'!$F:$F, "&lt;&gt;100 Morts",  'Bucket Counts'!$F:$F, "&lt;&gt;224"))</f>
        <v>0</v>
      </c>
      <c r="S45" s="116">
        <f>(SUMIFS('Bucket Counts'!$P:$P, 'Bucket Counts'!$B:$B, S$2, 'Bucket Counts'!$A:$A, "="&amp;$A45,  'Bucket Counts'!$F:$F, "100 Morts"))</f>
        <v>0</v>
      </c>
      <c r="T45" s="116">
        <f>(SUMIFS('Bucket Counts'!$P:$P, 'Bucket Counts'!$B:$B, T$2, 'Bucket Counts'!$A:$A, "="&amp;$A45,  'Bucket Counts'!$F:$F, "224"))</f>
        <v>0</v>
      </c>
      <c r="U45" s="116"/>
      <c r="V45" s="426">
        <f>(T45+R45)/W44</f>
        <v>0</v>
      </c>
      <c r="W45" s="370">
        <f>R43+SUM(Q43:Q45)</f>
        <v>3403.333333333333</v>
      </c>
      <c r="X45" s="369">
        <f>SUMIFS(Collection!$O:$O, Collection!$K:$K, X$2, Collection!$A:$A, "="&amp;$A45)</f>
        <v>0</v>
      </c>
      <c r="Y45" s="116">
        <f>(SUMIFS('Bucket Counts'!$P:$P, 'Bucket Counts'!$B:$B, Y$2, 'Bucket Counts'!$A:$A, "="&amp;$A45,  'Bucket Counts'!$F:$F, "&lt;&gt;100 Morts",  'Bucket Counts'!$F:$F, "&lt;&gt;224"))</f>
        <v>0</v>
      </c>
      <c r="Z45" s="116">
        <f>(SUMIFS('Bucket Counts'!$P:$P, 'Bucket Counts'!$B:$B, Z$2, 'Bucket Counts'!$A:$A, "="&amp;$A45,  'Bucket Counts'!$F:$F, "100 Morts"))</f>
        <v>0</v>
      </c>
      <c r="AA45" s="116">
        <f>(SUMIFS('Bucket Counts'!$P:$P, 'Bucket Counts'!$B:$B, AA$2, 'Bucket Counts'!$A:$A, "="&amp;$A45,  'Bucket Counts'!$F:$F, "224"))</f>
        <v>0</v>
      </c>
      <c r="AB45" s="116"/>
      <c r="AC45" s="426">
        <f>(AA45+Y45)/AD44</f>
        <v>0</v>
      </c>
      <c r="AD45" s="370">
        <f>Y43+SUM(X43:X45)</f>
        <v>46816.666666666672</v>
      </c>
      <c r="AE45" s="369">
        <f>SUMIFS(Collection!$O:$O, Collection!$K:$K, AE$2, Collection!$A:$A, "="&amp;$A45)</f>
        <v>0</v>
      </c>
      <c r="AF45" s="116">
        <f>(SUMIFS('Bucket Counts'!$P:$P, 'Bucket Counts'!$B:$B, AF$2, 'Bucket Counts'!$A:$A, "="&amp;$A45,  'Bucket Counts'!$F:$F, "&lt;&gt;100 Morts",  'Bucket Counts'!$F:$F, "&lt;&gt;224"))</f>
        <v>0</v>
      </c>
      <c r="AG45" s="116">
        <f>(SUMIFS('Bucket Counts'!$P:$P, 'Bucket Counts'!$B:$B, AG$2, 'Bucket Counts'!$A:$A, "="&amp;$A45,  'Bucket Counts'!$F:$F, "100 Morts"))</f>
        <v>0</v>
      </c>
      <c r="AH45" s="116">
        <f>(SUMIFS('Bucket Counts'!$P:$P, 'Bucket Counts'!$B:$B, AH$2, 'Bucket Counts'!$A:$A, "="&amp;$A45,  'Bucket Counts'!$F:$F, "224"))</f>
        <v>0</v>
      </c>
      <c r="AI45" s="116"/>
      <c r="AJ45" s="426">
        <f>(AH45+AF45)/AK44</f>
        <v>0</v>
      </c>
      <c r="AK45" s="370">
        <f>AF43+SUM(AE43:AE45)</f>
        <v>450</v>
      </c>
      <c r="AL45" s="369">
        <f>SUMIFS(Collection!$O:$O, Collection!$K:$K, AL$2, Collection!$A:$A, "="&amp;$A45)</f>
        <v>0</v>
      </c>
      <c r="AM45" s="116">
        <f>(SUMIFS('Bucket Counts'!$P:$P, 'Bucket Counts'!$B:$B, AM$2, 'Bucket Counts'!$A:$A, "="&amp;$A45,  'Bucket Counts'!$F:$F, "&lt;&gt;100 Morts",  'Bucket Counts'!$F:$F, "&lt;&gt;224"))</f>
        <v>0</v>
      </c>
      <c r="AN45" s="116">
        <f>(SUMIFS('Bucket Counts'!$P:$P, 'Bucket Counts'!$B:$B, AN$2, 'Bucket Counts'!$A:$A, "="&amp;$A45,  'Bucket Counts'!$F:$F, "100 Morts"))</f>
        <v>0</v>
      </c>
      <c r="AO45" s="116">
        <f>(SUMIFS('Bucket Counts'!$P:$P, 'Bucket Counts'!$B:$B, AO$2, 'Bucket Counts'!$A:$A, "="&amp;$A45,  'Bucket Counts'!$F:$F, "224"))</f>
        <v>0</v>
      </c>
      <c r="AP45" s="116"/>
      <c r="AQ45" s="426">
        <f>(AO45+AM45)/AR44</f>
        <v>0</v>
      </c>
      <c r="AR45" s="370">
        <f>AM43+SUM(AL43:AL45)</f>
        <v>28746.666666666664</v>
      </c>
      <c r="AS45" s="369">
        <f>SUMIFS(Collection!$O:$O, Collection!$K:$K, AS$2, Collection!$A:$A, "="&amp;$A45)</f>
        <v>0</v>
      </c>
      <c r="AT45" s="116">
        <f>(SUMIFS('Bucket Counts'!$P:$P, 'Bucket Counts'!$B:$B, AT$2, 'Bucket Counts'!$A:$A, "="&amp;$A45,  'Bucket Counts'!$F:$F, "&lt;&gt;100 Morts",  'Bucket Counts'!$F:$F, "&lt;&gt;224"))</f>
        <v>0</v>
      </c>
      <c r="AU45" s="116">
        <f>(SUMIFS('Bucket Counts'!$P:$P, 'Bucket Counts'!$B:$B, AU$2, 'Bucket Counts'!$A:$A, "="&amp;$A45,  'Bucket Counts'!$F:$F, "100 Morts"))</f>
        <v>0</v>
      </c>
      <c r="AV45" s="116">
        <f>(SUMIFS('Bucket Counts'!$P:$P, 'Bucket Counts'!$B:$B, AV$2, 'Bucket Counts'!$A:$A, "="&amp;$A45,  'Bucket Counts'!$F:$F, "224"))</f>
        <v>0</v>
      </c>
      <c r="AW45" s="116"/>
      <c r="AX45" s="426">
        <f>(AV45+AT45)/AY44</f>
        <v>0</v>
      </c>
      <c r="AY45" s="370">
        <f>AT43+SUM(AS43:AS45)</f>
        <v>34746.666666666664</v>
      </c>
      <c r="AZ45" s="369">
        <f>SUMIFS(Collection!$O:$O, Collection!$K:$K, AZ$2, Collection!$A:$A, "="&amp;$A45)</f>
        <v>0</v>
      </c>
      <c r="BA45" s="116">
        <f>(SUMIFS('Bucket Counts'!$P:$P, 'Bucket Counts'!$B:$B, BA$2, 'Bucket Counts'!$A:$A, "="&amp;$A45,  'Bucket Counts'!$F:$F, "&lt;&gt;100 Morts",  'Bucket Counts'!$F:$F, "&lt;&gt;224"))</f>
        <v>0</v>
      </c>
      <c r="BB45" s="116">
        <f>(SUMIFS('Bucket Counts'!$P:$P, 'Bucket Counts'!$B:$B, BB$2, 'Bucket Counts'!$A:$A, "="&amp;$A45,  'Bucket Counts'!$F:$F, "100 Morts"))</f>
        <v>0</v>
      </c>
      <c r="BC45" s="116">
        <f>(SUMIFS('Bucket Counts'!$P:$P, 'Bucket Counts'!$B:$B, BC$2, 'Bucket Counts'!$A:$A, "="&amp;$A45,  'Bucket Counts'!$F:$F, "224"))</f>
        <v>0</v>
      </c>
      <c r="BD45" s="116"/>
      <c r="BE45" s="426">
        <f>(BC45+BA45)/BF44</f>
        <v>0</v>
      </c>
      <c r="BF45" s="370">
        <f>BA43+SUM(AZ43:AZ45)</f>
        <v>6060</v>
      </c>
      <c r="BG45" s="369">
        <f>SUMIFS(Collection!$O:$O, Collection!$K:$K, BG$2, Collection!$A:$A, "="&amp;$A45)</f>
        <v>0</v>
      </c>
      <c r="BH45" s="116">
        <f>(SUMIFS('Bucket Counts'!$P:$P, 'Bucket Counts'!$B:$B, BH$2, 'Bucket Counts'!$A:$A, "="&amp;$A45,  'Bucket Counts'!$F:$F, "&lt;&gt;100 Morts",  'Bucket Counts'!$F:$F, "&lt;&gt;224"))</f>
        <v>0</v>
      </c>
      <c r="BI45" s="116">
        <f>(SUMIFS('Bucket Counts'!$P:$P, 'Bucket Counts'!$B:$B, BI$2, 'Bucket Counts'!$A:$A, "="&amp;$A45,  'Bucket Counts'!$F:$F, "100 Morts"))</f>
        <v>0</v>
      </c>
      <c r="BJ45" s="116">
        <f>(SUMIFS('Bucket Counts'!$P:$P, 'Bucket Counts'!$B:$B, BJ$2, 'Bucket Counts'!$A:$A, "="&amp;$A45,  'Bucket Counts'!$F:$F, "224"))</f>
        <v>0</v>
      </c>
      <c r="BK45" s="116"/>
      <c r="BL45" s="426">
        <f>(BJ45+BH45)/BM44</f>
        <v>0</v>
      </c>
      <c r="BM45" s="370">
        <f>BH43+SUM(BG43:BG45)</f>
        <v>23446.666666666668</v>
      </c>
      <c r="BN45" s="369">
        <f>SUMIFS(Collection!$O:$O, Collection!$K:$K, BN$2, Collection!$A:$A, "="&amp;$A45)</f>
        <v>0</v>
      </c>
      <c r="BO45" s="116">
        <f>(SUMIFS('Bucket Counts'!$P:$P, 'Bucket Counts'!$B:$B, BO$2, 'Bucket Counts'!$A:$A, "="&amp;$A45,  'Bucket Counts'!$F:$F, "&lt;&gt;100 Morts",  'Bucket Counts'!$F:$F, "&lt;&gt;224"))</f>
        <v>0</v>
      </c>
      <c r="BP45" s="116">
        <f>(SUMIFS('Bucket Counts'!$P:$P, 'Bucket Counts'!$B:$B, BP$2, 'Bucket Counts'!$A:$A, "="&amp;$A45,  'Bucket Counts'!$F:$F, "100 Morts"))</f>
        <v>0</v>
      </c>
      <c r="BQ45" s="116">
        <f>(SUMIFS('Bucket Counts'!$P:$P, 'Bucket Counts'!$B:$B, BQ$2, 'Bucket Counts'!$A:$A, "="&amp;$A45,  'Bucket Counts'!$F:$F, "224"))</f>
        <v>0</v>
      </c>
      <c r="BR45" s="116"/>
      <c r="BS45" s="426">
        <f>(BQ45+BO45)/BT44</f>
        <v>0</v>
      </c>
      <c r="BT45" s="370">
        <f>BO43+SUM(BN43:BN45)</f>
        <v>45833.333333333328</v>
      </c>
      <c r="BU45" s="369">
        <f>SUMIFS(Collection!$O:$O, Collection!$K:$K, BU$2, Collection!$A:$A, "="&amp;$A45)</f>
        <v>0</v>
      </c>
      <c r="BV45" s="116">
        <f>(SUMIFS('Bucket Counts'!$P:$P, 'Bucket Counts'!$B:$B, BV$2, 'Bucket Counts'!$A:$A, "="&amp;$A45,  'Bucket Counts'!$F:$F, "&lt;&gt;100 Morts",  'Bucket Counts'!$F:$F, "&lt;&gt;224"))</f>
        <v>0</v>
      </c>
      <c r="BW45" s="116">
        <f>(SUMIFS('Bucket Counts'!$P:$P, 'Bucket Counts'!$B:$B, BW$2, 'Bucket Counts'!$A:$A, "="&amp;$A45,  'Bucket Counts'!$F:$F, "100 Morts"))</f>
        <v>0</v>
      </c>
      <c r="BX45" s="116">
        <f>(SUMIFS('Bucket Counts'!$P:$P, 'Bucket Counts'!$B:$B, BX$2, 'Bucket Counts'!$A:$A, "="&amp;$A45,  'Bucket Counts'!$F:$F, "224"))</f>
        <v>0</v>
      </c>
      <c r="BY45" s="116"/>
      <c r="BZ45" s="426">
        <f>(BX45+BV45)/CA44</f>
        <v>0</v>
      </c>
      <c r="CA45" s="370">
        <f>BV43+SUM(BU43:BU45)</f>
        <v>27800</v>
      </c>
      <c r="CB45" s="369">
        <f>SUMIFS(Collection!$O:$O, Collection!$K:$K, CB$2, Collection!$A:$A, "="&amp;$A45)</f>
        <v>0</v>
      </c>
      <c r="CC45" s="116">
        <f>(SUMIFS('Bucket Counts'!$P:$P, 'Bucket Counts'!$B:$B, CC$2, 'Bucket Counts'!$A:$A, "="&amp;$A45,  'Bucket Counts'!$F:$F, "&lt;&gt;100 Morts",  'Bucket Counts'!$F:$F, "&lt;&gt;224"))</f>
        <v>0</v>
      </c>
      <c r="CD45" s="116">
        <f>(SUMIFS('Bucket Counts'!$P:$P, 'Bucket Counts'!$B:$B, CD$2, 'Bucket Counts'!$A:$A, "="&amp;$A45,  'Bucket Counts'!$F:$F, "100 Morts"))</f>
        <v>0</v>
      </c>
      <c r="CE45" s="116">
        <f>(SUMIFS('Bucket Counts'!$P:$P, 'Bucket Counts'!$B:$B, CE$2, 'Bucket Counts'!$A:$A, "="&amp;$A45,  'Bucket Counts'!$F:$F, "224"))</f>
        <v>0</v>
      </c>
      <c r="CF45" s="116"/>
      <c r="CG45" s="426">
        <f>(CE45+CC45)/CH44</f>
        <v>0</v>
      </c>
      <c r="CH45" s="370">
        <f>CC43+SUM(CB43:CB45)</f>
        <v>26160</v>
      </c>
      <c r="CI45" s="369">
        <f>SUMIFS(Collection!$O:$O, Collection!$K:$K, CI$2, Collection!$A:$A, "="&amp;$A45)</f>
        <v>0</v>
      </c>
      <c r="CJ45" s="116">
        <f>(SUMIFS('Bucket Counts'!$P:$P, 'Bucket Counts'!$B:$B, CJ$2, 'Bucket Counts'!$A:$A, "="&amp;$A45,  'Bucket Counts'!$F:$F, "&lt;&gt;100 Morts",  'Bucket Counts'!$F:$F, "&lt;&gt;224"))</f>
        <v>0</v>
      </c>
      <c r="CK45" s="116">
        <f>(SUMIFS('Bucket Counts'!$P:$P, 'Bucket Counts'!$B:$B, CK$2, 'Bucket Counts'!$A:$A, "="&amp;$A45,  'Bucket Counts'!$F:$F, "100 Morts"))</f>
        <v>0</v>
      </c>
      <c r="CL45" s="116">
        <f>(SUMIFS('Bucket Counts'!$P:$P, 'Bucket Counts'!$B:$B, CL$2, 'Bucket Counts'!$A:$A, "="&amp;$A45,  'Bucket Counts'!$F:$F, "224"))</f>
        <v>0</v>
      </c>
      <c r="CM45" s="116"/>
      <c r="CN45" s="426">
        <f>(CL45+CJ45)/CO44</f>
        <v>0</v>
      </c>
      <c r="CO45" s="370">
        <f>CJ43+SUM(CI43:CI45)</f>
        <v>11090</v>
      </c>
      <c r="CP45" s="369">
        <f>SUMIFS(Collection!$O:$O, Collection!$K:$K, CP$2, Collection!$A:$A, "="&amp;$A45)</f>
        <v>0</v>
      </c>
      <c r="CQ45" s="116">
        <f>(SUMIFS('Bucket Counts'!$P:$P, 'Bucket Counts'!$B:$B, CQ$2, 'Bucket Counts'!$A:$A, "="&amp;$A45,  'Bucket Counts'!$F:$F, "&lt;&gt;100 Morts",  'Bucket Counts'!$F:$F, "&lt;&gt;224"))</f>
        <v>0</v>
      </c>
      <c r="CR45" s="116">
        <f>(SUMIFS('Bucket Counts'!$P:$P, 'Bucket Counts'!$B:$B, CR$2, 'Bucket Counts'!$A:$A, "="&amp;$A45,  'Bucket Counts'!$F:$F, "100 Morts"))</f>
        <v>0</v>
      </c>
      <c r="CS45" s="116">
        <f>(SUMIFS('Bucket Counts'!$P:$P, 'Bucket Counts'!$B:$B, CS$2, 'Bucket Counts'!$A:$A, "="&amp;$A45,  'Bucket Counts'!$F:$F, "224"))</f>
        <v>0</v>
      </c>
      <c r="CT45" s="116"/>
      <c r="CU45" s="426">
        <f>(CS45+CQ45)/CV44</f>
        <v>0</v>
      </c>
      <c r="CV45" s="370">
        <f>CQ43+SUM(CP43:CP45)</f>
        <v>6405</v>
      </c>
      <c r="CW45" s="369">
        <f>SUMIFS(Collection!$O:$O, Collection!$K:$K, CW$2, Collection!$A:$A, "="&amp;$A45)</f>
        <v>0</v>
      </c>
      <c r="CX45" s="116">
        <f>(SUMIFS('Bucket Counts'!$P:$P, 'Bucket Counts'!$B:$B, CX$2, 'Bucket Counts'!$A:$A, "="&amp;$A45,  'Bucket Counts'!$F:$F, "&lt;&gt;100 Morts",  'Bucket Counts'!$F:$F, "&lt;&gt;224"))</f>
        <v>0</v>
      </c>
      <c r="CY45" s="116">
        <f>(SUMIFS('Bucket Counts'!$P:$P, 'Bucket Counts'!$B:$B, CY$2, 'Bucket Counts'!$A:$A, "="&amp;$A45,  'Bucket Counts'!$F:$F, "100 Morts"))</f>
        <v>0</v>
      </c>
      <c r="CZ45" s="116">
        <f>(SUMIFS('Bucket Counts'!$P:$P, 'Bucket Counts'!$B:$B, CZ$2, 'Bucket Counts'!$A:$A, "="&amp;$A45,  'Bucket Counts'!$F:$F, "224"))</f>
        <v>0</v>
      </c>
      <c r="DA45" s="116"/>
      <c r="DB45" s="426">
        <f>(CZ45+CX45)/DC44</f>
        <v>0</v>
      </c>
      <c r="DC45" s="370">
        <f>CX43+SUM(CW43:CW45)</f>
        <v>40400</v>
      </c>
      <c r="DD45" s="369">
        <f>SUMIFS(Collection!$O:$O, Collection!$K:$K, DD$2, Collection!$A:$A, "="&amp;$A45)</f>
        <v>0</v>
      </c>
      <c r="DE45" s="116">
        <f>(SUMIFS('Bucket Counts'!$P:$P, 'Bucket Counts'!$B:$B, DE$2, 'Bucket Counts'!$A:$A, "="&amp;$A45,  'Bucket Counts'!$F:$F, "&lt;&gt;100 Morts",  'Bucket Counts'!$F:$F, "&lt;&gt;224"))</f>
        <v>0</v>
      </c>
      <c r="DF45" s="116">
        <f>(SUMIFS('Bucket Counts'!$P:$P, 'Bucket Counts'!$B:$B, DF$2, 'Bucket Counts'!$A:$A, "="&amp;$A45,  'Bucket Counts'!$F:$F, "100 Morts"))</f>
        <v>0</v>
      </c>
      <c r="DG45" s="116">
        <f>(SUMIFS('Bucket Counts'!$P:$P, 'Bucket Counts'!$B:$B, DG$2, 'Bucket Counts'!$A:$A, "="&amp;$A45,  'Bucket Counts'!$F:$F, "224"))</f>
        <v>0</v>
      </c>
      <c r="DH45" s="116"/>
      <c r="DI45" s="426">
        <f>(DG45+DE45)/DJ44</f>
        <v>0</v>
      </c>
      <c r="DJ45" s="370">
        <f>DE43+SUM(DD43:DD45)</f>
        <v>17900</v>
      </c>
      <c r="DK45" s="369">
        <f>SUMIFS(Collection!$O:$O, Collection!$K:$K, DK$2, Collection!$A:$A, "="&amp;$A45)</f>
        <v>0</v>
      </c>
      <c r="DL45" s="116">
        <f>(SUMIFS('Bucket Counts'!$P:$P, 'Bucket Counts'!$B:$B, DL$2, 'Bucket Counts'!$A:$A, "="&amp;$A45,  'Bucket Counts'!$F:$F, "&lt;&gt;100 Morts",  'Bucket Counts'!$F:$F, "&lt;&gt;224"))</f>
        <v>0</v>
      </c>
      <c r="DM45" s="116">
        <f>(SUMIFS('Bucket Counts'!$P:$P, 'Bucket Counts'!$B:$B, DM$2, 'Bucket Counts'!$A:$A, "="&amp;$A45,  'Bucket Counts'!$F:$F, "100 Morts"))</f>
        <v>0</v>
      </c>
      <c r="DN45" s="116">
        <f>(SUMIFS('Bucket Counts'!$P:$P, 'Bucket Counts'!$B:$B, DN$2, 'Bucket Counts'!$A:$A, "="&amp;$A45,  'Bucket Counts'!$F:$F, "224"))</f>
        <v>0</v>
      </c>
      <c r="DO45" s="116"/>
      <c r="DP45" s="426" t="e">
        <f>(DN45+DL45)/DQ44</f>
        <v>#DIV/0!</v>
      </c>
      <c r="DQ45" s="370">
        <f>DL43+SUM(DK43:DK45)</f>
        <v>0</v>
      </c>
      <c r="DR45" s="369">
        <f>SUMIFS(Collection!$O:$O, Collection!$K:$K, DR$2, Collection!$A:$A, "="&amp;$A45)</f>
        <v>0</v>
      </c>
      <c r="DS45" s="116">
        <f>(SUMIFS('Bucket Counts'!$P:$P, 'Bucket Counts'!$B:$B, DS$2, 'Bucket Counts'!$A:$A, "="&amp;$A45,  'Bucket Counts'!$F:$F, "&lt;&gt;100 Morts",  'Bucket Counts'!$F:$F, "&lt;&gt;224"))</f>
        <v>0</v>
      </c>
      <c r="DT45" s="116">
        <f>(SUMIFS('Bucket Counts'!$P:$P, 'Bucket Counts'!$B:$B, DT$2, 'Bucket Counts'!$A:$A, "="&amp;$A45,  'Bucket Counts'!$F:$F, "100 Morts"))</f>
        <v>0</v>
      </c>
      <c r="DU45" s="116">
        <f>(SUMIFS('Bucket Counts'!$P:$P, 'Bucket Counts'!$B:$B, DU$2, 'Bucket Counts'!$A:$A, "="&amp;$A45,  'Bucket Counts'!$F:$F, "224"))</f>
        <v>0</v>
      </c>
      <c r="DV45" s="116"/>
      <c r="DW45" s="426" t="e">
        <f>(DU45+DS45)/DX44</f>
        <v>#DIV/0!</v>
      </c>
      <c r="DX45" s="370">
        <f>DS43+SUM(DR43:DR45)</f>
        <v>0</v>
      </c>
      <c r="DY45" s="369">
        <f>SUMIFS(Collection!$O:$O, Collection!$K:$K, DY$2, Collection!$A:$A, "="&amp;$A45)</f>
        <v>0</v>
      </c>
      <c r="DZ45" s="116">
        <f>(SUMIFS('Bucket Counts'!$P:$P, 'Bucket Counts'!$B:$B, DZ$2, 'Bucket Counts'!$A:$A, "="&amp;$A45,  'Bucket Counts'!$F:$F, "&lt;&gt;100 Morts",  'Bucket Counts'!$F:$F, "&lt;&gt;224"))</f>
        <v>0</v>
      </c>
      <c r="EA45" s="116">
        <f>(SUMIFS('Bucket Counts'!$P:$P, 'Bucket Counts'!$B:$B, EA$2, 'Bucket Counts'!$A:$A, "="&amp;$A45,  'Bucket Counts'!$F:$F, "100 Morts"))</f>
        <v>0</v>
      </c>
      <c r="EB45" s="116">
        <f>(SUMIFS('Bucket Counts'!$P:$P, 'Bucket Counts'!$B:$B, EB$2, 'Bucket Counts'!$A:$A, "="&amp;$A45,  'Bucket Counts'!$F:$F, "224"))</f>
        <v>0</v>
      </c>
      <c r="EC45" s="116"/>
      <c r="ED45" s="426" t="e">
        <f>(EB45+DZ45)/EE44</f>
        <v>#DIV/0!</v>
      </c>
      <c r="EE45" s="370">
        <f>DZ43+SUM(DY43:DY45)</f>
        <v>0</v>
      </c>
      <c r="EF45" s="369">
        <f>SUMIFS(Collection!$O:$O, Collection!$K:$K, EF$2, Collection!$A:$A, "="&amp;$A45)</f>
        <v>0</v>
      </c>
      <c r="EG45" s="116">
        <f>(SUMIFS('Bucket Counts'!$P:$P, 'Bucket Counts'!$B:$B, EG$2, 'Bucket Counts'!$A:$A, "="&amp;$A45,  'Bucket Counts'!$F:$F, "&lt;&gt;100 Morts",  'Bucket Counts'!$F:$F, "&lt;&gt;224"))</f>
        <v>0</v>
      </c>
      <c r="EH45" s="116">
        <f>(SUMIFS('Bucket Counts'!$P:$P, 'Bucket Counts'!$B:$B, EH$2, 'Bucket Counts'!$A:$A, "="&amp;$A45,  'Bucket Counts'!$F:$F, "100 Morts"))</f>
        <v>0</v>
      </c>
      <c r="EI45" s="116">
        <f>(SUMIFS('Bucket Counts'!$P:$P, 'Bucket Counts'!$B:$B, EI$2, 'Bucket Counts'!$A:$A, "="&amp;$A45,  'Bucket Counts'!$F:$F, "224"))</f>
        <v>0</v>
      </c>
      <c r="EJ45" s="116"/>
      <c r="EK45" s="426" t="e">
        <f>(EI45+EG45)/EL44</f>
        <v>#DIV/0!</v>
      </c>
      <c r="EL45" s="370">
        <f>EG43+SUM(EF43:EF45)</f>
        <v>0</v>
      </c>
    </row>
    <row r="46" spans="1:142" s="434" customFormat="1" x14ac:dyDescent="0.2">
      <c r="A46" s="428">
        <f t="shared" si="0"/>
        <v>42915</v>
      </c>
      <c r="B46" s="428" t="s">
        <v>486</v>
      </c>
      <c r="C46" s="429">
        <f>SUMIFS(Collection!$O:$O, Collection!$K:$K, C$2, Collection!$A:$A, "="&amp;$A46)</f>
        <v>0</v>
      </c>
      <c r="D46" s="430">
        <f>(SUMIFS('Bucket Counts'!$P:$P, 'Bucket Counts'!$B:$B, D$2, 'Bucket Counts'!$A:$A, "="&amp;$A46,  'Bucket Counts'!$F:$F, "&lt;&gt;100 Morts",  'Bucket Counts'!$F:$F, "&lt;&gt;224"))</f>
        <v>2803.333333333333</v>
      </c>
      <c r="E46" s="430">
        <f>(SUMIFS('Bucket Counts'!$P:$P, 'Bucket Counts'!$B:$B, E$2, 'Bucket Counts'!$A:$A, "="&amp;$A46,  'Bucket Counts'!$F:$F, "100 Morts"))</f>
        <v>166.66666666666666</v>
      </c>
      <c r="F46" s="430">
        <f>(SUMIFS('Bucket Counts'!$P:$P, 'Bucket Counts'!$B:$B, F$2, 'Bucket Counts'!$A:$A, "="&amp;$A46,  'Bucket Counts'!$F:$F, "224"))</f>
        <v>115</v>
      </c>
      <c r="G46" s="430">
        <f>I45</f>
        <v>8350</v>
      </c>
      <c r="H46" s="431">
        <f>SUM(D46+F46)</f>
        <v>2918.333333333333</v>
      </c>
      <c r="I46" s="432">
        <f>D46+C46</f>
        <v>2803.333333333333</v>
      </c>
      <c r="J46" s="429">
        <f>SUMIFS(Collection!$O:$O, Collection!$K:$K, J$2, Collection!$A:$A, "="&amp;$A46)</f>
        <v>0</v>
      </c>
      <c r="K46" s="430">
        <f>(SUMIFS('Bucket Counts'!$P:$P, 'Bucket Counts'!$B:$B, K$2, 'Bucket Counts'!$A:$A, "="&amp;$A46,  'Bucket Counts'!$F:$F, "&lt;&gt;100 Morts",  'Bucket Counts'!$F:$F, "&lt;&gt;224"))</f>
        <v>81.666666666666657</v>
      </c>
      <c r="L46" s="430">
        <f>(SUMIFS('Bucket Counts'!$P:$P, 'Bucket Counts'!$B:$B, L$2, 'Bucket Counts'!$A:$A, "="&amp;$A46,  'Bucket Counts'!$F:$F, "100 Morts"))</f>
        <v>80</v>
      </c>
      <c r="M46" s="430">
        <f>(SUMIFS('Bucket Counts'!$P:$P, 'Bucket Counts'!$B:$B, M$2, 'Bucket Counts'!$A:$A, "="&amp;$A46,  'Bucket Counts'!$F:$F, "224"))</f>
        <v>0</v>
      </c>
      <c r="N46" s="430">
        <f>P45</f>
        <v>246.66666666666666</v>
      </c>
      <c r="O46" s="431">
        <f>SUM(K46+M46)</f>
        <v>81.666666666666657</v>
      </c>
      <c r="P46" s="432">
        <f>K46+J46</f>
        <v>81.666666666666657</v>
      </c>
      <c r="Q46" s="429">
        <f>SUMIFS(Collection!$O:$O, Collection!$K:$K, Q$2, Collection!$A:$A, "="&amp;$A46)</f>
        <v>0</v>
      </c>
      <c r="R46" s="430">
        <f>(SUMIFS('Bucket Counts'!$P:$P, 'Bucket Counts'!$B:$B, R$2, 'Bucket Counts'!$A:$A, "="&amp;$A46,  'Bucket Counts'!$F:$F, "&lt;&gt;100 Morts",  'Bucket Counts'!$F:$F, "&lt;&gt;224"))</f>
        <v>1789.9999999999998</v>
      </c>
      <c r="S46" s="430">
        <f>(SUMIFS('Bucket Counts'!$P:$P, 'Bucket Counts'!$B:$B, S$2, 'Bucket Counts'!$A:$A, "="&amp;$A46,  'Bucket Counts'!$F:$F, "100 Morts"))</f>
        <v>110</v>
      </c>
      <c r="T46" s="430">
        <f>(SUMIFS('Bucket Counts'!$P:$P, 'Bucket Counts'!$B:$B, T$2, 'Bucket Counts'!$A:$A, "="&amp;$A46,  'Bucket Counts'!$F:$F, "224"))</f>
        <v>350</v>
      </c>
      <c r="U46" s="430">
        <f>W45</f>
        <v>3403.333333333333</v>
      </c>
      <c r="V46" s="431">
        <f>SUM(R46+T46)</f>
        <v>2140</v>
      </c>
      <c r="W46" s="432">
        <f>R46+Q46</f>
        <v>1789.9999999999998</v>
      </c>
      <c r="X46" s="429">
        <f>SUMIFS(Collection!$O:$O, Collection!$K:$K, X$2, Collection!$A:$A, "="&amp;$A46)</f>
        <v>0</v>
      </c>
      <c r="Y46" s="430">
        <f>(SUMIFS('Bucket Counts'!$P:$P, 'Bucket Counts'!$B:$B, Y$2, 'Bucket Counts'!$A:$A, "="&amp;$A46,  'Bucket Counts'!$F:$F, "&lt;&gt;100 Morts",  'Bucket Counts'!$F:$F, "&lt;&gt;224"))</f>
        <v>31000</v>
      </c>
      <c r="Z46" s="430">
        <f>(SUMIFS('Bucket Counts'!$P:$P, 'Bucket Counts'!$B:$B, Z$2, 'Bucket Counts'!$A:$A, "="&amp;$A46,  'Bucket Counts'!$F:$F, "100 Morts"))</f>
        <v>0</v>
      </c>
      <c r="AA46" s="430">
        <f>(SUMIFS('Bucket Counts'!$P:$P, 'Bucket Counts'!$B:$B, AA$2, 'Bucket Counts'!$A:$A, "="&amp;$A46,  'Bucket Counts'!$F:$F, "224"))</f>
        <v>1100</v>
      </c>
      <c r="AB46" s="430">
        <f>AD45</f>
        <v>46816.666666666672</v>
      </c>
      <c r="AC46" s="431">
        <f>SUM(Y46+AA46)</f>
        <v>32100</v>
      </c>
      <c r="AD46" s="432">
        <f>Y46+X46</f>
        <v>31000</v>
      </c>
      <c r="AE46" s="429">
        <f>SUMIFS(Collection!$O:$O, Collection!$K:$K, AE$2, Collection!$A:$A, "="&amp;$A46)</f>
        <v>0</v>
      </c>
      <c r="AF46" s="430">
        <f>(SUMIFS('Bucket Counts'!$P:$P, 'Bucket Counts'!$B:$B, AF$2, 'Bucket Counts'!$A:$A, "="&amp;$A46,  'Bucket Counts'!$F:$F, "&lt;&gt;100 Morts",  'Bucket Counts'!$F:$F, "&lt;&gt;224"))</f>
        <v>1596.6666666666667</v>
      </c>
      <c r="AG46" s="430">
        <f>(SUMIFS('Bucket Counts'!$P:$P, 'Bucket Counts'!$B:$B, AG$2, 'Bucket Counts'!$A:$A, "="&amp;$A46,  'Bucket Counts'!$F:$F, "100 Morts"))</f>
        <v>290</v>
      </c>
      <c r="AH46" s="430">
        <f>(SUMIFS('Bucket Counts'!$P:$P, 'Bucket Counts'!$B:$B, AH$2, 'Bucket Counts'!$A:$A, "="&amp;$A46,  'Bucket Counts'!$F:$F, "224"))</f>
        <v>0</v>
      </c>
      <c r="AI46" s="430">
        <f>AK45</f>
        <v>450</v>
      </c>
      <c r="AJ46" s="431">
        <f>SUM(AF46+AH46)</f>
        <v>1596.6666666666667</v>
      </c>
      <c r="AK46" s="432">
        <f>AF46+AE46</f>
        <v>1596.6666666666667</v>
      </c>
      <c r="AL46" s="429">
        <f>SUMIFS(Collection!$O:$O, Collection!$K:$K, AL$2, Collection!$A:$A, "="&amp;$A46)</f>
        <v>0</v>
      </c>
      <c r="AM46" s="430">
        <f>(SUMIFS('Bucket Counts'!$P:$P, 'Bucket Counts'!$B:$B, AM$2, 'Bucket Counts'!$A:$A, "="&amp;$A46,  'Bucket Counts'!$F:$F, "&lt;&gt;100 Morts",  'Bucket Counts'!$F:$F, "&lt;&gt;224"))</f>
        <v>25300</v>
      </c>
      <c r="AN46" s="430">
        <f>(SUMIFS('Bucket Counts'!$P:$P, 'Bucket Counts'!$B:$B, AN$2, 'Bucket Counts'!$A:$A, "="&amp;$A46,  'Bucket Counts'!$F:$F, "100 Morts"))</f>
        <v>300</v>
      </c>
      <c r="AO46" s="430">
        <f>(SUMIFS('Bucket Counts'!$P:$P, 'Bucket Counts'!$B:$B, AO$2, 'Bucket Counts'!$A:$A, "="&amp;$A46,  'Bucket Counts'!$F:$F, "224"))</f>
        <v>112.5</v>
      </c>
      <c r="AP46" s="430">
        <f>AR45</f>
        <v>28746.666666666664</v>
      </c>
      <c r="AQ46" s="431">
        <f>SUM(AM46+AO46)</f>
        <v>25412.5</v>
      </c>
      <c r="AR46" s="432">
        <f>AM46+AL46</f>
        <v>25300</v>
      </c>
      <c r="AS46" s="429">
        <f>SUMIFS(Collection!$O:$O, Collection!$K:$K, AS$2, Collection!$A:$A, "="&amp;$A46)</f>
        <v>0</v>
      </c>
      <c r="AT46" s="430">
        <f>(SUMIFS('Bucket Counts'!$P:$P, 'Bucket Counts'!$B:$B, AT$2, 'Bucket Counts'!$A:$A, "="&amp;$A46,  'Bucket Counts'!$F:$F, "&lt;&gt;100 Morts",  'Bucket Counts'!$F:$F, "&lt;&gt;224"))</f>
        <v>18160</v>
      </c>
      <c r="AU46" s="430">
        <f>(SUMIFS('Bucket Counts'!$P:$P, 'Bucket Counts'!$B:$B, AU$2, 'Bucket Counts'!$A:$A, "="&amp;$A46,  'Bucket Counts'!$F:$F, "100 Morts"))</f>
        <v>1473.3333333333333</v>
      </c>
      <c r="AV46" s="430">
        <f>(SUMIFS('Bucket Counts'!$P:$P, 'Bucket Counts'!$B:$B, AV$2, 'Bucket Counts'!$A:$A, "="&amp;$A46,  'Bucket Counts'!$F:$F, "224"))</f>
        <v>40</v>
      </c>
      <c r="AW46" s="430">
        <f>AY45</f>
        <v>34746.666666666664</v>
      </c>
      <c r="AX46" s="431">
        <f>SUM(AT46+AV46)</f>
        <v>18200</v>
      </c>
      <c r="AY46" s="432">
        <f>AT46+AS46</f>
        <v>18160</v>
      </c>
      <c r="AZ46" s="429">
        <f>SUMIFS(Collection!$O:$O, Collection!$K:$K, AZ$2, Collection!$A:$A, "="&amp;$A46)</f>
        <v>0</v>
      </c>
      <c r="BA46" s="430">
        <f>(SUMIFS('Bucket Counts'!$P:$P, 'Bucket Counts'!$B:$B, BA$2, 'Bucket Counts'!$A:$A, "="&amp;$A46,  'Bucket Counts'!$F:$F, "&lt;&gt;100 Morts",  'Bucket Counts'!$F:$F, "&lt;&gt;224"))</f>
        <v>2240</v>
      </c>
      <c r="BB46" s="430">
        <f>(SUMIFS('Bucket Counts'!$P:$P, 'Bucket Counts'!$B:$B, BB$2, 'Bucket Counts'!$A:$A, "="&amp;$A46,  'Bucket Counts'!$F:$F, "100 Morts"))</f>
        <v>386.66666666666663</v>
      </c>
      <c r="BC46" s="430">
        <f>(SUMIFS('Bucket Counts'!$P:$P, 'Bucket Counts'!$B:$B, BC$2, 'Bucket Counts'!$A:$A, "="&amp;$A46,  'Bucket Counts'!$F:$F, "224"))</f>
        <v>41.666666666666664</v>
      </c>
      <c r="BD46" s="430">
        <f>BF45</f>
        <v>6060</v>
      </c>
      <c r="BE46" s="431">
        <f>SUM(BA46+BC46)</f>
        <v>2281.6666666666665</v>
      </c>
      <c r="BF46" s="432">
        <f>BA46+AZ46</f>
        <v>2240</v>
      </c>
      <c r="BG46" s="429">
        <f>SUMIFS(Collection!$O:$O, Collection!$K:$K, BG$2, Collection!$A:$A, "="&amp;$A46)</f>
        <v>73800</v>
      </c>
      <c r="BH46" s="430">
        <f>(SUMIFS('Bucket Counts'!$P:$P, 'Bucket Counts'!$B:$B, BH$2, 'Bucket Counts'!$A:$A, "="&amp;$A46,  'Bucket Counts'!$F:$F, "&lt;&gt;100 Morts",  'Bucket Counts'!$F:$F, "&lt;&gt;224"))</f>
        <v>11716.666666666668</v>
      </c>
      <c r="BI46" s="430">
        <f>(SUMIFS('Bucket Counts'!$P:$P, 'Bucket Counts'!$B:$B, BI$2, 'Bucket Counts'!$A:$A, "="&amp;$A46,  'Bucket Counts'!$F:$F, "100 Morts"))</f>
        <v>100</v>
      </c>
      <c r="BJ46" s="430">
        <f>(SUMIFS('Bucket Counts'!$P:$P, 'Bucket Counts'!$B:$B, BJ$2, 'Bucket Counts'!$A:$A, "="&amp;$A46,  'Bucket Counts'!$F:$F, "224"))</f>
        <v>350</v>
      </c>
      <c r="BK46" s="430">
        <f>BM45</f>
        <v>23446.666666666668</v>
      </c>
      <c r="BL46" s="431">
        <f>SUM(BH46+BJ46)</f>
        <v>12066.666666666668</v>
      </c>
      <c r="BM46" s="432">
        <f>BH46+BG46</f>
        <v>85516.666666666672</v>
      </c>
      <c r="BN46" s="429">
        <f>SUMIFS(Collection!$O:$O, Collection!$K:$K, BN$2, Collection!$A:$A, "="&amp;$A46)</f>
        <v>0</v>
      </c>
      <c r="BO46" s="430">
        <f>(SUMIFS('Bucket Counts'!$P:$P, 'Bucket Counts'!$B:$B, BO$2, 'Bucket Counts'!$A:$A, "="&amp;$A46,  'Bucket Counts'!$F:$F, "&lt;&gt;100 Morts",  'Bucket Counts'!$F:$F, "&lt;&gt;224"))</f>
        <v>41686.666666666672</v>
      </c>
      <c r="BP46" s="430">
        <f>(SUMIFS('Bucket Counts'!$P:$P, 'Bucket Counts'!$B:$B, BP$2, 'Bucket Counts'!$A:$A, "="&amp;$A46,  'Bucket Counts'!$F:$F, "100 Morts"))</f>
        <v>76.666666666666657</v>
      </c>
      <c r="BQ46" s="430">
        <f>(SUMIFS('Bucket Counts'!$P:$P, 'Bucket Counts'!$B:$B, BQ$2, 'Bucket Counts'!$A:$A, "="&amp;$A46,  'Bucket Counts'!$F:$F, "224"))</f>
        <v>220</v>
      </c>
      <c r="BR46" s="430">
        <f>BT45</f>
        <v>45833.333333333328</v>
      </c>
      <c r="BS46" s="431">
        <f>SUM(BO46+BQ46)</f>
        <v>41906.666666666672</v>
      </c>
      <c r="BT46" s="432">
        <f>BO46+BN46</f>
        <v>41686.666666666672</v>
      </c>
      <c r="BU46" s="429">
        <f>SUMIFS(Collection!$O:$O, Collection!$K:$K, BU$2, Collection!$A:$A, "="&amp;$A46)</f>
        <v>0</v>
      </c>
      <c r="BV46" s="430">
        <f>(SUMIFS('Bucket Counts'!$P:$P, 'Bucket Counts'!$B:$B, BV$2, 'Bucket Counts'!$A:$A, "="&amp;$A46,  'Bucket Counts'!$F:$F, "&lt;&gt;100 Morts",  'Bucket Counts'!$F:$F, "&lt;&gt;224"))</f>
        <v>19116.666666666668</v>
      </c>
      <c r="BW46" s="430">
        <f>(SUMIFS('Bucket Counts'!$P:$P, 'Bucket Counts'!$B:$B, BW$2, 'Bucket Counts'!$A:$A, "="&amp;$A46,  'Bucket Counts'!$F:$F, "100 Morts"))</f>
        <v>0</v>
      </c>
      <c r="BX46" s="430">
        <f>(SUMIFS('Bucket Counts'!$P:$P, 'Bucket Counts'!$B:$B, BX$2, 'Bucket Counts'!$A:$A, "="&amp;$A46,  'Bucket Counts'!$F:$F, "224"))</f>
        <v>0</v>
      </c>
      <c r="BY46" s="430">
        <f>CA45</f>
        <v>27800</v>
      </c>
      <c r="BZ46" s="431">
        <f>SUM(BV46+BX46)</f>
        <v>19116.666666666668</v>
      </c>
      <c r="CA46" s="432">
        <f>BV46+BU46</f>
        <v>19116.666666666668</v>
      </c>
      <c r="CB46" s="429">
        <f>SUMIFS(Collection!$O:$O, Collection!$K:$K, CB$2, Collection!$A:$A, "="&amp;$A46)</f>
        <v>0</v>
      </c>
      <c r="CC46" s="430">
        <f>(SUMIFS('Bucket Counts'!$P:$P, 'Bucket Counts'!$B:$B, CC$2, 'Bucket Counts'!$A:$A, "="&amp;$A46,  'Bucket Counts'!$F:$F, "&lt;&gt;100 Morts",  'Bucket Counts'!$F:$F, "&lt;&gt;224"))</f>
        <v>44166.666666666672</v>
      </c>
      <c r="CD46" s="430">
        <f>(SUMIFS('Bucket Counts'!$P:$P, 'Bucket Counts'!$B:$B, CD$2, 'Bucket Counts'!$A:$A, "="&amp;$A46,  'Bucket Counts'!$F:$F, "100 Morts"))</f>
        <v>300</v>
      </c>
      <c r="CE46" s="430">
        <f>(SUMIFS('Bucket Counts'!$P:$P, 'Bucket Counts'!$B:$B, CE$2, 'Bucket Counts'!$A:$A, "="&amp;$A46,  'Bucket Counts'!$F:$F, "224"))</f>
        <v>250</v>
      </c>
      <c r="CF46" s="430">
        <f>CH45</f>
        <v>26160</v>
      </c>
      <c r="CG46" s="431">
        <f>SUM(CC46+CE46)</f>
        <v>44416.666666666672</v>
      </c>
      <c r="CH46" s="432">
        <f>CC46+CB46</f>
        <v>44166.666666666672</v>
      </c>
      <c r="CI46" s="429">
        <f>SUMIFS(Collection!$O:$O, Collection!$K:$K, CI$2, Collection!$A:$A, "="&amp;$A46)</f>
        <v>0</v>
      </c>
      <c r="CJ46" s="430">
        <f>(SUMIFS('Bucket Counts'!$P:$P, 'Bucket Counts'!$B:$B, CJ$2, 'Bucket Counts'!$A:$A, "="&amp;$A46,  'Bucket Counts'!$F:$F, "&lt;&gt;100 Morts",  'Bucket Counts'!$F:$F, "&lt;&gt;224"))</f>
        <v>7233.333333333333</v>
      </c>
      <c r="CK46" s="430">
        <f>(SUMIFS('Bucket Counts'!$P:$P, 'Bucket Counts'!$B:$B, CK$2, 'Bucket Counts'!$A:$A, "="&amp;$A46,  'Bucket Counts'!$F:$F, "100 Morts"))</f>
        <v>300</v>
      </c>
      <c r="CL46" s="430">
        <f>(SUMIFS('Bucket Counts'!$P:$P, 'Bucket Counts'!$B:$B, CL$2, 'Bucket Counts'!$A:$A, "="&amp;$A46,  'Bucket Counts'!$F:$F, "224"))</f>
        <v>153.33333333333331</v>
      </c>
      <c r="CM46" s="430">
        <f>CO45</f>
        <v>11090</v>
      </c>
      <c r="CN46" s="431">
        <f>SUM(CJ46+CL46)</f>
        <v>7386.6666666666661</v>
      </c>
      <c r="CO46" s="432">
        <f>CJ46+CI46</f>
        <v>7233.333333333333</v>
      </c>
      <c r="CP46" s="429">
        <f>SUMIFS(Collection!$O:$O, Collection!$K:$K, CP$2, Collection!$A:$A, "="&amp;$A46)</f>
        <v>0</v>
      </c>
      <c r="CQ46" s="430">
        <f>(SUMIFS('Bucket Counts'!$P:$P, 'Bucket Counts'!$B:$B, CQ$2, 'Bucket Counts'!$A:$A, "="&amp;$A46,  'Bucket Counts'!$F:$F, "&lt;&gt;100 Morts",  'Bucket Counts'!$F:$F, "&lt;&gt;224"))</f>
        <v>3625</v>
      </c>
      <c r="CR46" s="430">
        <f>(SUMIFS('Bucket Counts'!$P:$P, 'Bucket Counts'!$B:$B, CR$2, 'Bucket Counts'!$A:$A, "="&amp;$A46,  'Bucket Counts'!$F:$F, "100 Morts"))</f>
        <v>916.66666666666663</v>
      </c>
      <c r="CS46" s="430">
        <f>(SUMIFS('Bucket Counts'!$P:$P, 'Bucket Counts'!$B:$B, CS$2, 'Bucket Counts'!$A:$A, "="&amp;$A46,  'Bucket Counts'!$F:$F, "224"))</f>
        <v>0</v>
      </c>
      <c r="CT46" s="430">
        <f>CV45</f>
        <v>6405</v>
      </c>
      <c r="CU46" s="431">
        <f>SUM(CQ46+CS46)</f>
        <v>3625</v>
      </c>
      <c r="CV46" s="432">
        <f>CQ46+CP46</f>
        <v>3625</v>
      </c>
      <c r="CW46" s="429">
        <f>SUMIFS(Collection!$O:$O, Collection!$K:$K, CW$2, Collection!$A:$A, "="&amp;$A46)</f>
        <v>0</v>
      </c>
      <c r="CX46" s="430">
        <f>(SUMIFS('Bucket Counts'!$P:$P, 'Bucket Counts'!$B:$B, CX$2, 'Bucket Counts'!$A:$A, "="&amp;$A46,  'Bucket Counts'!$F:$F, "&lt;&gt;100 Morts",  'Bucket Counts'!$F:$F, "&lt;&gt;224"))</f>
        <v>45666.666666666664</v>
      </c>
      <c r="CY46" s="430">
        <f>(SUMIFS('Bucket Counts'!$P:$P, 'Bucket Counts'!$B:$B, CY$2, 'Bucket Counts'!$A:$A, "="&amp;$A46,  'Bucket Counts'!$F:$F, "100 Morts"))</f>
        <v>3640</v>
      </c>
      <c r="CZ46" s="430">
        <f>(SUMIFS('Bucket Counts'!$P:$P, 'Bucket Counts'!$B:$B, CZ$2, 'Bucket Counts'!$A:$A, "="&amp;$A46,  'Bucket Counts'!$F:$F, "224"))</f>
        <v>640</v>
      </c>
      <c r="DA46" s="430">
        <f>DC45</f>
        <v>40400</v>
      </c>
      <c r="DB46" s="431">
        <f>SUM(CX46+CZ46)</f>
        <v>46306.666666666664</v>
      </c>
      <c r="DC46" s="432">
        <f>CX46+CW46</f>
        <v>45666.666666666664</v>
      </c>
      <c r="DD46" s="429">
        <f>SUMIFS(Collection!$O:$O, Collection!$K:$K, DD$2, Collection!$A:$A, "="&amp;$A46)</f>
        <v>0</v>
      </c>
      <c r="DE46" s="430">
        <f>(SUMIFS('Bucket Counts'!$P:$P, 'Bucket Counts'!$B:$B, DE$2, 'Bucket Counts'!$A:$A, "="&amp;$A46,  'Bucket Counts'!$F:$F, "&lt;&gt;100 Morts",  'Bucket Counts'!$F:$F, "&lt;&gt;224"))</f>
        <v>19700</v>
      </c>
      <c r="DF46" s="430">
        <f>(SUMIFS('Bucket Counts'!$P:$P, 'Bucket Counts'!$B:$B, DF$2, 'Bucket Counts'!$A:$A, "="&amp;$A46,  'Bucket Counts'!$F:$F, "100 Morts"))</f>
        <v>1833.3333333333333</v>
      </c>
      <c r="DG46" s="430">
        <f>(SUMIFS('Bucket Counts'!$P:$P, 'Bucket Counts'!$B:$B, DG$2, 'Bucket Counts'!$A:$A, "="&amp;$A46,  'Bucket Counts'!$F:$F, "224"))</f>
        <v>2000</v>
      </c>
      <c r="DH46" s="430">
        <f>DJ45</f>
        <v>17900</v>
      </c>
      <c r="DI46" s="431">
        <f>SUM(DE46+DG46)</f>
        <v>21700</v>
      </c>
      <c r="DJ46" s="432">
        <f>DE46+DD46</f>
        <v>19700</v>
      </c>
      <c r="DK46" s="429">
        <f>SUMIFS(Collection!$O:$O, Collection!$K:$K, DK$2, Collection!$A:$A, "="&amp;$A46)</f>
        <v>0</v>
      </c>
      <c r="DL46" s="430">
        <f>(SUMIFS('Bucket Counts'!$P:$P, 'Bucket Counts'!$B:$B, DL$2, 'Bucket Counts'!$A:$A, "="&amp;$A46,  'Bucket Counts'!$F:$F, "&lt;&gt;100 Morts",  'Bucket Counts'!$F:$F, "&lt;&gt;224"))</f>
        <v>0</v>
      </c>
      <c r="DM46" s="430">
        <f>(SUMIFS('Bucket Counts'!$P:$P, 'Bucket Counts'!$B:$B, DM$2, 'Bucket Counts'!$A:$A, "="&amp;$A46,  'Bucket Counts'!$F:$F, "100 Morts"))</f>
        <v>0</v>
      </c>
      <c r="DN46" s="430">
        <f>(SUMIFS('Bucket Counts'!$P:$P, 'Bucket Counts'!$B:$B, DN$2, 'Bucket Counts'!$A:$A, "="&amp;$A46,  'Bucket Counts'!$F:$F, "224"))</f>
        <v>0</v>
      </c>
      <c r="DO46" s="430">
        <f>DQ45</f>
        <v>0</v>
      </c>
      <c r="DP46" s="431">
        <f>SUM(DL46+DN46)</f>
        <v>0</v>
      </c>
      <c r="DQ46" s="432">
        <f>DL46+DK46</f>
        <v>0</v>
      </c>
      <c r="DR46" s="429">
        <f>SUMIFS(Collection!$O:$O, Collection!$K:$K, DR$2, Collection!$A:$A, "="&amp;$A46)</f>
        <v>0</v>
      </c>
      <c r="DS46" s="430">
        <f>(SUMIFS('Bucket Counts'!$P:$P, 'Bucket Counts'!$B:$B, DS$2, 'Bucket Counts'!$A:$A, "="&amp;$A46,  'Bucket Counts'!$F:$F, "&lt;&gt;100 Morts",  'Bucket Counts'!$F:$F, "&lt;&gt;224"))</f>
        <v>0</v>
      </c>
      <c r="DT46" s="430">
        <f>(SUMIFS('Bucket Counts'!$P:$P, 'Bucket Counts'!$B:$B, DT$2, 'Bucket Counts'!$A:$A, "="&amp;$A46,  'Bucket Counts'!$F:$F, "100 Morts"))</f>
        <v>0</v>
      </c>
      <c r="DU46" s="430">
        <f>(SUMIFS('Bucket Counts'!$P:$P, 'Bucket Counts'!$B:$B, DU$2, 'Bucket Counts'!$A:$A, "="&amp;$A46,  'Bucket Counts'!$F:$F, "224"))</f>
        <v>0</v>
      </c>
      <c r="DV46" s="430">
        <f>DX45</f>
        <v>0</v>
      </c>
      <c r="DW46" s="431">
        <f>SUM(DS46+DU46)</f>
        <v>0</v>
      </c>
      <c r="DX46" s="432">
        <f>DS46+DR46</f>
        <v>0</v>
      </c>
      <c r="DY46" s="429">
        <f>SUMIFS(Collection!$O:$O, Collection!$K:$K, DY$2, Collection!$A:$A, "="&amp;$A46)</f>
        <v>0</v>
      </c>
      <c r="DZ46" s="430">
        <f>(SUMIFS('Bucket Counts'!$P:$P, 'Bucket Counts'!$B:$B, DZ$2, 'Bucket Counts'!$A:$A, "="&amp;$A46,  'Bucket Counts'!$F:$F, "&lt;&gt;100 Morts",  'Bucket Counts'!$F:$F, "&lt;&gt;224"))</f>
        <v>0</v>
      </c>
      <c r="EA46" s="430">
        <f>(SUMIFS('Bucket Counts'!$P:$P, 'Bucket Counts'!$B:$B, EA$2, 'Bucket Counts'!$A:$A, "="&amp;$A46,  'Bucket Counts'!$F:$F, "100 Morts"))</f>
        <v>0</v>
      </c>
      <c r="EB46" s="430">
        <f>(SUMIFS('Bucket Counts'!$P:$P, 'Bucket Counts'!$B:$B, EB$2, 'Bucket Counts'!$A:$A, "="&amp;$A46,  'Bucket Counts'!$F:$F, "224"))</f>
        <v>0</v>
      </c>
      <c r="EC46" s="430">
        <f>EE45</f>
        <v>0</v>
      </c>
      <c r="ED46" s="431">
        <f>SUM(DZ46+EB46)</f>
        <v>0</v>
      </c>
      <c r="EE46" s="432">
        <f>DZ46+DY46</f>
        <v>0</v>
      </c>
      <c r="EF46" s="429">
        <f>SUMIFS(Collection!$O:$O, Collection!$K:$K, EF$2, Collection!$A:$A, "="&amp;$A46)</f>
        <v>0</v>
      </c>
      <c r="EG46" s="430">
        <f>(SUMIFS('Bucket Counts'!$P:$P, 'Bucket Counts'!$B:$B, EG$2, 'Bucket Counts'!$A:$A, "="&amp;$A46,  'Bucket Counts'!$F:$F, "&lt;&gt;100 Morts",  'Bucket Counts'!$F:$F, "&lt;&gt;224"))</f>
        <v>0</v>
      </c>
      <c r="EH46" s="430">
        <f>(SUMIFS('Bucket Counts'!$P:$P, 'Bucket Counts'!$B:$B, EH$2, 'Bucket Counts'!$A:$A, "="&amp;$A46,  'Bucket Counts'!$F:$F, "100 Morts"))</f>
        <v>0</v>
      </c>
      <c r="EI46" s="430">
        <f>(SUMIFS('Bucket Counts'!$P:$P, 'Bucket Counts'!$B:$B, EI$2, 'Bucket Counts'!$A:$A, "="&amp;$A46,  'Bucket Counts'!$F:$F, "224"))</f>
        <v>0</v>
      </c>
      <c r="EJ46" s="430">
        <f>EL45</f>
        <v>0</v>
      </c>
      <c r="EK46" s="431">
        <f>SUM(EG46+EI46)</f>
        <v>0</v>
      </c>
      <c r="EL46" s="432">
        <f>EG46+EF46</f>
        <v>0</v>
      </c>
    </row>
    <row r="47" spans="1:142" x14ac:dyDescent="0.2">
      <c r="A47" s="16">
        <f t="shared" si="0"/>
        <v>42916</v>
      </c>
      <c r="B47" s="16" t="s">
        <v>487</v>
      </c>
      <c r="C47" s="369">
        <f>SUMIFS(Collection!$O:$O, Collection!$K:$K, C$2, Collection!$A:$A, "="&amp;$A47)</f>
        <v>0</v>
      </c>
      <c r="D47" s="116">
        <f>(SUMIFS('Bucket Counts'!$P:$P, 'Bucket Counts'!$B:$B, D$2, 'Bucket Counts'!$A:$A, "="&amp;$A47,  'Bucket Counts'!$F:$F, "&lt;&gt;100 Morts",  'Bucket Counts'!$F:$F, "&lt;&gt;224"))</f>
        <v>0</v>
      </c>
      <c r="E47" s="116">
        <f>(SUMIFS('Bucket Counts'!$P:$P, 'Bucket Counts'!$B:$B, E$2, 'Bucket Counts'!$A:$A, "="&amp;$A47,  'Bucket Counts'!$F:$F, "100 Morts"))</f>
        <v>0</v>
      </c>
      <c r="F47" s="116">
        <f>(SUMIFS('Bucket Counts'!$P:$P, 'Bucket Counts'!$B:$B, F$2, 'Bucket Counts'!$A:$A, "="&amp;$A47,  'Bucket Counts'!$F:$F, "224"))</f>
        <v>0</v>
      </c>
      <c r="G47" s="116"/>
      <c r="H47" s="426">
        <f>(F47+D47)/I46</f>
        <v>0</v>
      </c>
      <c r="I47" s="370">
        <f>D46+SUM(C46:C47)</f>
        <v>2803.333333333333</v>
      </c>
      <c r="J47" s="369">
        <f>SUMIFS(Collection!$O:$O, Collection!$K:$K, J$2, Collection!$A:$A, "="&amp;$A47)</f>
        <v>0</v>
      </c>
      <c r="K47" s="116">
        <f>(SUMIFS('Bucket Counts'!$P:$P, 'Bucket Counts'!$B:$B, K$2, 'Bucket Counts'!$A:$A, "="&amp;$A47,  'Bucket Counts'!$F:$F, "&lt;&gt;100 Morts",  'Bucket Counts'!$F:$F, "&lt;&gt;224"))</f>
        <v>0</v>
      </c>
      <c r="L47" s="116">
        <f>(SUMIFS('Bucket Counts'!$P:$P, 'Bucket Counts'!$B:$B, L$2, 'Bucket Counts'!$A:$A, "="&amp;$A47,  'Bucket Counts'!$F:$F, "100 Morts"))</f>
        <v>0</v>
      </c>
      <c r="M47" s="116">
        <f>(SUMIFS('Bucket Counts'!$P:$P, 'Bucket Counts'!$B:$B, M$2, 'Bucket Counts'!$A:$A, "="&amp;$A47,  'Bucket Counts'!$F:$F, "224"))</f>
        <v>0</v>
      </c>
      <c r="N47" s="116"/>
      <c r="O47" s="426">
        <f>(M47+K47)/P46</f>
        <v>0</v>
      </c>
      <c r="P47" s="370">
        <f>K46+SUM(J46:J47)</f>
        <v>81.666666666666657</v>
      </c>
      <c r="Q47" s="369">
        <f>SUMIFS(Collection!$O:$O, Collection!$K:$K, Q$2, Collection!$A:$A, "="&amp;$A47)</f>
        <v>0</v>
      </c>
      <c r="R47" s="116">
        <f>(SUMIFS('Bucket Counts'!$P:$P, 'Bucket Counts'!$B:$B, R$2, 'Bucket Counts'!$A:$A, "="&amp;$A47,  'Bucket Counts'!$F:$F, "&lt;&gt;100 Morts",  'Bucket Counts'!$F:$F, "&lt;&gt;224"))</f>
        <v>0</v>
      </c>
      <c r="S47" s="116">
        <f>(SUMIFS('Bucket Counts'!$P:$P, 'Bucket Counts'!$B:$B, S$2, 'Bucket Counts'!$A:$A, "="&amp;$A47,  'Bucket Counts'!$F:$F, "100 Morts"))</f>
        <v>0</v>
      </c>
      <c r="T47" s="116">
        <f>(SUMIFS('Bucket Counts'!$P:$P, 'Bucket Counts'!$B:$B, T$2, 'Bucket Counts'!$A:$A, "="&amp;$A47,  'Bucket Counts'!$F:$F, "224"))</f>
        <v>0</v>
      </c>
      <c r="U47" s="116"/>
      <c r="V47" s="426">
        <f>(T47+R47)/W46</f>
        <v>0</v>
      </c>
      <c r="W47" s="370">
        <f>R46+SUM(Q46:Q47)</f>
        <v>1789.9999999999998</v>
      </c>
      <c r="X47" s="369">
        <f>SUMIFS(Collection!$O:$O, Collection!$K:$K, X$2, Collection!$A:$A, "="&amp;$A47)</f>
        <v>0</v>
      </c>
      <c r="Y47" s="116">
        <f>(SUMIFS('Bucket Counts'!$P:$P, 'Bucket Counts'!$B:$B, Y$2, 'Bucket Counts'!$A:$A, "="&amp;$A47,  'Bucket Counts'!$F:$F, "&lt;&gt;100 Morts",  'Bucket Counts'!$F:$F, "&lt;&gt;224"))</f>
        <v>0</v>
      </c>
      <c r="Z47" s="116">
        <f>(SUMIFS('Bucket Counts'!$P:$P, 'Bucket Counts'!$B:$B, Z$2, 'Bucket Counts'!$A:$A, "="&amp;$A47,  'Bucket Counts'!$F:$F, "100 Morts"))</f>
        <v>0</v>
      </c>
      <c r="AA47" s="116">
        <f>(SUMIFS('Bucket Counts'!$P:$P, 'Bucket Counts'!$B:$B, AA$2, 'Bucket Counts'!$A:$A, "="&amp;$A47,  'Bucket Counts'!$F:$F, "224"))</f>
        <v>0</v>
      </c>
      <c r="AB47" s="116"/>
      <c r="AC47" s="426">
        <f>(AA47+Y47)/AD46</f>
        <v>0</v>
      </c>
      <c r="AD47" s="370">
        <f>Y46+SUM(X46:X47)</f>
        <v>31000</v>
      </c>
      <c r="AE47" s="369">
        <f>SUMIFS(Collection!$O:$O, Collection!$K:$K, AE$2, Collection!$A:$A, "="&amp;$A47)</f>
        <v>0</v>
      </c>
      <c r="AF47" s="116">
        <f>(SUMIFS('Bucket Counts'!$P:$P, 'Bucket Counts'!$B:$B, AF$2, 'Bucket Counts'!$A:$A, "="&amp;$A47,  'Bucket Counts'!$F:$F, "&lt;&gt;100 Morts",  'Bucket Counts'!$F:$F, "&lt;&gt;224"))</f>
        <v>0</v>
      </c>
      <c r="AG47" s="116">
        <f>(SUMIFS('Bucket Counts'!$P:$P, 'Bucket Counts'!$B:$B, AG$2, 'Bucket Counts'!$A:$A, "="&amp;$A47,  'Bucket Counts'!$F:$F, "100 Morts"))</f>
        <v>0</v>
      </c>
      <c r="AH47" s="116">
        <f>(SUMIFS('Bucket Counts'!$P:$P, 'Bucket Counts'!$B:$B, AH$2, 'Bucket Counts'!$A:$A, "="&amp;$A47,  'Bucket Counts'!$F:$F, "224"))</f>
        <v>0</v>
      </c>
      <c r="AI47" s="116"/>
      <c r="AJ47" s="426">
        <f>(AH47+AF47)/AK46</f>
        <v>0</v>
      </c>
      <c r="AK47" s="370">
        <f>AF46+SUM(AE46:AE47)</f>
        <v>1596.6666666666667</v>
      </c>
      <c r="AL47" s="369">
        <f>SUMIFS(Collection!$O:$O, Collection!$K:$K, AL$2, Collection!$A:$A, "="&amp;$A47)</f>
        <v>0</v>
      </c>
      <c r="AM47" s="116">
        <f>(SUMIFS('Bucket Counts'!$P:$P, 'Bucket Counts'!$B:$B, AM$2, 'Bucket Counts'!$A:$A, "="&amp;$A47,  'Bucket Counts'!$F:$F, "&lt;&gt;100 Morts",  'Bucket Counts'!$F:$F, "&lt;&gt;224"))</f>
        <v>0</v>
      </c>
      <c r="AN47" s="116">
        <f>(SUMIFS('Bucket Counts'!$P:$P, 'Bucket Counts'!$B:$B, AN$2, 'Bucket Counts'!$A:$A, "="&amp;$A47,  'Bucket Counts'!$F:$F, "100 Morts"))</f>
        <v>0</v>
      </c>
      <c r="AO47" s="116">
        <f>(SUMIFS('Bucket Counts'!$P:$P, 'Bucket Counts'!$B:$B, AO$2, 'Bucket Counts'!$A:$A, "="&amp;$A47,  'Bucket Counts'!$F:$F, "224"))</f>
        <v>0</v>
      </c>
      <c r="AP47" s="116"/>
      <c r="AQ47" s="426">
        <f>(AO47+AM47)/AR46</f>
        <v>0</v>
      </c>
      <c r="AR47" s="370">
        <f>AM46+SUM(AL46:AL47)</f>
        <v>25300</v>
      </c>
      <c r="AS47" s="369">
        <f>SUMIFS(Collection!$O:$O, Collection!$K:$K, AS$2, Collection!$A:$A, "="&amp;$A47)</f>
        <v>0</v>
      </c>
      <c r="AT47" s="116">
        <f>(SUMIFS('Bucket Counts'!$P:$P, 'Bucket Counts'!$B:$B, AT$2, 'Bucket Counts'!$A:$A, "="&amp;$A47,  'Bucket Counts'!$F:$F, "&lt;&gt;100 Morts",  'Bucket Counts'!$F:$F, "&lt;&gt;224"))</f>
        <v>0</v>
      </c>
      <c r="AU47" s="116">
        <f>(SUMIFS('Bucket Counts'!$P:$P, 'Bucket Counts'!$B:$B, AU$2, 'Bucket Counts'!$A:$A, "="&amp;$A47,  'Bucket Counts'!$F:$F, "100 Morts"))</f>
        <v>0</v>
      </c>
      <c r="AV47" s="116">
        <f>(SUMIFS('Bucket Counts'!$P:$P, 'Bucket Counts'!$B:$B, AV$2, 'Bucket Counts'!$A:$A, "="&amp;$A47,  'Bucket Counts'!$F:$F, "224"))</f>
        <v>0</v>
      </c>
      <c r="AW47" s="116"/>
      <c r="AX47" s="426">
        <f>(AV47+AT47)/AY46</f>
        <v>0</v>
      </c>
      <c r="AY47" s="370">
        <f>AT46+SUM(AS46:AS47)</f>
        <v>18160</v>
      </c>
      <c r="AZ47" s="369">
        <f>SUMIFS(Collection!$O:$O, Collection!$K:$K, AZ$2, Collection!$A:$A, "="&amp;$A47)</f>
        <v>0</v>
      </c>
      <c r="BA47" s="116">
        <f>(SUMIFS('Bucket Counts'!$P:$P, 'Bucket Counts'!$B:$B, BA$2, 'Bucket Counts'!$A:$A, "="&amp;$A47,  'Bucket Counts'!$F:$F, "&lt;&gt;100 Morts",  'Bucket Counts'!$F:$F, "&lt;&gt;224"))</f>
        <v>0</v>
      </c>
      <c r="BB47" s="116">
        <f>(SUMIFS('Bucket Counts'!$P:$P, 'Bucket Counts'!$B:$B, BB$2, 'Bucket Counts'!$A:$A, "="&amp;$A47,  'Bucket Counts'!$F:$F, "100 Morts"))</f>
        <v>0</v>
      </c>
      <c r="BC47" s="116">
        <f>(SUMIFS('Bucket Counts'!$P:$P, 'Bucket Counts'!$B:$B, BC$2, 'Bucket Counts'!$A:$A, "="&amp;$A47,  'Bucket Counts'!$F:$F, "224"))</f>
        <v>0</v>
      </c>
      <c r="BD47" s="116"/>
      <c r="BE47" s="426">
        <f>(BC47+BA47)/BF46</f>
        <v>0</v>
      </c>
      <c r="BF47" s="370">
        <f>BA46+SUM(AZ46:AZ47)</f>
        <v>2240</v>
      </c>
      <c r="BG47" s="369">
        <f>SUMIFS(Collection!$O:$O, Collection!$K:$K, BG$2, Collection!$A:$A, "="&amp;$A47)</f>
        <v>0</v>
      </c>
      <c r="BH47" s="116">
        <f>(SUMIFS('Bucket Counts'!$P:$P, 'Bucket Counts'!$B:$B, BH$2, 'Bucket Counts'!$A:$A, "="&amp;$A47,  'Bucket Counts'!$F:$F, "&lt;&gt;100 Morts",  'Bucket Counts'!$F:$F, "&lt;&gt;224"))</f>
        <v>0</v>
      </c>
      <c r="BI47" s="116">
        <f>(SUMIFS('Bucket Counts'!$P:$P, 'Bucket Counts'!$B:$B, BI$2, 'Bucket Counts'!$A:$A, "="&amp;$A47,  'Bucket Counts'!$F:$F, "100 Morts"))</f>
        <v>0</v>
      </c>
      <c r="BJ47" s="116">
        <f>(SUMIFS('Bucket Counts'!$P:$P, 'Bucket Counts'!$B:$B, BJ$2, 'Bucket Counts'!$A:$A, "="&amp;$A47,  'Bucket Counts'!$F:$F, "224"))</f>
        <v>0</v>
      </c>
      <c r="BK47" s="116"/>
      <c r="BL47" s="426">
        <f>(BJ47+BH47)/BM46</f>
        <v>0</v>
      </c>
      <c r="BM47" s="370">
        <f>BH46+SUM(BG46:BG47)</f>
        <v>85516.666666666672</v>
      </c>
      <c r="BN47" s="369">
        <f>SUMIFS(Collection!$O:$O, Collection!$K:$K, BN$2, Collection!$A:$A, "="&amp;$A47)</f>
        <v>0</v>
      </c>
      <c r="BO47" s="116">
        <f>(SUMIFS('Bucket Counts'!$P:$P, 'Bucket Counts'!$B:$B, BO$2, 'Bucket Counts'!$A:$A, "="&amp;$A47,  'Bucket Counts'!$F:$F, "&lt;&gt;100 Morts",  'Bucket Counts'!$F:$F, "&lt;&gt;224"))</f>
        <v>0</v>
      </c>
      <c r="BP47" s="116">
        <f>(SUMIFS('Bucket Counts'!$P:$P, 'Bucket Counts'!$B:$B, BP$2, 'Bucket Counts'!$A:$A, "="&amp;$A47,  'Bucket Counts'!$F:$F, "100 Morts"))</f>
        <v>0</v>
      </c>
      <c r="BQ47" s="116">
        <f>(SUMIFS('Bucket Counts'!$P:$P, 'Bucket Counts'!$B:$B, BQ$2, 'Bucket Counts'!$A:$A, "="&amp;$A47,  'Bucket Counts'!$F:$F, "224"))</f>
        <v>0</v>
      </c>
      <c r="BR47" s="116"/>
      <c r="BS47" s="426">
        <f>(BQ47+BO47)/BT46</f>
        <v>0</v>
      </c>
      <c r="BT47" s="370">
        <f>BO46+SUM(BN46:BN47)</f>
        <v>41686.666666666672</v>
      </c>
      <c r="BU47" s="369">
        <f>SUMIFS(Collection!$O:$O, Collection!$K:$K, BU$2, Collection!$A:$A, "="&amp;$A47)</f>
        <v>0</v>
      </c>
      <c r="BV47" s="116">
        <f>(SUMIFS('Bucket Counts'!$P:$P, 'Bucket Counts'!$B:$B, BV$2, 'Bucket Counts'!$A:$A, "="&amp;$A47,  'Bucket Counts'!$F:$F, "&lt;&gt;100 Morts",  'Bucket Counts'!$F:$F, "&lt;&gt;224"))</f>
        <v>0</v>
      </c>
      <c r="BW47" s="116">
        <f>(SUMIFS('Bucket Counts'!$P:$P, 'Bucket Counts'!$B:$B, BW$2, 'Bucket Counts'!$A:$A, "="&amp;$A47,  'Bucket Counts'!$F:$F, "100 Morts"))</f>
        <v>0</v>
      </c>
      <c r="BX47" s="116">
        <f>(SUMIFS('Bucket Counts'!$P:$P, 'Bucket Counts'!$B:$B, BX$2, 'Bucket Counts'!$A:$A, "="&amp;$A47,  'Bucket Counts'!$F:$F, "224"))</f>
        <v>0</v>
      </c>
      <c r="BY47" s="116"/>
      <c r="BZ47" s="426">
        <f>(BX47+BV47)/CA46</f>
        <v>0</v>
      </c>
      <c r="CA47" s="370">
        <f>BV46+SUM(BU46:BU47)</f>
        <v>19116.666666666668</v>
      </c>
      <c r="CB47" s="369">
        <f>SUMIFS(Collection!$O:$O, Collection!$K:$K, CB$2, Collection!$A:$A, "="&amp;$A47)</f>
        <v>0</v>
      </c>
      <c r="CC47" s="116">
        <f>(SUMIFS('Bucket Counts'!$P:$P, 'Bucket Counts'!$B:$B, CC$2, 'Bucket Counts'!$A:$A, "="&amp;$A47,  'Bucket Counts'!$F:$F, "&lt;&gt;100 Morts",  'Bucket Counts'!$F:$F, "&lt;&gt;224"))</f>
        <v>0</v>
      </c>
      <c r="CD47" s="116">
        <f>(SUMIFS('Bucket Counts'!$P:$P, 'Bucket Counts'!$B:$B, CD$2, 'Bucket Counts'!$A:$A, "="&amp;$A47,  'Bucket Counts'!$F:$F, "100 Morts"))</f>
        <v>0</v>
      </c>
      <c r="CE47" s="116">
        <f>(SUMIFS('Bucket Counts'!$P:$P, 'Bucket Counts'!$B:$B, CE$2, 'Bucket Counts'!$A:$A, "="&amp;$A47,  'Bucket Counts'!$F:$F, "224"))</f>
        <v>0</v>
      </c>
      <c r="CF47" s="116"/>
      <c r="CG47" s="426">
        <f>(CE47+CC47)/CH46</f>
        <v>0</v>
      </c>
      <c r="CH47" s="370">
        <f>CC46+SUM(CB46:CB47)</f>
        <v>44166.666666666672</v>
      </c>
      <c r="CI47" s="369">
        <f>SUMIFS(Collection!$O:$O, Collection!$K:$K, CI$2, Collection!$A:$A, "="&amp;$A47)</f>
        <v>0</v>
      </c>
      <c r="CJ47" s="116">
        <f>(SUMIFS('Bucket Counts'!$P:$P, 'Bucket Counts'!$B:$B, CJ$2, 'Bucket Counts'!$A:$A, "="&amp;$A47,  'Bucket Counts'!$F:$F, "&lt;&gt;100 Morts",  'Bucket Counts'!$F:$F, "&lt;&gt;224"))</f>
        <v>0</v>
      </c>
      <c r="CK47" s="116">
        <f>(SUMIFS('Bucket Counts'!$P:$P, 'Bucket Counts'!$B:$B, CK$2, 'Bucket Counts'!$A:$A, "="&amp;$A47,  'Bucket Counts'!$F:$F, "100 Morts"))</f>
        <v>0</v>
      </c>
      <c r="CL47" s="116">
        <f>(SUMIFS('Bucket Counts'!$P:$P, 'Bucket Counts'!$B:$B, CL$2, 'Bucket Counts'!$A:$A, "="&amp;$A47,  'Bucket Counts'!$F:$F, "224"))</f>
        <v>0</v>
      </c>
      <c r="CM47" s="116"/>
      <c r="CN47" s="426">
        <f>(CL47+CJ47)/CO46</f>
        <v>0</v>
      </c>
      <c r="CO47" s="370">
        <f>CJ46+SUM(CI46:CI47)</f>
        <v>7233.333333333333</v>
      </c>
      <c r="CP47" s="369">
        <f>SUMIFS(Collection!$O:$O, Collection!$K:$K, CP$2, Collection!$A:$A, "="&amp;$A47)</f>
        <v>0</v>
      </c>
      <c r="CQ47" s="116">
        <f>(SUMIFS('Bucket Counts'!$P:$P, 'Bucket Counts'!$B:$B, CQ$2, 'Bucket Counts'!$A:$A, "="&amp;$A47,  'Bucket Counts'!$F:$F, "&lt;&gt;100 Morts",  'Bucket Counts'!$F:$F, "&lt;&gt;224"))</f>
        <v>0</v>
      </c>
      <c r="CR47" s="116">
        <f>(SUMIFS('Bucket Counts'!$P:$P, 'Bucket Counts'!$B:$B, CR$2, 'Bucket Counts'!$A:$A, "="&amp;$A47,  'Bucket Counts'!$F:$F, "100 Morts"))</f>
        <v>0</v>
      </c>
      <c r="CS47" s="116">
        <f>(SUMIFS('Bucket Counts'!$P:$P, 'Bucket Counts'!$B:$B, CS$2, 'Bucket Counts'!$A:$A, "="&amp;$A47,  'Bucket Counts'!$F:$F, "224"))</f>
        <v>0</v>
      </c>
      <c r="CT47" s="116"/>
      <c r="CU47" s="426">
        <f>(CS47+CQ47)/CV46</f>
        <v>0</v>
      </c>
      <c r="CV47" s="370">
        <f>CQ46+SUM(CP46:CP47)</f>
        <v>3625</v>
      </c>
      <c r="CW47" s="369">
        <f>SUMIFS(Collection!$O:$O, Collection!$K:$K, CW$2, Collection!$A:$A, "="&amp;$A47)</f>
        <v>0</v>
      </c>
      <c r="CX47" s="116">
        <f>(SUMIFS('Bucket Counts'!$P:$P, 'Bucket Counts'!$B:$B, CX$2, 'Bucket Counts'!$A:$A, "="&amp;$A47,  'Bucket Counts'!$F:$F, "&lt;&gt;100 Morts",  'Bucket Counts'!$F:$F, "&lt;&gt;224"))</f>
        <v>0</v>
      </c>
      <c r="CY47" s="116">
        <f>(SUMIFS('Bucket Counts'!$P:$P, 'Bucket Counts'!$B:$B, CY$2, 'Bucket Counts'!$A:$A, "="&amp;$A47,  'Bucket Counts'!$F:$F, "100 Morts"))</f>
        <v>0</v>
      </c>
      <c r="CZ47" s="116">
        <f>(SUMIFS('Bucket Counts'!$P:$P, 'Bucket Counts'!$B:$B, CZ$2, 'Bucket Counts'!$A:$A, "="&amp;$A47,  'Bucket Counts'!$F:$F, "224"))</f>
        <v>0</v>
      </c>
      <c r="DA47" s="116"/>
      <c r="DB47" s="426">
        <f>(CZ47+CX47)/DC46</f>
        <v>0</v>
      </c>
      <c r="DC47" s="370">
        <f>CX46+SUM(CW46:CW47)</f>
        <v>45666.666666666664</v>
      </c>
      <c r="DD47" s="369">
        <f>SUMIFS(Collection!$O:$O, Collection!$K:$K, DD$2, Collection!$A:$A, "="&amp;$A47)</f>
        <v>0</v>
      </c>
      <c r="DE47" s="116">
        <f>(SUMIFS('Bucket Counts'!$P:$P, 'Bucket Counts'!$B:$B, DE$2, 'Bucket Counts'!$A:$A, "="&amp;$A47,  'Bucket Counts'!$F:$F, "&lt;&gt;100 Morts",  'Bucket Counts'!$F:$F, "&lt;&gt;224"))</f>
        <v>0</v>
      </c>
      <c r="DF47" s="116">
        <f>(SUMIFS('Bucket Counts'!$P:$P, 'Bucket Counts'!$B:$B, DF$2, 'Bucket Counts'!$A:$A, "="&amp;$A47,  'Bucket Counts'!$F:$F, "100 Morts"))</f>
        <v>0</v>
      </c>
      <c r="DG47" s="116">
        <f>(SUMIFS('Bucket Counts'!$P:$P, 'Bucket Counts'!$B:$B, DG$2, 'Bucket Counts'!$A:$A, "="&amp;$A47,  'Bucket Counts'!$F:$F, "224"))</f>
        <v>0</v>
      </c>
      <c r="DH47" s="116"/>
      <c r="DI47" s="426">
        <f>(DG47+DE47)/DJ46</f>
        <v>0</v>
      </c>
      <c r="DJ47" s="370">
        <f>DE46+SUM(DD46:DD47)</f>
        <v>19700</v>
      </c>
      <c r="DK47" s="369">
        <f>SUMIFS(Collection!$O:$O, Collection!$K:$K, DK$2, Collection!$A:$A, "="&amp;$A47)</f>
        <v>0</v>
      </c>
      <c r="DL47" s="116">
        <f>(SUMIFS('Bucket Counts'!$P:$P, 'Bucket Counts'!$B:$B, DL$2, 'Bucket Counts'!$A:$A, "="&amp;$A47,  'Bucket Counts'!$F:$F, "&lt;&gt;100 Morts",  'Bucket Counts'!$F:$F, "&lt;&gt;224"))</f>
        <v>0</v>
      </c>
      <c r="DM47" s="116">
        <f>(SUMIFS('Bucket Counts'!$P:$P, 'Bucket Counts'!$B:$B, DM$2, 'Bucket Counts'!$A:$A, "="&amp;$A47,  'Bucket Counts'!$F:$F, "100 Morts"))</f>
        <v>0</v>
      </c>
      <c r="DN47" s="116">
        <f>(SUMIFS('Bucket Counts'!$P:$P, 'Bucket Counts'!$B:$B, DN$2, 'Bucket Counts'!$A:$A, "="&amp;$A47,  'Bucket Counts'!$F:$F, "224"))</f>
        <v>0</v>
      </c>
      <c r="DO47" s="116"/>
      <c r="DP47" s="426" t="e">
        <f>(DN47+DL47)/DQ46</f>
        <v>#DIV/0!</v>
      </c>
      <c r="DQ47" s="370">
        <f>DL46+SUM(DK46:DK47)</f>
        <v>0</v>
      </c>
      <c r="DR47" s="369">
        <f>SUMIFS(Collection!$O:$O, Collection!$K:$K, DR$2, Collection!$A:$A, "="&amp;$A47)</f>
        <v>0</v>
      </c>
      <c r="DS47" s="116">
        <f>(SUMIFS('Bucket Counts'!$P:$P, 'Bucket Counts'!$B:$B, DS$2, 'Bucket Counts'!$A:$A, "="&amp;$A47,  'Bucket Counts'!$F:$F, "&lt;&gt;100 Morts",  'Bucket Counts'!$F:$F, "&lt;&gt;224"))</f>
        <v>0</v>
      </c>
      <c r="DT47" s="116">
        <f>(SUMIFS('Bucket Counts'!$P:$P, 'Bucket Counts'!$B:$B, DT$2, 'Bucket Counts'!$A:$A, "="&amp;$A47,  'Bucket Counts'!$F:$F, "100 Morts"))</f>
        <v>0</v>
      </c>
      <c r="DU47" s="116">
        <f>(SUMIFS('Bucket Counts'!$P:$P, 'Bucket Counts'!$B:$B, DU$2, 'Bucket Counts'!$A:$A, "="&amp;$A47,  'Bucket Counts'!$F:$F, "224"))</f>
        <v>0</v>
      </c>
      <c r="DV47" s="116"/>
      <c r="DW47" s="426" t="e">
        <f>(DU47+DS47)/DX46</f>
        <v>#DIV/0!</v>
      </c>
      <c r="DX47" s="370">
        <f>DS46+SUM(DR46:DR47)</f>
        <v>0</v>
      </c>
      <c r="DY47" s="369">
        <f>SUMIFS(Collection!$O:$O, Collection!$K:$K, DY$2, Collection!$A:$A, "="&amp;$A47)</f>
        <v>0</v>
      </c>
      <c r="DZ47" s="116">
        <f>(SUMIFS('Bucket Counts'!$P:$P, 'Bucket Counts'!$B:$B, DZ$2, 'Bucket Counts'!$A:$A, "="&amp;$A47,  'Bucket Counts'!$F:$F, "&lt;&gt;100 Morts",  'Bucket Counts'!$F:$F, "&lt;&gt;224"))</f>
        <v>0</v>
      </c>
      <c r="EA47" s="116">
        <f>(SUMIFS('Bucket Counts'!$P:$P, 'Bucket Counts'!$B:$B, EA$2, 'Bucket Counts'!$A:$A, "="&amp;$A47,  'Bucket Counts'!$F:$F, "100 Morts"))</f>
        <v>0</v>
      </c>
      <c r="EB47" s="116">
        <f>(SUMIFS('Bucket Counts'!$P:$P, 'Bucket Counts'!$B:$B, EB$2, 'Bucket Counts'!$A:$A, "="&amp;$A47,  'Bucket Counts'!$F:$F, "224"))</f>
        <v>0</v>
      </c>
      <c r="EC47" s="116"/>
      <c r="ED47" s="426" t="e">
        <f>(EB47+DZ47)/EE46</f>
        <v>#DIV/0!</v>
      </c>
      <c r="EE47" s="370">
        <f>DZ46+SUM(DY46:DY47)</f>
        <v>0</v>
      </c>
      <c r="EF47" s="369">
        <f>SUMIFS(Collection!$O:$O, Collection!$K:$K, EF$2, Collection!$A:$A, "="&amp;$A47)</f>
        <v>0</v>
      </c>
      <c r="EG47" s="116">
        <f>(SUMIFS('Bucket Counts'!$P:$P, 'Bucket Counts'!$B:$B, EG$2, 'Bucket Counts'!$A:$A, "="&amp;$A47,  'Bucket Counts'!$F:$F, "&lt;&gt;100 Morts",  'Bucket Counts'!$F:$F, "&lt;&gt;224"))</f>
        <v>0</v>
      </c>
      <c r="EH47" s="116">
        <f>(SUMIFS('Bucket Counts'!$P:$P, 'Bucket Counts'!$B:$B, EH$2, 'Bucket Counts'!$A:$A, "="&amp;$A47,  'Bucket Counts'!$F:$F, "100 Morts"))</f>
        <v>0</v>
      </c>
      <c r="EI47" s="116">
        <f>(SUMIFS('Bucket Counts'!$P:$P, 'Bucket Counts'!$B:$B, EI$2, 'Bucket Counts'!$A:$A, "="&amp;$A47,  'Bucket Counts'!$F:$F, "224"))</f>
        <v>0</v>
      </c>
      <c r="EJ47" s="116"/>
      <c r="EK47" s="426" t="e">
        <f>(EI47+EG47)/EL46</f>
        <v>#DIV/0!</v>
      </c>
      <c r="EL47" s="370">
        <f>EG46+SUM(EF46:EF47)</f>
        <v>0</v>
      </c>
    </row>
    <row r="48" spans="1:142" x14ac:dyDescent="0.2">
      <c r="A48" s="16">
        <f t="shared" si="0"/>
        <v>42917</v>
      </c>
      <c r="B48" s="16" t="s">
        <v>487</v>
      </c>
      <c r="C48" s="369">
        <f>SUMIFS(Collection!$O:$O, Collection!$K:$K, C$2, Collection!$A:$A, "="&amp;$A48)</f>
        <v>0</v>
      </c>
      <c r="D48" s="116">
        <f>(SUMIFS('Bucket Counts'!$P:$P, 'Bucket Counts'!$B:$B, D$2, 'Bucket Counts'!$A:$A, "="&amp;$A48,  'Bucket Counts'!$F:$F, "&lt;&gt;100 Morts",  'Bucket Counts'!$F:$F, "&lt;&gt;224"))</f>
        <v>0</v>
      </c>
      <c r="E48" s="116">
        <f>(SUMIFS('Bucket Counts'!$P:$P, 'Bucket Counts'!$B:$B, E$2, 'Bucket Counts'!$A:$A, "="&amp;$A48,  'Bucket Counts'!$F:$F, "100 Morts"))</f>
        <v>0</v>
      </c>
      <c r="F48" s="116">
        <f>(SUMIFS('Bucket Counts'!$P:$P, 'Bucket Counts'!$B:$B, F$2, 'Bucket Counts'!$A:$A, "="&amp;$A48,  'Bucket Counts'!$F:$F, "224"))</f>
        <v>0</v>
      </c>
      <c r="G48" s="116"/>
      <c r="H48" s="426">
        <f>(F48+D48)/I47</f>
        <v>0</v>
      </c>
      <c r="I48" s="370">
        <f>D46+SUM(C46:C48)</f>
        <v>2803.333333333333</v>
      </c>
      <c r="J48" s="369">
        <f>SUMIFS(Collection!$O:$O, Collection!$K:$K, J$2, Collection!$A:$A, "="&amp;$A48)</f>
        <v>0</v>
      </c>
      <c r="K48" s="116">
        <f>(SUMIFS('Bucket Counts'!$P:$P, 'Bucket Counts'!$B:$B, K$2, 'Bucket Counts'!$A:$A, "="&amp;$A48,  'Bucket Counts'!$F:$F, "&lt;&gt;100 Morts",  'Bucket Counts'!$F:$F, "&lt;&gt;224"))</f>
        <v>0</v>
      </c>
      <c r="L48" s="116">
        <f>(SUMIFS('Bucket Counts'!$P:$P, 'Bucket Counts'!$B:$B, L$2, 'Bucket Counts'!$A:$A, "="&amp;$A48,  'Bucket Counts'!$F:$F, "100 Morts"))</f>
        <v>0</v>
      </c>
      <c r="M48" s="116">
        <f>(SUMIFS('Bucket Counts'!$P:$P, 'Bucket Counts'!$B:$B, M$2, 'Bucket Counts'!$A:$A, "="&amp;$A48,  'Bucket Counts'!$F:$F, "224"))</f>
        <v>0</v>
      </c>
      <c r="N48" s="116"/>
      <c r="O48" s="426">
        <f>(M48+K48)/P47</f>
        <v>0</v>
      </c>
      <c r="P48" s="370">
        <f>K46+SUM(J46:J48)</f>
        <v>81.666666666666657</v>
      </c>
      <c r="Q48" s="369">
        <f>SUMIFS(Collection!$O:$O, Collection!$K:$K, Q$2, Collection!$A:$A, "="&amp;$A48)</f>
        <v>0</v>
      </c>
      <c r="R48" s="116">
        <f>(SUMIFS('Bucket Counts'!$P:$P, 'Bucket Counts'!$B:$B, R$2, 'Bucket Counts'!$A:$A, "="&amp;$A48,  'Bucket Counts'!$F:$F, "&lt;&gt;100 Morts",  'Bucket Counts'!$F:$F, "&lt;&gt;224"))</f>
        <v>0</v>
      </c>
      <c r="S48" s="116">
        <f>(SUMIFS('Bucket Counts'!$P:$P, 'Bucket Counts'!$B:$B, S$2, 'Bucket Counts'!$A:$A, "="&amp;$A48,  'Bucket Counts'!$F:$F, "100 Morts"))</f>
        <v>0</v>
      </c>
      <c r="T48" s="116">
        <f>(SUMIFS('Bucket Counts'!$P:$P, 'Bucket Counts'!$B:$B, T$2, 'Bucket Counts'!$A:$A, "="&amp;$A48,  'Bucket Counts'!$F:$F, "224"))</f>
        <v>0</v>
      </c>
      <c r="U48" s="116"/>
      <c r="V48" s="426">
        <f>(T48+R48)/W47</f>
        <v>0</v>
      </c>
      <c r="W48" s="370">
        <f>R46+SUM(Q46:Q48)</f>
        <v>1789.9999999999998</v>
      </c>
      <c r="X48" s="369">
        <f>SUMIFS(Collection!$O:$O, Collection!$K:$K, X$2, Collection!$A:$A, "="&amp;$A48)</f>
        <v>0</v>
      </c>
      <c r="Y48" s="116">
        <f>(SUMIFS('Bucket Counts'!$P:$P, 'Bucket Counts'!$B:$B, Y$2, 'Bucket Counts'!$A:$A, "="&amp;$A48,  'Bucket Counts'!$F:$F, "&lt;&gt;100 Morts",  'Bucket Counts'!$F:$F, "&lt;&gt;224"))</f>
        <v>0</v>
      </c>
      <c r="Z48" s="116">
        <f>(SUMIFS('Bucket Counts'!$P:$P, 'Bucket Counts'!$B:$B, Z$2, 'Bucket Counts'!$A:$A, "="&amp;$A48,  'Bucket Counts'!$F:$F, "100 Morts"))</f>
        <v>0</v>
      </c>
      <c r="AA48" s="116">
        <f>(SUMIFS('Bucket Counts'!$P:$P, 'Bucket Counts'!$B:$B, AA$2, 'Bucket Counts'!$A:$A, "="&amp;$A48,  'Bucket Counts'!$F:$F, "224"))</f>
        <v>0</v>
      </c>
      <c r="AB48" s="116"/>
      <c r="AC48" s="426">
        <f>(AA48+Y48)/AD47</f>
        <v>0</v>
      </c>
      <c r="AD48" s="370">
        <f>Y46+SUM(X46:X48)</f>
        <v>31000</v>
      </c>
      <c r="AE48" s="369">
        <f>SUMIFS(Collection!$O:$O, Collection!$K:$K, AE$2, Collection!$A:$A, "="&amp;$A48)</f>
        <v>0</v>
      </c>
      <c r="AF48" s="116">
        <f>(SUMIFS('Bucket Counts'!$P:$P, 'Bucket Counts'!$B:$B, AF$2, 'Bucket Counts'!$A:$A, "="&amp;$A48,  'Bucket Counts'!$F:$F, "&lt;&gt;100 Morts",  'Bucket Counts'!$F:$F, "&lt;&gt;224"))</f>
        <v>0</v>
      </c>
      <c r="AG48" s="116">
        <f>(SUMIFS('Bucket Counts'!$P:$P, 'Bucket Counts'!$B:$B, AG$2, 'Bucket Counts'!$A:$A, "="&amp;$A48,  'Bucket Counts'!$F:$F, "100 Morts"))</f>
        <v>0</v>
      </c>
      <c r="AH48" s="116">
        <f>(SUMIFS('Bucket Counts'!$P:$P, 'Bucket Counts'!$B:$B, AH$2, 'Bucket Counts'!$A:$A, "="&amp;$A48,  'Bucket Counts'!$F:$F, "224"))</f>
        <v>0</v>
      </c>
      <c r="AI48" s="116"/>
      <c r="AJ48" s="426">
        <f>(AH48+AF48)/AK47</f>
        <v>0</v>
      </c>
      <c r="AK48" s="370">
        <f>AF46+SUM(AE46:AE48)</f>
        <v>1596.6666666666667</v>
      </c>
      <c r="AL48" s="369">
        <f>SUMIFS(Collection!$O:$O, Collection!$K:$K, AL$2, Collection!$A:$A, "="&amp;$A48)</f>
        <v>0</v>
      </c>
      <c r="AM48" s="116">
        <f>(SUMIFS('Bucket Counts'!$P:$P, 'Bucket Counts'!$B:$B, AM$2, 'Bucket Counts'!$A:$A, "="&amp;$A48,  'Bucket Counts'!$F:$F, "&lt;&gt;100 Morts",  'Bucket Counts'!$F:$F, "&lt;&gt;224"))</f>
        <v>0</v>
      </c>
      <c r="AN48" s="116">
        <f>(SUMIFS('Bucket Counts'!$P:$P, 'Bucket Counts'!$B:$B, AN$2, 'Bucket Counts'!$A:$A, "="&amp;$A48,  'Bucket Counts'!$F:$F, "100 Morts"))</f>
        <v>0</v>
      </c>
      <c r="AO48" s="116">
        <f>(SUMIFS('Bucket Counts'!$P:$P, 'Bucket Counts'!$B:$B, AO$2, 'Bucket Counts'!$A:$A, "="&amp;$A48,  'Bucket Counts'!$F:$F, "224"))</f>
        <v>0</v>
      </c>
      <c r="AP48" s="116"/>
      <c r="AQ48" s="426">
        <f>(AO48+AM48)/AR47</f>
        <v>0</v>
      </c>
      <c r="AR48" s="370">
        <f>AM46+SUM(AL46:AL48)</f>
        <v>25300</v>
      </c>
      <c r="AS48" s="369">
        <f>SUMIFS(Collection!$O:$O, Collection!$K:$K, AS$2, Collection!$A:$A, "="&amp;$A48)</f>
        <v>0</v>
      </c>
      <c r="AT48" s="116">
        <f>(SUMIFS('Bucket Counts'!$P:$P, 'Bucket Counts'!$B:$B, AT$2, 'Bucket Counts'!$A:$A, "="&amp;$A48,  'Bucket Counts'!$F:$F, "&lt;&gt;100 Morts",  'Bucket Counts'!$F:$F, "&lt;&gt;224"))</f>
        <v>0</v>
      </c>
      <c r="AU48" s="116">
        <f>(SUMIFS('Bucket Counts'!$P:$P, 'Bucket Counts'!$B:$B, AU$2, 'Bucket Counts'!$A:$A, "="&amp;$A48,  'Bucket Counts'!$F:$F, "100 Morts"))</f>
        <v>0</v>
      </c>
      <c r="AV48" s="116">
        <f>(SUMIFS('Bucket Counts'!$P:$P, 'Bucket Counts'!$B:$B, AV$2, 'Bucket Counts'!$A:$A, "="&amp;$A48,  'Bucket Counts'!$F:$F, "224"))</f>
        <v>0</v>
      </c>
      <c r="AW48" s="116"/>
      <c r="AX48" s="426">
        <f>(AV48+AT48)/AY47</f>
        <v>0</v>
      </c>
      <c r="AY48" s="370">
        <f>AT46+SUM(AS46:AS48)</f>
        <v>18160</v>
      </c>
      <c r="AZ48" s="369">
        <f>SUMIFS(Collection!$O:$O, Collection!$K:$K, AZ$2, Collection!$A:$A, "="&amp;$A48)</f>
        <v>0</v>
      </c>
      <c r="BA48" s="116">
        <f>(SUMIFS('Bucket Counts'!$P:$P, 'Bucket Counts'!$B:$B, BA$2, 'Bucket Counts'!$A:$A, "="&amp;$A48,  'Bucket Counts'!$F:$F, "&lt;&gt;100 Morts",  'Bucket Counts'!$F:$F, "&lt;&gt;224"))</f>
        <v>0</v>
      </c>
      <c r="BB48" s="116">
        <f>(SUMIFS('Bucket Counts'!$P:$P, 'Bucket Counts'!$B:$B, BB$2, 'Bucket Counts'!$A:$A, "="&amp;$A48,  'Bucket Counts'!$F:$F, "100 Morts"))</f>
        <v>0</v>
      </c>
      <c r="BC48" s="116">
        <f>(SUMIFS('Bucket Counts'!$P:$P, 'Bucket Counts'!$B:$B, BC$2, 'Bucket Counts'!$A:$A, "="&amp;$A48,  'Bucket Counts'!$F:$F, "224"))</f>
        <v>0</v>
      </c>
      <c r="BD48" s="116"/>
      <c r="BE48" s="426">
        <f>(BC48+BA48)/BF47</f>
        <v>0</v>
      </c>
      <c r="BF48" s="370">
        <f>BA46+SUM(AZ46:AZ48)</f>
        <v>2240</v>
      </c>
      <c r="BG48" s="369">
        <f>SUMIFS(Collection!$O:$O, Collection!$K:$K, BG$2, Collection!$A:$A, "="&amp;$A48)</f>
        <v>1650</v>
      </c>
      <c r="BH48" s="116">
        <f>(SUMIFS('Bucket Counts'!$P:$P, 'Bucket Counts'!$B:$B, BH$2, 'Bucket Counts'!$A:$A, "="&amp;$A48,  'Bucket Counts'!$F:$F, "&lt;&gt;100 Morts",  'Bucket Counts'!$F:$F, "&lt;&gt;224"))</f>
        <v>0</v>
      </c>
      <c r="BI48" s="116">
        <f>(SUMIFS('Bucket Counts'!$P:$P, 'Bucket Counts'!$B:$B, BI$2, 'Bucket Counts'!$A:$A, "="&amp;$A48,  'Bucket Counts'!$F:$F, "100 Morts"))</f>
        <v>0</v>
      </c>
      <c r="BJ48" s="116">
        <f>(SUMIFS('Bucket Counts'!$P:$P, 'Bucket Counts'!$B:$B, BJ$2, 'Bucket Counts'!$A:$A, "="&amp;$A48,  'Bucket Counts'!$F:$F, "224"))</f>
        <v>0</v>
      </c>
      <c r="BK48" s="116"/>
      <c r="BL48" s="426">
        <f>(BJ48+BH48)/BM47</f>
        <v>0</v>
      </c>
      <c r="BM48" s="370">
        <f>BH46+SUM(BG46:BG48)</f>
        <v>87166.666666666672</v>
      </c>
      <c r="BN48" s="369">
        <f>SUMIFS(Collection!$O:$O, Collection!$K:$K, BN$2, Collection!$A:$A, "="&amp;$A48)</f>
        <v>0</v>
      </c>
      <c r="BO48" s="116">
        <f>(SUMIFS('Bucket Counts'!$P:$P, 'Bucket Counts'!$B:$B, BO$2, 'Bucket Counts'!$A:$A, "="&amp;$A48,  'Bucket Counts'!$F:$F, "&lt;&gt;100 Morts",  'Bucket Counts'!$F:$F, "&lt;&gt;224"))</f>
        <v>0</v>
      </c>
      <c r="BP48" s="116">
        <f>(SUMIFS('Bucket Counts'!$P:$P, 'Bucket Counts'!$B:$B, BP$2, 'Bucket Counts'!$A:$A, "="&amp;$A48,  'Bucket Counts'!$F:$F, "100 Morts"))</f>
        <v>0</v>
      </c>
      <c r="BQ48" s="116">
        <f>(SUMIFS('Bucket Counts'!$P:$P, 'Bucket Counts'!$B:$B, BQ$2, 'Bucket Counts'!$A:$A, "="&amp;$A48,  'Bucket Counts'!$F:$F, "224"))</f>
        <v>0</v>
      </c>
      <c r="BR48" s="116"/>
      <c r="BS48" s="426">
        <f>(BQ48+BO48)/BT47</f>
        <v>0</v>
      </c>
      <c r="BT48" s="370">
        <f>BO46+SUM(BN46:BN48)</f>
        <v>41686.666666666672</v>
      </c>
      <c r="BU48" s="369">
        <f>SUMIFS(Collection!$O:$O, Collection!$K:$K, BU$2, Collection!$A:$A, "="&amp;$A48)</f>
        <v>0</v>
      </c>
      <c r="BV48" s="116">
        <f>(SUMIFS('Bucket Counts'!$P:$P, 'Bucket Counts'!$B:$B, BV$2, 'Bucket Counts'!$A:$A, "="&amp;$A48,  'Bucket Counts'!$F:$F, "&lt;&gt;100 Morts",  'Bucket Counts'!$F:$F, "&lt;&gt;224"))</f>
        <v>0</v>
      </c>
      <c r="BW48" s="116">
        <f>(SUMIFS('Bucket Counts'!$P:$P, 'Bucket Counts'!$B:$B, BW$2, 'Bucket Counts'!$A:$A, "="&amp;$A48,  'Bucket Counts'!$F:$F, "100 Morts"))</f>
        <v>0</v>
      </c>
      <c r="BX48" s="116">
        <f>(SUMIFS('Bucket Counts'!$P:$P, 'Bucket Counts'!$B:$B, BX$2, 'Bucket Counts'!$A:$A, "="&amp;$A48,  'Bucket Counts'!$F:$F, "224"))</f>
        <v>0</v>
      </c>
      <c r="BY48" s="116"/>
      <c r="BZ48" s="426">
        <f>(BX48+BV48)/CA47</f>
        <v>0</v>
      </c>
      <c r="CA48" s="370">
        <f>BV46+SUM(BU46:BU48)</f>
        <v>19116.666666666668</v>
      </c>
      <c r="CB48" s="369">
        <f>SUMIFS(Collection!$O:$O, Collection!$K:$K, CB$2, Collection!$A:$A, "="&amp;$A48)</f>
        <v>0</v>
      </c>
      <c r="CC48" s="116">
        <f>(SUMIFS('Bucket Counts'!$P:$P, 'Bucket Counts'!$B:$B, CC$2, 'Bucket Counts'!$A:$A, "="&amp;$A48,  'Bucket Counts'!$F:$F, "&lt;&gt;100 Morts",  'Bucket Counts'!$F:$F, "&lt;&gt;224"))</f>
        <v>0</v>
      </c>
      <c r="CD48" s="116">
        <f>(SUMIFS('Bucket Counts'!$P:$P, 'Bucket Counts'!$B:$B, CD$2, 'Bucket Counts'!$A:$A, "="&amp;$A48,  'Bucket Counts'!$F:$F, "100 Morts"))</f>
        <v>0</v>
      </c>
      <c r="CE48" s="116">
        <f>(SUMIFS('Bucket Counts'!$P:$P, 'Bucket Counts'!$B:$B, CE$2, 'Bucket Counts'!$A:$A, "="&amp;$A48,  'Bucket Counts'!$F:$F, "224"))</f>
        <v>0</v>
      </c>
      <c r="CF48" s="116"/>
      <c r="CG48" s="426">
        <f>(CE48+CC48)/CH47</f>
        <v>0</v>
      </c>
      <c r="CH48" s="370">
        <f>CC46+SUM(CB46:CB48)</f>
        <v>44166.666666666672</v>
      </c>
      <c r="CI48" s="369">
        <f>SUMIFS(Collection!$O:$O, Collection!$K:$K, CI$2, Collection!$A:$A, "="&amp;$A48)</f>
        <v>0</v>
      </c>
      <c r="CJ48" s="116">
        <f>(SUMIFS('Bucket Counts'!$P:$P, 'Bucket Counts'!$B:$B, CJ$2, 'Bucket Counts'!$A:$A, "="&amp;$A48,  'Bucket Counts'!$F:$F, "&lt;&gt;100 Morts",  'Bucket Counts'!$F:$F, "&lt;&gt;224"))</f>
        <v>0</v>
      </c>
      <c r="CK48" s="116">
        <f>(SUMIFS('Bucket Counts'!$P:$P, 'Bucket Counts'!$B:$B, CK$2, 'Bucket Counts'!$A:$A, "="&amp;$A48,  'Bucket Counts'!$F:$F, "100 Morts"))</f>
        <v>0</v>
      </c>
      <c r="CL48" s="116">
        <f>(SUMIFS('Bucket Counts'!$P:$P, 'Bucket Counts'!$B:$B, CL$2, 'Bucket Counts'!$A:$A, "="&amp;$A48,  'Bucket Counts'!$F:$F, "224"))</f>
        <v>0</v>
      </c>
      <c r="CM48" s="116"/>
      <c r="CN48" s="426">
        <f>(CL48+CJ48)/CO47</f>
        <v>0</v>
      </c>
      <c r="CO48" s="370">
        <f>CJ46+SUM(CI46:CI48)</f>
        <v>7233.333333333333</v>
      </c>
      <c r="CP48" s="369">
        <f>SUMIFS(Collection!$O:$O, Collection!$K:$K, CP$2, Collection!$A:$A, "="&amp;$A48)</f>
        <v>0</v>
      </c>
      <c r="CQ48" s="116">
        <f>(SUMIFS('Bucket Counts'!$P:$P, 'Bucket Counts'!$B:$B, CQ$2, 'Bucket Counts'!$A:$A, "="&amp;$A48,  'Bucket Counts'!$F:$F, "&lt;&gt;100 Morts",  'Bucket Counts'!$F:$F, "&lt;&gt;224"))</f>
        <v>0</v>
      </c>
      <c r="CR48" s="116">
        <f>(SUMIFS('Bucket Counts'!$P:$P, 'Bucket Counts'!$B:$B, CR$2, 'Bucket Counts'!$A:$A, "="&amp;$A48,  'Bucket Counts'!$F:$F, "100 Morts"))</f>
        <v>0</v>
      </c>
      <c r="CS48" s="116">
        <f>(SUMIFS('Bucket Counts'!$P:$P, 'Bucket Counts'!$B:$B, CS$2, 'Bucket Counts'!$A:$A, "="&amp;$A48,  'Bucket Counts'!$F:$F, "224"))</f>
        <v>0</v>
      </c>
      <c r="CT48" s="116"/>
      <c r="CU48" s="426">
        <f>(CS48+CQ48)/CV47</f>
        <v>0</v>
      </c>
      <c r="CV48" s="370">
        <f>CQ46+SUM(CP46:CP48)</f>
        <v>3625</v>
      </c>
      <c r="CW48" s="369">
        <f>SUMIFS(Collection!$O:$O, Collection!$K:$K, CW$2, Collection!$A:$A, "="&amp;$A48)</f>
        <v>0</v>
      </c>
      <c r="CX48" s="116">
        <f>(SUMIFS('Bucket Counts'!$P:$P, 'Bucket Counts'!$B:$B, CX$2, 'Bucket Counts'!$A:$A, "="&amp;$A48,  'Bucket Counts'!$F:$F, "&lt;&gt;100 Morts",  'Bucket Counts'!$F:$F, "&lt;&gt;224"))</f>
        <v>0</v>
      </c>
      <c r="CY48" s="116">
        <f>(SUMIFS('Bucket Counts'!$P:$P, 'Bucket Counts'!$B:$B, CY$2, 'Bucket Counts'!$A:$A, "="&amp;$A48,  'Bucket Counts'!$F:$F, "100 Morts"))</f>
        <v>0</v>
      </c>
      <c r="CZ48" s="116">
        <f>(SUMIFS('Bucket Counts'!$P:$P, 'Bucket Counts'!$B:$B, CZ$2, 'Bucket Counts'!$A:$A, "="&amp;$A48,  'Bucket Counts'!$F:$F, "224"))</f>
        <v>0</v>
      </c>
      <c r="DA48" s="116"/>
      <c r="DB48" s="426">
        <f>(CZ48+CX48)/DC47</f>
        <v>0</v>
      </c>
      <c r="DC48" s="370">
        <f>CX46+SUM(CW46:CW48)</f>
        <v>45666.666666666664</v>
      </c>
      <c r="DD48" s="369">
        <f>SUMIFS(Collection!$O:$O, Collection!$K:$K, DD$2, Collection!$A:$A, "="&amp;$A48)</f>
        <v>0</v>
      </c>
      <c r="DE48" s="116">
        <f>(SUMIFS('Bucket Counts'!$P:$P, 'Bucket Counts'!$B:$B, DE$2, 'Bucket Counts'!$A:$A, "="&amp;$A48,  'Bucket Counts'!$F:$F, "&lt;&gt;100 Morts",  'Bucket Counts'!$F:$F, "&lt;&gt;224"))</f>
        <v>0</v>
      </c>
      <c r="DF48" s="116">
        <f>(SUMIFS('Bucket Counts'!$P:$P, 'Bucket Counts'!$B:$B, DF$2, 'Bucket Counts'!$A:$A, "="&amp;$A48,  'Bucket Counts'!$F:$F, "100 Morts"))</f>
        <v>0</v>
      </c>
      <c r="DG48" s="116">
        <f>(SUMIFS('Bucket Counts'!$P:$P, 'Bucket Counts'!$B:$B, DG$2, 'Bucket Counts'!$A:$A, "="&amp;$A48,  'Bucket Counts'!$F:$F, "224"))</f>
        <v>0</v>
      </c>
      <c r="DH48" s="116"/>
      <c r="DI48" s="426">
        <f>(DG48+DE48)/DJ47</f>
        <v>0</v>
      </c>
      <c r="DJ48" s="370">
        <f>DE46+SUM(DD46:DD48)</f>
        <v>19700</v>
      </c>
      <c r="DK48" s="369">
        <f>SUMIFS(Collection!$O:$O, Collection!$K:$K, DK$2, Collection!$A:$A, "="&amp;$A48)</f>
        <v>0</v>
      </c>
      <c r="DL48" s="116">
        <f>(SUMIFS('Bucket Counts'!$P:$P, 'Bucket Counts'!$B:$B, DL$2, 'Bucket Counts'!$A:$A, "="&amp;$A48,  'Bucket Counts'!$F:$F, "&lt;&gt;100 Morts",  'Bucket Counts'!$F:$F, "&lt;&gt;224"))</f>
        <v>0</v>
      </c>
      <c r="DM48" s="116">
        <f>(SUMIFS('Bucket Counts'!$P:$P, 'Bucket Counts'!$B:$B, DM$2, 'Bucket Counts'!$A:$A, "="&amp;$A48,  'Bucket Counts'!$F:$F, "100 Morts"))</f>
        <v>0</v>
      </c>
      <c r="DN48" s="116">
        <f>(SUMIFS('Bucket Counts'!$P:$P, 'Bucket Counts'!$B:$B, DN$2, 'Bucket Counts'!$A:$A, "="&amp;$A48,  'Bucket Counts'!$F:$F, "224"))</f>
        <v>0</v>
      </c>
      <c r="DO48" s="116"/>
      <c r="DP48" s="426" t="e">
        <f>(DN48+DL48)/DQ47</f>
        <v>#DIV/0!</v>
      </c>
      <c r="DQ48" s="370">
        <f>DL46+SUM(DK46:DK48)</f>
        <v>0</v>
      </c>
      <c r="DR48" s="369">
        <f>SUMIFS(Collection!$O:$O, Collection!$K:$K, DR$2, Collection!$A:$A, "="&amp;$A48)</f>
        <v>0</v>
      </c>
      <c r="DS48" s="116">
        <f>(SUMIFS('Bucket Counts'!$P:$P, 'Bucket Counts'!$B:$B, DS$2, 'Bucket Counts'!$A:$A, "="&amp;$A48,  'Bucket Counts'!$F:$F, "&lt;&gt;100 Morts",  'Bucket Counts'!$F:$F, "&lt;&gt;224"))</f>
        <v>0</v>
      </c>
      <c r="DT48" s="116">
        <f>(SUMIFS('Bucket Counts'!$P:$P, 'Bucket Counts'!$B:$B, DT$2, 'Bucket Counts'!$A:$A, "="&amp;$A48,  'Bucket Counts'!$F:$F, "100 Morts"))</f>
        <v>0</v>
      </c>
      <c r="DU48" s="116">
        <f>(SUMIFS('Bucket Counts'!$P:$P, 'Bucket Counts'!$B:$B, DU$2, 'Bucket Counts'!$A:$A, "="&amp;$A48,  'Bucket Counts'!$F:$F, "224"))</f>
        <v>0</v>
      </c>
      <c r="DV48" s="116"/>
      <c r="DW48" s="426" t="e">
        <f>(DU48+DS48)/DX47</f>
        <v>#DIV/0!</v>
      </c>
      <c r="DX48" s="370">
        <f>DS46+SUM(DR46:DR48)</f>
        <v>0</v>
      </c>
      <c r="DY48" s="369">
        <f>SUMIFS(Collection!$O:$O, Collection!$K:$K, DY$2, Collection!$A:$A, "="&amp;$A48)</f>
        <v>0</v>
      </c>
      <c r="DZ48" s="116">
        <f>(SUMIFS('Bucket Counts'!$P:$P, 'Bucket Counts'!$B:$B, DZ$2, 'Bucket Counts'!$A:$A, "="&amp;$A48,  'Bucket Counts'!$F:$F, "&lt;&gt;100 Morts",  'Bucket Counts'!$F:$F, "&lt;&gt;224"))</f>
        <v>0</v>
      </c>
      <c r="EA48" s="116">
        <f>(SUMIFS('Bucket Counts'!$P:$P, 'Bucket Counts'!$B:$B, EA$2, 'Bucket Counts'!$A:$A, "="&amp;$A48,  'Bucket Counts'!$F:$F, "100 Morts"))</f>
        <v>0</v>
      </c>
      <c r="EB48" s="116">
        <f>(SUMIFS('Bucket Counts'!$P:$P, 'Bucket Counts'!$B:$B, EB$2, 'Bucket Counts'!$A:$A, "="&amp;$A48,  'Bucket Counts'!$F:$F, "224"))</f>
        <v>0</v>
      </c>
      <c r="EC48" s="116"/>
      <c r="ED48" s="426" t="e">
        <f>(EB48+DZ48)/EE47</f>
        <v>#DIV/0!</v>
      </c>
      <c r="EE48" s="370">
        <f>DZ46+SUM(DY46:DY48)</f>
        <v>0</v>
      </c>
      <c r="EF48" s="369">
        <f>SUMIFS(Collection!$O:$O, Collection!$K:$K, EF$2, Collection!$A:$A, "="&amp;$A48)</f>
        <v>0</v>
      </c>
      <c r="EG48" s="116">
        <f>(SUMIFS('Bucket Counts'!$P:$P, 'Bucket Counts'!$B:$B, EG$2, 'Bucket Counts'!$A:$A, "="&amp;$A48,  'Bucket Counts'!$F:$F, "&lt;&gt;100 Morts",  'Bucket Counts'!$F:$F, "&lt;&gt;224"))</f>
        <v>0</v>
      </c>
      <c r="EH48" s="116">
        <f>(SUMIFS('Bucket Counts'!$P:$P, 'Bucket Counts'!$B:$B, EH$2, 'Bucket Counts'!$A:$A, "="&amp;$A48,  'Bucket Counts'!$F:$F, "100 Morts"))</f>
        <v>0</v>
      </c>
      <c r="EI48" s="116">
        <f>(SUMIFS('Bucket Counts'!$P:$P, 'Bucket Counts'!$B:$B, EI$2, 'Bucket Counts'!$A:$A, "="&amp;$A48,  'Bucket Counts'!$F:$F, "224"))</f>
        <v>0</v>
      </c>
      <c r="EJ48" s="116"/>
      <c r="EK48" s="426" t="e">
        <f>(EI48+EG48)/EL47</f>
        <v>#DIV/0!</v>
      </c>
      <c r="EL48" s="370">
        <f>EG46+SUM(EF46:EF48)</f>
        <v>0</v>
      </c>
    </row>
    <row r="49" spans="1:142" x14ac:dyDescent="0.2">
      <c r="A49" s="16">
        <f t="shared" si="0"/>
        <v>42918</v>
      </c>
      <c r="B49" s="16" t="s">
        <v>487</v>
      </c>
      <c r="C49" s="369">
        <f>SUMIFS(Collection!$O:$O, Collection!$K:$K, C$2, Collection!$A:$A, "="&amp;$A49)</f>
        <v>0</v>
      </c>
      <c r="D49" s="116">
        <f>(SUMIFS('Bucket Counts'!$P:$P, 'Bucket Counts'!$B:$B, D$2, 'Bucket Counts'!$A:$A, "="&amp;$A49,  'Bucket Counts'!$F:$F, "&lt;&gt;100 Morts",  'Bucket Counts'!$F:$F, "&lt;&gt;224"))</f>
        <v>0</v>
      </c>
      <c r="E49" s="116">
        <f>(SUMIFS('Bucket Counts'!$P:$P, 'Bucket Counts'!$B:$B, E$2, 'Bucket Counts'!$A:$A, "="&amp;$A49,  'Bucket Counts'!$F:$F, "100 Morts"))</f>
        <v>0</v>
      </c>
      <c r="F49" s="116">
        <f>(SUMIFS('Bucket Counts'!$P:$P, 'Bucket Counts'!$B:$B, F$2, 'Bucket Counts'!$A:$A, "="&amp;$A49,  'Bucket Counts'!$F:$F, "224"))</f>
        <v>0</v>
      </c>
      <c r="G49" s="116"/>
      <c r="H49" s="426">
        <f>(F49+D49)/I48</f>
        <v>0</v>
      </c>
      <c r="I49" s="370">
        <f>D46+SUM(C46:C49)</f>
        <v>2803.333333333333</v>
      </c>
      <c r="J49" s="369">
        <f>SUMIFS(Collection!$O:$O, Collection!$K:$K, J$2, Collection!$A:$A, "="&amp;$A49)</f>
        <v>0</v>
      </c>
      <c r="K49" s="116">
        <f>(SUMIFS('Bucket Counts'!$P:$P, 'Bucket Counts'!$B:$B, K$2, 'Bucket Counts'!$A:$A, "="&amp;$A49,  'Bucket Counts'!$F:$F, "&lt;&gt;100 Morts",  'Bucket Counts'!$F:$F, "&lt;&gt;224"))</f>
        <v>0</v>
      </c>
      <c r="L49" s="116">
        <f>(SUMIFS('Bucket Counts'!$P:$P, 'Bucket Counts'!$B:$B, L$2, 'Bucket Counts'!$A:$A, "="&amp;$A49,  'Bucket Counts'!$F:$F, "100 Morts"))</f>
        <v>0</v>
      </c>
      <c r="M49" s="116">
        <f>(SUMIFS('Bucket Counts'!$P:$P, 'Bucket Counts'!$B:$B, M$2, 'Bucket Counts'!$A:$A, "="&amp;$A49,  'Bucket Counts'!$F:$F, "224"))</f>
        <v>0</v>
      </c>
      <c r="N49" s="116"/>
      <c r="O49" s="426">
        <f>(M49+K49)/P48</f>
        <v>0</v>
      </c>
      <c r="P49" s="370">
        <f>K46+SUM(J46:J49)</f>
        <v>81.666666666666657</v>
      </c>
      <c r="Q49" s="369">
        <f>SUMIFS(Collection!$O:$O, Collection!$K:$K, Q$2, Collection!$A:$A, "="&amp;$A49)</f>
        <v>0</v>
      </c>
      <c r="R49" s="116">
        <f>(SUMIFS('Bucket Counts'!$P:$P, 'Bucket Counts'!$B:$B, R$2, 'Bucket Counts'!$A:$A, "="&amp;$A49,  'Bucket Counts'!$F:$F, "&lt;&gt;100 Morts",  'Bucket Counts'!$F:$F, "&lt;&gt;224"))</f>
        <v>0</v>
      </c>
      <c r="S49" s="116">
        <f>(SUMIFS('Bucket Counts'!$P:$P, 'Bucket Counts'!$B:$B, S$2, 'Bucket Counts'!$A:$A, "="&amp;$A49,  'Bucket Counts'!$F:$F, "100 Morts"))</f>
        <v>0</v>
      </c>
      <c r="T49" s="116">
        <f>(SUMIFS('Bucket Counts'!$P:$P, 'Bucket Counts'!$B:$B, T$2, 'Bucket Counts'!$A:$A, "="&amp;$A49,  'Bucket Counts'!$F:$F, "224"))</f>
        <v>0</v>
      </c>
      <c r="U49" s="116"/>
      <c r="V49" s="426">
        <f>(T49+R49)/W48</f>
        <v>0</v>
      </c>
      <c r="W49" s="370">
        <f>R46+SUM(Q46:Q49)</f>
        <v>1789.9999999999998</v>
      </c>
      <c r="X49" s="369">
        <f>SUMIFS(Collection!$O:$O, Collection!$K:$K, X$2, Collection!$A:$A, "="&amp;$A49)</f>
        <v>0</v>
      </c>
      <c r="Y49" s="116">
        <f>(SUMIFS('Bucket Counts'!$P:$P, 'Bucket Counts'!$B:$B, Y$2, 'Bucket Counts'!$A:$A, "="&amp;$A49,  'Bucket Counts'!$F:$F, "&lt;&gt;100 Morts",  'Bucket Counts'!$F:$F, "&lt;&gt;224"))</f>
        <v>0</v>
      </c>
      <c r="Z49" s="116">
        <f>(SUMIFS('Bucket Counts'!$P:$P, 'Bucket Counts'!$B:$B, Z$2, 'Bucket Counts'!$A:$A, "="&amp;$A49,  'Bucket Counts'!$F:$F, "100 Morts"))</f>
        <v>0</v>
      </c>
      <c r="AA49" s="116">
        <f>(SUMIFS('Bucket Counts'!$P:$P, 'Bucket Counts'!$B:$B, AA$2, 'Bucket Counts'!$A:$A, "="&amp;$A49,  'Bucket Counts'!$F:$F, "224"))</f>
        <v>0</v>
      </c>
      <c r="AB49" s="116"/>
      <c r="AC49" s="426">
        <f>(AA49+Y49)/AD48</f>
        <v>0</v>
      </c>
      <c r="AD49" s="370">
        <f>Y46+SUM(X46:X49)</f>
        <v>31000</v>
      </c>
      <c r="AE49" s="369">
        <f>SUMIFS(Collection!$O:$O, Collection!$K:$K, AE$2, Collection!$A:$A, "="&amp;$A49)</f>
        <v>0</v>
      </c>
      <c r="AF49" s="116">
        <f>(SUMIFS('Bucket Counts'!$P:$P, 'Bucket Counts'!$B:$B, AF$2, 'Bucket Counts'!$A:$A, "="&amp;$A49,  'Bucket Counts'!$F:$F, "&lt;&gt;100 Morts",  'Bucket Counts'!$F:$F, "&lt;&gt;224"))</f>
        <v>0</v>
      </c>
      <c r="AG49" s="116">
        <f>(SUMIFS('Bucket Counts'!$P:$P, 'Bucket Counts'!$B:$B, AG$2, 'Bucket Counts'!$A:$A, "="&amp;$A49,  'Bucket Counts'!$F:$F, "100 Morts"))</f>
        <v>0</v>
      </c>
      <c r="AH49" s="116">
        <f>(SUMIFS('Bucket Counts'!$P:$P, 'Bucket Counts'!$B:$B, AH$2, 'Bucket Counts'!$A:$A, "="&amp;$A49,  'Bucket Counts'!$F:$F, "224"))</f>
        <v>0</v>
      </c>
      <c r="AI49" s="116"/>
      <c r="AJ49" s="426">
        <f>(AH49+AF49)/AK48</f>
        <v>0</v>
      </c>
      <c r="AK49" s="370">
        <f>AF46+SUM(AE46:AE49)</f>
        <v>1596.6666666666667</v>
      </c>
      <c r="AL49" s="369">
        <f>SUMIFS(Collection!$O:$O, Collection!$K:$K, AL$2, Collection!$A:$A, "="&amp;$A49)</f>
        <v>0</v>
      </c>
      <c r="AM49" s="116">
        <f>(SUMIFS('Bucket Counts'!$P:$P, 'Bucket Counts'!$B:$B, AM$2, 'Bucket Counts'!$A:$A, "="&amp;$A49,  'Bucket Counts'!$F:$F, "&lt;&gt;100 Morts",  'Bucket Counts'!$F:$F, "&lt;&gt;224"))</f>
        <v>0</v>
      </c>
      <c r="AN49" s="116">
        <f>(SUMIFS('Bucket Counts'!$P:$P, 'Bucket Counts'!$B:$B, AN$2, 'Bucket Counts'!$A:$A, "="&amp;$A49,  'Bucket Counts'!$F:$F, "100 Morts"))</f>
        <v>0</v>
      </c>
      <c r="AO49" s="116">
        <f>(SUMIFS('Bucket Counts'!$P:$P, 'Bucket Counts'!$B:$B, AO$2, 'Bucket Counts'!$A:$A, "="&amp;$A49,  'Bucket Counts'!$F:$F, "224"))</f>
        <v>0</v>
      </c>
      <c r="AP49" s="116"/>
      <c r="AQ49" s="426">
        <f>(AO49+AM49)/AR48</f>
        <v>0</v>
      </c>
      <c r="AR49" s="370">
        <f>AM46+SUM(AL46:AL49)</f>
        <v>25300</v>
      </c>
      <c r="AS49" s="369">
        <f>SUMIFS(Collection!$O:$O, Collection!$K:$K, AS$2, Collection!$A:$A, "="&amp;$A49)</f>
        <v>0</v>
      </c>
      <c r="AT49" s="116">
        <f>(SUMIFS('Bucket Counts'!$P:$P, 'Bucket Counts'!$B:$B, AT$2, 'Bucket Counts'!$A:$A, "="&amp;$A49,  'Bucket Counts'!$F:$F, "&lt;&gt;100 Morts",  'Bucket Counts'!$F:$F, "&lt;&gt;224"))</f>
        <v>0</v>
      </c>
      <c r="AU49" s="116">
        <f>(SUMIFS('Bucket Counts'!$P:$P, 'Bucket Counts'!$B:$B, AU$2, 'Bucket Counts'!$A:$A, "="&amp;$A49,  'Bucket Counts'!$F:$F, "100 Morts"))</f>
        <v>0</v>
      </c>
      <c r="AV49" s="116">
        <f>(SUMIFS('Bucket Counts'!$P:$P, 'Bucket Counts'!$B:$B, AV$2, 'Bucket Counts'!$A:$A, "="&amp;$A49,  'Bucket Counts'!$F:$F, "224"))</f>
        <v>0</v>
      </c>
      <c r="AW49" s="116"/>
      <c r="AX49" s="426">
        <f>(AV49+AT49)/AY48</f>
        <v>0</v>
      </c>
      <c r="AY49" s="370">
        <f>AT46+SUM(AS46:AS49)</f>
        <v>18160</v>
      </c>
      <c r="AZ49" s="369">
        <f>SUMIFS(Collection!$O:$O, Collection!$K:$K, AZ$2, Collection!$A:$A, "="&amp;$A49)</f>
        <v>0</v>
      </c>
      <c r="BA49" s="116">
        <f>(SUMIFS('Bucket Counts'!$P:$P, 'Bucket Counts'!$B:$B, BA$2, 'Bucket Counts'!$A:$A, "="&amp;$A49,  'Bucket Counts'!$F:$F, "&lt;&gt;100 Morts",  'Bucket Counts'!$F:$F, "&lt;&gt;224"))</f>
        <v>0</v>
      </c>
      <c r="BB49" s="116">
        <f>(SUMIFS('Bucket Counts'!$P:$P, 'Bucket Counts'!$B:$B, BB$2, 'Bucket Counts'!$A:$A, "="&amp;$A49,  'Bucket Counts'!$F:$F, "100 Morts"))</f>
        <v>0</v>
      </c>
      <c r="BC49" s="116">
        <f>(SUMIFS('Bucket Counts'!$P:$P, 'Bucket Counts'!$B:$B, BC$2, 'Bucket Counts'!$A:$A, "="&amp;$A49,  'Bucket Counts'!$F:$F, "224"))</f>
        <v>0</v>
      </c>
      <c r="BD49" s="116"/>
      <c r="BE49" s="426">
        <f>(BC49+BA49)/BF48</f>
        <v>0</v>
      </c>
      <c r="BF49" s="370">
        <f>BA46+SUM(AZ46:AZ49)</f>
        <v>2240</v>
      </c>
      <c r="BG49" s="369">
        <f>SUMIFS(Collection!$O:$O, Collection!$K:$K, BG$2, Collection!$A:$A, "="&amp;$A49)</f>
        <v>0</v>
      </c>
      <c r="BH49" s="116">
        <f>(SUMIFS('Bucket Counts'!$P:$P, 'Bucket Counts'!$B:$B, BH$2, 'Bucket Counts'!$A:$A, "="&amp;$A49,  'Bucket Counts'!$F:$F, "&lt;&gt;100 Morts",  'Bucket Counts'!$F:$F, "&lt;&gt;224"))</f>
        <v>0</v>
      </c>
      <c r="BI49" s="116">
        <f>(SUMIFS('Bucket Counts'!$P:$P, 'Bucket Counts'!$B:$B, BI$2, 'Bucket Counts'!$A:$A, "="&amp;$A49,  'Bucket Counts'!$F:$F, "100 Morts"))</f>
        <v>0</v>
      </c>
      <c r="BJ49" s="116">
        <f>(SUMIFS('Bucket Counts'!$P:$P, 'Bucket Counts'!$B:$B, BJ$2, 'Bucket Counts'!$A:$A, "="&amp;$A49,  'Bucket Counts'!$F:$F, "224"))</f>
        <v>0</v>
      </c>
      <c r="BK49" s="116"/>
      <c r="BL49" s="426">
        <f>(BJ49+BH49)/BM48</f>
        <v>0</v>
      </c>
      <c r="BM49" s="370">
        <f>BH46+SUM(BG46:BG49)</f>
        <v>87166.666666666672</v>
      </c>
      <c r="BN49" s="369">
        <f>SUMIFS(Collection!$O:$O, Collection!$K:$K, BN$2, Collection!$A:$A, "="&amp;$A49)</f>
        <v>0</v>
      </c>
      <c r="BO49" s="116">
        <f>(SUMIFS('Bucket Counts'!$P:$P, 'Bucket Counts'!$B:$B, BO$2, 'Bucket Counts'!$A:$A, "="&amp;$A49,  'Bucket Counts'!$F:$F, "&lt;&gt;100 Morts",  'Bucket Counts'!$F:$F, "&lt;&gt;224"))</f>
        <v>0</v>
      </c>
      <c r="BP49" s="116">
        <f>(SUMIFS('Bucket Counts'!$P:$P, 'Bucket Counts'!$B:$B, BP$2, 'Bucket Counts'!$A:$A, "="&amp;$A49,  'Bucket Counts'!$F:$F, "100 Morts"))</f>
        <v>0</v>
      </c>
      <c r="BQ49" s="116">
        <f>(SUMIFS('Bucket Counts'!$P:$P, 'Bucket Counts'!$B:$B, BQ$2, 'Bucket Counts'!$A:$A, "="&amp;$A49,  'Bucket Counts'!$F:$F, "224"))</f>
        <v>0</v>
      </c>
      <c r="BR49" s="116"/>
      <c r="BS49" s="426">
        <f>(BQ49+BO49)/BT48</f>
        <v>0</v>
      </c>
      <c r="BT49" s="370">
        <f>BO46+SUM(BN46:BN49)</f>
        <v>41686.666666666672</v>
      </c>
      <c r="BU49" s="369">
        <f>SUMIFS(Collection!$O:$O, Collection!$K:$K, BU$2, Collection!$A:$A, "="&amp;$A49)</f>
        <v>0</v>
      </c>
      <c r="BV49" s="116">
        <f>(SUMIFS('Bucket Counts'!$P:$P, 'Bucket Counts'!$B:$B, BV$2, 'Bucket Counts'!$A:$A, "="&amp;$A49,  'Bucket Counts'!$F:$F, "&lt;&gt;100 Morts",  'Bucket Counts'!$F:$F, "&lt;&gt;224"))</f>
        <v>0</v>
      </c>
      <c r="BW49" s="116">
        <f>(SUMIFS('Bucket Counts'!$P:$P, 'Bucket Counts'!$B:$B, BW$2, 'Bucket Counts'!$A:$A, "="&amp;$A49,  'Bucket Counts'!$F:$F, "100 Morts"))</f>
        <v>0</v>
      </c>
      <c r="BX49" s="116">
        <f>(SUMIFS('Bucket Counts'!$P:$P, 'Bucket Counts'!$B:$B, BX$2, 'Bucket Counts'!$A:$A, "="&amp;$A49,  'Bucket Counts'!$F:$F, "224"))</f>
        <v>0</v>
      </c>
      <c r="BY49" s="116"/>
      <c r="BZ49" s="426">
        <f>(BX49+BV49)/CA48</f>
        <v>0</v>
      </c>
      <c r="CA49" s="370">
        <f>BV46+SUM(BU46:BU49)</f>
        <v>19116.666666666668</v>
      </c>
      <c r="CB49" s="369">
        <f>SUMIFS(Collection!$O:$O, Collection!$K:$K, CB$2, Collection!$A:$A, "="&amp;$A49)</f>
        <v>0</v>
      </c>
      <c r="CC49" s="116">
        <f>(SUMIFS('Bucket Counts'!$P:$P, 'Bucket Counts'!$B:$B, CC$2, 'Bucket Counts'!$A:$A, "="&amp;$A49,  'Bucket Counts'!$F:$F, "&lt;&gt;100 Morts",  'Bucket Counts'!$F:$F, "&lt;&gt;224"))</f>
        <v>0</v>
      </c>
      <c r="CD49" s="116">
        <f>(SUMIFS('Bucket Counts'!$P:$P, 'Bucket Counts'!$B:$B, CD$2, 'Bucket Counts'!$A:$A, "="&amp;$A49,  'Bucket Counts'!$F:$F, "100 Morts"))</f>
        <v>0</v>
      </c>
      <c r="CE49" s="116">
        <f>(SUMIFS('Bucket Counts'!$P:$P, 'Bucket Counts'!$B:$B, CE$2, 'Bucket Counts'!$A:$A, "="&amp;$A49,  'Bucket Counts'!$F:$F, "224"))</f>
        <v>0</v>
      </c>
      <c r="CF49" s="116"/>
      <c r="CG49" s="426">
        <f>(CE49+CC49)/CH48</f>
        <v>0</v>
      </c>
      <c r="CH49" s="370">
        <f>CC46+SUM(CB46:CB49)</f>
        <v>44166.666666666672</v>
      </c>
      <c r="CI49" s="369">
        <f>SUMIFS(Collection!$O:$O, Collection!$K:$K, CI$2, Collection!$A:$A, "="&amp;$A49)</f>
        <v>0</v>
      </c>
      <c r="CJ49" s="116">
        <f>(SUMIFS('Bucket Counts'!$P:$P, 'Bucket Counts'!$B:$B, CJ$2, 'Bucket Counts'!$A:$A, "="&amp;$A49,  'Bucket Counts'!$F:$F, "&lt;&gt;100 Morts",  'Bucket Counts'!$F:$F, "&lt;&gt;224"))</f>
        <v>0</v>
      </c>
      <c r="CK49" s="116">
        <f>(SUMIFS('Bucket Counts'!$P:$P, 'Bucket Counts'!$B:$B, CK$2, 'Bucket Counts'!$A:$A, "="&amp;$A49,  'Bucket Counts'!$F:$F, "100 Morts"))</f>
        <v>0</v>
      </c>
      <c r="CL49" s="116">
        <f>(SUMIFS('Bucket Counts'!$P:$P, 'Bucket Counts'!$B:$B, CL$2, 'Bucket Counts'!$A:$A, "="&amp;$A49,  'Bucket Counts'!$F:$F, "224"))</f>
        <v>0</v>
      </c>
      <c r="CM49" s="116"/>
      <c r="CN49" s="426">
        <f>(CL49+CJ49)/CO48</f>
        <v>0</v>
      </c>
      <c r="CO49" s="370">
        <f>CJ46+SUM(CI46:CI49)</f>
        <v>7233.333333333333</v>
      </c>
      <c r="CP49" s="369">
        <f>SUMIFS(Collection!$O:$O, Collection!$K:$K, CP$2, Collection!$A:$A, "="&amp;$A49)</f>
        <v>0</v>
      </c>
      <c r="CQ49" s="116">
        <f>(SUMIFS('Bucket Counts'!$P:$P, 'Bucket Counts'!$B:$B, CQ$2, 'Bucket Counts'!$A:$A, "="&amp;$A49,  'Bucket Counts'!$F:$F, "&lt;&gt;100 Morts",  'Bucket Counts'!$F:$F, "&lt;&gt;224"))</f>
        <v>0</v>
      </c>
      <c r="CR49" s="116">
        <f>(SUMIFS('Bucket Counts'!$P:$P, 'Bucket Counts'!$B:$B, CR$2, 'Bucket Counts'!$A:$A, "="&amp;$A49,  'Bucket Counts'!$F:$F, "100 Morts"))</f>
        <v>0</v>
      </c>
      <c r="CS49" s="116">
        <f>(SUMIFS('Bucket Counts'!$P:$P, 'Bucket Counts'!$B:$B, CS$2, 'Bucket Counts'!$A:$A, "="&amp;$A49,  'Bucket Counts'!$F:$F, "224"))</f>
        <v>0</v>
      </c>
      <c r="CT49" s="116"/>
      <c r="CU49" s="426">
        <f>(CS49+CQ49)/CV48</f>
        <v>0</v>
      </c>
      <c r="CV49" s="370">
        <f>CQ46+SUM(CP46:CP49)</f>
        <v>3625</v>
      </c>
      <c r="CW49" s="369">
        <f>SUMIFS(Collection!$O:$O, Collection!$K:$K, CW$2, Collection!$A:$A, "="&amp;$A49)</f>
        <v>0</v>
      </c>
      <c r="CX49" s="116">
        <f>(SUMIFS('Bucket Counts'!$P:$P, 'Bucket Counts'!$B:$B, CX$2, 'Bucket Counts'!$A:$A, "="&amp;$A49,  'Bucket Counts'!$F:$F, "&lt;&gt;100 Morts",  'Bucket Counts'!$F:$F, "&lt;&gt;224"))</f>
        <v>0</v>
      </c>
      <c r="CY49" s="116">
        <f>(SUMIFS('Bucket Counts'!$P:$P, 'Bucket Counts'!$B:$B, CY$2, 'Bucket Counts'!$A:$A, "="&amp;$A49,  'Bucket Counts'!$F:$F, "100 Morts"))</f>
        <v>0</v>
      </c>
      <c r="CZ49" s="116">
        <f>(SUMIFS('Bucket Counts'!$P:$P, 'Bucket Counts'!$B:$B, CZ$2, 'Bucket Counts'!$A:$A, "="&amp;$A49,  'Bucket Counts'!$F:$F, "224"))</f>
        <v>0</v>
      </c>
      <c r="DA49" s="116"/>
      <c r="DB49" s="426">
        <f>(CZ49+CX49)/DC48</f>
        <v>0</v>
      </c>
      <c r="DC49" s="370">
        <f>CX46+SUM(CW46:CW49)</f>
        <v>45666.666666666664</v>
      </c>
      <c r="DD49" s="369">
        <f>SUMIFS(Collection!$O:$O, Collection!$K:$K, DD$2, Collection!$A:$A, "="&amp;$A49)</f>
        <v>0</v>
      </c>
      <c r="DE49" s="116">
        <f>(SUMIFS('Bucket Counts'!$P:$P, 'Bucket Counts'!$B:$B, DE$2, 'Bucket Counts'!$A:$A, "="&amp;$A49,  'Bucket Counts'!$F:$F, "&lt;&gt;100 Morts",  'Bucket Counts'!$F:$F, "&lt;&gt;224"))</f>
        <v>0</v>
      </c>
      <c r="DF49" s="116">
        <f>(SUMIFS('Bucket Counts'!$P:$P, 'Bucket Counts'!$B:$B, DF$2, 'Bucket Counts'!$A:$A, "="&amp;$A49,  'Bucket Counts'!$F:$F, "100 Morts"))</f>
        <v>0</v>
      </c>
      <c r="DG49" s="116">
        <f>(SUMIFS('Bucket Counts'!$P:$P, 'Bucket Counts'!$B:$B, DG$2, 'Bucket Counts'!$A:$A, "="&amp;$A49,  'Bucket Counts'!$F:$F, "224"))</f>
        <v>0</v>
      </c>
      <c r="DH49" s="116"/>
      <c r="DI49" s="426">
        <f>(DG49+DE49)/DJ48</f>
        <v>0</v>
      </c>
      <c r="DJ49" s="370">
        <f>DE46+SUM(DD46:DD49)</f>
        <v>19700</v>
      </c>
      <c r="DK49" s="369">
        <f>SUMIFS(Collection!$O:$O, Collection!$K:$K, DK$2, Collection!$A:$A, "="&amp;$A49)</f>
        <v>0</v>
      </c>
      <c r="DL49" s="116">
        <f>(SUMIFS('Bucket Counts'!$P:$P, 'Bucket Counts'!$B:$B, DL$2, 'Bucket Counts'!$A:$A, "="&amp;$A49,  'Bucket Counts'!$F:$F, "&lt;&gt;100 Morts",  'Bucket Counts'!$F:$F, "&lt;&gt;224"))</f>
        <v>0</v>
      </c>
      <c r="DM49" s="116">
        <f>(SUMIFS('Bucket Counts'!$P:$P, 'Bucket Counts'!$B:$B, DM$2, 'Bucket Counts'!$A:$A, "="&amp;$A49,  'Bucket Counts'!$F:$F, "100 Morts"))</f>
        <v>0</v>
      </c>
      <c r="DN49" s="116">
        <f>(SUMIFS('Bucket Counts'!$P:$P, 'Bucket Counts'!$B:$B, DN$2, 'Bucket Counts'!$A:$A, "="&amp;$A49,  'Bucket Counts'!$F:$F, "224"))</f>
        <v>0</v>
      </c>
      <c r="DO49" s="116"/>
      <c r="DP49" s="426" t="e">
        <f>(DN49+DL49)/DQ48</f>
        <v>#DIV/0!</v>
      </c>
      <c r="DQ49" s="370">
        <f>DL46+SUM(DK46:DK49)</f>
        <v>0</v>
      </c>
      <c r="DR49" s="369">
        <f>SUMIFS(Collection!$O:$O, Collection!$K:$K, DR$2, Collection!$A:$A, "="&amp;$A49)</f>
        <v>0</v>
      </c>
      <c r="DS49" s="116">
        <f>(SUMIFS('Bucket Counts'!$P:$P, 'Bucket Counts'!$B:$B, DS$2, 'Bucket Counts'!$A:$A, "="&amp;$A49,  'Bucket Counts'!$F:$F, "&lt;&gt;100 Morts",  'Bucket Counts'!$F:$F, "&lt;&gt;224"))</f>
        <v>0</v>
      </c>
      <c r="DT49" s="116">
        <f>(SUMIFS('Bucket Counts'!$P:$P, 'Bucket Counts'!$B:$B, DT$2, 'Bucket Counts'!$A:$A, "="&amp;$A49,  'Bucket Counts'!$F:$F, "100 Morts"))</f>
        <v>0</v>
      </c>
      <c r="DU49" s="116">
        <f>(SUMIFS('Bucket Counts'!$P:$P, 'Bucket Counts'!$B:$B, DU$2, 'Bucket Counts'!$A:$A, "="&amp;$A49,  'Bucket Counts'!$F:$F, "224"))</f>
        <v>0</v>
      </c>
      <c r="DV49" s="116"/>
      <c r="DW49" s="426" t="e">
        <f>(DU49+DS49)/DX48</f>
        <v>#DIV/0!</v>
      </c>
      <c r="DX49" s="370">
        <f>DS46+SUM(DR46:DR49)</f>
        <v>0</v>
      </c>
      <c r="DY49" s="369">
        <f>SUMIFS(Collection!$O:$O, Collection!$K:$K, DY$2, Collection!$A:$A, "="&amp;$A49)</f>
        <v>0</v>
      </c>
      <c r="DZ49" s="116">
        <f>(SUMIFS('Bucket Counts'!$P:$P, 'Bucket Counts'!$B:$B, DZ$2, 'Bucket Counts'!$A:$A, "="&amp;$A49,  'Bucket Counts'!$F:$F, "&lt;&gt;100 Morts",  'Bucket Counts'!$F:$F, "&lt;&gt;224"))</f>
        <v>0</v>
      </c>
      <c r="EA49" s="116">
        <f>(SUMIFS('Bucket Counts'!$P:$P, 'Bucket Counts'!$B:$B, EA$2, 'Bucket Counts'!$A:$A, "="&amp;$A49,  'Bucket Counts'!$F:$F, "100 Morts"))</f>
        <v>0</v>
      </c>
      <c r="EB49" s="116">
        <f>(SUMIFS('Bucket Counts'!$P:$P, 'Bucket Counts'!$B:$B, EB$2, 'Bucket Counts'!$A:$A, "="&amp;$A49,  'Bucket Counts'!$F:$F, "224"))</f>
        <v>0</v>
      </c>
      <c r="EC49" s="116"/>
      <c r="ED49" s="426" t="e">
        <f>(EB49+DZ49)/EE48</f>
        <v>#DIV/0!</v>
      </c>
      <c r="EE49" s="370">
        <f>DZ46+SUM(DY46:DY49)</f>
        <v>0</v>
      </c>
      <c r="EF49" s="369">
        <f>SUMIFS(Collection!$O:$O, Collection!$K:$K, EF$2, Collection!$A:$A, "="&amp;$A49)</f>
        <v>0</v>
      </c>
      <c r="EG49" s="116">
        <f>(SUMIFS('Bucket Counts'!$P:$P, 'Bucket Counts'!$B:$B, EG$2, 'Bucket Counts'!$A:$A, "="&amp;$A49,  'Bucket Counts'!$F:$F, "&lt;&gt;100 Morts",  'Bucket Counts'!$F:$F, "&lt;&gt;224"))</f>
        <v>0</v>
      </c>
      <c r="EH49" s="116">
        <f>(SUMIFS('Bucket Counts'!$P:$P, 'Bucket Counts'!$B:$B, EH$2, 'Bucket Counts'!$A:$A, "="&amp;$A49,  'Bucket Counts'!$F:$F, "100 Morts"))</f>
        <v>0</v>
      </c>
      <c r="EI49" s="116">
        <f>(SUMIFS('Bucket Counts'!$P:$P, 'Bucket Counts'!$B:$B, EI$2, 'Bucket Counts'!$A:$A, "="&amp;$A49,  'Bucket Counts'!$F:$F, "224"))</f>
        <v>0</v>
      </c>
      <c r="EJ49" s="116"/>
      <c r="EK49" s="426" t="e">
        <f>(EI49+EG49)/EL48</f>
        <v>#DIV/0!</v>
      </c>
      <c r="EL49" s="370">
        <f>EG46+SUM(EF46:EF49)</f>
        <v>0</v>
      </c>
    </row>
    <row r="50" spans="1:142" s="434" customFormat="1" x14ac:dyDescent="0.2">
      <c r="A50" s="428">
        <f t="shared" si="0"/>
        <v>42919</v>
      </c>
      <c r="B50" s="428" t="s">
        <v>486</v>
      </c>
      <c r="C50" s="429">
        <f>SUMIFS(Collection!$O:$O, Collection!$K:$K, C$2, Collection!$A:$A, "="&amp;$A50)</f>
        <v>0</v>
      </c>
      <c r="D50" s="430">
        <f>(SUMIFS('Bucket Counts'!$P:$P, 'Bucket Counts'!$B:$B, D$2, 'Bucket Counts'!$A:$A, "="&amp;$A50,  'Bucket Counts'!$F:$F, "&lt;&gt;100 Morts",  'Bucket Counts'!$F:$F, "&lt;&gt;224"))</f>
        <v>1210</v>
      </c>
      <c r="E50" s="430">
        <f>(SUMIFS('Bucket Counts'!$P:$P, 'Bucket Counts'!$B:$B, E$2, 'Bucket Counts'!$A:$A, "="&amp;$A50,  'Bucket Counts'!$F:$F, "100 Morts"))</f>
        <v>0</v>
      </c>
      <c r="F50" s="430">
        <f>(SUMIFS('Bucket Counts'!$P:$P, 'Bucket Counts'!$B:$B, F$2, 'Bucket Counts'!$A:$A, "="&amp;$A50,  'Bucket Counts'!$F:$F, "224"))</f>
        <v>0</v>
      </c>
      <c r="G50" s="430">
        <f>I49</f>
        <v>2803.333333333333</v>
      </c>
      <c r="H50" s="431">
        <f>SUM(D50+F50)</f>
        <v>1210</v>
      </c>
      <c r="I50" s="432">
        <f>D50+C50</f>
        <v>1210</v>
      </c>
      <c r="J50" s="429">
        <f>SUMIFS(Collection!$O:$O, Collection!$K:$K, J$2, Collection!$A:$A, "="&amp;$A50)</f>
        <v>41958.333333333328</v>
      </c>
      <c r="K50" s="430">
        <f>(SUMIFS('Bucket Counts'!$P:$P, 'Bucket Counts'!$B:$B, K$2, 'Bucket Counts'!$A:$A, "="&amp;$A50,  'Bucket Counts'!$F:$F, "&lt;&gt;100 Morts",  'Bucket Counts'!$F:$F, "&lt;&gt;224"))</f>
        <v>95.555555555555543</v>
      </c>
      <c r="L50" s="430">
        <f>(SUMIFS('Bucket Counts'!$P:$P, 'Bucket Counts'!$B:$B, L$2, 'Bucket Counts'!$A:$A, "="&amp;$A50,  'Bucket Counts'!$F:$F, "100 Morts"))</f>
        <v>0</v>
      </c>
      <c r="M50" s="430">
        <f>(SUMIFS('Bucket Counts'!$P:$P, 'Bucket Counts'!$B:$B, M$2, 'Bucket Counts'!$A:$A, "="&amp;$A50,  'Bucket Counts'!$F:$F, "224"))</f>
        <v>2</v>
      </c>
      <c r="N50" s="430">
        <f>P49</f>
        <v>81.666666666666657</v>
      </c>
      <c r="O50" s="431">
        <f>SUM(K50+M50)</f>
        <v>97.555555555555543</v>
      </c>
      <c r="P50" s="432">
        <f>K50+J50</f>
        <v>42053.888888888883</v>
      </c>
      <c r="Q50" s="429">
        <f>SUMIFS(Collection!$O:$O, Collection!$K:$K, Q$2, Collection!$A:$A, "="&amp;$A50)</f>
        <v>0</v>
      </c>
      <c r="R50" s="430">
        <f>(SUMIFS('Bucket Counts'!$P:$P, 'Bucket Counts'!$B:$B, R$2, 'Bucket Counts'!$A:$A, "="&amp;$A50,  'Bucket Counts'!$F:$F, "&lt;&gt;100 Morts",  'Bucket Counts'!$F:$F, "&lt;&gt;224"))</f>
        <v>860.00000000000011</v>
      </c>
      <c r="S50" s="430">
        <f>(SUMIFS('Bucket Counts'!$P:$P, 'Bucket Counts'!$B:$B, S$2, 'Bucket Counts'!$A:$A, "="&amp;$A50,  'Bucket Counts'!$F:$F, "100 Morts"))</f>
        <v>0</v>
      </c>
      <c r="T50" s="430">
        <f>(SUMIFS('Bucket Counts'!$P:$P, 'Bucket Counts'!$B:$B, T$2, 'Bucket Counts'!$A:$A, "="&amp;$A50,  'Bucket Counts'!$F:$F, "224"))</f>
        <v>57.777777777777771</v>
      </c>
      <c r="U50" s="430">
        <f>W49</f>
        <v>1789.9999999999998</v>
      </c>
      <c r="V50" s="431">
        <f>SUM(R50+T50)</f>
        <v>917.77777777777783</v>
      </c>
      <c r="W50" s="432">
        <f>R50+Q50</f>
        <v>860.00000000000011</v>
      </c>
      <c r="X50" s="429">
        <f>SUMIFS(Collection!$O:$O, Collection!$K:$K, X$2, Collection!$A:$A, "="&amp;$A50)</f>
        <v>0</v>
      </c>
      <c r="Y50" s="430">
        <f>(SUMIFS('Bucket Counts'!$P:$P, 'Bucket Counts'!$B:$B, Y$2, 'Bucket Counts'!$A:$A, "="&amp;$A50,  'Bucket Counts'!$F:$F, "&lt;&gt;100 Morts",  'Bucket Counts'!$F:$F, "&lt;&gt;224"))</f>
        <v>26280</v>
      </c>
      <c r="Z50" s="430">
        <f>(SUMIFS('Bucket Counts'!$P:$P, 'Bucket Counts'!$B:$B, Z$2, 'Bucket Counts'!$A:$A, "="&amp;$A50,  'Bucket Counts'!$F:$F, "100 Morts"))</f>
        <v>100</v>
      </c>
      <c r="AA50" s="430">
        <f>(SUMIFS('Bucket Counts'!$P:$P, 'Bucket Counts'!$B:$B, AA$2, 'Bucket Counts'!$A:$A, "="&amp;$A50,  'Bucket Counts'!$F:$F, "224"))</f>
        <v>1516.6666666666667</v>
      </c>
      <c r="AB50" s="430">
        <f>AD49</f>
        <v>31000</v>
      </c>
      <c r="AC50" s="431">
        <f>SUM(Y50+AA50)</f>
        <v>27796.666666666668</v>
      </c>
      <c r="AD50" s="432">
        <f>Y50+X50</f>
        <v>26280</v>
      </c>
      <c r="AE50" s="429">
        <f>SUMIFS(Collection!$O:$O, Collection!$K:$K, AE$2, Collection!$A:$A, "="&amp;$A50)</f>
        <v>0</v>
      </c>
      <c r="AF50" s="430">
        <f>(SUMIFS('Bucket Counts'!$P:$P, 'Bucket Counts'!$B:$B, AF$2, 'Bucket Counts'!$A:$A, "="&amp;$A50,  'Bucket Counts'!$F:$F, "&lt;&gt;100 Morts",  'Bucket Counts'!$F:$F, "&lt;&gt;224"))</f>
        <v>268.88888888888886</v>
      </c>
      <c r="AG50" s="430">
        <f>(SUMIFS('Bucket Counts'!$P:$P, 'Bucket Counts'!$B:$B, AG$2, 'Bucket Counts'!$A:$A, "="&amp;$A50,  'Bucket Counts'!$F:$F, "100 Morts"))</f>
        <v>51.111111111111107</v>
      </c>
      <c r="AH50" s="430">
        <f>(SUMIFS('Bucket Counts'!$P:$P, 'Bucket Counts'!$B:$B, AH$2, 'Bucket Counts'!$A:$A, "="&amp;$A50,  'Bucket Counts'!$F:$F, "224"))</f>
        <v>3</v>
      </c>
      <c r="AI50" s="430">
        <f>AK49</f>
        <v>1596.6666666666667</v>
      </c>
      <c r="AJ50" s="431">
        <f>SUM(AF50+AH50)</f>
        <v>271.88888888888886</v>
      </c>
      <c r="AK50" s="432">
        <f>AF50+AE50</f>
        <v>268.88888888888886</v>
      </c>
      <c r="AL50" s="429">
        <f>SUMIFS(Collection!$O:$O, Collection!$K:$K, AL$2, Collection!$A:$A, "="&amp;$A50)</f>
        <v>0</v>
      </c>
      <c r="AM50" s="430">
        <f>(SUMIFS('Bucket Counts'!$P:$P, 'Bucket Counts'!$B:$B, AM$2, 'Bucket Counts'!$A:$A, "="&amp;$A50,  'Bucket Counts'!$F:$F, "&lt;&gt;100 Morts",  'Bucket Counts'!$F:$F, "&lt;&gt;224"))</f>
        <v>3099.9999999999995</v>
      </c>
      <c r="AN50" s="430">
        <f>(SUMIFS('Bucket Counts'!$P:$P, 'Bucket Counts'!$B:$B, AN$2, 'Bucket Counts'!$A:$A, "="&amp;$A50,  'Bucket Counts'!$F:$F, "100 Morts"))</f>
        <v>746.66666666666663</v>
      </c>
      <c r="AO50" s="430">
        <f>(SUMIFS('Bucket Counts'!$P:$P, 'Bucket Counts'!$B:$B, AO$2, 'Bucket Counts'!$A:$A, "="&amp;$A50,  'Bucket Counts'!$F:$F, "224"))</f>
        <v>51.111111111111107</v>
      </c>
      <c r="AP50" s="430">
        <f>AR49</f>
        <v>25300</v>
      </c>
      <c r="AQ50" s="431">
        <f>SUM(AM50+AO50)</f>
        <v>3151.1111111111109</v>
      </c>
      <c r="AR50" s="432">
        <f>AM50+AL50</f>
        <v>3099.9999999999995</v>
      </c>
      <c r="AS50" s="429">
        <f>SUMIFS(Collection!$O:$O, Collection!$K:$K, AS$2, Collection!$A:$A, "="&amp;$A50)</f>
        <v>0</v>
      </c>
      <c r="AT50" s="430">
        <f>(SUMIFS('Bucket Counts'!$P:$P, 'Bucket Counts'!$B:$B, AT$2, 'Bucket Counts'!$A:$A, "="&amp;$A50,  'Bucket Counts'!$F:$F, "&lt;&gt;100 Morts",  'Bucket Counts'!$F:$F, "&lt;&gt;224"))</f>
        <v>2714.4444444444443</v>
      </c>
      <c r="AU50" s="430">
        <f>(SUMIFS('Bucket Counts'!$P:$P, 'Bucket Counts'!$B:$B, AU$2, 'Bucket Counts'!$A:$A, "="&amp;$A50,  'Bucket Counts'!$F:$F, "100 Morts"))</f>
        <v>0</v>
      </c>
      <c r="AV50" s="430">
        <f>(SUMIFS('Bucket Counts'!$P:$P, 'Bucket Counts'!$B:$B, AV$2, 'Bucket Counts'!$A:$A, "="&amp;$A50,  'Bucket Counts'!$F:$F, "224"))</f>
        <v>0</v>
      </c>
      <c r="AW50" s="430">
        <f>AY49</f>
        <v>18160</v>
      </c>
      <c r="AX50" s="431">
        <f>SUM(AT50+AV50)</f>
        <v>2714.4444444444443</v>
      </c>
      <c r="AY50" s="432">
        <f>AT50+AS50</f>
        <v>2714.4444444444443</v>
      </c>
      <c r="AZ50" s="429">
        <f>SUMIFS(Collection!$O:$O, Collection!$K:$K, AZ$2, Collection!$A:$A, "="&amp;$A50)</f>
        <v>0</v>
      </c>
      <c r="BA50" s="430">
        <f>(SUMIFS('Bucket Counts'!$P:$P, 'Bucket Counts'!$B:$B, BA$2, 'Bucket Counts'!$A:$A, "="&amp;$A50,  'Bucket Counts'!$F:$F, "&lt;&gt;100 Morts",  'Bucket Counts'!$F:$F, "&lt;&gt;224"))</f>
        <v>373.33333333333337</v>
      </c>
      <c r="BB50" s="430">
        <f>(SUMIFS('Bucket Counts'!$P:$P, 'Bucket Counts'!$B:$B, BB$2, 'Bucket Counts'!$A:$A, "="&amp;$A50,  'Bucket Counts'!$F:$F, "100 Morts"))</f>
        <v>498.33333333333331</v>
      </c>
      <c r="BC50" s="430">
        <f>(SUMIFS('Bucket Counts'!$P:$P, 'Bucket Counts'!$B:$B, BC$2, 'Bucket Counts'!$A:$A, "="&amp;$A50,  'Bucket Counts'!$F:$F, "224"))</f>
        <v>322.22222222222223</v>
      </c>
      <c r="BD50" s="430">
        <f>BF49</f>
        <v>2240</v>
      </c>
      <c r="BE50" s="431">
        <f>SUM(BA50+BC50)</f>
        <v>695.55555555555566</v>
      </c>
      <c r="BF50" s="432">
        <f>BA50+AZ50</f>
        <v>373.33333333333337</v>
      </c>
      <c r="BG50" s="429">
        <f>SUMIFS(Collection!$O:$O, Collection!$K:$K, BG$2, Collection!$A:$A, "="&amp;$A50)</f>
        <v>0</v>
      </c>
      <c r="BH50" s="430">
        <f>(SUMIFS('Bucket Counts'!$P:$P, 'Bucket Counts'!$B:$B, BH$2, 'Bucket Counts'!$A:$A, "="&amp;$A50,  'Bucket Counts'!$F:$F, "&lt;&gt;100 Morts",  'Bucket Counts'!$F:$F, "&lt;&gt;224"))</f>
        <v>73500</v>
      </c>
      <c r="BI50" s="430">
        <f>(SUMIFS('Bucket Counts'!$P:$P, 'Bucket Counts'!$B:$B, BI$2, 'Bucket Counts'!$A:$A, "="&amp;$A50,  'Bucket Counts'!$F:$F, "100 Morts"))</f>
        <v>93.333333333333329</v>
      </c>
      <c r="BJ50" s="430">
        <f>(SUMIFS('Bucket Counts'!$P:$P, 'Bucket Counts'!$B:$B, BJ$2, 'Bucket Counts'!$A:$A, "="&amp;$A50,  'Bucket Counts'!$F:$F, "224"))</f>
        <v>241.66666666666669</v>
      </c>
      <c r="BK50" s="430">
        <f>BM49</f>
        <v>87166.666666666672</v>
      </c>
      <c r="BL50" s="431">
        <f>SUM(BH50+BJ50)</f>
        <v>73741.666666666672</v>
      </c>
      <c r="BM50" s="432">
        <f>BH50+BG50</f>
        <v>73500</v>
      </c>
      <c r="BN50" s="429">
        <f>SUMIFS(Collection!$O:$O, Collection!$K:$K, BN$2, Collection!$A:$A, "="&amp;$A50)</f>
        <v>0</v>
      </c>
      <c r="BO50" s="430">
        <f>(SUMIFS('Bucket Counts'!$P:$P, 'Bucket Counts'!$B:$B, BO$2, 'Bucket Counts'!$A:$A, "="&amp;$A50,  'Bucket Counts'!$F:$F, "&lt;&gt;100 Morts",  'Bucket Counts'!$F:$F, "&lt;&gt;224"))</f>
        <v>34935</v>
      </c>
      <c r="BP50" s="430">
        <f>(SUMIFS('Bucket Counts'!$P:$P, 'Bucket Counts'!$B:$B, BP$2, 'Bucket Counts'!$A:$A, "="&amp;$A50,  'Bucket Counts'!$F:$F, "100 Morts"))</f>
        <v>93.333333333333329</v>
      </c>
      <c r="BQ50" s="430">
        <f>(SUMIFS('Bucket Counts'!$P:$P, 'Bucket Counts'!$B:$B, BQ$2, 'Bucket Counts'!$A:$A, "="&amp;$A50,  'Bucket Counts'!$F:$F, "224"))</f>
        <v>770</v>
      </c>
      <c r="BR50" s="430">
        <f>BT49</f>
        <v>41686.666666666672</v>
      </c>
      <c r="BS50" s="431">
        <f>SUM(BO50+BQ50)</f>
        <v>35705</v>
      </c>
      <c r="BT50" s="432">
        <f>BO50+BN50</f>
        <v>34935</v>
      </c>
      <c r="BU50" s="429">
        <f>SUMIFS(Collection!$O:$O, Collection!$K:$K, BU$2, Collection!$A:$A, "="&amp;$A50)</f>
        <v>0</v>
      </c>
      <c r="BV50" s="430">
        <f>(SUMIFS('Bucket Counts'!$P:$P, 'Bucket Counts'!$B:$B, BV$2, 'Bucket Counts'!$A:$A, "="&amp;$A50,  'Bucket Counts'!$F:$F, "&lt;&gt;100 Morts",  'Bucket Counts'!$F:$F, "&lt;&gt;224"))</f>
        <v>5333.3333333333339</v>
      </c>
      <c r="BW50" s="430">
        <f>(SUMIFS('Bucket Counts'!$P:$P, 'Bucket Counts'!$B:$B, BW$2, 'Bucket Counts'!$A:$A, "="&amp;$A50,  'Bucket Counts'!$F:$F, "100 Morts"))</f>
        <v>0</v>
      </c>
      <c r="BX50" s="430">
        <f>(SUMIFS('Bucket Counts'!$P:$P, 'Bucket Counts'!$B:$B, BX$2, 'Bucket Counts'!$A:$A, "="&amp;$A50,  'Bucket Counts'!$F:$F, "224"))</f>
        <v>333.33333333333331</v>
      </c>
      <c r="BY50" s="430">
        <f>CA49</f>
        <v>19116.666666666668</v>
      </c>
      <c r="BZ50" s="431">
        <f>SUM(BV50+BX50)</f>
        <v>5666.666666666667</v>
      </c>
      <c r="CA50" s="432">
        <f>BV50+BU50</f>
        <v>5333.3333333333339</v>
      </c>
      <c r="CB50" s="429">
        <f>SUMIFS(Collection!$O:$O, Collection!$K:$K, CB$2, Collection!$A:$A, "="&amp;$A50)</f>
        <v>0</v>
      </c>
      <c r="CC50" s="430">
        <f>(SUMIFS('Bucket Counts'!$P:$P, 'Bucket Counts'!$B:$B, CC$2, 'Bucket Counts'!$A:$A, "="&amp;$A50,  'Bucket Counts'!$F:$F, "&lt;&gt;100 Morts",  'Bucket Counts'!$F:$F, "&lt;&gt;224"))</f>
        <v>14660</v>
      </c>
      <c r="CD50" s="430">
        <f>(SUMIFS('Bucket Counts'!$P:$P, 'Bucket Counts'!$B:$B, CD$2, 'Bucket Counts'!$A:$A, "="&amp;$A50,  'Bucket Counts'!$F:$F, "100 Morts"))</f>
        <v>733.33333333333326</v>
      </c>
      <c r="CE50" s="430">
        <f>(SUMIFS('Bucket Counts'!$P:$P, 'Bucket Counts'!$B:$B, CE$2, 'Bucket Counts'!$A:$A, "="&amp;$A50,  'Bucket Counts'!$F:$F, "224"))</f>
        <v>6290</v>
      </c>
      <c r="CF50" s="430">
        <f>CH49</f>
        <v>44166.666666666672</v>
      </c>
      <c r="CG50" s="431">
        <f>SUM(CC50+CE50)</f>
        <v>20950</v>
      </c>
      <c r="CH50" s="432">
        <f>CC50+CB50</f>
        <v>14660</v>
      </c>
      <c r="CI50" s="429">
        <f>SUMIFS(Collection!$O:$O, Collection!$K:$K, CI$2, Collection!$A:$A, "="&amp;$A50)</f>
        <v>0</v>
      </c>
      <c r="CJ50" s="430">
        <f>(SUMIFS('Bucket Counts'!$P:$P, 'Bucket Counts'!$B:$B, CJ$2, 'Bucket Counts'!$A:$A, "="&amp;$A50,  'Bucket Counts'!$F:$F, "&lt;&gt;100 Morts",  'Bucket Counts'!$F:$F, "&lt;&gt;224"))</f>
        <v>4858.3333333333339</v>
      </c>
      <c r="CK50" s="430">
        <f>(SUMIFS('Bucket Counts'!$P:$P, 'Bucket Counts'!$B:$B, CK$2, 'Bucket Counts'!$A:$A, "="&amp;$A50,  'Bucket Counts'!$F:$F, "100 Morts"))</f>
        <v>90</v>
      </c>
      <c r="CL50" s="430">
        <f>(SUMIFS('Bucket Counts'!$P:$P, 'Bucket Counts'!$B:$B, CL$2, 'Bucket Counts'!$A:$A, "="&amp;$A50,  'Bucket Counts'!$F:$F, "224"))</f>
        <v>687.5</v>
      </c>
      <c r="CM50" s="430">
        <f>CO49</f>
        <v>7233.333333333333</v>
      </c>
      <c r="CN50" s="431">
        <f>SUM(CJ50+CL50)</f>
        <v>5545.8333333333339</v>
      </c>
      <c r="CO50" s="432">
        <f>CJ50+CI50</f>
        <v>4858.3333333333339</v>
      </c>
      <c r="CP50" s="429">
        <f>SUMIFS(Collection!$O:$O, Collection!$K:$K, CP$2, Collection!$A:$A, "="&amp;$A50)</f>
        <v>0</v>
      </c>
      <c r="CQ50" s="430">
        <f>(SUMIFS('Bucket Counts'!$P:$P, 'Bucket Counts'!$B:$B, CQ$2, 'Bucket Counts'!$A:$A, "="&amp;$A50,  'Bucket Counts'!$F:$F, "&lt;&gt;100 Morts",  'Bucket Counts'!$F:$F, "&lt;&gt;224"))</f>
        <v>3058.3333333333335</v>
      </c>
      <c r="CR50" s="430">
        <f>(SUMIFS('Bucket Counts'!$P:$P, 'Bucket Counts'!$B:$B, CR$2, 'Bucket Counts'!$A:$A, "="&amp;$A50,  'Bucket Counts'!$F:$F, "100 Morts"))</f>
        <v>0</v>
      </c>
      <c r="CS50" s="430">
        <f>(SUMIFS('Bucket Counts'!$P:$P, 'Bucket Counts'!$B:$B, CS$2, 'Bucket Counts'!$A:$A, "="&amp;$A50,  'Bucket Counts'!$F:$F, "224"))</f>
        <v>61.111111111111107</v>
      </c>
      <c r="CT50" s="430">
        <f>CV49</f>
        <v>3625</v>
      </c>
      <c r="CU50" s="431">
        <f>SUM(CQ50+CS50)</f>
        <v>3119.4444444444448</v>
      </c>
      <c r="CV50" s="432">
        <f>CQ50+CP50</f>
        <v>3058.3333333333335</v>
      </c>
      <c r="CW50" s="429">
        <f>SUMIFS(Collection!$O:$O, Collection!$K:$K, CW$2, Collection!$A:$A, "="&amp;$A50)</f>
        <v>0</v>
      </c>
      <c r="CX50" s="430">
        <f>(SUMIFS('Bucket Counts'!$P:$P, 'Bucket Counts'!$B:$B, CX$2, 'Bucket Counts'!$A:$A, "="&amp;$A50,  'Bucket Counts'!$F:$F, "&lt;&gt;100 Morts",  'Bucket Counts'!$F:$F, "&lt;&gt;224"))</f>
        <v>24993.333333333336</v>
      </c>
      <c r="CY50" s="430">
        <f>(SUMIFS('Bucket Counts'!$P:$P, 'Bucket Counts'!$B:$B, CY$2, 'Bucket Counts'!$A:$A, "="&amp;$A50,  'Bucket Counts'!$F:$F, "100 Morts"))</f>
        <v>0</v>
      </c>
      <c r="CZ50" s="430">
        <f>(SUMIFS('Bucket Counts'!$P:$P, 'Bucket Counts'!$B:$B, CZ$2, 'Bucket Counts'!$A:$A, "="&amp;$A50,  'Bucket Counts'!$F:$F, "224"))</f>
        <v>3160</v>
      </c>
      <c r="DA50" s="430">
        <f>DC49</f>
        <v>45666.666666666664</v>
      </c>
      <c r="DB50" s="431">
        <f>SUM(CX50+CZ50)</f>
        <v>28153.333333333336</v>
      </c>
      <c r="DC50" s="432">
        <f>CX50+CW50</f>
        <v>24993.333333333336</v>
      </c>
      <c r="DD50" s="429">
        <f>SUMIFS(Collection!$O:$O, Collection!$K:$K, DD$2, Collection!$A:$A, "="&amp;$A50)</f>
        <v>0</v>
      </c>
      <c r="DE50" s="430">
        <f>(SUMIFS('Bucket Counts'!$P:$P, 'Bucket Counts'!$B:$B, DE$2, 'Bucket Counts'!$A:$A, "="&amp;$A50,  'Bucket Counts'!$F:$F, "&lt;&gt;100 Morts",  'Bucket Counts'!$F:$F, "&lt;&gt;224"))</f>
        <v>15025.000000000002</v>
      </c>
      <c r="DF50" s="430">
        <f>(SUMIFS('Bucket Counts'!$P:$P, 'Bucket Counts'!$B:$B, DF$2, 'Bucket Counts'!$A:$A, "="&amp;$A50,  'Bucket Counts'!$F:$F, "100 Morts"))</f>
        <v>0</v>
      </c>
      <c r="DG50" s="430">
        <f>(SUMIFS('Bucket Counts'!$P:$P, 'Bucket Counts'!$B:$B, DG$2, 'Bucket Counts'!$A:$A, "="&amp;$A50,  'Bucket Counts'!$F:$F, "224"))</f>
        <v>1400</v>
      </c>
      <c r="DH50" s="430">
        <f>DJ49</f>
        <v>19700</v>
      </c>
      <c r="DI50" s="431">
        <f>SUM(DE50+DG50)</f>
        <v>16425</v>
      </c>
      <c r="DJ50" s="432">
        <f>DE50+DD50</f>
        <v>15025.000000000002</v>
      </c>
      <c r="DK50" s="429">
        <f>SUMIFS(Collection!$O:$O, Collection!$K:$K, DK$2, Collection!$A:$A, "="&amp;$A50)</f>
        <v>0</v>
      </c>
      <c r="DL50" s="430">
        <f>(SUMIFS('Bucket Counts'!$P:$P, 'Bucket Counts'!$B:$B, DL$2, 'Bucket Counts'!$A:$A, "="&amp;$A50,  'Bucket Counts'!$F:$F, "&lt;&gt;100 Morts",  'Bucket Counts'!$F:$F, "&lt;&gt;224"))</f>
        <v>0</v>
      </c>
      <c r="DM50" s="430">
        <f>(SUMIFS('Bucket Counts'!$P:$P, 'Bucket Counts'!$B:$B, DM$2, 'Bucket Counts'!$A:$A, "="&amp;$A50,  'Bucket Counts'!$F:$F, "100 Morts"))</f>
        <v>0</v>
      </c>
      <c r="DN50" s="430">
        <f>(SUMIFS('Bucket Counts'!$P:$P, 'Bucket Counts'!$B:$B, DN$2, 'Bucket Counts'!$A:$A, "="&amp;$A50,  'Bucket Counts'!$F:$F, "224"))</f>
        <v>0</v>
      </c>
      <c r="DO50" s="430">
        <f>DQ49</f>
        <v>0</v>
      </c>
      <c r="DP50" s="431">
        <f>SUM(DL50+DN50)</f>
        <v>0</v>
      </c>
      <c r="DQ50" s="432">
        <f>DL50+DK50</f>
        <v>0</v>
      </c>
      <c r="DR50" s="429">
        <f>SUMIFS(Collection!$O:$O, Collection!$K:$K, DR$2, Collection!$A:$A, "="&amp;$A50)</f>
        <v>0</v>
      </c>
      <c r="DS50" s="430">
        <f>(SUMIFS('Bucket Counts'!$P:$P, 'Bucket Counts'!$B:$B, DS$2, 'Bucket Counts'!$A:$A, "="&amp;$A50,  'Bucket Counts'!$F:$F, "&lt;&gt;100 Morts",  'Bucket Counts'!$F:$F, "&lt;&gt;224"))</f>
        <v>0</v>
      </c>
      <c r="DT50" s="430">
        <f>(SUMIFS('Bucket Counts'!$P:$P, 'Bucket Counts'!$B:$B, DT$2, 'Bucket Counts'!$A:$A, "="&amp;$A50,  'Bucket Counts'!$F:$F, "100 Morts"))</f>
        <v>0</v>
      </c>
      <c r="DU50" s="430">
        <f>(SUMIFS('Bucket Counts'!$P:$P, 'Bucket Counts'!$B:$B, DU$2, 'Bucket Counts'!$A:$A, "="&amp;$A50,  'Bucket Counts'!$F:$F, "224"))</f>
        <v>0</v>
      </c>
      <c r="DV50" s="430">
        <f>DX49</f>
        <v>0</v>
      </c>
      <c r="DW50" s="431">
        <f>SUM(DS50+DU50)</f>
        <v>0</v>
      </c>
      <c r="DX50" s="432">
        <f>DS50+DR50</f>
        <v>0</v>
      </c>
      <c r="DY50" s="429">
        <f>SUMIFS(Collection!$O:$O, Collection!$K:$K, DY$2, Collection!$A:$A, "="&amp;$A50)</f>
        <v>0</v>
      </c>
      <c r="DZ50" s="430">
        <f>(SUMIFS('Bucket Counts'!$P:$P, 'Bucket Counts'!$B:$B, DZ$2, 'Bucket Counts'!$A:$A, "="&amp;$A50,  'Bucket Counts'!$F:$F, "&lt;&gt;100 Morts",  'Bucket Counts'!$F:$F, "&lt;&gt;224"))</f>
        <v>0</v>
      </c>
      <c r="EA50" s="430">
        <f>(SUMIFS('Bucket Counts'!$P:$P, 'Bucket Counts'!$B:$B, EA$2, 'Bucket Counts'!$A:$A, "="&amp;$A50,  'Bucket Counts'!$F:$F, "100 Morts"))</f>
        <v>0</v>
      </c>
      <c r="EB50" s="430">
        <f>(SUMIFS('Bucket Counts'!$P:$P, 'Bucket Counts'!$B:$B, EB$2, 'Bucket Counts'!$A:$A, "="&amp;$A50,  'Bucket Counts'!$F:$F, "224"))</f>
        <v>0</v>
      </c>
      <c r="EC50" s="430">
        <f>EE49</f>
        <v>0</v>
      </c>
      <c r="ED50" s="431">
        <f>SUM(DZ50+EB50)</f>
        <v>0</v>
      </c>
      <c r="EE50" s="432">
        <f>DZ50+DY50</f>
        <v>0</v>
      </c>
      <c r="EF50" s="429">
        <f>SUMIFS(Collection!$O:$O, Collection!$K:$K, EF$2, Collection!$A:$A, "="&amp;$A50)</f>
        <v>0</v>
      </c>
      <c r="EG50" s="430">
        <f>(SUMIFS('Bucket Counts'!$P:$P, 'Bucket Counts'!$B:$B, EG$2, 'Bucket Counts'!$A:$A, "="&amp;$A50,  'Bucket Counts'!$F:$F, "&lt;&gt;100 Morts",  'Bucket Counts'!$F:$F, "&lt;&gt;224"))</f>
        <v>0</v>
      </c>
      <c r="EH50" s="430">
        <f>(SUMIFS('Bucket Counts'!$P:$P, 'Bucket Counts'!$B:$B, EH$2, 'Bucket Counts'!$A:$A, "="&amp;$A50,  'Bucket Counts'!$F:$F, "100 Morts"))</f>
        <v>0</v>
      </c>
      <c r="EI50" s="430">
        <f>(SUMIFS('Bucket Counts'!$P:$P, 'Bucket Counts'!$B:$B, EI$2, 'Bucket Counts'!$A:$A, "="&amp;$A50,  'Bucket Counts'!$F:$F, "224"))</f>
        <v>0</v>
      </c>
      <c r="EJ50" s="430">
        <f>EL49</f>
        <v>0</v>
      </c>
      <c r="EK50" s="431">
        <f>SUM(EG50+EI50)</f>
        <v>0</v>
      </c>
      <c r="EL50" s="432">
        <f>EG50+EF50</f>
        <v>0</v>
      </c>
    </row>
    <row r="51" spans="1:142" x14ac:dyDescent="0.2">
      <c r="A51" s="16">
        <f t="shared" si="0"/>
        <v>42920</v>
      </c>
      <c r="B51" s="16" t="s">
        <v>487</v>
      </c>
      <c r="C51" s="369">
        <f>SUMIFS(Collection!$O:$O, Collection!$K:$K, C$2, Collection!$A:$A, "="&amp;$A51)</f>
        <v>0</v>
      </c>
      <c r="D51" s="116">
        <f>(SUMIFS('Bucket Counts'!$P:$P, 'Bucket Counts'!$B:$B, D$2, 'Bucket Counts'!$A:$A, "="&amp;$A51,  'Bucket Counts'!$F:$F, "&lt;&gt;100 Morts",  'Bucket Counts'!$F:$F, "&lt;&gt;224"))</f>
        <v>0</v>
      </c>
      <c r="E51" s="116">
        <f>(SUMIFS('Bucket Counts'!$P:$P, 'Bucket Counts'!$B:$B, E$2, 'Bucket Counts'!$A:$A, "="&amp;$A51,  'Bucket Counts'!$F:$F, "100 Morts"))</f>
        <v>0</v>
      </c>
      <c r="F51" s="116">
        <f>(SUMIFS('Bucket Counts'!$P:$P, 'Bucket Counts'!$B:$B, F$2, 'Bucket Counts'!$A:$A, "="&amp;$A51,  'Bucket Counts'!$F:$F, "224"))</f>
        <v>0</v>
      </c>
      <c r="G51" s="116"/>
      <c r="H51" s="426">
        <f>(F51+D51)/I50</f>
        <v>0</v>
      </c>
      <c r="I51" s="370">
        <f>D50+SUM(C50:C51)</f>
        <v>1210</v>
      </c>
      <c r="J51" s="369">
        <f>SUMIFS(Collection!$O:$O, Collection!$K:$K, J$2, Collection!$A:$A, "="&amp;$A51)</f>
        <v>0</v>
      </c>
      <c r="K51" s="116">
        <f>(SUMIFS('Bucket Counts'!$P:$P, 'Bucket Counts'!$B:$B, K$2, 'Bucket Counts'!$A:$A, "="&amp;$A51,  'Bucket Counts'!$F:$F, "&lt;&gt;100 Morts",  'Bucket Counts'!$F:$F, "&lt;&gt;224"))</f>
        <v>0</v>
      </c>
      <c r="L51" s="116">
        <f>(SUMIFS('Bucket Counts'!$P:$P, 'Bucket Counts'!$B:$B, L$2, 'Bucket Counts'!$A:$A, "="&amp;$A51,  'Bucket Counts'!$F:$F, "100 Morts"))</f>
        <v>0</v>
      </c>
      <c r="M51" s="116">
        <f>(SUMIFS('Bucket Counts'!$P:$P, 'Bucket Counts'!$B:$B, M$2, 'Bucket Counts'!$A:$A, "="&amp;$A51,  'Bucket Counts'!$F:$F, "224"))</f>
        <v>0</v>
      </c>
      <c r="N51" s="116"/>
      <c r="O51" s="426">
        <f>(M51+K51)/P50</f>
        <v>0</v>
      </c>
      <c r="P51" s="370">
        <f>K50+SUM(J50:J51)</f>
        <v>42053.888888888883</v>
      </c>
      <c r="Q51" s="369">
        <f>SUMIFS(Collection!$O:$O, Collection!$K:$K, Q$2, Collection!$A:$A, "="&amp;$A51)</f>
        <v>0</v>
      </c>
      <c r="R51" s="116">
        <f>(SUMIFS('Bucket Counts'!$P:$P, 'Bucket Counts'!$B:$B, R$2, 'Bucket Counts'!$A:$A, "="&amp;$A51,  'Bucket Counts'!$F:$F, "&lt;&gt;100 Morts",  'Bucket Counts'!$F:$F, "&lt;&gt;224"))</f>
        <v>0</v>
      </c>
      <c r="S51" s="116">
        <f>(SUMIFS('Bucket Counts'!$P:$P, 'Bucket Counts'!$B:$B, S$2, 'Bucket Counts'!$A:$A, "="&amp;$A51,  'Bucket Counts'!$F:$F, "100 Morts"))</f>
        <v>0</v>
      </c>
      <c r="T51" s="116">
        <f>(SUMIFS('Bucket Counts'!$P:$P, 'Bucket Counts'!$B:$B, T$2, 'Bucket Counts'!$A:$A, "="&amp;$A51,  'Bucket Counts'!$F:$F, "224"))</f>
        <v>0</v>
      </c>
      <c r="U51" s="116"/>
      <c r="V51" s="426">
        <f>(T51+R51)/W50</f>
        <v>0</v>
      </c>
      <c r="W51" s="370">
        <f>R50+SUM(Q50:Q51)</f>
        <v>860.00000000000011</v>
      </c>
      <c r="X51" s="369">
        <f>SUMIFS(Collection!$O:$O, Collection!$K:$K, X$2, Collection!$A:$A, "="&amp;$A51)</f>
        <v>0</v>
      </c>
      <c r="Y51" s="116">
        <f>(SUMIFS('Bucket Counts'!$P:$P, 'Bucket Counts'!$B:$B, Y$2, 'Bucket Counts'!$A:$A, "="&amp;$A51,  'Bucket Counts'!$F:$F, "&lt;&gt;100 Morts",  'Bucket Counts'!$F:$F, "&lt;&gt;224"))</f>
        <v>0</v>
      </c>
      <c r="Z51" s="116">
        <f>(SUMIFS('Bucket Counts'!$P:$P, 'Bucket Counts'!$B:$B, Z$2, 'Bucket Counts'!$A:$A, "="&amp;$A51,  'Bucket Counts'!$F:$F, "100 Morts"))</f>
        <v>0</v>
      </c>
      <c r="AA51" s="116">
        <f>(SUMIFS('Bucket Counts'!$P:$P, 'Bucket Counts'!$B:$B, AA$2, 'Bucket Counts'!$A:$A, "="&amp;$A51,  'Bucket Counts'!$F:$F, "224"))</f>
        <v>0</v>
      </c>
      <c r="AB51" s="116"/>
      <c r="AC51" s="426">
        <f>(AA51+Y51)/AD50</f>
        <v>0</v>
      </c>
      <c r="AD51" s="370">
        <f>Y50+SUM(X50:X51)</f>
        <v>26280</v>
      </c>
      <c r="AE51" s="369">
        <f>SUMIFS(Collection!$O:$O, Collection!$K:$K, AE$2, Collection!$A:$A, "="&amp;$A51)</f>
        <v>0</v>
      </c>
      <c r="AF51" s="116">
        <f>(SUMIFS('Bucket Counts'!$P:$P, 'Bucket Counts'!$B:$B, AF$2, 'Bucket Counts'!$A:$A, "="&amp;$A51,  'Bucket Counts'!$F:$F, "&lt;&gt;100 Morts",  'Bucket Counts'!$F:$F, "&lt;&gt;224"))</f>
        <v>0</v>
      </c>
      <c r="AG51" s="116">
        <f>(SUMIFS('Bucket Counts'!$P:$P, 'Bucket Counts'!$B:$B, AG$2, 'Bucket Counts'!$A:$A, "="&amp;$A51,  'Bucket Counts'!$F:$F, "100 Morts"))</f>
        <v>0</v>
      </c>
      <c r="AH51" s="116">
        <f>(SUMIFS('Bucket Counts'!$P:$P, 'Bucket Counts'!$B:$B, AH$2, 'Bucket Counts'!$A:$A, "="&amp;$A51,  'Bucket Counts'!$F:$F, "224"))</f>
        <v>0</v>
      </c>
      <c r="AI51" s="116"/>
      <c r="AJ51" s="426">
        <f>(AH51+AF51)/AK50</f>
        <v>0</v>
      </c>
      <c r="AK51" s="370">
        <f>AF50+SUM(AE50:AE51)</f>
        <v>268.88888888888886</v>
      </c>
      <c r="AL51" s="369">
        <f>SUMIFS(Collection!$O:$O, Collection!$K:$K, AL$2, Collection!$A:$A, "="&amp;$A51)</f>
        <v>0</v>
      </c>
      <c r="AM51" s="116">
        <f>(SUMIFS('Bucket Counts'!$P:$P, 'Bucket Counts'!$B:$B, AM$2, 'Bucket Counts'!$A:$A, "="&amp;$A51,  'Bucket Counts'!$F:$F, "&lt;&gt;100 Morts",  'Bucket Counts'!$F:$F, "&lt;&gt;224"))</f>
        <v>0</v>
      </c>
      <c r="AN51" s="116">
        <f>(SUMIFS('Bucket Counts'!$P:$P, 'Bucket Counts'!$B:$B, AN$2, 'Bucket Counts'!$A:$A, "="&amp;$A51,  'Bucket Counts'!$F:$F, "100 Morts"))</f>
        <v>0</v>
      </c>
      <c r="AO51" s="116">
        <f>(SUMIFS('Bucket Counts'!$P:$P, 'Bucket Counts'!$B:$B, AO$2, 'Bucket Counts'!$A:$A, "="&amp;$A51,  'Bucket Counts'!$F:$F, "224"))</f>
        <v>0</v>
      </c>
      <c r="AP51" s="116"/>
      <c r="AQ51" s="426">
        <f>(AO51+AM51)/AR50</f>
        <v>0</v>
      </c>
      <c r="AR51" s="370">
        <f>AM50+SUM(AL50:AL51)</f>
        <v>3099.9999999999995</v>
      </c>
      <c r="AS51" s="369">
        <f>SUMIFS(Collection!$O:$O, Collection!$K:$K, AS$2, Collection!$A:$A, "="&amp;$A51)</f>
        <v>0</v>
      </c>
      <c r="AT51" s="116">
        <f>(SUMIFS('Bucket Counts'!$P:$P, 'Bucket Counts'!$B:$B, AT$2, 'Bucket Counts'!$A:$A, "="&amp;$A51,  'Bucket Counts'!$F:$F, "&lt;&gt;100 Morts",  'Bucket Counts'!$F:$F, "&lt;&gt;224"))</f>
        <v>0</v>
      </c>
      <c r="AU51" s="116">
        <f>(SUMIFS('Bucket Counts'!$P:$P, 'Bucket Counts'!$B:$B, AU$2, 'Bucket Counts'!$A:$A, "="&amp;$A51,  'Bucket Counts'!$F:$F, "100 Morts"))</f>
        <v>0</v>
      </c>
      <c r="AV51" s="116">
        <f>(SUMIFS('Bucket Counts'!$P:$P, 'Bucket Counts'!$B:$B, AV$2, 'Bucket Counts'!$A:$A, "="&amp;$A51,  'Bucket Counts'!$F:$F, "224"))</f>
        <v>0</v>
      </c>
      <c r="AW51" s="116"/>
      <c r="AX51" s="426">
        <f>(AV51+AT51)/AY50</f>
        <v>0</v>
      </c>
      <c r="AY51" s="370">
        <f>AT50+SUM(AS50:AS51)</f>
        <v>2714.4444444444443</v>
      </c>
      <c r="AZ51" s="369">
        <f>SUMIFS(Collection!$O:$O, Collection!$K:$K, AZ$2, Collection!$A:$A, "="&amp;$A51)</f>
        <v>0</v>
      </c>
      <c r="BA51" s="116">
        <f>(SUMIFS('Bucket Counts'!$P:$P, 'Bucket Counts'!$B:$B, BA$2, 'Bucket Counts'!$A:$A, "="&amp;$A51,  'Bucket Counts'!$F:$F, "&lt;&gt;100 Morts",  'Bucket Counts'!$F:$F, "&lt;&gt;224"))</f>
        <v>0</v>
      </c>
      <c r="BB51" s="116">
        <f>(SUMIFS('Bucket Counts'!$P:$P, 'Bucket Counts'!$B:$B, BB$2, 'Bucket Counts'!$A:$A, "="&amp;$A51,  'Bucket Counts'!$F:$F, "100 Morts"))</f>
        <v>0</v>
      </c>
      <c r="BC51" s="116">
        <f>(SUMIFS('Bucket Counts'!$P:$P, 'Bucket Counts'!$B:$B, BC$2, 'Bucket Counts'!$A:$A, "="&amp;$A51,  'Bucket Counts'!$F:$F, "224"))</f>
        <v>0</v>
      </c>
      <c r="BD51" s="116"/>
      <c r="BE51" s="426">
        <f>(BC51+BA51)/BF50</f>
        <v>0</v>
      </c>
      <c r="BF51" s="370">
        <f>BA50+SUM(AZ50:AZ51)</f>
        <v>373.33333333333337</v>
      </c>
      <c r="BG51" s="369">
        <f>SUMIFS(Collection!$O:$O, Collection!$K:$K, BG$2, Collection!$A:$A, "="&amp;$A51)</f>
        <v>0</v>
      </c>
      <c r="BH51" s="116">
        <f>(SUMIFS('Bucket Counts'!$P:$P, 'Bucket Counts'!$B:$B, BH$2, 'Bucket Counts'!$A:$A, "="&amp;$A51,  'Bucket Counts'!$F:$F, "&lt;&gt;100 Morts",  'Bucket Counts'!$F:$F, "&lt;&gt;224"))</f>
        <v>0</v>
      </c>
      <c r="BI51" s="116">
        <f>(SUMIFS('Bucket Counts'!$P:$P, 'Bucket Counts'!$B:$B, BI$2, 'Bucket Counts'!$A:$A, "="&amp;$A51,  'Bucket Counts'!$F:$F, "100 Morts"))</f>
        <v>0</v>
      </c>
      <c r="BJ51" s="116">
        <f>(SUMIFS('Bucket Counts'!$P:$P, 'Bucket Counts'!$B:$B, BJ$2, 'Bucket Counts'!$A:$A, "="&amp;$A51,  'Bucket Counts'!$F:$F, "224"))</f>
        <v>0</v>
      </c>
      <c r="BK51" s="116"/>
      <c r="BL51" s="426">
        <f>(BJ51+BH51)/BM50</f>
        <v>0</v>
      </c>
      <c r="BM51" s="370">
        <f>BH50+SUM(BG50:BG51)</f>
        <v>73500</v>
      </c>
      <c r="BN51" s="369">
        <f>SUMIFS(Collection!$O:$O, Collection!$K:$K, BN$2, Collection!$A:$A, "="&amp;$A51)</f>
        <v>0</v>
      </c>
      <c r="BO51" s="116">
        <f>(SUMIFS('Bucket Counts'!$P:$P, 'Bucket Counts'!$B:$B, BO$2, 'Bucket Counts'!$A:$A, "="&amp;$A51,  'Bucket Counts'!$F:$F, "&lt;&gt;100 Morts",  'Bucket Counts'!$F:$F, "&lt;&gt;224"))</f>
        <v>0</v>
      </c>
      <c r="BP51" s="116">
        <f>(SUMIFS('Bucket Counts'!$P:$P, 'Bucket Counts'!$B:$B, BP$2, 'Bucket Counts'!$A:$A, "="&amp;$A51,  'Bucket Counts'!$F:$F, "100 Morts"))</f>
        <v>0</v>
      </c>
      <c r="BQ51" s="116">
        <f>(SUMIFS('Bucket Counts'!$P:$P, 'Bucket Counts'!$B:$B, BQ$2, 'Bucket Counts'!$A:$A, "="&amp;$A51,  'Bucket Counts'!$F:$F, "224"))</f>
        <v>0</v>
      </c>
      <c r="BR51" s="116"/>
      <c r="BS51" s="426">
        <f>(BQ51+BO51)/BT50</f>
        <v>0</v>
      </c>
      <c r="BT51" s="370">
        <f>BO50+SUM(BN50:BN51)</f>
        <v>34935</v>
      </c>
      <c r="BU51" s="369">
        <f>SUMIFS(Collection!$O:$O, Collection!$K:$K, BU$2, Collection!$A:$A, "="&amp;$A51)</f>
        <v>0</v>
      </c>
      <c r="BV51" s="116">
        <f>(SUMIFS('Bucket Counts'!$P:$P, 'Bucket Counts'!$B:$B, BV$2, 'Bucket Counts'!$A:$A, "="&amp;$A51,  'Bucket Counts'!$F:$F, "&lt;&gt;100 Morts",  'Bucket Counts'!$F:$F, "&lt;&gt;224"))</f>
        <v>0</v>
      </c>
      <c r="BW51" s="116">
        <f>(SUMIFS('Bucket Counts'!$P:$P, 'Bucket Counts'!$B:$B, BW$2, 'Bucket Counts'!$A:$A, "="&amp;$A51,  'Bucket Counts'!$F:$F, "100 Morts"))</f>
        <v>0</v>
      </c>
      <c r="BX51" s="116">
        <f>(SUMIFS('Bucket Counts'!$P:$P, 'Bucket Counts'!$B:$B, BX$2, 'Bucket Counts'!$A:$A, "="&amp;$A51,  'Bucket Counts'!$F:$F, "224"))</f>
        <v>0</v>
      </c>
      <c r="BY51" s="116"/>
      <c r="BZ51" s="426">
        <f>(BX51+BV51)/CA50</f>
        <v>0</v>
      </c>
      <c r="CA51" s="370">
        <f>BV50+SUM(BU50:BU51)</f>
        <v>5333.3333333333339</v>
      </c>
      <c r="CB51" s="369">
        <f>SUMIFS(Collection!$O:$O, Collection!$K:$K, CB$2, Collection!$A:$A, "="&amp;$A51)</f>
        <v>0</v>
      </c>
      <c r="CC51" s="116">
        <f>(SUMIFS('Bucket Counts'!$P:$P, 'Bucket Counts'!$B:$B, CC$2, 'Bucket Counts'!$A:$A, "="&amp;$A51,  'Bucket Counts'!$F:$F, "&lt;&gt;100 Morts",  'Bucket Counts'!$F:$F, "&lt;&gt;224"))</f>
        <v>0</v>
      </c>
      <c r="CD51" s="116">
        <f>(SUMIFS('Bucket Counts'!$P:$P, 'Bucket Counts'!$B:$B, CD$2, 'Bucket Counts'!$A:$A, "="&amp;$A51,  'Bucket Counts'!$F:$F, "100 Morts"))</f>
        <v>0</v>
      </c>
      <c r="CE51" s="116">
        <f>(SUMIFS('Bucket Counts'!$P:$P, 'Bucket Counts'!$B:$B, CE$2, 'Bucket Counts'!$A:$A, "="&amp;$A51,  'Bucket Counts'!$F:$F, "224"))</f>
        <v>0</v>
      </c>
      <c r="CF51" s="116"/>
      <c r="CG51" s="426">
        <f>(CE51+CC51)/CH50</f>
        <v>0</v>
      </c>
      <c r="CH51" s="370">
        <f>CC50+SUM(CB50:CB51)</f>
        <v>14660</v>
      </c>
      <c r="CI51" s="369">
        <f>SUMIFS(Collection!$O:$O, Collection!$K:$K, CI$2, Collection!$A:$A, "="&amp;$A51)</f>
        <v>0</v>
      </c>
      <c r="CJ51" s="116">
        <f>(SUMIFS('Bucket Counts'!$P:$P, 'Bucket Counts'!$B:$B, CJ$2, 'Bucket Counts'!$A:$A, "="&amp;$A51,  'Bucket Counts'!$F:$F, "&lt;&gt;100 Morts",  'Bucket Counts'!$F:$F, "&lt;&gt;224"))</f>
        <v>0</v>
      </c>
      <c r="CK51" s="116">
        <f>(SUMIFS('Bucket Counts'!$P:$P, 'Bucket Counts'!$B:$B, CK$2, 'Bucket Counts'!$A:$A, "="&amp;$A51,  'Bucket Counts'!$F:$F, "100 Morts"))</f>
        <v>0</v>
      </c>
      <c r="CL51" s="116">
        <f>(SUMIFS('Bucket Counts'!$P:$P, 'Bucket Counts'!$B:$B, CL$2, 'Bucket Counts'!$A:$A, "="&amp;$A51,  'Bucket Counts'!$F:$F, "224"))</f>
        <v>0</v>
      </c>
      <c r="CM51" s="116"/>
      <c r="CN51" s="426">
        <f>(CL51+CJ51)/CO50</f>
        <v>0</v>
      </c>
      <c r="CO51" s="370">
        <f>CJ50+SUM(CI50:CI51)</f>
        <v>4858.3333333333339</v>
      </c>
      <c r="CP51" s="369">
        <f>SUMIFS(Collection!$O:$O, Collection!$K:$K, CP$2, Collection!$A:$A, "="&amp;$A51)</f>
        <v>0</v>
      </c>
      <c r="CQ51" s="116">
        <f>(SUMIFS('Bucket Counts'!$P:$P, 'Bucket Counts'!$B:$B, CQ$2, 'Bucket Counts'!$A:$A, "="&amp;$A51,  'Bucket Counts'!$F:$F, "&lt;&gt;100 Morts",  'Bucket Counts'!$F:$F, "&lt;&gt;224"))</f>
        <v>0</v>
      </c>
      <c r="CR51" s="116">
        <f>(SUMIFS('Bucket Counts'!$P:$P, 'Bucket Counts'!$B:$B, CR$2, 'Bucket Counts'!$A:$A, "="&amp;$A51,  'Bucket Counts'!$F:$F, "100 Morts"))</f>
        <v>0</v>
      </c>
      <c r="CS51" s="116">
        <f>(SUMIFS('Bucket Counts'!$P:$P, 'Bucket Counts'!$B:$B, CS$2, 'Bucket Counts'!$A:$A, "="&amp;$A51,  'Bucket Counts'!$F:$F, "224"))</f>
        <v>0</v>
      </c>
      <c r="CT51" s="116"/>
      <c r="CU51" s="426">
        <f>(CS51+CQ51)/CV50</f>
        <v>0</v>
      </c>
      <c r="CV51" s="370">
        <f>CQ50+SUM(CP50:CP51)</f>
        <v>3058.3333333333335</v>
      </c>
      <c r="CW51" s="369">
        <f>SUMIFS(Collection!$O:$O, Collection!$K:$K, CW$2, Collection!$A:$A, "="&amp;$A51)</f>
        <v>0</v>
      </c>
      <c r="CX51" s="116">
        <f>(SUMIFS('Bucket Counts'!$P:$P, 'Bucket Counts'!$B:$B, CX$2, 'Bucket Counts'!$A:$A, "="&amp;$A51,  'Bucket Counts'!$F:$F, "&lt;&gt;100 Morts",  'Bucket Counts'!$F:$F, "&lt;&gt;224"))</f>
        <v>0</v>
      </c>
      <c r="CY51" s="116">
        <f>(SUMIFS('Bucket Counts'!$P:$P, 'Bucket Counts'!$B:$B, CY$2, 'Bucket Counts'!$A:$A, "="&amp;$A51,  'Bucket Counts'!$F:$F, "100 Morts"))</f>
        <v>0</v>
      </c>
      <c r="CZ51" s="116">
        <f>(SUMIFS('Bucket Counts'!$P:$P, 'Bucket Counts'!$B:$B, CZ$2, 'Bucket Counts'!$A:$A, "="&amp;$A51,  'Bucket Counts'!$F:$F, "224"))</f>
        <v>0</v>
      </c>
      <c r="DA51" s="116"/>
      <c r="DB51" s="426">
        <f>(CZ51+CX51)/DC50</f>
        <v>0</v>
      </c>
      <c r="DC51" s="370">
        <f>CX50+SUM(CW50:CW51)</f>
        <v>24993.333333333336</v>
      </c>
      <c r="DD51" s="369">
        <f>SUMIFS(Collection!$O:$O, Collection!$K:$K, DD$2, Collection!$A:$A, "="&amp;$A51)</f>
        <v>0</v>
      </c>
      <c r="DE51" s="116">
        <f>(SUMIFS('Bucket Counts'!$P:$P, 'Bucket Counts'!$B:$B, DE$2, 'Bucket Counts'!$A:$A, "="&amp;$A51,  'Bucket Counts'!$F:$F, "&lt;&gt;100 Morts",  'Bucket Counts'!$F:$F, "&lt;&gt;224"))</f>
        <v>0</v>
      </c>
      <c r="DF51" s="116">
        <f>(SUMIFS('Bucket Counts'!$P:$P, 'Bucket Counts'!$B:$B, DF$2, 'Bucket Counts'!$A:$A, "="&amp;$A51,  'Bucket Counts'!$F:$F, "100 Morts"))</f>
        <v>0</v>
      </c>
      <c r="DG51" s="116">
        <f>(SUMIFS('Bucket Counts'!$P:$P, 'Bucket Counts'!$B:$B, DG$2, 'Bucket Counts'!$A:$A, "="&amp;$A51,  'Bucket Counts'!$F:$F, "224"))</f>
        <v>0</v>
      </c>
      <c r="DH51" s="116"/>
      <c r="DI51" s="426">
        <f>(DG51+DE51)/DJ50</f>
        <v>0</v>
      </c>
      <c r="DJ51" s="370">
        <f>DE50+SUM(DD50:DD51)</f>
        <v>15025.000000000002</v>
      </c>
      <c r="DK51" s="369">
        <f>SUMIFS(Collection!$O:$O, Collection!$K:$K, DK$2, Collection!$A:$A, "="&amp;$A51)</f>
        <v>0</v>
      </c>
      <c r="DL51" s="116">
        <f>(SUMIFS('Bucket Counts'!$P:$P, 'Bucket Counts'!$B:$B, DL$2, 'Bucket Counts'!$A:$A, "="&amp;$A51,  'Bucket Counts'!$F:$F, "&lt;&gt;100 Morts",  'Bucket Counts'!$F:$F, "&lt;&gt;224"))</f>
        <v>0</v>
      </c>
      <c r="DM51" s="116">
        <f>(SUMIFS('Bucket Counts'!$P:$P, 'Bucket Counts'!$B:$B, DM$2, 'Bucket Counts'!$A:$A, "="&amp;$A51,  'Bucket Counts'!$F:$F, "100 Morts"))</f>
        <v>0</v>
      </c>
      <c r="DN51" s="116">
        <f>(SUMIFS('Bucket Counts'!$P:$P, 'Bucket Counts'!$B:$B, DN$2, 'Bucket Counts'!$A:$A, "="&amp;$A51,  'Bucket Counts'!$F:$F, "224"))</f>
        <v>0</v>
      </c>
      <c r="DO51" s="116"/>
      <c r="DP51" s="426" t="e">
        <f>(DN51+DL51)/DQ50</f>
        <v>#DIV/0!</v>
      </c>
      <c r="DQ51" s="370">
        <f>DL50+SUM(DK50:DK51)</f>
        <v>0</v>
      </c>
      <c r="DR51" s="369">
        <f>SUMIFS(Collection!$O:$O, Collection!$K:$K, DR$2, Collection!$A:$A, "="&amp;$A51)</f>
        <v>0</v>
      </c>
      <c r="DS51" s="116">
        <f>(SUMIFS('Bucket Counts'!$P:$P, 'Bucket Counts'!$B:$B, DS$2, 'Bucket Counts'!$A:$A, "="&amp;$A51,  'Bucket Counts'!$F:$F, "&lt;&gt;100 Morts",  'Bucket Counts'!$F:$F, "&lt;&gt;224"))</f>
        <v>0</v>
      </c>
      <c r="DT51" s="116">
        <f>(SUMIFS('Bucket Counts'!$P:$P, 'Bucket Counts'!$B:$B, DT$2, 'Bucket Counts'!$A:$A, "="&amp;$A51,  'Bucket Counts'!$F:$F, "100 Morts"))</f>
        <v>0</v>
      </c>
      <c r="DU51" s="116">
        <f>(SUMIFS('Bucket Counts'!$P:$P, 'Bucket Counts'!$B:$B, DU$2, 'Bucket Counts'!$A:$A, "="&amp;$A51,  'Bucket Counts'!$F:$F, "224"))</f>
        <v>0</v>
      </c>
      <c r="DV51" s="116"/>
      <c r="DW51" s="426" t="e">
        <f>(DU51+DS51)/DX50</f>
        <v>#DIV/0!</v>
      </c>
      <c r="DX51" s="370">
        <f>DS50+SUM(DR50:DR51)</f>
        <v>0</v>
      </c>
      <c r="DY51" s="369">
        <f>SUMIFS(Collection!$O:$O, Collection!$K:$K, DY$2, Collection!$A:$A, "="&amp;$A51)</f>
        <v>0</v>
      </c>
      <c r="DZ51" s="116">
        <f>(SUMIFS('Bucket Counts'!$P:$P, 'Bucket Counts'!$B:$B, DZ$2, 'Bucket Counts'!$A:$A, "="&amp;$A51,  'Bucket Counts'!$F:$F, "&lt;&gt;100 Morts",  'Bucket Counts'!$F:$F, "&lt;&gt;224"))</f>
        <v>0</v>
      </c>
      <c r="EA51" s="116">
        <f>(SUMIFS('Bucket Counts'!$P:$P, 'Bucket Counts'!$B:$B, EA$2, 'Bucket Counts'!$A:$A, "="&amp;$A51,  'Bucket Counts'!$F:$F, "100 Morts"))</f>
        <v>0</v>
      </c>
      <c r="EB51" s="116">
        <f>(SUMIFS('Bucket Counts'!$P:$P, 'Bucket Counts'!$B:$B, EB$2, 'Bucket Counts'!$A:$A, "="&amp;$A51,  'Bucket Counts'!$F:$F, "224"))</f>
        <v>0</v>
      </c>
      <c r="EC51" s="116"/>
      <c r="ED51" s="426" t="e">
        <f>(EB51+DZ51)/EE50</f>
        <v>#DIV/0!</v>
      </c>
      <c r="EE51" s="370">
        <f>DZ50+SUM(DY50:DY51)</f>
        <v>0</v>
      </c>
      <c r="EF51" s="369">
        <f>SUMIFS(Collection!$O:$O, Collection!$K:$K, EF$2, Collection!$A:$A, "="&amp;$A51)</f>
        <v>0</v>
      </c>
      <c r="EG51" s="116">
        <f>(SUMIFS('Bucket Counts'!$P:$P, 'Bucket Counts'!$B:$B, EG$2, 'Bucket Counts'!$A:$A, "="&amp;$A51,  'Bucket Counts'!$F:$F, "&lt;&gt;100 Morts",  'Bucket Counts'!$F:$F, "&lt;&gt;224"))</f>
        <v>0</v>
      </c>
      <c r="EH51" s="116">
        <f>(SUMIFS('Bucket Counts'!$P:$P, 'Bucket Counts'!$B:$B, EH$2, 'Bucket Counts'!$A:$A, "="&amp;$A51,  'Bucket Counts'!$F:$F, "100 Morts"))</f>
        <v>0</v>
      </c>
      <c r="EI51" s="116">
        <f>(SUMIFS('Bucket Counts'!$P:$P, 'Bucket Counts'!$B:$B, EI$2, 'Bucket Counts'!$A:$A, "="&amp;$A51,  'Bucket Counts'!$F:$F, "224"))</f>
        <v>0</v>
      </c>
      <c r="EJ51" s="116"/>
      <c r="EK51" s="426" t="e">
        <f>(EI51+EG51)/EL50</f>
        <v>#DIV/0!</v>
      </c>
      <c r="EL51" s="370">
        <f>EG50+SUM(EF50:EF51)</f>
        <v>0</v>
      </c>
    </row>
    <row r="52" spans="1:142" x14ac:dyDescent="0.2">
      <c r="A52" s="16">
        <f t="shared" si="0"/>
        <v>42921</v>
      </c>
      <c r="B52" s="16" t="s">
        <v>487</v>
      </c>
      <c r="C52" s="369">
        <f>SUMIFS(Collection!$O:$O, Collection!$K:$K, C$2, Collection!$A:$A, "="&amp;$A52)</f>
        <v>0</v>
      </c>
      <c r="D52" s="116">
        <f>(SUMIFS('Bucket Counts'!$P:$P, 'Bucket Counts'!$B:$B, D$2, 'Bucket Counts'!$A:$A, "="&amp;$A52,  'Bucket Counts'!$F:$F, "&lt;&gt;100 Morts",  'Bucket Counts'!$F:$F, "&lt;&gt;224"))</f>
        <v>0</v>
      </c>
      <c r="E52" s="116">
        <f>(SUMIFS('Bucket Counts'!$P:$P, 'Bucket Counts'!$B:$B, E$2, 'Bucket Counts'!$A:$A, "="&amp;$A52,  'Bucket Counts'!$F:$F, "100 Morts"))</f>
        <v>0</v>
      </c>
      <c r="F52" s="116">
        <f>(SUMIFS('Bucket Counts'!$P:$P, 'Bucket Counts'!$B:$B, F$2, 'Bucket Counts'!$A:$A, "="&amp;$A52,  'Bucket Counts'!$F:$F, "224"))</f>
        <v>0</v>
      </c>
      <c r="G52" s="116"/>
      <c r="H52" s="426">
        <f>(F52+D52)/I51</f>
        <v>0</v>
      </c>
      <c r="I52" s="370">
        <f>D50+SUM(C50:C52)</f>
        <v>1210</v>
      </c>
      <c r="J52" s="369">
        <f>SUMIFS(Collection!$O:$O, Collection!$K:$K, J$2, Collection!$A:$A, "="&amp;$A52)</f>
        <v>0</v>
      </c>
      <c r="K52" s="116">
        <f>(SUMIFS('Bucket Counts'!$P:$P, 'Bucket Counts'!$B:$B, K$2, 'Bucket Counts'!$A:$A, "="&amp;$A52,  'Bucket Counts'!$F:$F, "&lt;&gt;100 Morts",  'Bucket Counts'!$F:$F, "&lt;&gt;224"))</f>
        <v>0</v>
      </c>
      <c r="L52" s="116">
        <f>(SUMIFS('Bucket Counts'!$P:$P, 'Bucket Counts'!$B:$B, L$2, 'Bucket Counts'!$A:$A, "="&amp;$A52,  'Bucket Counts'!$F:$F, "100 Morts"))</f>
        <v>0</v>
      </c>
      <c r="M52" s="116">
        <f>(SUMIFS('Bucket Counts'!$P:$P, 'Bucket Counts'!$B:$B, M$2, 'Bucket Counts'!$A:$A, "="&amp;$A52,  'Bucket Counts'!$F:$F, "224"))</f>
        <v>0</v>
      </c>
      <c r="N52" s="116"/>
      <c r="O52" s="426">
        <f>(M52+K52)/P51</f>
        <v>0</v>
      </c>
      <c r="P52" s="370">
        <f>K50+SUM(J50:J52)</f>
        <v>42053.888888888883</v>
      </c>
      <c r="Q52" s="369">
        <f>SUMIFS(Collection!$O:$O, Collection!$K:$K, Q$2, Collection!$A:$A, "="&amp;$A52)</f>
        <v>0</v>
      </c>
      <c r="R52" s="116">
        <f>(SUMIFS('Bucket Counts'!$P:$P, 'Bucket Counts'!$B:$B, R$2, 'Bucket Counts'!$A:$A, "="&amp;$A52,  'Bucket Counts'!$F:$F, "&lt;&gt;100 Morts",  'Bucket Counts'!$F:$F, "&lt;&gt;224"))</f>
        <v>0</v>
      </c>
      <c r="S52" s="116">
        <f>(SUMIFS('Bucket Counts'!$P:$P, 'Bucket Counts'!$B:$B, S$2, 'Bucket Counts'!$A:$A, "="&amp;$A52,  'Bucket Counts'!$F:$F, "100 Morts"))</f>
        <v>0</v>
      </c>
      <c r="T52" s="116">
        <f>(SUMIFS('Bucket Counts'!$P:$P, 'Bucket Counts'!$B:$B, T$2, 'Bucket Counts'!$A:$A, "="&amp;$A52,  'Bucket Counts'!$F:$F, "224"))</f>
        <v>0</v>
      </c>
      <c r="U52" s="116"/>
      <c r="V52" s="426">
        <f>(T52+R52)/W51</f>
        <v>0</v>
      </c>
      <c r="W52" s="370">
        <f>R50+SUM(Q50:Q52)</f>
        <v>860.00000000000011</v>
      </c>
      <c r="X52" s="369">
        <f>SUMIFS(Collection!$O:$O, Collection!$K:$K, X$2, Collection!$A:$A, "="&amp;$A52)</f>
        <v>0</v>
      </c>
      <c r="Y52" s="116">
        <f>(SUMIFS('Bucket Counts'!$P:$P, 'Bucket Counts'!$B:$B, Y$2, 'Bucket Counts'!$A:$A, "="&amp;$A52,  'Bucket Counts'!$F:$F, "&lt;&gt;100 Morts",  'Bucket Counts'!$F:$F, "&lt;&gt;224"))</f>
        <v>0</v>
      </c>
      <c r="Z52" s="116">
        <f>(SUMIFS('Bucket Counts'!$P:$P, 'Bucket Counts'!$B:$B, Z$2, 'Bucket Counts'!$A:$A, "="&amp;$A52,  'Bucket Counts'!$F:$F, "100 Morts"))</f>
        <v>0</v>
      </c>
      <c r="AA52" s="116">
        <f>(SUMIFS('Bucket Counts'!$P:$P, 'Bucket Counts'!$B:$B, AA$2, 'Bucket Counts'!$A:$A, "="&amp;$A52,  'Bucket Counts'!$F:$F, "224"))</f>
        <v>0</v>
      </c>
      <c r="AB52" s="116"/>
      <c r="AC52" s="426">
        <f>(AA52+Y52)/AD51</f>
        <v>0</v>
      </c>
      <c r="AD52" s="370">
        <f>Y50+SUM(X50:X52)</f>
        <v>26280</v>
      </c>
      <c r="AE52" s="369">
        <f>SUMIFS(Collection!$O:$O, Collection!$K:$K, AE$2, Collection!$A:$A, "="&amp;$A52)</f>
        <v>0</v>
      </c>
      <c r="AF52" s="116">
        <f>(SUMIFS('Bucket Counts'!$P:$P, 'Bucket Counts'!$B:$B, AF$2, 'Bucket Counts'!$A:$A, "="&amp;$A52,  'Bucket Counts'!$F:$F, "&lt;&gt;100 Morts",  'Bucket Counts'!$F:$F, "&lt;&gt;224"))</f>
        <v>0</v>
      </c>
      <c r="AG52" s="116">
        <f>(SUMIFS('Bucket Counts'!$P:$P, 'Bucket Counts'!$B:$B, AG$2, 'Bucket Counts'!$A:$A, "="&amp;$A52,  'Bucket Counts'!$F:$F, "100 Morts"))</f>
        <v>0</v>
      </c>
      <c r="AH52" s="116">
        <f>(SUMIFS('Bucket Counts'!$P:$P, 'Bucket Counts'!$B:$B, AH$2, 'Bucket Counts'!$A:$A, "="&amp;$A52,  'Bucket Counts'!$F:$F, "224"))</f>
        <v>0</v>
      </c>
      <c r="AI52" s="116"/>
      <c r="AJ52" s="426">
        <f>(AH52+AF52)/AK51</f>
        <v>0</v>
      </c>
      <c r="AK52" s="370">
        <f>AF50+SUM(AE50:AE52)</f>
        <v>268.88888888888886</v>
      </c>
      <c r="AL52" s="369">
        <f>SUMIFS(Collection!$O:$O, Collection!$K:$K, AL$2, Collection!$A:$A, "="&amp;$A52)</f>
        <v>0</v>
      </c>
      <c r="AM52" s="116">
        <f>(SUMIFS('Bucket Counts'!$P:$P, 'Bucket Counts'!$B:$B, AM$2, 'Bucket Counts'!$A:$A, "="&amp;$A52,  'Bucket Counts'!$F:$F, "&lt;&gt;100 Morts",  'Bucket Counts'!$F:$F, "&lt;&gt;224"))</f>
        <v>0</v>
      </c>
      <c r="AN52" s="116">
        <f>(SUMIFS('Bucket Counts'!$P:$P, 'Bucket Counts'!$B:$B, AN$2, 'Bucket Counts'!$A:$A, "="&amp;$A52,  'Bucket Counts'!$F:$F, "100 Morts"))</f>
        <v>0</v>
      </c>
      <c r="AO52" s="116">
        <f>(SUMIFS('Bucket Counts'!$P:$P, 'Bucket Counts'!$B:$B, AO$2, 'Bucket Counts'!$A:$A, "="&amp;$A52,  'Bucket Counts'!$F:$F, "224"))</f>
        <v>0</v>
      </c>
      <c r="AP52" s="116"/>
      <c r="AQ52" s="426">
        <f>(AO52+AM52)/AR51</f>
        <v>0</v>
      </c>
      <c r="AR52" s="370">
        <f>AM50+SUM(AL50:AL52)</f>
        <v>3099.9999999999995</v>
      </c>
      <c r="AS52" s="369">
        <f>SUMIFS(Collection!$O:$O, Collection!$K:$K, AS$2, Collection!$A:$A, "="&amp;$A52)</f>
        <v>0</v>
      </c>
      <c r="AT52" s="116">
        <f>(SUMIFS('Bucket Counts'!$P:$P, 'Bucket Counts'!$B:$B, AT$2, 'Bucket Counts'!$A:$A, "="&amp;$A52,  'Bucket Counts'!$F:$F, "&lt;&gt;100 Morts",  'Bucket Counts'!$F:$F, "&lt;&gt;224"))</f>
        <v>0</v>
      </c>
      <c r="AU52" s="116">
        <f>(SUMIFS('Bucket Counts'!$P:$P, 'Bucket Counts'!$B:$B, AU$2, 'Bucket Counts'!$A:$A, "="&amp;$A52,  'Bucket Counts'!$F:$F, "100 Morts"))</f>
        <v>0</v>
      </c>
      <c r="AV52" s="116">
        <f>(SUMIFS('Bucket Counts'!$P:$P, 'Bucket Counts'!$B:$B, AV$2, 'Bucket Counts'!$A:$A, "="&amp;$A52,  'Bucket Counts'!$F:$F, "224"))</f>
        <v>0</v>
      </c>
      <c r="AW52" s="116"/>
      <c r="AX52" s="426">
        <f>(AV52+AT52)/AY51</f>
        <v>0</v>
      </c>
      <c r="AY52" s="370">
        <f>AT50+SUM(AS50:AS52)</f>
        <v>2714.4444444444443</v>
      </c>
      <c r="AZ52" s="369">
        <f>SUMIFS(Collection!$O:$O, Collection!$K:$K, AZ$2, Collection!$A:$A, "="&amp;$A52)</f>
        <v>0</v>
      </c>
      <c r="BA52" s="116">
        <f>(SUMIFS('Bucket Counts'!$P:$P, 'Bucket Counts'!$B:$B, BA$2, 'Bucket Counts'!$A:$A, "="&amp;$A52,  'Bucket Counts'!$F:$F, "&lt;&gt;100 Morts",  'Bucket Counts'!$F:$F, "&lt;&gt;224"))</f>
        <v>0</v>
      </c>
      <c r="BB52" s="116">
        <f>(SUMIFS('Bucket Counts'!$P:$P, 'Bucket Counts'!$B:$B, BB$2, 'Bucket Counts'!$A:$A, "="&amp;$A52,  'Bucket Counts'!$F:$F, "100 Morts"))</f>
        <v>0</v>
      </c>
      <c r="BC52" s="116">
        <f>(SUMIFS('Bucket Counts'!$P:$P, 'Bucket Counts'!$B:$B, BC$2, 'Bucket Counts'!$A:$A, "="&amp;$A52,  'Bucket Counts'!$F:$F, "224"))</f>
        <v>0</v>
      </c>
      <c r="BD52" s="116"/>
      <c r="BE52" s="426">
        <f>(BC52+BA52)/BF51</f>
        <v>0</v>
      </c>
      <c r="BF52" s="370">
        <f>BA50+SUM(AZ50:AZ52)</f>
        <v>373.33333333333337</v>
      </c>
      <c r="BG52" s="369">
        <f>SUMIFS(Collection!$O:$O, Collection!$K:$K, BG$2, Collection!$A:$A, "="&amp;$A52)</f>
        <v>0</v>
      </c>
      <c r="BH52" s="116">
        <f>(SUMIFS('Bucket Counts'!$P:$P, 'Bucket Counts'!$B:$B, BH$2, 'Bucket Counts'!$A:$A, "="&amp;$A52,  'Bucket Counts'!$F:$F, "&lt;&gt;100 Morts",  'Bucket Counts'!$F:$F, "&lt;&gt;224"))</f>
        <v>0</v>
      </c>
      <c r="BI52" s="116">
        <f>(SUMIFS('Bucket Counts'!$P:$P, 'Bucket Counts'!$B:$B, BI$2, 'Bucket Counts'!$A:$A, "="&amp;$A52,  'Bucket Counts'!$F:$F, "100 Morts"))</f>
        <v>0</v>
      </c>
      <c r="BJ52" s="116">
        <f>(SUMIFS('Bucket Counts'!$P:$P, 'Bucket Counts'!$B:$B, BJ$2, 'Bucket Counts'!$A:$A, "="&amp;$A52,  'Bucket Counts'!$F:$F, "224"))</f>
        <v>0</v>
      </c>
      <c r="BK52" s="116"/>
      <c r="BL52" s="426">
        <f>(BJ52+BH52)/BM51</f>
        <v>0</v>
      </c>
      <c r="BM52" s="370">
        <f>BH50+SUM(BG50:BG52)</f>
        <v>73500</v>
      </c>
      <c r="BN52" s="369">
        <f>SUMIFS(Collection!$O:$O, Collection!$K:$K, BN$2, Collection!$A:$A, "="&amp;$A52)</f>
        <v>0</v>
      </c>
      <c r="BO52" s="116">
        <f>(SUMIFS('Bucket Counts'!$P:$P, 'Bucket Counts'!$B:$B, BO$2, 'Bucket Counts'!$A:$A, "="&amp;$A52,  'Bucket Counts'!$F:$F, "&lt;&gt;100 Morts",  'Bucket Counts'!$F:$F, "&lt;&gt;224"))</f>
        <v>0</v>
      </c>
      <c r="BP52" s="116">
        <f>(SUMIFS('Bucket Counts'!$P:$P, 'Bucket Counts'!$B:$B, BP$2, 'Bucket Counts'!$A:$A, "="&amp;$A52,  'Bucket Counts'!$F:$F, "100 Morts"))</f>
        <v>0</v>
      </c>
      <c r="BQ52" s="116">
        <f>(SUMIFS('Bucket Counts'!$P:$P, 'Bucket Counts'!$B:$B, BQ$2, 'Bucket Counts'!$A:$A, "="&amp;$A52,  'Bucket Counts'!$F:$F, "224"))</f>
        <v>0</v>
      </c>
      <c r="BR52" s="116"/>
      <c r="BS52" s="426">
        <f>(BQ52+BO52)/BT51</f>
        <v>0</v>
      </c>
      <c r="BT52" s="370">
        <f>BO50+SUM(BN50:BN52)</f>
        <v>34935</v>
      </c>
      <c r="BU52" s="369">
        <f>SUMIFS(Collection!$O:$O, Collection!$K:$K, BU$2, Collection!$A:$A, "="&amp;$A52)</f>
        <v>0</v>
      </c>
      <c r="BV52" s="116">
        <f>(SUMIFS('Bucket Counts'!$P:$P, 'Bucket Counts'!$B:$B, BV$2, 'Bucket Counts'!$A:$A, "="&amp;$A52,  'Bucket Counts'!$F:$F, "&lt;&gt;100 Morts",  'Bucket Counts'!$F:$F, "&lt;&gt;224"))</f>
        <v>0</v>
      </c>
      <c r="BW52" s="116">
        <f>(SUMIFS('Bucket Counts'!$P:$P, 'Bucket Counts'!$B:$B, BW$2, 'Bucket Counts'!$A:$A, "="&amp;$A52,  'Bucket Counts'!$F:$F, "100 Morts"))</f>
        <v>0</v>
      </c>
      <c r="BX52" s="116">
        <f>(SUMIFS('Bucket Counts'!$P:$P, 'Bucket Counts'!$B:$B, BX$2, 'Bucket Counts'!$A:$A, "="&amp;$A52,  'Bucket Counts'!$F:$F, "224"))</f>
        <v>0</v>
      </c>
      <c r="BY52" s="116"/>
      <c r="BZ52" s="426">
        <f>(BX52+BV52)/CA51</f>
        <v>0</v>
      </c>
      <c r="CA52" s="370">
        <f>BV50+SUM(BU50:BU52)</f>
        <v>5333.3333333333339</v>
      </c>
      <c r="CB52" s="369">
        <f>SUMIFS(Collection!$O:$O, Collection!$K:$K, CB$2, Collection!$A:$A, "="&amp;$A52)</f>
        <v>0</v>
      </c>
      <c r="CC52" s="116">
        <f>(SUMIFS('Bucket Counts'!$P:$P, 'Bucket Counts'!$B:$B, CC$2, 'Bucket Counts'!$A:$A, "="&amp;$A52,  'Bucket Counts'!$F:$F, "&lt;&gt;100 Morts",  'Bucket Counts'!$F:$F, "&lt;&gt;224"))</f>
        <v>0</v>
      </c>
      <c r="CD52" s="116">
        <f>(SUMIFS('Bucket Counts'!$P:$P, 'Bucket Counts'!$B:$B, CD$2, 'Bucket Counts'!$A:$A, "="&amp;$A52,  'Bucket Counts'!$F:$F, "100 Morts"))</f>
        <v>0</v>
      </c>
      <c r="CE52" s="116">
        <f>(SUMIFS('Bucket Counts'!$P:$P, 'Bucket Counts'!$B:$B, CE$2, 'Bucket Counts'!$A:$A, "="&amp;$A52,  'Bucket Counts'!$F:$F, "224"))</f>
        <v>0</v>
      </c>
      <c r="CF52" s="116"/>
      <c r="CG52" s="426">
        <f>(CE52+CC52)/CH51</f>
        <v>0</v>
      </c>
      <c r="CH52" s="370">
        <f>CC50+SUM(CB50:CB52)</f>
        <v>14660</v>
      </c>
      <c r="CI52" s="369">
        <f>SUMIFS(Collection!$O:$O, Collection!$K:$K, CI$2, Collection!$A:$A, "="&amp;$A52)</f>
        <v>0</v>
      </c>
      <c r="CJ52" s="116">
        <f>(SUMIFS('Bucket Counts'!$P:$P, 'Bucket Counts'!$B:$B, CJ$2, 'Bucket Counts'!$A:$A, "="&amp;$A52,  'Bucket Counts'!$F:$F, "&lt;&gt;100 Morts",  'Bucket Counts'!$F:$F, "&lt;&gt;224"))</f>
        <v>0</v>
      </c>
      <c r="CK52" s="116">
        <f>(SUMIFS('Bucket Counts'!$P:$P, 'Bucket Counts'!$B:$B, CK$2, 'Bucket Counts'!$A:$A, "="&amp;$A52,  'Bucket Counts'!$F:$F, "100 Morts"))</f>
        <v>0</v>
      </c>
      <c r="CL52" s="116">
        <f>(SUMIFS('Bucket Counts'!$P:$P, 'Bucket Counts'!$B:$B, CL$2, 'Bucket Counts'!$A:$A, "="&amp;$A52,  'Bucket Counts'!$F:$F, "224"))</f>
        <v>0</v>
      </c>
      <c r="CM52" s="116"/>
      <c r="CN52" s="426">
        <f>(CL52+CJ52)/CO51</f>
        <v>0</v>
      </c>
      <c r="CO52" s="370">
        <f>CJ50+SUM(CI50:CI52)</f>
        <v>4858.3333333333339</v>
      </c>
      <c r="CP52" s="369">
        <f>SUMIFS(Collection!$O:$O, Collection!$K:$K, CP$2, Collection!$A:$A, "="&amp;$A52)</f>
        <v>0</v>
      </c>
      <c r="CQ52" s="116">
        <f>(SUMIFS('Bucket Counts'!$P:$P, 'Bucket Counts'!$B:$B, CQ$2, 'Bucket Counts'!$A:$A, "="&amp;$A52,  'Bucket Counts'!$F:$F, "&lt;&gt;100 Morts",  'Bucket Counts'!$F:$F, "&lt;&gt;224"))</f>
        <v>0</v>
      </c>
      <c r="CR52" s="116">
        <f>(SUMIFS('Bucket Counts'!$P:$P, 'Bucket Counts'!$B:$B, CR$2, 'Bucket Counts'!$A:$A, "="&amp;$A52,  'Bucket Counts'!$F:$F, "100 Morts"))</f>
        <v>0</v>
      </c>
      <c r="CS52" s="116">
        <f>(SUMIFS('Bucket Counts'!$P:$P, 'Bucket Counts'!$B:$B, CS$2, 'Bucket Counts'!$A:$A, "="&amp;$A52,  'Bucket Counts'!$F:$F, "224"))</f>
        <v>0</v>
      </c>
      <c r="CT52" s="116"/>
      <c r="CU52" s="426">
        <f>(CS52+CQ52)/CV51</f>
        <v>0</v>
      </c>
      <c r="CV52" s="370">
        <f>CQ50+SUM(CP50:CP52)</f>
        <v>3058.3333333333335</v>
      </c>
      <c r="CW52" s="369">
        <f>SUMIFS(Collection!$O:$O, Collection!$K:$K, CW$2, Collection!$A:$A, "="&amp;$A52)</f>
        <v>0</v>
      </c>
      <c r="CX52" s="116">
        <f>(SUMIFS('Bucket Counts'!$P:$P, 'Bucket Counts'!$B:$B, CX$2, 'Bucket Counts'!$A:$A, "="&amp;$A52,  'Bucket Counts'!$F:$F, "&lt;&gt;100 Morts",  'Bucket Counts'!$F:$F, "&lt;&gt;224"))</f>
        <v>0</v>
      </c>
      <c r="CY52" s="116">
        <f>(SUMIFS('Bucket Counts'!$P:$P, 'Bucket Counts'!$B:$B, CY$2, 'Bucket Counts'!$A:$A, "="&amp;$A52,  'Bucket Counts'!$F:$F, "100 Morts"))</f>
        <v>0</v>
      </c>
      <c r="CZ52" s="116">
        <f>(SUMIFS('Bucket Counts'!$P:$P, 'Bucket Counts'!$B:$B, CZ$2, 'Bucket Counts'!$A:$A, "="&amp;$A52,  'Bucket Counts'!$F:$F, "224"))</f>
        <v>0</v>
      </c>
      <c r="DA52" s="116"/>
      <c r="DB52" s="426">
        <f>(CZ52+CX52)/DC51</f>
        <v>0</v>
      </c>
      <c r="DC52" s="370">
        <f>CX50+SUM(CW50:CW52)</f>
        <v>24993.333333333336</v>
      </c>
      <c r="DD52" s="369">
        <f>SUMIFS(Collection!$O:$O, Collection!$K:$K, DD$2, Collection!$A:$A, "="&amp;$A52)</f>
        <v>0</v>
      </c>
      <c r="DE52" s="116">
        <f>(SUMIFS('Bucket Counts'!$P:$P, 'Bucket Counts'!$B:$B, DE$2, 'Bucket Counts'!$A:$A, "="&amp;$A52,  'Bucket Counts'!$F:$F, "&lt;&gt;100 Morts",  'Bucket Counts'!$F:$F, "&lt;&gt;224"))</f>
        <v>0</v>
      </c>
      <c r="DF52" s="116">
        <f>(SUMIFS('Bucket Counts'!$P:$P, 'Bucket Counts'!$B:$B, DF$2, 'Bucket Counts'!$A:$A, "="&amp;$A52,  'Bucket Counts'!$F:$F, "100 Morts"))</f>
        <v>0</v>
      </c>
      <c r="DG52" s="116">
        <f>(SUMIFS('Bucket Counts'!$P:$P, 'Bucket Counts'!$B:$B, DG$2, 'Bucket Counts'!$A:$A, "="&amp;$A52,  'Bucket Counts'!$F:$F, "224"))</f>
        <v>0</v>
      </c>
      <c r="DH52" s="116"/>
      <c r="DI52" s="426">
        <f>(DG52+DE52)/DJ51</f>
        <v>0</v>
      </c>
      <c r="DJ52" s="370">
        <f>DE50+SUM(DD50:DD52)</f>
        <v>15025.000000000002</v>
      </c>
      <c r="DK52" s="369">
        <f>SUMIFS(Collection!$O:$O, Collection!$K:$K, DK$2, Collection!$A:$A, "="&amp;$A52)</f>
        <v>0</v>
      </c>
      <c r="DL52" s="116">
        <f>(SUMIFS('Bucket Counts'!$P:$P, 'Bucket Counts'!$B:$B, DL$2, 'Bucket Counts'!$A:$A, "="&amp;$A52,  'Bucket Counts'!$F:$F, "&lt;&gt;100 Morts",  'Bucket Counts'!$F:$F, "&lt;&gt;224"))</f>
        <v>0</v>
      </c>
      <c r="DM52" s="116">
        <f>(SUMIFS('Bucket Counts'!$P:$P, 'Bucket Counts'!$B:$B, DM$2, 'Bucket Counts'!$A:$A, "="&amp;$A52,  'Bucket Counts'!$F:$F, "100 Morts"))</f>
        <v>0</v>
      </c>
      <c r="DN52" s="116">
        <f>(SUMIFS('Bucket Counts'!$P:$P, 'Bucket Counts'!$B:$B, DN$2, 'Bucket Counts'!$A:$A, "="&amp;$A52,  'Bucket Counts'!$F:$F, "224"))</f>
        <v>0</v>
      </c>
      <c r="DO52" s="116"/>
      <c r="DP52" s="426" t="e">
        <f>(DN52+DL52)/DQ51</f>
        <v>#DIV/0!</v>
      </c>
      <c r="DQ52" s="370">
        <f>DL50+SUM(DK50:DK52)</f>
        <v>0</v>
      </c>
      <c r="DR52" s="369">
        <f>SUMIFS(Collection!$O:$O, Collection!$K:$K, DR$2, Collection!$A:$A, "="&amp;$A52)</f>
        <v>0</v>
      </c>
      <c r="DS52" s="116">
        <f>(SUMIFS('Bucket Counts'!$P:$P, 'Bucket Counts'!$B:$B, DS$2, 'Bucket Counts'!$A:$A, "="&amp;$A52,  'Bucket Counts'!$F:$F, "&lt;&gt;100 Morts",  'Bucket Counts'!$F:$F, "&lt;&gt;224"))</f>
        <v>0</v>
      </c>
      <c r="DT52" s="116">
        <f>(SUMIFS('Bucket Counts'!$P:$P, 'Bucket Counts'!$B:$B, DT$2, 'Bucket Counts'!$A:$A, "="&amp;$A52,  'Bucket Counts'!$F:$F, "100 Morts"))</f>
        <v>0</v>
      </c>
      <c r="DU52" s="116">
        <f>(SUMIFS('Bucket Counts'!$P:$P, 'Bucket Counts'!$B:$B, DU$2, 'Bucket Counts'!$A:$A, "="&amp;$A52,  'Bucket Counts'!$F:$F, "224"))</f>
        <v>0</v>
      </c>
      <c r="DV52" s="116"/>
      <c r="DW52" s="426" t="e">
        <f>(DU52+DS52)/DX51</f>
        <v>#DIV/0!</v>
      </c>
      <c r="DX52" s="370">
        <f>DS50+SUM(DR50:DR52)</f>
        <v>0</v>
      </c>
      <c r="DY52" s="369">
        <f>SUMIFS(Collection!$O:$O, Collection!$K:$K, DY$2, Collection!$A:$A, "="&amp;$A52)</f>
        <v>0</v>
      </c>
      <c r="DZ52" s="116">
        <f>(SUMIFS('Bucket Counts'!$P:$P, 'Bucket Counts'!$B:$B, DZ$2, 'Bucket Counts'!$A:$A, "="&amp;$A52,  'Bucket Counts'!$F:$F, "&lt;&gt;100 Morts",  'Bucket Counts'!$F:$F, "&lt;&gt;224"))</f>
        <v>0</v>
      </c>
      <c r="EA52" s="116">
        <f>(SUMIFS('Bucket Counts'!$P:$P, 'Bucket Counts'!$B:$B, EA$2, 'Bucket Counts'!$A:$A, "="&amp;$A52,  'Bucket Counts'!$F:$F, "100 Morts"))</f>
        <v>0</v>
      </c>
      <c r="EB52" s="116">
        <f>(SUMIFS('Bucket Counts'!$P:$P, 'Bucket Counts'!$B:$B, EB$2, 'Bucket Counts'!$A:$A, "="&amp;$A52,  'Bucket Counts'!$F:$F, "224"))</f>
        <v>0</v>
      </c>
      <c r="EC52" s="116"/>
      <c r="ED52" s="426" t="e">
        <f>(EB52+DZ52)/EE51</f>
        <v>#DIV/0!</v>
      </c>
      <c r="EE52" s="370">
        <f>DZ50+SUM(DY50:DY52)</f>
        <v>0</v>
      </c>
      <c r="EF52" s="369">
        <f>SUMIFS(Collection!$O:$O, Collection!$K:$K, EF$2, Collection!$A:$A, "="&amp;$A52)</f>
        <v>0</v>
      </c>
      <c r="EG52" s="116">
        <f>(SUMIFS('Bucket Counts'!$P:$P, 'Bucket Counts'!$B:$B, EG$2, 'Bucket Counts'!$A:$A, "="&amp;$A52,  'Bucket Counts'!$F:$F, "&lt;&gt;100 Morts",  'Bucket Counts'!$F:$F, "&lt;&gt;224"))</f>
        <v>0</v>
      </c>
      <c r="EH52" s="116">
        <f>(SUMIFS('Bucket Counts'!$P:$P, 'Bucket Counts'!$B:$B, EH$2, 'Bucket Counts'!$A:$A, "="&amp;$A52,  'Bucket Counts'!$F:$F, "100 Morts"))</f>
        <v>0</v>
      </c>
      <c r="EI52" s="116">
        <f>(SUMIFS('Bucket Counts'!$P:$P, 'Bucket Counts'!$B:$B, EI$2, 'Bucket Counts'!$A:$A, "="&amp;$A52,  'Bucket Counts'!$F:$F, "224"))</f>
        <v>0</v>
      </c>
      <c r="EJ52" s="116"/>
      <c r="EK52" s="426" t="e">
        <f>(EI52+EG52)/EL51</f>
        <v>#DIV/0!</v>
      </c>
      <c r="EL52" s="370">
        <f>EG50+SUM(EF50:EF52)</f>
        <v>0</v>
      </c>
    </row>
    <row r="53" spans="1:142" s="434" customFormat="1" x14ac:dyDescent="0.2">
      <c r="A53" s="428">
        <f t="shared" si="0"/>
        <v>42922</v>
      </c>
      <c r="B53" s="428" t="s">
        <v>486</v>
      </c>
      <c r="C53" s="429">
        <f>SUMIFS(Collection!$O:$O, Collection!$K:$K, C$2, Collection!$A:$A, "="&amp;$A53)</f>
        <v>0</v>
      </c>
      <c r="D53" s="430">
        <f>(SUMIFS('Bucket Counts'!$P:$P, 'Bucket Counts'!$B:$B, D$2, 'Bucket Counts'!$A:$A, "="&amp;$A53,  'Bucket Counts'!$F:$F, "&lt;&gt;100 Morts",  'Bucket Counts'!$F:$F, "&lt;&gt;224"))</f>
        <v>425</v>
      </c>
      <c r="E53" s="430">
        <f>(SUMIFS('Bucket Counts'!$P:$P, 'Bucket Counts'!$B:$B, E$2, 'Bucket Counts'!$A:$A, "="&amp;$A53,  'Bucket Counts'!$F:$F, "100 Morts"))</f>
        <v>0</v>
      </c>
      <c r="F53" s="430">
        <f>(SUMIFS('Bucket Counts'!$P:$P, 'Bucket Counts'!$B:$B, F$2, 'Bucket Counts'!$A:$A, "="&amp;$A53,  'Bucket Counts'!$F:$F, "224"))</f>
        <v>41</v>
      </c>
      <c r="G53" s="430">
        <f>I52</f>
        <v>1210</v>
      </c>
      <c r="H53" s="431">
        <f>SUM(D53+F53)</f>
        <v>466</v>
      </c>
      <c r="I53" s="432">
        <f>D53+C53</f>
        <v>425</v>
      </c>
      <c r="J53" s="429">
        <f>SUMIFS(Collection!$O:$O, Collection!$K:$K, J$2, Collection!$A:$A, "="&amp;$A53)</f>
        <v>0</v>
      </c>
      <c r="K53" s="430">
        <f>(SUMIFS('Bucket Counts'!$P:$P, 'Bucket Counts'!$B:$B, K$2, 'Bucket Counts'!$A:$A, "="&amp;$A53,  'Bucket Counts'!$F:$F, "&lt;&gt;100 Morts",  'Bucket Counts'!$F:$F, "&lt;&gt;224"))</f>
        <v>26511.111111111109</v>
      </c>
      <c r="L53" s="430">
        <f>(SUMIFS('Bucket Counts'!$P:$P, 'Bucket Counts'!$B:$B, L$2, 'Bucket Counts'!$A:$A, "="&amp;$A53,  'Bucket Counts'!$F:$F, "100 Morts"))</f>
        <v>0</v>
      </c>
      <c r="M53" s="430">
        <f>(SUMIFS('Bucket Counts'!$P:$P, 'Bucket Counts'!$B:$B, M$2, 'Bucket Counts'!$A:$A, "="&amp;$A53,  'Bucket Counts'!$F:$F, "224"))</f>
        <v>13</v>
      </c>
      <c r="N53" s="430">
        <f>P52</f>
        <v>42053.888888888883</v>
      </c>
      <c r="O53" s="431">
        <f>SUM(K53+M53)</f>
        <v>26524.111111111109</v>
      </c>
      <c r="P53" s="432">
        <f>K53+J53</f>
        <v>26511.111111111109</v>
      </c>
      <c r="Q53" s="429">
        <f>SUMIFS(Collection!$O:$O, Collection!$K:$K, Q$2, Collection!$A:$A, "="&amp;$A53)</f>
        <v>0</v>
      </c>
      <c r="R53" s="430">
        <f>(SUMIFS('Bucket Counts'!$P:$P, 'Bucket Counts'!$B:$B, R$2, 'Bucket Counts'!$A:$A, "="&amp;$A53,  'Bucket Counts'!$F:$F, "&lt;&gt;100 Morts",  'Bucket Counts'!$F:$F, "&lt;&gt;224"))</f>
        <v>175</v>
      </c>
      <c r="S53" s="430">
        <f>(SUMIFS('Bucket Counts'!$P:$P, 'Bucket Counts'!$B:$B, S$2, 'Bucket Counts'!$A:$A, "="&amp;$A53,  'Bucket Counts'!$F:$F, "100 Morts"))</f>
        <v>0</v>
      </c>
      <c r="T53" s="430">
        <f>(SUMIFS('Bucket Counts'!$P:$P, 'Bucket Counts'!$B:$B, T$2, 'Bucket Counts'!$A:$A, "="&amp;$A53,  'Bucket Counts'!$F:$F, "224"))</f>
        <v>25</v>
      </c>
      <c r="U53" s="430">
        <f>W52</f>
        <v>860.00000000000011</v>
      </c>
      <c r="V53" s="431">
        <f>SUM(R53+T53)</f>
        <v>200</v>
      </c>
      <c r="W53" s="432">
        <f>R53+Q53</f>
        <v>175</v>
      </c>
      <c r="X53" s="429">
        <f>SUMIFS(Collection!$O:$O, Collection!$K:$K, X$2, Collection!$A:$A, "="&amp;$A53)</f>
        <v>0</v>
      </c>
      <c r="Y53" s="430">
        <f>(SUMIFS('Bucket Counts'!$P:$P, 'Bucket Counts'!$B:$B, Y$2, 'Bucket Counts'!$A:$A, "="&amp;$A53,  'Bucket Counts'!$F:$F, "&lt;&gt;100 Morts",  'Bucket Counts'!$F:$F, "&lt;&gt;224"))</f>
        <v>17683.333333333336</v>
      </c>
      <c r="Z53" s="430">
        <f>(SUMIFS('Bucket Counts'!$P:$P, 'Bucket Counts'!$B:$B, Z$2, 'Bucket Counts'!$A:$A, "="&amp;$A53,  'Bucket Counts'!$F:$F, "100 Morts"))</f>
        <v>0</v>
      </c>
      <c r="AA53" s="430">
        <f>(SUMIFS('Bucket Counts'!$P:$P, 'Bucket Counts'!$B:$B, AA$2, 'Bucket Counts'!$A:$A, "="&amp;$A53,  'Bucket Counts'!$F:$F, "224"))</f>
        <v>2900</v>
      </c>
      <c r="AB53" s="430">
        <f>AD52</f>
        <v>26280</v>
      </c>
      <c r="AC53" s="431">
        <f>SUM(Y53+AA53)</f>
        <v>20583.333333333336</v>
      </c>
      <c r="AD53" s="432">
        <f>Y53+X53</f>
        <v>17683.333333333336</v>
      </c>
      <c r="AE53" s="429">
        <f>SUMIFS(Collection!$O:$O, Collection!$K:$K, AE$2, Collection!$A:$A, "="&amp;$A53)</f>
        <v>200000</v>
      </c>
      <c r="AF53" s="430">
        <f>(SUMIFS('Bucket Counts'!$P:$P, 'Bucket Counts'!$B:$B, AF$2, 'Bucket Counts'!$A:$A, "="&amp;$A53,  'Bucket Counts'!$F:$F, "&lt;&gt;100 Morts",  'Bucket Counts'!$F:$F, "&lt;&gt;224"))</f>
        <v>27.777777777777775</v>
      </c>
      <c r="AG53" s="430">
        <f>(SUMIFS('Bucket Counts'!$P:$P, 'Bucket Counts'!$B:$B, AG$2, 'Bucket Counts'!$A:$A, "="&amp;$A53,  'Bucket Counts'!$F:$F, "100 Morts"))</f>
        <v>0</v>
      </c>
      <c r="AH53" s="430">
        <f>(SUMIFS('Bucket Counts'!$P:$P, 'Bucket Counts'!$B:$B, AH$2, 'Bucket Counts'!$A:$A, "="&amp;$A53,  'Bucket Counts'!$F:$F, "224"))</f>
        <v>8</v>
      </c>
      <c r="AI53" s="430">
        <f>AK52</f>
        <v>268.88888888888886</v>
      </c>
      <c r="AJ53" s="431">
        <f>SUM(AF53+AH53)</f>
        <v>35.777777777777771</v>
      </c>
      <c r="AK53" s="432">
        <f>AF53+AE53</f>
        <v>200027.77777777778</v>
      </c>
      <c r="AL53" s="429">
        <f>SUMIFS(Collection!$O:$O, Collection!$K:$K, AL$2, Collection!$A:$A, "="&amp;$A53)</f>
        <v>0</v>
      </c>
      <c r="AM53" s="430">
        <f>(SUMIFS('Bucket Counts'!$P:$P, 'Bucket Counts'!$B:$B, AM$2, 'Bucket Counts'!$A:$A, "="&amp;$A53,  'Bucket Counts'!$F:$F, "&lt;&gt;100 Morts",  'Bucket Counts'!$F:$F, "&lt;&gt;224"))</f>
        <v>926.11111111111109</v>
      </c>
      <c r="AN53" s="430">
        <f>(SUMIFS('Bucket Counts'!$P:$P, 'Bucket Counts'!$B:$B, AN$2, 'Bucket Counts'!$A:$A, "="&amp;$A53,  'Bucket Counts'!$F:$F, "100 Morts"))</f>
        <v>0</v>
      </c>
      <c r="AO53" s="430">
        <f>(SUMIFS('Bucket Counts'!$P:$P, 'Bucket Counts'!$B:$B, AO$2, 'Bucket Counts'!$A:$A, "="&amp;$A53,  'Bucket Counts'!$F:$F, "224"))</f>
        <v>59</v>
      </c>
      <c r="AP53" s="430">
        <f>AR52</f>
        <v>3099.9999999999995</v>
      </c>
      <c r="AQ53" s="431">
        <f>SUM(AM53+AO53)</f>
        <v>985.11111111111109</v>
      </c>
      <c r="AR53" s="432">
        <f>AM53+AL53</f>
        <v>926.11111111111109</v>
      </c>
      <c r="AS53" s="429">
        <f>SUMIFS(Collection!$O:$O, Collection!$K:$K, AS$2, Collection!$A:$A, "="&amp;$A53)</f>
        <v>0</v>
      </c>
      <c r="AT53" s="430">
        <f>(SUMIFS('Bucket Counts'!$P:$P, 'Bucket Counts'!$B:$B, AT$2, 'Bucket Counts'!$A:$A, "="&amp;$A53,  'Bucket Counts'!$F:$F, "&lt;&gt;100 Morts",  'Bucket Counts'!$F:$F, "&lt;&gt;224"))</f>
        <v>1216.1111111111111</v>
      </c>
      <c r="AU53" s="430">
        <f>(SUMIFS('Bucket Counts'!$P:$P, 'Bucket Counts'!$B:$B, AU$2, 'Bucket Counts'!$A:$A, "="&amp;$A53,  'Bucket Counts'!$F:$F, "100 Morts"))</f>
        <v>0</v>
      </c>
      <c r="AV53" s="430">
        <f>(SUMIFS('Bucket Counts'!$P:$P, 'Bucket Counts'!$B:$B, AV$2, 'Bucket Counts'!$A:$A, "="&amp;$A53,  'Bucket Counts'!$F:$F, "224"))</f>
        <v>29</v>
      </c>
      <c r="AW53" s="430">
        <f>AY52</f>
        <v>2714.4444444444443</v>
      </c>
      <c r="AX53" s="431">
        <f>SUM(AT53+AV53)</f>
        <v>1245.1111111111111</v>
      </c>
      <c r="AY53" s="432">
        <f>AT53+AS53</f>
        <v>1216.1111111111111</v>
      </c>
      <c r="AZ53" s="429">
        <f>SUMIFS(Collection!$O:$O, Collection!$K:$K, AZ$2, Collection!$A:$A, "="&amp;$A53)</f>
        <v>0</v>
      </c>
      <c r="BA53" s="430">
        <f>(SUMIFS('Bucket Counts'!$P:$P, 'Bucket Counts'!$B:$B, BA$2, 'Bucket Counts'!$A:$A, "="&amp;$A53,  'Bucket Counts'!$F:$F, "&lt;&gt;100 Morts",  'Bucket Counts'!$F:$F, "&lt;&gt;224"))</f>
        <v>326.66666666666669</v>
      </c>
      <c r="BB53" s="430">
        <f>(SUMIFS('Bucket Counts'!$P:$P, 'Bucket Counts'!$B:$B, BB$2, 'Bucket Counts'!$A:$A, "="&amp;$A53,  'Bucket Counts'!$F:$F, "100 Morts"))</f>
        <v>33.333333333333329</v>
      </c>
      <c r="BC53" s="430">
        <f>(SUMIFS('Bucket Counts'!$P:$P, 'Bucket Counts'!$B:$B, BC$2, 'Bucket Counts'!$A:$A, "="&amp;$A53,  'Bucket Counts'!$F:$F, "224"))</f>
        <v>36</v>
      </c>
      <c r="BD53" s="430">
        <f>BF52</f>
        <v>373.33333333333337</v>
      </c>
      <c r="BE53" s="431">
        <f>SUM(BA53+BC53)</f>
        <v>362.66666666666669</v>
      </c>
      <c r="BF53" s="432">
        <f>BA53+AZ53</f>
        <v>326.66666666666669</v>
      </c>
      <c r="BG53" s="429">
        <f>SUMIFS(Collection!$O:$O, Collection!$K:$K, BG$2, Collection!$A:$A, "="&amp;$A53)</f>
        <v>0</v>
      </c>
      <c r="BH53" s="430">
        <f>(SUMIFS('Bucket Counts'!$P:$P, 'Bucket Counts'!$B:$B, BH$2, 'Bucket Counts'!$A:$A, "="&amp;$A53,  'Bucket Counts'!$F:$F, "&lt;&gt;100 Morts",  'Bucket Counts'!$F:$F, "&lt;&gt;224"))</f>
        <v>76680</v>
      </c>
      <c r="BI53" s="430">
        <f>(SUMIFS('Bucket Counts'!$P:$P, 'Bucket Counts'!$B:$B, BI$2, 'Bucket Counts'!$A:$A, "="&amp;$A53,  'Bucket Counts'!$F:$F, "100 Morts"))</f>
        <v>91.666666666666657</v>
      </c>
      <c r="BJ53" s="430">
        <f>(SUMIFS('Bucket Counts'!$P:$P, 'Bucket Counts'!$B:$B, BJ$2, 'Bucket Counts'!$A:$A, "="&amp;$A53,  'Bucket Counts'!$F:$F, "224"))</f>
        <v>625</v>
      </c>
      <c r="BK53" s="430">
        <f>BM52</f>
        <v>73500</v>
      </c>
      <c r="BL53" s="431">
        <f>SUM(BH53+BJ53)</f>
        <v>77305</v>
      </c>
      <c r="BM53" s="432">
        <f>BH53+BG53</f>
        <v>76680</v>
      </c>
      <c r="BN53" s="429">
        <f>SUMIFS(Collection!$O:$O, Collection!$K:$K, BN$2, Collection!$A:$A, "="&amp;$A53)</f>
        <v>0</v>
      </c>
      <c r="BO53" s="430">
        <f>(SUMIFS('Bucket Counts'!$P:$P, 'Bucket Counts'!$B:$B, BO$2, 'Bucket Counts'!$A:$A, "="&amp;$A53,  'Bucket Counts'!$F:$F, "&lt;&gt;100 Morts",  'Bucket Counts'!$F:$F, "&lt;&gt;224"))</f>
        <v>26426.666666666668</v>
      </c>
      <c r="BP53" s="430">
        <f>(SUMIFS('Bucket Counts'!$P:$P, 'Bucket Counts'!$B:$B, BP$2, 'Bucket Counts'!$A:$A, "="&amp;$A53,  'Bucket Counts'!$F:$F, "100 Morts"))</f>
        <v>0</v>
      </c>
      <c r="BQ53" s="430">
        <f>(SUMIFS('Bucket Counts'!$P:$P, 'Bucket Counts'!$B:$B, BQ$2, 'Bucket Counts'!$A:$A, "="&amp;$A53,  'Bucket Counts'!$F:$F, "224"))</f>
        <v>2083.3333333333335</v>
      </c>
      <c r="BR53" s="430">
        <f>BT52</f>
        <v>34935</v>
      </c>
      <c r="BS53" s="431">
        <f>SUM(BO53+BQ53)</f>
        <v>28510</v>
      </c>
      <c r="BT53" s="432">
        <f>BO53+BN53</f>
        <v>26426.666666666668</v>
      </c>
      <c r="BU53" s="429">
        <f>SUMIFS(Collection!$O:$O, Collection!$K:$K, BU$2, Collection!$A:$A, "="&amp;$A53)</f>
        <v>0</v>
      </c>
      <c r="BV53" s="430">
        <f>(SUMIFS('Bucket Counts'!$P:$P, 'Bucket Counts'!$B:$B, BV$2, 'Bucket Counts'!$A:$A, "="&amp;$A53,  'Bucket Counts'!$F:$F, "&lt;&gt;100 Morts",  'Bucket Counts'!$F:$F, "&lt;&gt;224"))</f>
        <v>3119.4444444444443</v>
      </c>
      <c r="BW53" s="430">
        <f>(SUMIFS('Bucket Counts'!$P:$P, 'Bucket Counts'!$B:$B, BW$2, 'Bucket Counts'!$A:$A, "="&amp;$A53,  'Bucket Counts'!$F:$F, "100 Morts"))</f>
        <v>0</v>
      </c>
      <c r="BX53" s="430">
        <f>(SUMIFS('Bucket Counts'!$P:$P, 'Bucket Counts'!$B:$B, BX$2, 'Bucket Counts'!$A:$A, "="&amp;$A53,  'Bucket Counts'!$F:$F, "224"))</f>
        <v>550</v>
      </c>
      <c r="BY53" s="430">
        <f>CA52</f>
        <v>5333.3333333333339</v>
      </c>
      <c r="BZ53" s="431">
        <f>SUM(BV53+BX53)</f>
        <v>3669.4444444444443</v>
      </c>
      <c r="CA53" s="432">
        <f>BV53+BU53</f>
        <v>3119.4444444444443</v>
      </c>
      <c r="CB53" s="429">
        <f>SUMIFS(Collection!$O:$O, Collection!$K:$K, CB$2, Collection!$A:$A, "="&amp;$A53)</f>
        <v>0</v>
      </c>
      <c r="CC53" s="430">
        <f>(SUMIFS('Bucket Counts'!$P:$P, 'Bucket Counts'!$B:$B, CC$2, 'Bucket Counts'!$A:$A, "="&amp;$A53,  'Bucket Counts'!$F:$F, "&lt;&gt;100 Morts",  'Bucket Counts'!$F:$F, "&lt;&gt;224"))</f>
        <v>18900</v>
      </c>
      <c r="CD53" s="430">
        <f>(SUMIFS('Bucket Counts'!$P:$P, 'Bucket Counts'!$B:$B, CD$2, 'Bucket Counts'!$A:$A, "="&amp;$A53,  'Bucket Counts'!$F:$F, "100 Morts"))</f>
        <v>0</v>
      </c>
      <c r="CE53" s="430">
        <f>(SUMIFS('Bucket Counts'!$P:$P, 'Bucket Counts'!$B:$B, CE$2, 'Bucket Counts'!$A:$A, "="&amp;$A53,  'Bucket Counts'!$F:$F, "224"))</f>
        <v>1235</v>
      </c>
      <c r="CF53" s="430">
        <f>CH52</f>
        <v>14660</v>
      </c>
      <c r="CG53" s="431">
        <f>SUM(CC53+CE53)</f>
        <v>20135</v>
      </c>
      <c r="CH53" s="432">
        <f>CC53+CB53</f>
        <v>18900</v>
      </c>
      <c r="CI53" s="429">
        <f>SUMIFS(Collection!$O:$O, Collection!$K:$K, CI$2, Collection!$A:$A, "="&amp;$A53)</f>
        <v>0</v>
      </c>
      <c r="CJ53" s="430">
        <f>(SUMIFS('Bucket Counts'!$P:$P, 'Bucket Counts'!$B:$B, CJ$2, 'Bucket Counts'!$A:$A, "="&amp;$A53,  'Bucket Counts'!$F:$F, "&lt;&gt;100 Morts",  'Bucket Counts'!$F:$F, "&lt;&gt;224"))</f>
        <v>3186.666666666667</v>
      </c>
      <c r="CK53" s="430">
        <f>(SUMIFS('Bucket Counts'!$P:$P, 'Bucket Counts'!$B:$B, CK$2, 'Bucket Counts'!$A:$A, "="&amp;$A53,  'Bucket Counts'!$F:$F, "100 Morts"))</f>
        <v>37.5</v>
      </c>
      <c r="CL53" s="430">
        <f>(SUMIFS('Bucket Counts'!$P:$P, 'Bucket Counts'!$B:$B, CL$2, 'Bucket Counts'!$A:$A, "="&amp;$A53,  'Bucket Counts'!$F:$F, "224"))</f>
        <v>333.33333333333331</v>
      </c>
      <c r="CM53" s="430">
        <f>CO52</f>
        <v>4858.3333333333339</v>
      </c>
      <c r="CN53" s="431">
        <f>SUM(CJ53+CL53)</f>
        <v>3520.0000000000005</v>
      </c>
      <c r="CO53" s="432">
        <f>CJ53+CI53</f>
        <v>3186.666666666667</v>
      </c>
      <c r="CP53" s="429">
        <f>SUMIFS(Collection!$O:$O, Collection!$K:$K, CP$2, Collection!$A:$A, "="&amp;$A53)</f>
        <v>0</v>
      </c>
      <c r="CQ53" s="430">
        <f>(SUMIFS('Bucket Counts'!$P:$P, 'Bucket Counts'!$B:$B, CQ$2, 'Bucket Counts'!$A:$A, "="&amp;$A53,  'Bucket Counts'!$F:$F, "&lt;&gt;100 Morts",  'Bucket Counts'!$F:$F, "&lt;&gt;224"))</f>
        <v>1416.6666666666665</v>
      </c>
      <c r="CR53" s="430">
        <f>(SUMIFS('Bucket Counts'!$P:$P, 'Bucket Counts'!$B:$B, CR$2, 'Bucket Counts'!$A:$A, "="&amp;$A53,  'Bucket Counts'!$F:$F, "100 Morts"))</f>
        <v>0</v>
      </c>
      <c r="CS53" s="430">
        <f>(SUMIFS('Bucket Counts'!$P:$P, 'Bucket Counts'!$B:$B, CS$2, 'Bucket Counts'!$A:$A, "="&amp;$A53,  'Bucket Counts'!$F:$F, "224"))</f>
        <v>133.33333333333334</v>
      </c>
      <c r="CT53" s="430">
        <f>CV52</f>
        <v>3058.3333333333335</v>
      </c>
      <c r="CU53" s="431">
        <f>SUM(CQ53+CS53)</f>
        <v>1549.9999999999998</v>
      </c>
      <c r="CV53" s="432">
        <f>CQ53+CP53</f>
        <v>1416.6666666666665</v>
      </c>
      <c r="CW53" s="429">
        <f>SUMIFS(Collection!$O:$O, Collection!$K:$K, CW$2, Collection!$A:$A, "="&amp;$A53)</f>
        <v>0</v>
      </c>
      <c r="CX53" s="430">
        <f>(SUMIFS('Bucket Counts'!$P:$P, 'Bucket Counts'!$B:$B, CX$2, 'Bucket Counts'!$A:$A, "="&amp;$A53,  'Bucket Counts'!$F:$F, "&lt;&gt;100 Morts",  'Bucket Counts'!$F:$F, "&lt;&gt;224"))</f>
        <v>12310</v>
      </c>
      <c r="CY53" s="430">
        <f>(SUMIFS('Bucket Counts'!$P:$P, 'Bucket Counts'!$B:$B, CY$2, 'Bucket Counts'!$A:$A, "="&amp;$A53,  'Bucket Counts'!$F:$F, "100 Morts"))</f>
        <v>4320</v>
      </c>
      <c r="CZ53" s="430">
        <f>(SUMIFS('Bucket Counts'!$P:$P, 'Bucket Counts'!$B:$B, CZ$2, 'Bucket Counts'!$A:$A, "="&amp;$A53,  'Bucket Counts'!$F:$F, "224"))</f>
        <v>650</v>
      </c>
      <c r="DA53" s="430">
        <f>DC52</f>
        <v>24993.333333333336</v>
      </c>
      <c r="DB53" s="431">
        <f>SUM(CX53+CZ53)</f>
        <v>12960</v>
      </c>
      <c r="DC53" s="432">
        <f>CX53+CW53</f>
        <v>12310</v>
      </c>
      <c r="DD53" s="429">
        <f>SUMIFS(Collection!$O:$O, Collection!$K:$K, DD$2, Collection!$A:$A, "="&amp;$A53)</f>
        <v>0</v>
      </c>
      <c r="DE53" s="430">
        <f>(SUMIFS('Bucket Counts'!$P:$P, 'Bucket Counts'!$B:$B, DE$2, 'Bucket Counts'!$A:$A, "="&amp;$A53,  'Bucket Counts'!$F:$F, "&lt;&gt;100 Morts",  'Bucket Counts'!$F:$F, "&lt;&gt;224"))</f>
        <v>6034.4444444444443</v>
      </c>
      <c r="DF53" s="430">
        <f>(SUMIFS('Bucket Counts'!$P:$P, 'Bucket Counts'!$B:$B, DF$2, 'Bucket Counts'!$A:$A, "="&amp;$A53,  'Bucket Counts'!$F:$F, "100 Morts"))</f>
        <v>32.222222222222221</v>
      </c>
      <c r="DG53" s="430">
        <f>(SUMIFS('Bucket Counts'!$P:$P, 'Bucket Counts'!$B:$B, DG$2, 'Bucket Counts'!$A:$A, "="&amp;$A53,  'Bucket Counts'!$F:$F, "224"))</f>
        <v>1126.6666666666665</v>
      </c>
      <c r="DH53" s="430">
        <f>DJ52</f>
        <v>15025.000000000002</v>
      </c>
      <c r="DI53" s="431">
        <f>SUM(DE53+DG53)</f>
        <v>7161.1111111111113</v>
      </c>
      <c r="DJ53" s="432">
        <f>DE53+DD53</f>
        <v>6034.4444444444443</v>
      </c>
      <c r="DK53" s="429">
        <f>SUMIFS(Collection!$O:$O, Collection!$K:$K, DK$2, Collection!$A:$A, "="&amp;$A53)</f>
        <v>0</v>
      </c>
      <c r="DL53" s="430">
        <f>(SUMIFS('Bucket Counts'!$P:$P, 'Bucket Counts'!$B:$B, DL$2, 'Bucket Counts'!$A:$A, "="&amp;$A53,  'Bucket Counts'!$F:$F, "&lt;&gt;100 Morts",  'Bucket Counts'!$F:$F, "&lt;&gt;224"))</f>
        <v>0</v>
      </c>
      <c r="DM53" s="430">
        <f>(SUMIFS('Bucket Counts'!$P:$P, 'Bucket Counts'!$B:$B, DM$2, 'Bucket Counts'!$A:$A, "="&amp;$A53,  'Bucket Counts'!$F:$F, "100 Morts"))</f>
        <v>0</v>
      </c>
      <c r="DN53" s="430">
        <f>(SUMIFS('Bucket Counts'!$P:$P, 'Bucket Counts'!$B:$B, DN$2, 'Bucket Counts'!$A:$A, "="&amp;$A53,  'Bucket Counts'!$F:$F, "224"))</f>
        <v>0</v>
      </c>
      <c r="DO53" s="430">
        <f>DQ52</f>
        <v>0</v>
      </c>
      <c r="DP53" s="431">
        <f>SUM(DL53+DN53)</f>
        <v>0</v>
      </c>
      <c r="DQ53" s="432">
        <f>DL53+DK53</f>
        <v>0</v>
      </c>
      <c r="DR53" s="429">
        <f>SUMIFS(Collection!$O:$O, Collection!$K:$K, DR$2, Collection!$A:$A, "="&amp;$A53)</f>
        <v>0</v>
      </c>
      <c r="DS53" s="430">
        <f>(SUMIFS('Bucket Counts'!$P:$P, 'Bucket Counts'!$B:$B, DS$2, 'Bucket Counts'!$A:$A, "="&amp;$A53,  'Bucket Counts'!$F:$F, "&lt;&gt;100 Morts",  'Bucket Counts'!$F:$F, "&lt;&gt;224"))</f>
        <v>0</v>
      </c>
      <c r="DT53" s="430">
        <f>(SUMIFS('Bucket Counts'!$P:$P, 'Bucket Counts'!$B:$B, DT$2, 'Bucket Counts'!$A:$A, "="&amp;$A53,  'Bucket Counts'!$F:$F, "100 Morts"))</f>
        <v>0</v>
      </c>
      <c r="DU53" s="430">
        <f>(SUMIFS('Bucket Counts'!$P:$P, 'Bucket Counts'!$B:$B, DU$2, 'Bucket Counts'!$A:$A, "="&amp;$A53,  'Bucket Counts'!$F:$F, "224"))</f>
        <v>0</v>
      </c>
      <c r="DV53" s="430">
        <f>DX52</f>
        <v>0</v>
      </c>
      <c r="DW53" s="431">
        <f>SUM(DS53+DU53)</f>
        <v>0</v>
      </c>
      <c r="DX53" s="432">
        <f>DS53+DR53</f>
        <v>0</v>
      </c>
      <c r="DY53" s="429">
        <f>SUMIFS(Collection!$O:$O, Collection!$K:$K, DY$2, Collection!$A:$A, "="&amp;$A53)</f>
        <v>0</v>
      </c>
      <c r="DZ53" s="430">
        <f>(SUMIFS('Bucket Counts'!$P:$P, 'Bucket Counts'!$B:$B, DZ$2, 'Bucket Counts'!$A:$A, "="&amp;$A53,  'Bucket Counts'!$F:$F, "&lt;&gt;100 Morts",  'Bucket Counts'!$F:$F, "&lt;&gt;224"))</f>
        <v>0</v>
      </c>
      <c r="EA53" s="430">
        <f>(SUMIFS('Bucket Counts'!$P:$P, 'Bucket Counts'!$B:$B, EA$2, 'Bucket Counts'!$A:$A, "="&amp;$A53,  'Bucket Counts'!$F:$F, "100 Morts"))</f>
        <v>0</v>
      </c>
      <c r="EB53" s="430">
        <f>(SUMIFS('Bucket Counts'!$P:$P, 'Bucket Counts'!$B:$B, EB$2, 'Bucket Counts'!$A:$A, "="&amp;$A53,  'Bucket Counts'!$F:$F, "224"))</f>
        <v>0</v>
      </c>
      <c r="EC53" s="430">
        <f>EE52</f>
        <v>0</v>
      </c>
      <c r="ED53" s="431">
        <f>SUM(DZ53+EB53)</f>
        <v>0</v>
      </c>
      <c r="EE53" s="432">
        <f>DZ53+DY53</f>
        <v>0</v>
      </c>
      <c r="EF53" s="429">
        <f>SUMIFS(Collection!$O:$O, Collection!$K:$K, EF$2, Collection!$A:$A, "="&amp;$A53)</f>
        <v>0</v>
      </c>
      <c r="EG53" s="430">
        <f>(SUMIFS('Bucket Counts'!$P:$P, 'Bucket Counts'!$B:$B, EG$2, 'Bucket Counts'!$A:$A, "="&amp;$A53,  'Bucket Counts'!$F:$F, "&lt;&gt;100 Morts",  'Bucket Counts'!$F:$F, "&lt;&gt;224"))</f>
        <v>0</v>
      </c>
      <c r="EH53" s="430">
        <f>(SUMIFS('Bucket Counts'!$P:$P, 'Bucket Counts'!$B:$B, EH$2, 'Bucket Counts'!$A:$A, "="&amp;$A53,  'Bucket Counts'!$F:$F, "100 Morts"))</f>
        <v>0</v>
      </c>
      <c r="EI53" s="430">
        <f>(SUMIFS('Bucket Counts'!$P:$P, 'Bucket Counts'!$B:$B, EI$2, 'Bucket Counts'!$A:$A, "="&amp;$A53,  'Bucket Counts'!$F:$F, "224"))</f>
        <v>0</v>
      </c>
      <c r="EJ53" s="430">
        <f>EL52</f>
        <v>0</v>
      </c>
      <c r="EK53" s="431">
        <f>SUM(EG53+EI53)</f>
        <v>0</v>
      </c>
      <c r="EL53" s="432">
        <f>EG53+EF53</f>
        <v>0</v>
      </c>
    </row>
    <row r="54" spans="1:142" x14ac:dyDescent="0.2">
      <c r="A54" s="16">
        <f t="shared" si="0"/>
        <v>42923</v>
      </c>
      <c r="B54" s="16" t="s">
        <v>487</v>
      </c>
      <c r="C54" s="369">
        <f>SUMIFS(Collection!$O:$O, Collection!$K:$K, C$2, Collection!$A:$A, "="&amp;$A54)</f>
        <v>0</v>
      </c>
      <c r="D54" s="116">
        <f>(SUMIFS('Bucket Counts'!$P:$P, 'Bucket Counts'!$B:$B, D$2, 'Bucket Counts'!$A:$A, "="&amp;$A54,  'Bucket Counts'!$F:$F, "&lt;&gt;100 Morts",  'Bucket Counts'!$F:$F, "&lt;&gt;224"))</f>
        <v>0</v>
      </c>
      <c r="E54" s="116">
        <f>(SUMIFS('Bucket Counts'!$P:$P, 'Bucket Counts'!$B:$B, E$2, 'Bucket Counts'!$A:$A, "="&amp;$A54,  'Bucket Counts'!$F:$F, "100 Morts"))</f>
        <v>0</v>
      </c>
      <c r="F54" s="116">
        <f>(SUMIFS('Bucket Counts'!$P:$P, 'Bucket Counts'!$B:$B, F$2, 'Bucket Counts'!$A:$A, "="&amp;$A54,  'Bucket Counts'!$F:$F, "224"))</f>
        <v>0</v>
      </c>
      <c r="G54" s="116"/>
      <c r="H54" s="426">
        <f>(F54+D54)/I53</f>
        <v>0</v>
      </c>
      <c r="I54" s="370">
        <f>D53+SUM(C53:C54)</f>
        <v>425</v>
      </c>
      <c r="J54" s="369">
        <f>SUMIFS(Collection!$O:$O, Collection!$K:$K, J$2, Collection!$A:$A, "="&amp;$A54)</f>
        <v>0</v>
      </c>
      <c r="K54" s="116">
        <f>(SUMIFS('Bucket Counts'!$P:$P, 'Bucket Counts'!$B:$B, K$2, 'Bucket Counts'!$A:$A, "="&amp;$A54,  'Bucket Counts'!$F:$F, "&lt;&gt;100 Morts",  'Bucket Counts'!$F:$F, "&lt;&gt;224"))</f>
        <v>0</v>
      </c>
      <c r="L54" s="116">
        <f>(SUMIFS('Bucket Counts'!$P:$P, 'Bucket Counts'!$B:$B, L$2, 'Bucket Counts'!$A:$A, "="&amp;$A54,  'Bucket Counts'!$F:$F, "100 Morts"))</f>
        <v>0</v>
      </c>
      <c r="M54" s="116">
        <f>(SUMIFS('Bucket Counts'!$P:$P, 'Bucket Counts'!$B:$B, M$2, 'Bucket Counts'!$A:$A, "="&amp;$A54,  'Bucket Counts'!$F:$F, "224"))</f>
        <v>0</v>
      </c>
      <c r="N54" s="116"/>
      <c r="O54" s="426">
        <f>(M54+K54)/P53</f>
        <v>0</v>
      </c>
      <c r="P54" s="370">
        <f>K53+SUM(J53:J54)</f>
        <v>26511.111111111109</v>
      </c>
      <c r="Q54" s="369">
        <f>SUMIFS(Collection!$O:$O, Collection!$K:$K, Q$2, Collection!$A:$A, "="&amp;$A54)</f>
        <v>0</v>
      </c>
      <c r="R54" s="116">
        <f>(SUMIFS('Bucket Counts'!$P:$P, 'Bucket Counts'!$B:$B, R$2, 'Bucket Counts'!$A:$A, "="&amp;$A54,  'Bucket Counts'!$F:$F, "&lt;&gt;100 Morts",  'Bucket Counts'!$F:$F, "&lt;&gt;224"))</f>
        <v>0</v>
      </c>
      <c r="S54" s="116">
        <f>(SUMIFS('Bucket Counts'!$P:$P, 'Bucket Counts'!$B:$B, S$2, 'Bucket Counts'!$A:$A, "="&amp;$A54,  'Bucket Counts'!$F:$F, "100 Morts"))</f>
        <v>0</v>
      </c>
      <c r="T54" s="116">
        <f>(SUMIFS('Bucket Counts'!$P:$P, 'Bucket Counts'!$B:$B, T$2, 'Bucket Counts'!$A:$A, "="&amp;$A54,  'Bucket Counts'!$F:$F, "224"))</f>
        <v>0</v>
      </c>
      <c r="U54" s="116"/>
      <c r="V54" s="426">
        <f>(T54+R54)/W53</f>
        <v>0</v>
      </c>
      <c r="W54" s="370">
        <f>R53+SUM(Q53:Q54)</f>
        <v>175</v>
      </c>
      <c r="X54" s="369">
        <f>SUMIFS(Collection!$O:$O, Collection!$K:$K, X$2, Collection!$A:$A, "="&amp;$A54)</f>
        <v>0</v>
      </c>
      <c r="Y54" s="116">
        <f>(SUMIFS('Bucket Counts'!$P:$P, 'Bucket Counts'!$B:$B, Y$2, 'Bucket Counts'!$A:$A, "="&amp;$A54,  'Bucket Counts'!$F:$F, "&lt;&gt;100 Morts",  'Bucket Counts'!$F:$F, "&lt;&gt;224"))</f>
        <v>0</v>
      </c>
      <c r="Z54" s="116">
        <f>(SUMIFS('Bucket Counts'!$P:$P, 'Bucket Counts'!$B:$B, Z$2, 'Bucket Counts'!$A:$A, "="&amp;$A54,  'Bucket Counts'!$F:$F, "100 Morts"))</f>
        <v>0</v>
      </c>
      <c r="AA54" s="116">
        <f>(SUMIFS('Bucket Counts'!$P:$P, 'Bucket Counts'!$B:$B, AA$2, 'Bucket Counts'!$A:$A, "="&amp;$A54,  'Bucket Counts'!$F:$F, "224"))</f>
        <v>0</v>
      </c>
      <c r="AB54" s="116"/>
      <c r="AC54" s="426">
        <f>(AA54+Y54)/AD53</f>
        <v>0</v>
      </c>
      <c r="AD54" s="370">
        <f>Y53+SUM(X53:X54)</f>
        <v>17683.333333333336</v>
      </c>
      <c r="AE54" s="369">
        <f>SUMIFS(Collection!$O:$O, Collection!$K:$K, AE$2, Collection!$A:$A, "="&amp;$A54)</f>
        <v>0</v>
      </c>
      <c r="AF54" s="116">
        <f>(SUMIFS('Bucket Counts'!$P:$P, 'Bucket Counts'!$B:$B, AF$2, 'Bucket Counts'!$A:$A, "="&amp;$A54,  'Bucket Counts'!$F:$F, "&lt;&gt;100 Morts",  'Bucket Counts'!$F:$F, "&lt;&gt;224"))</f>
        <v>0</v>
      </c>
      <c r="AG54" s="116">
        <f>(SUMIFS('Bucket Counts'!$P:$P, 'Bucket Counts'!$B:$B, AG$2, 'Bucket Counts'!$A:$A, "="&amp;$A54,  'Bucket Counts'!$F:$F, "100 Morts"))</f>
        <v>0</v>
      </c>
      <c r="AH54" s="116">
        <f>(SUMIFS('Bucket Counts'!$P:$P, 'Bucket Counts'!$B:$B, AH$2, 'Bucket Counts'!$A:$A, "="&amp;$A54,  'Bucket Counts'!$F:$F, "224"))</f>
        <v>0</v>
      </c>
      <c r="AI54" s="116"/>
      <c r="AJ54" s="426">
        <f>(AH54+AF54)/AK53</f>
        <v>0</v>
      </c>
      <c r="AK54" s="370">
        <f>AF53+SUM(AE53:AE54)</f>
        <v>200027.77777777778</v>
      </c>
      <c r="AL54" s="369">
        <f>SUMIFS(Collection!$O:$O, Collection!$K:$K, AL$2, Collection!$A:$A, "="&amp;$A54)</f>
        <v>0</v>
      </c>
      <c r="AM54" s="116">
        <f>(SUMIFS('Bucket Counts'!$P:$P, 'Bucket Counts'!$B:$B, AM$2, 'Bucket Counts'!$A:$A, "="&amp;$A54,  'Bucket Counts'!$F:$F, "&lt;&gt;100 Morts",  'Bucket Counts'!$F:$F, "&lt;&gt;224"))</f>
        <v>0</v>
      </c>
      <c r="AN54" s="116">
        <f>(SUMIFS('Bucket Counts'!$P:$P, 'Bucket Counts'!$B:$B, AN$2, 'Bucket Counts'!$A:$A, "="&amp;$A54,  'Bucket Counts'!$F:$F, "100 Morts"))</f>
        <v>0</v>
      </c>
      <c r="AO54" s="116">
        <f>(SUMIFS('Bucket Counts'!$P:$P, 'Bucket Counts'!$B:$B, AO$2, 'Bucket Counts'!$A:$A, "="&amp;$A54,  'Bucket Counts'!$F:$F, "224"))</f>
        <v>0</v>
      </c>
      <c r="AP54" s="116"/>
      <c r="AQ54" s="426">
        <f>(AO54+AM54)/AR53</f>
        <v>0</v>
      </c>
      <c r="AR54" s="370">
        <f>AM53+SUM(AL53:AL54)</f>
        <v>926.11111111111109</v>
      </c>
      <c r="AS54" s="369">
        <f>SUMIFS(Collection!$O:$O, Collection!$K:$K, AS$2, Collection!$A:$A, "="&amp;$A54)</f>
        <v>0</v>
      </c>
      <c r="AT54" s="116">
        <f>(SUMIFS('Bucket Counts'!$P:$P, 'Bucket Counts'!$B:$B, AT$2, 'Bucket Counts'!$A:$A, "="&amp;$A54,  'Bucket Counts'!$F:$F, "&lt;&gt;100 Morts",  'Bucket Counts'!$F:$F, "&lt;&gt;224"))</f>
        <v>0</v>
      </c>
      <c r="AU54" s="116">
        <f>(SUMIFS('Bucket Counts'!$P:$P, 'Bucket Counts'!$B:$B, AU$2, 'Bucket Counts'!$A:$A, "="&amp;$A54,  'Bucket Counts'!$F:$F, "100 Morts"))</f>
        <v>0</v>
      </c>
      <c r="AV54" s="116">
        <f>(SUMIFS('Bucket Counts'!$P:$P, 'Bucket Counts'!$B:$B, AV$2, 'Bucket Counts'!$A:$A, "="&amp;$A54,  'Bucket Counts'!$F:$F, "224"))</f>
        <v>0</v>
      </c>
      <c r="AW54" s="116"/>
      <c r="AX54" s="426">
        <f>(AV54+AT54)/AY53</f>
        <v>0</v>
      </c>
      <c r="AY54" s="370">
        <f>AT53+SUM(AS53:AS54)</f>
        <v>1216.1111111111111</v>
      </c>
      <c r="AZ54" s="369">
        <f>SUMIFS(Collection!$O:$O, Collection!$K:$K, AZ$2, Collection!$A:$A, "="&amp;$A54)</f>
        <v>0</v>
      </c>
      <c r="BA54" s="116">
        <f>(SUMIFS('Bucket Counts'!$P:$P, 'Bucket Counts'!$B:$B, BA$2, 'Bucket Counts'!$A:$A, "="&amp;$A54,  'Bucket Counts'!$F:$F, "&lt;&gt;100 Morts",  'Bucket Counts'!$F:$F, "&lt;&gt;224"))</f>
        <v>0</v>
      </c>
      <c r="BB54" s="116">
        <f>(SUMIFS('Bucket Counts'!$P:$P, 'Bucket Counts'!$B:$B, BB$2, 'Bucket Counts'!$A:$A, "="&amp;$A54,  'Bucket Counts'!$F:$F, "100 Morts"))</f>
        <v>0</v>
      </c>
      <c r="BC54" s="116">
        <f>(SUMIFS('Bucket Counts'!$P:$P, 'Bucket Counts'!$B:$B, BC$2, 'Bucket Counts'!$A:$A, "="&amp;$A54,  'Bucket Counts'!$F:$F, "224"))</f>
        <v>0</v>
      </c>
      <c r="BD54" s="116"/>
      <c r="BE54" s="426">
        <f>(BC54+BA54)/BF53</f>
        <v>0</v>
      </c>
      <c r="BF54" s="370">
        <f>BA53+SUM(AZ53:AZ54)</f>
        <v>326.66666666666669</v>
      </c>
      <c r="BG54" s="369">
        <f>SUMIFS(Collection!$O:$O, Collection!$K:$K, BG$2, Collection!$A:$A, "="&amp;$A54)</f>
        <v>0</v>
      </c>
      <c r="BH54" s="116">
        <f>(SUMIFS('Bucket Counts'!$P:$P, 'Bucket Counts'!$B:$B, BH$2, 'Bucket Counts'!$A:$A, "="&amp;$A54,  'Bucket Counts'!$F:$F, "&lt;&gt;100 Morts",  'Bucket Counts'!$F:$F, "&lt;&gt;224"))</f>
        <v>0</v>
      </c>
      <c r="BI54" s="116">
        <f>(SUMIFS('Bucket Counts'!$P:$P, 'Bucket Counts'!$B:$B, BI$2, 'Bucket Counts'!$A:$A, "="&amp;$A54,  'Bucket Counts'!$F:$F, "100 Morts"))</f>
        <v>0</v>
      </c>
      <c r="BJ54" s="116">
        <f>(SUMIFS('Bucket Counts'!$P:$P, 'Bucket Counts'!$B:$B, BJ$2, 'Bucket Counts'!$A:$A, "="&amp;$A54,  'Bucket Counts'!$F:$F, "224"))</f>
        <v>0</v>
      </c>
      <c r="BK54" s="116"/>
      <c r="BL54" s="426">
        <f>(BJ54+BH54)/BM53</f>
        <v>0</v>
      </c>
      <c r="BM54" s="370">
        <f>BH53+SUM(BG53:BG54)</f>
        <v>76680</v>
      </c>
      <c r="BN54" s="369">
        <f>SUMIFS(Collection!$O:$O, Collection!$K:$K, BN$2, Collection!$A:$A, "="&amp;$A54)</f>
        <v>0</v>
      </c>
      <c r="BO54" s="116">
        <f>(SUMIFS('Bucket Counts'!$P:$P, 'Bucket Counts'!$B:$B, BO$2, 'Bucket Counts'!$A:$A, "="&amp;$A54,  'Bucket Counts'!$F:$F, "&lt;&gt;100 Morts",  'Bucket Counts'!$F:$F, "&lt;&gt;224"))</f>
        <v>0</v>
      </c>
      <c r="BP54" s="116">
        <f>(SUMIFS('Bucket Counts'!$P:$P, 'Bucket Counts'!$B:$B, BP$2, 'Bucket Counts'!$A:$A, "="&amp;$A54,  'Bucket Counts'!$F:$F, "100 Morts"))</f>
        <v>0</v>
      </c>
      <c r="BQ54" s="116">
        <f>(SUMIFS('Bucket Counts'!$P:$P, 'Bucket Counts'!$B:$B, BQ$2, 'Bucket Counts'!$A:$A, "="&amp;$A54,  'Bucket Counts'!$F:$F, "224"))</f>
        <v>0</v>
      </c>
      <c r="BR54" s="116"/>
      <c r="BS54" s="426">
        <f>(BQ54+BO54)/BT53</f>
        <v>0</v>
      </c>
      <c r="BT54" s="370">
        <f>BO53+SUM(BN53:BN54)</f>
        <v>26426.666666666668</v>
      </c>
      <c r="BU54" s="369">
        <f>SUMIFS(Collection!$O:$O, Collection!$K:$K, BU$2, Collection!$A:$A, "="&amp;$A54)</f>
        <v>0</v>
      </c>
      <c r="BV54" s="116">
        <f>(SUMIFS('Bucket Counts'!$P:$P, 'Bucket Counts'!$B:$B, BV$2, 'Bucket Counts'!$A:$A, "="&amp;$A54,  'Bucket Counts'!$F:$F, "&lt;&gt;100 Morts",  'Bucket Counts'!$F:$F, "&lt;&gt;224"))</f>
        <v>0</v>
      </c>
      <c r="BW54" s="116">
        <f>(SUMIFS('Bucket Counts'!$P:$P, 'Bucket Counts'!$B:$B, BW$2, 'Bucket Counts'!$A:$A, "="&amp;$A54,  'Bucket Counts'!$F:$F, "100 Morts"))</f>
        <v>0</v>
      </c>
      <c r="BX54" s="116">
        <f>(SUMIFS('Bucket Counts'!$P:$P, 'Bucket Counts'!$B:$B, BX$2, 'Bucket Counts'!$A:$A, "="&amp;$A54,  'Bucket Counts'!$F:$F, "224"))</f>
        <v>0</v>
      </c>
      <c r="BY54" s="116"/>
      <c r="BZ54" s="426">
        <f>(BX54+BV54)/CA53</f>
        <v>0</v>
      </c>
      <c r="CA54" s="370">
        <f>BV53+SUM(BU53:BU54)</f>
        <v>3119.4444444444443</v>
      </c>
      <c r="CB54" s="369">
        <f>SUMIFS(Collection!$O:$O, Collection!$K:$K, CB$2, Collection!$A:$A, "="&amp;$A54)</f>
        <v>0</v>
      </c>
      <c r="CC54" s="116">
        <f>(SUMIFS('Bucket Counts'!$P:$P, 'Bucket Counts'!$B:$B, CC$2, 'Bucket Counts'!$A:$A, "="&amp;$A54,  'Bucket Counts'!$F:$F, "&lt;&gt;100 Morts",  'Bucket Counts'!$F:$F, "&lt;&gt;224"))</f>
        <v>0</v>
      </c>
      <c r="CD54" s="116">
        <f>(SUMIFS('Bucket Counts'!$P:$P, 'Bucket Counts'!$B:$B, CD$2, 'Bucket Counts'!$A:$A, "="&amp;$A54,  'Bucket Counts'!$F:$F, "100 Morts"))</f>
        <v>0</v>
      </c>
      <c r="CE54" s="116">
        <f>(SUMIFS('Bucket Counts'!$P:$P, 'Bucket Counts'!$B:$B, CE$2, 'Bucket Counts'!$A:$A, "="&amp;$A54,  'Bucket Counts'!$F:$F, "224"))</f>
        <v>0</v>
      </c>
      <c r="CF54" s="116"/>
      <c r="CG54" s="426">
        <f>(CE54+CC54)/CH53</f>
        <v>0</v>
      </c>
      <c r="CH54" s="370">
        <f>CC53+SUM(CB53:CB54)</f>
        <v>18900</v>
      </c>
      <c r="CI54" s="369">
        <f>SUMIFS(Collection!$O:$O, Collection!$K:$K, CI$2, Collection!$A:$A, "="&amp;$A54)</f>
        <v>0</v>
      </c>
      <c r="CJ54" s="116">
        <f>(SUMIFS('Bucket Counts'!$P:$P, 'Bucket Counts'!$B:$B, CJ$2, 'Bucket Counts'!$A:$A, "="&amp;$A54,  'Bucket Counts'!$F:$F, "&lt;&gt;100 Morts",  'Bucket Counts'!$F:$F, "&lt;&gt;224"))</f>
        <v>0</v>
      </c>
      <c r="CK54" s="116">
        <f>(SUMIFS('Bucket Counts'!$P:$P, 'Bucket Counts'!$B:$B, CK$2, 'Bucket Counts'!$A:$A, "="&amp;$A54,  'Bucket Counts'!$F:$F, "100 Morts"))</f>
        <v>0</v>
      </c>
      <c r="CL54" s="116">
        <f>(SUMIFS('Bucket Counts'!$P:$P, 'Bucket Counts'!$B:$B, CL$2, 'Bucket Counts'!$A:$A, "="&amp;$A54,  'Bucket Counts'!$F:$F, "224"))</f>
        <v>0</v>
      </c>
      <c r="CM54" s="116"/>
      <c r="CN54" s="426">
        <f>(CL54+CJ54)/CO53</f>
        <v>0</v>
      </c>
      <c r="CO54" s="370">
        <f>CJ53+SUM(CI53:CI54)</f>
        <v>3186.666666666667</v>
      </c>
      <c r="CP54" s="369">
        <f>SUMIFS(Collection!$O:$O, Collection!$K:$K, CP$2, Collection!$A:$A, "="&amp;$A54)</f>
        <v>0</v>
      </c>
      <c r="CQ54" s="116">
        <f>(SUMIFS('Bucket Counts'!$P:$P, 'Bucket Counts'!$B:$B, CQ$2, 'Bucket Counts'!$A:$A, "="&amp;$A54,  'Bucket Counts'!$F:$F, "&lt;&gt;100 Morts",  'Bucket Counts'!$F:$F, "&lt;&gt;224"))</f>
        <v>0</v>
      </c>
      <c r="CR54" s="116">
        <f>(SUMIFS('Bucket Counts'!$P:$P, 'Bucket Counts'!$B:$B, CR$2, 'Bucket Counts'!$A:$A, "="&amp;$A54,  'Bucket Counts'!$F:$F, "100 Morts"))</f>
        <v>0</v>
      </c>
      <c r="CS54" s="116">
        <f>(SUMIFS('Bucket Counts'!$P:$P, 'Bucket Counts'!$B:$B, CS$2, 'Bucket Counts'!$A:$A, "="&amp;$A54,  'Bucket Counts'!$F:$F, "224"))</f>
        <v>0</v>
      </c>
      <c r="CT54" s="116"/>
      <c r="CU54" s="426">
        <f>(CS54+CQ54)/CV53</f>
        <v>0</v>
      </c>
      <c r="CV54" s="370">
        <f>CQ53+SUM(CP53:CP54)</f>
        <v>1416.6666666666665</v>
      </c>
      <c r="CW54" s="369">
        <f>SUMIFS(Collection!$O:$O, Collection!$K:$K, CW$2, Collection!$A:$A, "="&amp;$A54)</f>
        <v>0</v>
      </c>
      <c r="CX54" s="116">
        <f>(SUMIFS('Bucket Counts'!$P:$P, 'Bucket Counts'!$B:$B, CX$2, 'Bucket Counts'!$A:$A, "="&amp;$A54,  'Bucket Counts'!$F:$F, "&lt;&gt;100 Morts",  'Bucket Counts'!$F:$F, "&lt;&gt;224"))</f>
        <v>0</v>
      </c>
      <c r="CY54" s="116">
        <f>(SUMIFS('Bucket Counts'!$P:$P, 'Bucket Counts'!$B:$B, CY$2, 'Bucket Counts'!$A:$A, "="&amp;$A54,  'Bucket Counts'!$F:$F, "100 Morts"))</f>
        <v>0</v>
      </c>
      <c r="CZ54" s="116">
        <f>(SUMIFS('Bucket Counts'!$P:$P, 'Bucket Counts'!$B:$B, CZ$2, 'Bucket Counts'!$A:$A, "="&amp;$A54,  'Bucket Counts'!$F:$F, "224"))</f>
        <v>0</v>
      </c>
      <c r="DA54" s="116"/>
      <c r="DB54" s="426">
        <f>(CZ54+CX54)/DC53</f>
        <v>0</v>
      </c>
      <c r="DC54" s="370">
        <f>CX53+SUM(CW53:CW54)</f>
        <v>12310</v>
      </c>
      <c r="DD54" s="369">
        <f>SUMIFS(Collection!$O:$O, Collection!$K:$K, DD$2, Collection!$A:$A, "="&amp;$A54)</f>
        <v>0</v>
      </c>
      <c r="DE54" s="116">
        <f>(SUMIFS('Bucket Counts'!$P:$P, 'Bucket Counts'!$B:$B, DE$2, 'Bucket Counts'!$A:$A, "="&amp;$A54,  'Bucket Counts'!$F:$F, "&lt;&gt;100 Morts",  'Bucket Counts'!$F:$F, "&lt;&gt;224"))</f>
        <v>0</v>
      </c>
      <c r="DF54" s="116">
        <f>(SUMIFS('Bucket Counts'!$P:$P, 'Bucket Counts'!$B:$B, DF$2, 'Bucket Counts'!$A:$A, "="&amp;$A54,  'Bucket Counts'!$F:$F, "100 Morts"))</f>
        <v>0</v>
      </c>
      <c r="DG54" s="116">
        <f>(SUMIFS('Bucket Counts'!$P:$P, 'Bucket Counts'!$B:$B, DG$2, 'Bucket Counts'!$A:$A, "="&amp;$A54,  'Bucket Counts'!$F:$F, "224"))</f>
        <v>0</v>
      </c>
      <c r="DH54" s="116"/>
      <c r="DI54" s="426">
        <f>(DG54+DE54)/DJ53</f>
        <v>0</v>
      </c>
      <c r="DJ54" s="370">
        <f>DE53+SUM(DD53:DD54)</f>
        <v>6034.4444444444443</v>
      </c>
      <c r="DK54" s="369">
        <f>SUMIFS(Collection!$O:$O, Collection!$K:$K, DK$2, Collection!$A:$A, "="&amp;$A54)</f>
        <v>0</v>
      </c>
      <c r="DL54" s="116">
        <f>(SUMIFS('Bucket Counts'!$P:$P, 'Bucket Counts'!$B:$B, DL$2, 'Bucket Counts'!$A:$A, "="&amp;$A54,  'Bucket Counts'!$F:$F, "&lt;&gt;100 Morts",  'Bucket Counts'!$F:$F, "&lt;&gt;224"))</f>
        <v>0</v>
      </c>
      <c r="DM54" s="116">
        <f>(SUMIFS('Bucket Counts'!$P:$P, 'Bucket Counts'!$B:$B, DM$2, 'Bucket Counts'!$A:$A, "="&amp;$A54,  'Bucket Counts'!$F:$F, "100 Morts"))</f>
        <v>0</v>
      </c>
      <c r="DN54" s="116">
        <f>(SUMIFS('Bucket Counts'!$P:$P, 'Bucket Counts'!$B:$B, DN$2, 'Bucket Counts'!$A:$A, "="&amp;$A54,  'Bucket Counts'!$F:$F, "224"))</f>
        <v>0</v>
      </c>
      <c r="DO54" s="116"/>
      <c r="DP54" s="426" t="e">
        <f>(DN54+DL54)/DQ53</f>
        <v>#DIV/0!</v>
      </c>
      <c r="DQ54" s="370">
        <f>DL53+SUM(DK53:DK54)</f>
        <v>0</v>
      </c>
      <c r="DR54" s="369">
        <f>SUMIFS(Collection!$O:$O, Collection!$K:$K, DR$2, Collection!$A:$A, "="&amp;$A54)</f>
        <v>0</v>
      </c>
      <c r="DS54" s="116">
        <f>(SUMIFS('Bucket Counts'!$P:$P, 'Bucket Counts'!$B:$B, DS$2, 'Bucket Counts'!$A:$A, "="&amp;$A54,  'Bucket Counts'!$F:$F, "&lt;&gt;100 Morts",  'Bucket Counts'!$F:$F, "&lt;&gt;224"))</f>
        <v>0</v>
      </c>
      <c r="DT54" s="116">
        <f>(SUMIFS('Bucket Counts'!$P:$P, 'Bucket Counts'!$B:$B, DT$2, 'Bucket Counts'!$A:$A, "="&amp;$A54,  'Bucket Counts'!$F:$F, "100 Morts"))</f>
        <v>0</v>
      </c>
      <c r="DU54" s="116">
        <f>(SUMIFS('Bucket Counts'!$P:$P, 'Bucket Counts'!$B:$B, DU$2, 'Bucket Counts'!$A:$A, "="&amp;$A54,  'Bucket Counts'!$F:$F, "224"))</f>
        <v>0</v>
      </c>
      <c r="DV54" s="116"/>
      <c r="DW54" s="426" t="e">
        <f>(DU54+DS54)/DX53</f>
        <v>#DIV/0!</v>
      </c>
      <c r="DX54" s="370">
        <f>DS53+SUM(DR53:DR54)</f>
        <v>0</v>
      </c>
      <c r="DY54" s="369">
        <f>SUMIFS(Collection!$O:$O, Collection!$K:$K, DY$2, Collection!$A:$A, "="&amp;$A54)</f>
        <v>0</v>
      </c>
      <c r="DZ54" s="116">
        <f>(SUMIFS('Bucket Counts'!$P:$P, 'Bucket Counts'!$B:$B, DZ$2, 'Bucket Counts'!$A:$A, "="&amp;$A54,  'Bucket Counts'!$F:$F, "&lt;&gt;100 Morts",  'Bucket Counts'!$F:$F, "&lt;&gt;224"))</f>
        <v>0</v>
      </c>
      <c r="EA54" s="116">
        <f>(SUMIFS('Bucket Counts'!$P:$P, 'Bucket Counts'!$B:$B, EA$2, 'Bucket Counts'!$A:$A, "="&amp;$A54,  'Bucket Counts'!$F:$F, "100 Morts"))</f>
        <v>0</v>
      </c>
      <c r="EB54" s="116">
        <f>(SUMIFS('Bucket Counts'!$P:$P, 'Bucket Counts'!$B:$B, EB$2, 'Bucket Counts'!$A:$A, "="&amp;$A54,  'Bucket Counts'!$F:$F, "224"))</f>
        <v>0</v>
      </c>
      <c r="EC54" s="116"/>
      <c r="ED54" s="426" t="e">
        <f>(EB54+DZ54)/EE53</f>
        <v>#DIV/0!</v>
      </c>
      <c r="EE54" s="370">
        <f>DZ53+SUM(DY53:DY54)</f>
        <v>0</v>
      </c>
      <c r="EF54" s="369">
        <f>SUMIFS(Collection!$O:$O, Collection!$K:$K, EF$2, Collection!$A:$A, "="&amp;$A54)</f>
        <v>0</v>
      </c>
      <c r="EG54" s="116">
        <f>(SUMIFS('Bucket Counts'!$P:$P, 'Bucket Counts'!$B:$B, EG$2, 'Bucket Counts'!$A:$A, "="&amp;$A54,  'Bucket Counts'!$F:$F, "&lt;&gt;100 Morts",  'Bucket Counts'!$F:$F, "&lt;&gt;224"))</f>
        <v>0</v>
      </c>
      <c r="EH54" s="116">
        <f>(SUMIFS('Bucket Counts'!$P:$P, 'Bucket Counts'!$B:$B, EH$2, 'Bucket Counts'!$A:$A, "="&amp;$A54,  'Bucket Counts'!$F:$F, "100 Morts"))</f>
        <v>0</v>
      </c>
      <c r="EI54" s="116">
        <f>(SUMIFS('Bucket Counts'!$P:$P, 'Bucket Counts'!$B:$B, EI$2, 'Bucket Counts'!$A:$A, "="&amp;$A54,  'Bucket Counts'!$F:$F, "224"))</f>
        <v>0</v>
      </c>
      <c r="EJ54" s="116"/>
      <c r="EK54" s="426" t="e">
        <f>(EI54+EG54)/EL53</f>
        <v>#DIV/0!</v>
      </c>
      <c r="EL54" s="370">
        <f>EG53+SUM(EF53:EF54)</f>
        <v>0</v>
      </c>
    </row>
    <row r="55" spans="1:142" x14ac:dyDescent="0.2">
      <c r="A55" s="16">
        <f t="shared" si="0"/>
        <v>42924</v>
      </c>
      <c r="B55" s="16" t="s">
        <v>487</v>
      </c>
      <c r="C55" s="369">
        <f>SUMIFS(Collection!$O:$O, Collection!$K:$K, C$2, Collection!$A:$A, "="&amp;$A55)</f>
        <v>0</v>
      </c>
      <c r="D55" s="116">
        <f>(SUMIFS('Bucket Counts'!$P:$P, 'Bucket Counts'!$B:$B, D$2, 'Bucket Counts'!$A:$A, "="&amp;$A55,  'Bucket Counts'!$F:$F, "&lt;&gt;100 Morts",  'Bucket Counts'!$F:$F, "&lt;&gt;224"))</f>
        <v>0</v>
      </c>
      <c r="E55" s="116">
        <f>(SUMIFS('Bucket Counts'!$P:$P, 'Bucket Counts'!$B:$B, E$2, 'Bucket Counts'!$A:$A, "="&amp;$A55,  'Bucket Counts'!$F:$F, "100 Morts"))</f>
        <v>0</v>
      </c>
      <c r="F55" s="116">
        <f>(SUMIFS('Bucket Counts'!$P:$P, 'Bucket Counts'!$B:$B, F$2, 'Bucket Counts'!$A:$A, "="&amp;$A55,  'Bucket Counts'!$F:$F, "224"))</f>
        <v>0</v>
      </c>
      <c r="G55" s="116"/>
      <c r="H55" s="426">
        <f>(F55+D55)/I54</f>
        <v>0</v>
      </c>
      <c r="I55" s="370">
        <f>D53+SUM(C53:C55)</f>
        <v>425</v>
      </c>
      <c r="J55" s="369">
        <f>SUMIFS(Collection!$O:$O, Collection!$K:$K, J$2, Collection!$A:$A, "="&amp;$A55)</f>
        <v>0</v>
      </c>
      <c r="K55" s="116">
        <f>(SUMIFS('Bucket Counts'!$P:$P, 'Bucket Counts'!$B:$B, K$2, 'Bucket Counts'!$A:$A, "="&amp;$A55,  'Bucket Counts'!$F:$F, "&lt;&gt;100 Morts",  'Bucket Counts'!$F:$F, "&lt;&gt;224"))</f>
        <v>0</v>
      </c>
      <c r="L55" s="116">
        <f>(SUMIFS('Bucket Counts'!$P:$P, 'Bucket Counts'!$B:$B, L$2, 'Bucket Counts'!$A:$A, "="&amp;$A55,  'Bucket Counts'!$F:$F, "100 Morts"))</f>
        <v>0</v>
      </c>
      <c r="M55" s="116">
        <f>(SUMIFS('Bucket Counts'!$P:$P, 'Bucket Counts'!$B:$B, M$2, 'Bucket Counts'!$A:$A, "="&amp;$A55,  'Bucket Counts'!$F:$F, "224"))</f>
        <v>0</v>
      </c>
      <c r="N55" s="116"/>
      <c r="O55" s="426">
        <f>(M55+K55)/P54</f>
        <v>0</v>
      </c>
      <c r="P55" s="370">
        <f>K53+SUM(J53:J55)</f>
        <v>26511.111111111109</v>
      </c>
      <c r="Q55" s="369">
        <f>SUMIFS(Collection!$O:$O, Collection!$K:$K, Q$2, Collection!$A:$A, "="&amp;$A55)</f>
        <v>0</v>
      </c>
      <c r="R55" s="116">
        <f>(SUMIFS('Bucket Counts'!$P:$P, 'Bucket Counts'!$B:$B, R$2, 'Bucket Counts'!$A:$A, "="&amp;$A55,  'Bucket Counts'!$F:$F, "&lt;&gt;100 Morts",  'Bucket Counts'!$F:$F, "&lt;&gt;224"))</f>
        <v>0</v>
      </c>
      <c r="S55" s="116">
        <f>(SUMIFS('Bucket Counts'!$P:$P, 'Bucket Counts'!$B:$B, S$2, 'Bucket Counts'!$A:$A, "="&amp;$A55,  'Bucket Counts'!$F:$F, "100 Morts"))</f>
        <v>0</v>
      </c>
      <c r="T55" s="116">
        <f>(SUMIFS('Bucket Counts'!$P:$P, 'Bucket Counts'!$B:$B, T$2, 'Bucket Counts'!$A:$A, "="&amp;$A55,  'Bucket Counts'!$F:$F, "224"))</f>
        <v>0</v>
      </c>
      <c r="U55" s="116"/>
      <c r="V55" s="426">
        <f>(T55+R55)/W54</f>
        <v>0</v>
      </c>
      <c r="W55" s="370">
        <f>R53+SUM(Q53:Q55)</f>
        <v>175</v>
      </c>
      <c r="X55" s="369">
        <f>SUMIFS(Collection!$O:$O, Collection!$K:$K, X$2, Collection!$A:$A, "="&amp;$A55)</f>
        <v>0</v>
      </c>
      <c r="Y55" s="116">
        <f>(SUMIFS('Bucket Counts'!$P:$P, 'Bucket Counts'!$B:$B, Y$2, 'Bucket Counts'!$A:$A, "="&amp;$A55,  'Bucket Counts'!$F:$F, "&lt;&gt;100 Morts",  'Bucket Counts'!$F:$F, "&lt;&gt;224"))</f>
        <v>0</v>
      </c>
      <c r="Z55" s="116">
        <f>(SUMIFS('Bucket Counts'!$P:$P, 'Bucket Counts'!$B:$B, Z$2, 'Bucket Counts'!$A:$A, "="&amp;$A55,  'Bucket Counts'!$F:$F, "100 Morts"))</f>
        <v>0</v>
      </c>
      <c r="AA55" s="116">
        <f>(SUMIFS('Bucket Counts'!$P:$P, 'Bucket Counts'!$B:$B, AA$2, 'Bucket Counts'!$A:$A, "="&amp;$A55,  'Bucket Counts'!$F:$F, "224"))</f>
        <v>0</v>
      </c>
      <c r="AB55" s="116"/>
      <c r="AC55" s="426">
        <f>(AA55+Y55)/AD54</f>
        <v>0</v>
      </c>
      <c r="AD55" s="370">
        <f>Y53+SUM(X53:X55)</f>
        <v>17683.333333333336</v>
      </c>
      <c r="AE55" s="369">
        <f>SUMIFS(Collection!$O:$O, Collection!$K:$K, AE$2, Collection!$A:$A, "="&amp;$A55)</f>
        <v>0</v>
      </c>
      <c r="AF55" s="116">
        <f>(SUMIFS('Bucket Counts'!$P:$P, 'Bucket Counts'!$B:$B, AF$2, 'Bucket Counts'!$A:$A, "="&amp;$A55,  'Bucket Counts'!$F:$F, "&lt;&gt;100 Morts",  'Bucket Counts'!$F:$F, "&lt;&gt;224"))</f>
        <v>0</v>
      </c>
      <c r="AG55" s="116">
        <f>(SUMIFS('Bucket Counts'!$P:$P, 'Bucket Counts'!$B:$B, AG$2, 'Bucket Counts'!$A:$A, "="&amp;$A55,  'Bucket Counts'!$F:$F, "100 Morts"))</f>
        <v>0</v>
      </c>
      <c r="AH55" s="116">
        <f>(SUMIFS('Bucket Counts'!$P:$P, 'Bucket Counts'!$B:$B, AH$2, 'Bucket Counts'!$A:$A, "="&amp;$A55,  'Bucket Counts'!$F:$F, "224"))</f>
        <v>0</v>
      </c>
      <c r="AI55" s="116"/>
      <c r="AJ55" s="426">
        <f>(AH55+AF55)/AK54</f>
        <v>0</v>
      </c>
      <c r="AK55" s="370">
        <f>AF53+SUM(AE53:AE55)</f>
        <v>200027.77777777778</v>
      </c>
      <c r="AL55" s="369">
        <f>SUMIFS(Collection!$O:$O, Collection!$K:$K, AL$2, Collection!$A:$A, "="&amp;$A55)</f>
        <v>0</v>
      </c>
      <c r="AM55" s="116">
        <f>(SUMIFS('Bucket Counts'!$P:$P, 'Bucket Counts'!$B:$B, AM$2, 'Bucket Counts'!$A:$A, "="&amp;$A55,  'Bucket Counts'!$F:$F, "&lt;&gt;100 Morts",  'Bucket Counts'!$F:$F, "&lt;&gt;224"))</f>
        <v>0</v>
      </c>
      <c r="AN55" s="116">
        <f>(SUMIFS('Bucket Counts'!$P:$P, 'Bucket Counts'!$B:$B, AN$2, 'Bucket Counts'!$A:$A, "="&amp;$A55,  'Bucket Counts'!$F:$F, "100 Morts"))</f>
        <v>0</v>
      </c>
      <c r="AO55" s="116">
        <f>(SUMIFS('Bucket Counts'!$P:$P, 'Bucket Counts'!$B:$B, AO$2, 'Bucket Counts'!$A:$A, "="&amp;$A55,  'Bucket Counts'!$F:$F, "224"))</f>
        <v>0</v>
      </c>
      <c r="AP55" s="116"/>
      <c r="AQ55" s="426">
        <f>(AO55+AM55)/AR54</f>
        <v>0</v>
      </c>
      <c r="AR55" s="370">
        <f>AM53+SUM(AL53:AL55)</f>
        <v>926.11111111111109</v>
      </c>
      <c r="AS55" s="369">
        <f>SUMIFS(Collection!$O:$O, Collection!$K:$K, AS$2, Collection!$A:$A, "="&amp;$A55)</f>
        <v>0</v>
      </c>
      <c r="AT55" s="116">
        <f>(SUMIFS('Bucket Counts'!$P:$P, 'Bucket Counts'!$B:$B, AT$2, 'Bucket Counts'!$A:$A, "="&amp;$A55,  'Bucket Counts'!$F:$F, "&lt;&gt;100 Morts",  'Bucket Counts'!$F:$F, "&lt;&gt;224"))</f>
        <v>0</v>
      </c>
      <c r="AU55" s="116">
        <f>(SUMIFS('Bucket Counts'!$P:$P, 'Bucket Counts'!$B:$B, AU$2, 'Bucket Counts'!$A:$A, "="&amp;$A55,  'Bucket Counts'!$F:$F, "100 Morts"))</f>
        <v>0</v>
      </c>
      <c r="AV55" s="116">
        <f>(SUMIFS('Bucket Counts'!$P:$P, 'Bucket Counts'!$B:$B, AV$2, 'Bucket Counts'!$A:$A, "="&amp;$A55,  'Bucket Counts'!$F:$F, "224"))</f>
        <v>0</v>
      </c>
      <c r="AW55" s="116"/>
      <c r="AX55" s="426">
        <f>(AV55+AT55)/AY54</f>
        <v>0</v>
      </c>
      <c r="AY55" s="370">
        <f>AT53+SUM(AS53:AS55)</f>
        <v>1216.1111111111111</v>
      </c>
      <c r="AZ55" s="369">
        <f>SUMIFS(Collection!$O:$O, Collection!$K:$K, AZ$2, Collection!$A:$A, "="&amp;$A55)</f>
        <v>0</v>
      </c>
      <c r="BA55" s="116">
        <f>(SUMIFS('Bucket Counts'!$P:$P, 'Bucket Counts'!$B:$B, BA$2, 'Bucket Counts'!$A:$A, "="&amp;$A55,  'Bucket Counts'!$F:$F, "&lt;&gt;100 Morts",  'Bucket Counts'!$F:$F, "&lt;&gt;224"))</f>
        <v>0</v>
      </c>
      <c r="BB55" s="116">
        <f>(SUMIFS('Bucket Counts'!$P:$P, 'Bucket Counts'!$B:$B, BB$2, 'Bucket Counts'!$A:$A, "="&amp;$A55,  'Bucket Counts'!$F:$F, "100 Morts"))</f>
        <v>0</v>
      </c>
      <c r="BC55" s="116">
        <f>(SUMIFS('Bucket Counts'!$P:$P, 'Bucket Counts'!$B:$B, BC$2, 'Bucket Counts'!$A:$A, "="&amp;$A55,  'Bucket Counts'!$F:$F, "224"))</f>
        <v>0</v>
      </c>
      <c r="BD55" s="116"/>
      <c r="BE55" s="426">
        <f>(BC55+BA55)/BF54</f>
        <v>0</v>
      </c>
      <c r="BF55" s="370">
        <f>BA53+SUM(AZ53:AZ55)</f>
        <v>326.66666666666669</v>
      </c>
      <c r="BG55" s="369">
        <f>SUMIFS(Collection!$O:$O, Collection!$K:$K, BG$2, Collection!$A:$A, "="&amp;$A55)</f>
        <v>0</v>
      </c>
      <c r="BH55" s="116">
        <f>(SUMIFS('Bucket Counts'!$P:$P, 'Bucket Counts'!$B:$B, BH$2, 'Bucket Counts'!$A:$A, "="&amp;$A55,  'Bucket Counts'!$F:$F, "&lt;&gt;100 Morts",  'Bucket Counts'!$F:$F, "&lt;&gt;224"))</f>
        <v>0</v>
      </c>
      <c r="BI55" s="116">
        <f>(SUMIFS('Bucket Counts'!$P:$P, 'Bucket Counts'!$B:$B, BI$2, 'Bucket Counts'!$A:$A, "="&amp;$A55,  'Bucket Counts'!$F:$F, "100 Morts"))</f>
        <v>0</v>
      </c>
      <c r="BJ55" s="116">
        <f>(SUMIFS('Bucket Counts'!$P:$P, 'Bucket Counts'!$B:$B, BJ$2, 'Bucket Counts'!$A:$A, "="&amp;$A55,  'Bucket Counts'!$F:$F, "224"))</f>
        <v>0</v>
      </c>
      <c r="BK55" s="116"/>
      <c r="BL55" s="426">
        <f>(BJ55+BH55)/BM54</f>
        <v>0</v>
      </c>
      <c r="BM55" s="370">
        <f>BH53+SUM(BG53:BG55)</f>
        <v>76680</v>
      </c>
      <c r="BN55" s="369">
        <f>SUMIFS(Collection!$O:$O, Collection!$K:$K, BN$2, Collection!$A:$A, "="&amp;$A55)</f>
        <v>0</v>
      </c>
      <c r="BO55" s="116">
        <f>(SUMIFS('Bucket Counts'!$P:$P, 'Bucket Counts'!$B:$B, BO$2, 'Bucket Counts'!$A:$A, "="&amp;$A55,  'Bucket Counts'!$F:$F, "&lt;&gt;100 Morts",  'Bucket Counts'!$F:$F, "&lt;&gt;224"))</f>
        <v>0</v>
      </c>
      <c r="BP55" s="116">
        <f>(SUMIFS('Bucket Counts'!$P:$P, 'Bucket Counts'!$B:$B, BP$2, 'Bucket Counts'!$A:$A, "="&amp;$A55,  'Bucket Counts'!$F:$F, "100 Morts"))</f>
        <v>0</v>
      </c>
      <c r="BQ55" s="116">
        <f>(SUMIFS('Bucket Counts'!$P:$P, 'Bucket Counts'!$B:$B, BQ$2, 'Bucket Counts'!$A:$A, "="&amp;$A55,  'Bucket Counts'!$F:$F, "224"))</f>
        <v>0</v>
      </c>
      <c r="BR55" s="116"/>
      <c r="BS55" s="426">
        <f>(BQ55+BO55)/BT54</f>
        <v>0</v>
      </c>
      <c r="BT55" s="370">
        <f>BO53+SUM(BN53:BN55)</f>
        <v>26426.666666666668</v>
      </c>
      <c r="BU55" s="369">
        <f>SUMIFS(Collection!$O:$O, Collection!$K:$K, BU$2, Collection!$A:$A, "="&amp;$A55)</f>
        <v>0</v>
      </c>
      <c r="BV55" s="116">
        <f>(SUMIFS('Bucket Counts'!$P:$P, 'Bucket Counts'!$B:$B, BV$2, 'Bucket Counts'!$A:$A, "="&amp;$A55,  'Bucket Counts'!$F:$F, "&lt;&gt;100 Morts",  'Bucket Counts'!$F:$F, "&lt;&gt;224"))</f>
        <v>0</v>
      </c>
      <c r="BW55" s="116">
        <f>(SUMIFS('Bucket Counts'!$P:$P, 'Bucket Counts'!$B:$B, BW$2, 'Bucket Counts'!$A:$A, "="&amp;$A55,  'Bucket Counts'!$F:$F, "100 Morts"))</f>
        <v>0</v>
      </c>
      <c r="BX55" s="116">
        <f>(SUMIFS('Bucket Counts'!$P:$P, 'Bucket Counts'!$B:$B, BX$2, 'Bucket Counts'!$A:$A, "="&amp;$A55,  'Bucket Counts'!$F:$F, "224"))</f>
        <v>0</v>
      </c>
      <c r="BY55" s="116"/>
      <c r="BZ55" s="426">
        <f>(BX55+BV55)/CA54</f>
        <v>0</v>
      </c>
      <c r="CA55" s="370">
        <f>BV53+SUM(BU53:BU55)</f>
        <v>3119.4444444444443</v>
      </c>
      <c r="CB55" s="369">
        <f>SUMIFS(Collection!$O:$O, Collection!$K:$K, CB$2, Collection!$A:$A, "="&amp;$A55)</f>
        <v>0</v>
      </c>
      <c r="CC55" s="116">
        <f>(SUMIFS('Bucket Counts'!$P:$P, 'Bucket Counts'!$B:$B, CC$2, 'Bucket Counts'!$A:$A, "="&amp;$A55,  'Bucket Counts'!$F:$F, "&lt;&gt;100 Morts",  'Bucket Counts'!$F:$F, "&lt;&gt;224"))</f>
        <v>0</v>
      </c>
      <c r="CD55" s="116">
        <f>(SUMIFS('Bucket Counts'!$P:$P, 'Bucket Counts'!$B:$B, CD$2, 'Bucket Counts'!$A:$A, "="&amp;$A55,  'Bucket Counts'!$F:$F, "100 Morts"))</f>
        <v>0</v>
      </c>
      <c r="CE55" s="116">
        <f>(SUMIFS('Bucket Counts'!$P:$P, 'Bucket Counts'!$B:$B, CE$2, 'Bucket Counts'!$A:$A, "="&amp;$A55,  'Bucket Counts'!$F:$F, "224"))</f>
        <v>0</v>
      </c>
      <c r="CF55" s="116"/>
      <c r="CG55" s="426">
        <f>(CE55+CC55)/CH54</f>
        <v>0</v>
      </c>
      <c r="CH55" s="370">
        <f>CC53+SUM(CB53:CB55)</f>
        <v>18900</v>
      </c>
      <c r="CI55" s="369">
        <f>SUMIFS(Collection!$O:$O, Collection!$K:$K, CI$2, Collection!$A:$A, "="&amp;$A55)</f>
        <v>0</v>
      </c>
      <c r="CJ55" s="116">
        <f>(SUMIFS('Bucket Counts'!$P:$P, 'Bucket Counts'!$B:$B, CJ$2, 'Bucket Counts'!$A:$A, "="&amp;$A55,  'Bucket Counts'!$F:$F, "&lt;&gt;100 Morts",  'Bucket Counts'!$F:$F, "&lt;&gt;224"))</f>
        <v>0</v>
      </c>
      <c r="CK55" s="116">
        <f>(SUMIFS('Bucket Counts'!$P:$P, 'Bucket Counts'!$B:$B, CK$2, 'Bucket Counts'!$A:$A, "="&amp;$A55,  'Bucket Counts'!$F:$F, "100 Morts"))</f>
        <v>0</v>
      </c>
      <c r="CL55" s="116">
        <f>(SUMIFS('Bucket Counts'!$P:$P, 'Bucket Counts'!$B:$B, CL$2, 'Bucket Counts'!$A:$A, "="&amp;$A55,  'Bucket Counts'!$F:$F, "224"))</f>
        <v>0</v>
      </c>
      <c r="CM55" s="116"/>
      <c r="CN55" s="426">
        <f>(CL55+CJ55)/CO54</f>
        <v>0</v>
      </c>
      <c r="CO55" s="370">
        <f>CJ53+SUM(CI53:CI55)</f>
        <v>3186.666666666667</v>
      </c>
      <c r="CP55" s="369">
        <f>SUMIFS(Collection!$O:$O, Collection!$K:$K, CP$2, Collection!$A:$A, "="&amp;$A55)</f>
        <v>0</v>
      </c>
      <c r="CQ55" s="116">
        <f>(SUMIFS('Bucket Counts'!$P:$P, 'Bucket Counts'!$B:$B, CQ$2, 'Bucket Counts'!$A:$A, "="&amp;$A55,  'Bucket Counts'!$F:$F, "&lt;&gt;100 Morts",  'Bucket Counts'!$F:$F, "&lt;&gt;224"))</f>
        <v>0</v>
      </c>
      <c r="CR55" s="116">
        <f>(SUMIFS('Bucket Counts'!$P:$P, 'Bucket Counts'!$B:$B, CR$2, 'Bucket Counts'!$A:$A, "="&amp;$A55,  'Bucket Counts'!$F:$F, "100 Morts"))</f>
        <v>0</v>
      </c>
      <c r="CS55" s="116">
        <f>(SUMIFS('Bucket Counts'!$P:$P, 'Bucket Counts'!$B:$B, CS$2, 'Bucket Counts'!$A:$A, "="&amp;$A55,  'Bucket Counts'!$F:$F, "224"))</f>
        <v>0</v>
      </c>
      <c r="CT55" s="116"/>
      <c r="CU55" s="426">
        <f>(CS55+CQ55)/CV54</f>
        <v>0</v>
      </c>
      <c r="CV55" s="370">
        <f>CQ53+SUM(CP53:CP55)</f>
        <v>1416.6666666666665</v>
      </c>
      <c r="CW55" s="369">
        <f>SUMIFS(Collection!$O:$O, Collection!$K:$K, CW$2, Collection!$A:$A, "="&amp;$A55)</f>
        <v>0</v>
      </c>
      <c r="CX55" s="116">
        <f>(SUMIFS('Bucket Counts'!$P:$P, 'Bucket Counts'!$B:$B, CX$2, 'Bucket Counts'!$A:$A, "="&amp;$A55,  'Bucket Counts'!$F:$F, "&lt;&gt;100 Morts",  'Bucket Counts'!$F:$F, "&lt;&gt;224"))</f>
        <v>0</v>
      </c>
      <c r="CY55" s="116">
        <f>(SUMIFS('Bucket Counts'!$P:$P, 'Bucket Counts'!$B:$B, CY$2, 'Bucket Counts'!$A:$A, "="&amp;$A55,  'Bucket Counts'!$F:$F, "100 Morts"))</f>
        <v>0</v>
      </c>
      <c r="CZ55" s="116">
        <f>(SUMIFS('Bucket Counts'!$P:$P, 'Bucket Counts'!$B:$B, CZ$2, 'Bucket Counts'!$A:$A, "="&amp;$A55,  'Bucket Counts'!$F:$F, "224"))</f>
        <v>0</v>
      </c>
      <c r="DA55" s="116"/>
      <c r="DB55" s="426">
        <f>(CZ55+CX55)/DC54</f>
        <v>0</v>
      </c>
      <c r="DC55" s="370">
        <f>CX53+SUM(CW53:CW55)</f>
        <v>12310</v>
      </c>
      <c r="DD55" s="369">
        <f>SUMIFS(Collection!$O:$O, Collection!$K:$K, DD$2, Collection!$A:$A, "="&amp;$A55)</f>
        <v>0</v>
      </c>
      <c r="DE55" s="116">
        <f>(SUMIFS('Bucket Counts'!$P:$P, 'Bucket Counts'!$B:$B, DE$2, 'Bucket Counts'!$A:$A, "="&amp;$A55,  'Bucket Counts'!$F:$F, "&lt;&gt;100 Morts",  'Bucket Counts'!$F:$F, "&lt;&gt;224"))</f>
        <v>0</v>
      </c>
      <c r="DF55" s="116">
        <f>(SUMIFS('Bucket Counts'!$P:$P, 'Bucket Counts'!$B:$B, DF$2, 'Bucket Counts'!$A:$A, "="&amp;$A55,  'Bucket Counts'!$F:$F, "100 Morts"))</f>
        <v>0</v>
      </c>
      <c r="DG55" s="116">
        <f>(SUMIFS('Bucket Counts'!$P:$P, 'Bucket Counts'!$B:$B, DG$2, 'Bucket Counts'!$A:$A, "="&amp;$A55,  'Bucket Counts'!$F:$F, "224"))</f>
        <v>0</v>
      </c>
      <c r="DH55" s="116"/>
      <c r="DI55" s="426">
        <f>(DG55+DE55)/DJ54</f>
        <v>0</v>
      </c>
      <c r="DJ55" s="370">
        <f>DE53+SUM(DD53:DD55)</f>
        <v>6034.4444444444443</v>
      </c>
      <c r="DK55" s="369">
        <f>SUMIFS(Collection!$O:$O, Collection!$K:$K, DK$2, Collection!$A:$A, "="&amp;$A55)</f>
        <v>0</v>
      </c>
      <c r="DL55" s="116">
        <f>(SUMIFS('Bucket Counts'!$P:$P, 'Bucket Counts'!$B:$B, DL$2, 'Bucket Counts'!$A:$A, "="&amp;$A55,  'Bucket Counts'!$F:$F, "&lt;&gt;100 Morts",  'Bucket Counts'!$F:$F, "&lt;&gt;224"))</f>
        <v>0</v>
      </c>
      <c r="DM55" s="116">
        <f>(SUMIFS('Bucket Counts'!$P:$P, 'Bucket Counts'!$B:$B, DM$2, 'Bucket Counts'!$A:$A, "="&amp;$A55,  'Bucket Counts'!$F:$F, "100 Morts"))</f>
        <v>0</v>
      </c>
      <c r="DN55" s="116">
        <f>(SUMIFS('Bucket Counts'!$P:$P, 'Bucket Counts'!$B:$B, DN$2, 'Bucket Counts'!$A:$A, "="&amp;$A55,  'Bucket Counts'!$F:$F, "224"))</f>
        <v>0</v>
      </c>
      <c r="DO55" s="116"/>
      <c r="DP55" s="426" t="e">
        <f>(DN55+DL55)/DQ54</f>
        <v>#DIV/0!</v>
      </c>
      <c r="DQ55" s="370">
        <f>DL53+SUM(DK53:DK55)</f>
        <v>0</v>
      </c>
      <c r="DR55" s="369">
        <f>SUMIFS(Collection!$O:$O, Collection!$K:$K, DR$2, Collection!$A:$A, "="&amp;$A55)</f>
        <v>0</v>
      </c>
      <c r="DS55" s="116">
        <f>(SUMIFS('Bucket Counts'!$P:$P, 'Bucket Counts'!$B:$B, DS$2, 'Bucket Counts'!$A:$A, "="&amp;$A55,  'Bucket Counts'!$F:$F, "&lt;&gt;100 Morts",  'Bucket Counts'!$F:$F, "&lt;&gt;224"))</f>
        <v>0</v>
      </c>
      <c r="DT55" s="116">
        <f>(SUMIFS('Bucket Counts'!$P:$P, 'Bucket Counts'!$B:$B, DT$2, 'Bucket Counts'!$A:$A, "="&amp;$A55,  'Bucket Counts'!$F:$F, "100 Morts"))</f>
        <v>0</v>
      </c>
      <c r="DU55" s="116">
        <f>(SUMIFS('Bucket Counts'!$P:$P, 'Bucket Counts'!$B:$B, DU$2, 'Bucket Counts'!$A:$A, "="&amp;$A55,  'Bucket Counts'!$F:$F, "224"))</f>
        <v>0</v>
      </c>
      <c r="DV55" s="116"/>
      <c r="DW55" s="426" t="e">
        <f>(DU55+DS55)/DX54</f>
        <v>#DIV/0!</v>
      </c>
      <c r="DX55" s="370">
        <f>DS53+SUM(DR53:DR55)</f>
        <v>0</v>
      </c>
      <c r="DY55" s="369">
        <f>SUMIFS(Collection!$O:$O, Collection!$K:$K, DY$2, Collection!$A:$A, "="&amp;$A55)</f>
        <v>0</v>
      </c>
      <c r="DZ55" s="116">
        <f>(SUMIFS('Bucket Counts'!$P:$P, 'Bucket Counts'!$B:$B, DZ$2, 'Bucket Counts'!$A:$A, "="&amp;$A55,  'Bucket Counts'!$F:$F, "&lt;&gt;100 Morts",  'Bucket Counts'!$F:$F, "&lt;&gt;224"))</f>
        <v>0</v>
      </c>
      <c r="EA55" s="116">
        <f>(SUMIFS('Bucket Counts'!$P:$P, 'Bucket Counts'!$B:$B, EA$2, 'Bucket Counts'!$A:$A, "="&amp;$A55,  'Bucket Counts'!$F:$F, "100 Morts"))</f>
        <v>0</v>
      </c>
      <c r="EB55" s="116">
        <f>(SUMIFS('Bucket Counts'!$P:$P, 'Bucket Counts'!$B:$B, EB$2, 'Bucket Counts'!$A:$A, "="&amp;$A55,  'Bucket Counts'!$F:$F, "224"))</f>
        <v>0</v>
      </c>
      <c r="EC55" s="116"/>
      <c r="ED55" s="426" t="e">
        <f>(EB55+DZ55)/EE54</f>
        <v>#DIV/0!</v>
      </c>
      <c r="EE55" s="370">
        <f>DZ53+SUM(DY53:DY55)</f>
        <v>0</v>
      </c>
      <c r="EF55" s="369">
        <f>SUMIFS(Collection!$O:$O, Collection!$K:$K, EF$2, Collection!$A:$A, "="&amp;$A55)</f>
        <v>0</v>
      </c>
      <c r="EG55" s="116">
        <f>(SUMIFS('Bucket Counts'!$P:$P, 'Bucket Counts'!$B:$B, EG$2, 'Bucket Counts'!$A:$A, "="&amp;$A55,  'Bucket Counts'!$F:$F, "&lt;&gt;100 Morts",  'Bucket Counts'!$F:$F, "&lt;&gt;224"))</f>
        <v>0</v>
      </c>
      <c r="EH55" s="116">
        <f>(SUMIFS('Bucket Counts'!$P:$P, 'Bucket Counts'!$B:$B, EH$2, 'Bucket Counts'!$A:$A, "="&amp;$A55,  'Bucket Counts'!$F:$F, "100 Morts"))</f>
        <v>0</v>
      </c>
      <c r="EI55" s="116">
        <f>(SUMIFS('Bucket Counts'!$P:$P, 'Bucket Counts'!$B:$B, EI$2, 'Bucket Counts'!$A:$A, "="&amp;$A55,  'Bucket Counts'!$F:$F, "224"))</f>
        <v>0</v>
      </c>
      <c r="EJ55" s="116"/>
      <c r="EK55" s="426" t="e">
        <f>(EI55+EG55)/EL54</f>
        <v>#DIV/0!</v>
      </c>
      <c r="EL55" s="370">
        <f>EG53+SUM(EF53:EF55)</f>
        <v>0</v>
      </c>
    </row>
    <row r="56" spans="1:142" x14ac:dyDescent="0.2">
      <c r="A56" s="16">
        <f t="shared" si="0"/>
        <v>42925</v>
      </c>
      <c r="B56" s="16" t="s">
        <v>487</v>
      </c>
      <c r="C56" s="369">
        <f>SUMIFS(Collection!$O:$O, Collection!$K:$K, C$2, Collection!$A:$A, "="&amp;$A56)</f>
        <v>0</v>
      </c>
      <c r="D56" s="116">
        <f>(SUMIFS('Bucket Counts'!$P:$P, 'Bucket Counts'!$B:$B, D$2, 'Bucket Counts'!$A:$A, "="&amp;$A56,  'Bucket Counts'!$F:$F, "&lt;&gt;100 Morts",  'Bucket Counts'!$F:$F, "&lt;&gt;224"))</f>
        <v>0</v>
      </c>
      <c r="E56" s="116">
        <f>(SUMIFS('Bucket Counts'!$P:$P, 'Bucket Counts'!$B:$B, E$2, 'Bucket Counts'!$A:$A, "="&amp;$A56,  'Bucket Counts'!$F:$F, "100 Morts"))</f>
        <v>0</v>
      </c>
      <c r="F56" s="116">
        <f>(SUMIFS('Bucket Counts'!$P:$P, 'Bucket Counts'!$B:$B, F$2, 'Bucket Counts'!$A:$A, "="&amp;$A56,  'Bucket Counts'!$F:$F, "224"))</f>
        <v>0</v>
      </c>
      <c r="G56" s="116"/>
      <c r="H56" s="426">
        <f>(F56+D56)/I55</f>
        <v>0</v>
      </c>
      <c r="I56" s="370">
        <f>D53+SUM(C53:C56)</f>
        <v>425</v>
      </c>
      <c r="J56" s="369">
        <f>SUMIFS(Collection!$O:$O, Collection!$K:$K, J$2, Collection!$A:$A, "="&amp;$A56)</f>
        <v>0</v>
      </c>
      <c r="K56" s="116">
        <f>(SUMIFS('Bucket Counts'!$P:$P, 'Bucket Counts'!$B:$B, K$2, 'Bucket Counts'!$A:$A, "="&amp;$A56,  'Bucket Counts'!$F:$F, "&lt;&gt;100 Morts",  'Bucket Counts'!$F:$F, "&lt;&gt;224"))</f>
        <v>0</v>
      </c>
      <c r="L56" s="116">
        <f>(SUMIFS('Bucket Counts'!$P:$P, 'Bucket Counts'!$B:$B, L$2, 'Bucket Counts'!$A:$A, "="&amp;$A56,  'Bucket Counts'!$F:$F, "100 Morts"))</f>
        <v>0</v>
      </c>
      <c r="M56" s="116">
        <f>(SUMIFS('Bucket Counts'!$P:$P, 'Bucket Counts'!$B:$B, M$2, 'Bucket Counts'!$A:$A, "="&amp;$A56,  'Bucket Counts'!$F:$F, "224"))</f>
        <v>0</v>
      </c>
      <c r="N56" s="116"/>
      <c r="O56" s="426">
        <f>(M56+K56)/P55</f>
        <v>0</v>
      </c>
      <c r="P56" s="370">
        <f>K53+SUM(J53:J56)</f>
        <v>26511.111111111109</v>
      </c>
      <c r="Q56" s="369">
        <f>SUMIFS(Collection!$O:$O, Collection!$K:$K, Q$2, Collection!$A:$A, "="&amp;$A56)</f>
        <v>0</v>
      </c>
      <c r="R56" s="116">
        <f>(SUMIFS('Bucket Counts'!$P:$P, 'Bucket Counts'!$B:$B, R$2, 'Bucket Counts'!$A:$A, "="&amp;$A56,  'Bucket Counts'!$F:$F, "&lt;&gt;100 Morts",  'Bucket Counts'!$F:$F, "&lt;&gt;224"))</f>
        <v>0</v>
      </c>
      <c r="S56" s="116">
        <f>(SUMIFS('Bucket Counts'!$P:$P, 'Bucket Counts'!$B:$B, S$2, 'Bucket Counts'!$A:$A, "="&amp;$A56,  'Bucket Counts'!$F:$F, "100 Morts"))</f>
        <v>0</v>
      </c>
      <c r="T56" s="116">
        <f>(SUMIFS('Bucket Counts'!$P:$P, 'Bucket Counts'!$B:$B, T$2, 'Bucket Counts'!$A:$A, "="&amp;$A56,  'Bucket Counts'!$F:$F, "224"))</f>
        <v>0</v>
      </c>
      <c r="U56" s="116"/>
      <c r="V56" s="426">
        <f>(T56+R56)/W55</f>
        <v>0</v>
      </c>
      <c r="W56" s="370">
        <f>R53+SUM(Q53:Q56)</f>
        <v>175</v>
      </c>
      <c r="X56" s="369">
        <f>SUMIFS(Collection!$O:$O, Collection!$K:$K, X$2, Collection!$A:$A, "="&amp;$A56)</f>
        <v>0</v>
      </c>
      <c r="Y56" s="116">
        <f>(SUMIFS('Bucket Counts'!$P:$P, 'Bucket Counts'!$B:$B, Y$2, 'Bucket Counts'!$A:$A, "="&amp;$A56,  'Bucket Counts'!$F:$F, "&lt;&gt;100 Morts",  'Bucket Counts'!$F:$F, "&lt;&gt;224"))</f>
        <v>0</v>
      </c>
      <c r="Z56" s="116">
        <f>(SUMIFS('Bucket Counts'!$P:$P, 'Bucket Counts'!$B:$B, Z$2, 'Bucket Counts'!$A:$A, "="&amp;$A56,  'Bucket Counts'!$F:$F, "100 Morts"))</f>
        <v>0</v>
      </c>
      <c r="AA56" s="116">
        <f>(SUMIFS('Bucket Counts'!$P:$P, 'Bucket Counts'!$B:$B, AA$2, 'Bucket Counts'!$A:$A, "="&amp;$A56,  'Bucket Counts'!$F:$F, "224"))</f>
        <v>0</v>
      </c>
      <c r="AB56" s="116"/>
      <c r="AC56" s="426">
        <f>(AA56+Y56)/AD55</f>
        <v>0</v>
      </c>
      <c r="AD56" s="370">
        <f>Y53+SUM(X53:X56)</f>
        <v>17683.333333333336</v>
      </c>
      <c r="AE56" s="369">
        <f>SUMIFS(Collection!$O:$O, Collection!$K:$K, AE$2, Collection!$A:$A, "="&amp;$A56)</f>
        <v>0</v>
      </c>
      <c r="AF56" s="116">
        <f>(SUMIFS('Bucket Counts'!$P:$P, 'Bucket Counts'!$B:$B, AF$2, 'Bucket Counts'!$A:$A, "="&amp;$A56,  'Bucket Counts'!$F:$F, "&lt;&gt;100 Morts",  'Bucket Counts'!$F:$F, "&lt;&gt;224"))</f>
        <v>0</v>
      </c>
      <c r="AG56" s="116">
        <f>(SUMIFS('Bucket Counts'!$P:$P, 'Bucket Counts'!$B:$B, AG$2, 'Bucket Counts'!$A:$A, "="&amp;$A56,  'Bucket Counts'!$F:$F, "100 Morts"))</f>
        <v>0</v>
      </c>
      <c r="AH56" s="116">
        <f>(SUMIFS('Bucket Counts'!$P:$P, 'Bucket Counts'!$B:$B, AH$2, 'Bucket Counts'!$A:$A, "="&amp;$A56,  'Bucket Counts'!$F:$F, "224"))</f>
        <v>0</v>
      </c>
      <c r="AI56" s="116"/>
      <c r="AJ56" s="426">
        <f>(AH56+AF56)/AK55</f>
        <v>0</v>
      </c>
      <c r="AK56" s="370">
        <f>AF53+SUM(AE53:AE56)</f>
        <v>200027.77777777778</v>
      </c>
      <c r="AL56" s="369">
        <f>SUMIFS(Collection!$O:$O, Collection!$K:$K, AL$2, Collection!$A:$A, "="&amp;$A56)</f>
        <v>0</v>
      </c>
      <c r="AM56" s="116">
        <f>(SUMIFS('Bucket Counts'!$P:$P, 'Bucket Counts'!$B:$B, AM$2, 'Bucket Counts'!$A:$A, "="&amp;$A56,  'Bucket Counts'!$F:$F, "&lt;&gt;100 Morts",  'Bucket Counts'!$F:$F, "&lt;&gt;224"))</f>
        <v>0</v>
      </c>
      <c r="AN56" s="116">
        <f>(SUMIFS('Bucket Counts'!$P:$P, 'Bucket Counts'!$B:$B, AN$2, 'Bucket Counts'!$A:$A, "="&amp;$A56,  'Bucket Counts'!$F:$F, "100 Morts"))</f>
        <v>0</v>
      </c>
      <c r="AO56" s="116">
        <f>(SUMIFS('Bucket Counts'!$P:$P, 'Bucket Counts'!$B:$B, AO$2, 'Bucket Counts'!$A:$A, "="&amp;$A56,  'Bucket Counts'!$F:$F, "224"))</f>
        <v>0</v>
      </c>
      <c r="AP56" s="116"/>
      <c r="AQ56" s="426">
        <f>(AO56+AM56)/AR55</f>
        <v>0</v>
      </c>
      <c r="AR56" s="370">
        <f>AM53+SUM(AL53:AL56)</f>
        <v>926.11111111111109</v>
      </c>
      <c r="AS56" s="369">
        <f>SUMIFS(Collection!$O:$O, Collection!$K:$K, AS$2, Collection!$A:$A, "="&amp;$A56)</f>
        <v>0</v>
      </c>
      <c r="AT56" s="116">
        <f>(SUMIFS('Bucket Counts'!$P:$P, 'Bucket Counts'!$B:$B, AT$2, 'Bucket Counts'!$A:$A, "="&amp;$A56,  'Bucket Counts'!$F:$F, "&lt;&gt;100 Morts",  'Bucket Counts'!$F:$F, "&lt;&gt;224"))</f>
        <v>0</v>
      </c>
      <c r="AU56" s="116">
        <f>(SUMIFS('Bucket Counts'!$P:$P, 'Bucket Counts'!$B:$B, AU$2, 'Bucket Counts'!$A:$A, "="&amp;$A56,  'Bucket Counts'!$F:$F, "100 Morts"))</f>
        <v>0</v>
      </c>
      <c r="AV56" s="116">
        <f>(SUMIFS('Bucket Counts'!$P:$P, 'Bucket Counts'!$B:$B, AV$2, 'Bucket Counts'!$A:$A, "="&amp;$A56,  'Bucket Counts'!$F:$F, "224"))</f>
        <v>0</v>
      </c>
      <c r="AW56" s="116"/>
      <c r="AX56" s="426">
        <f>(AV56+AT56)/AY55</f>
        <v>0</v>
      </c>
      <c r="AY56" s="370">
        <f>AT53+SUM(AS53:AS56)</f>
        <v>1216.1111111111111</v>
      </c>
      <c r="AZ56" s="369">
        <f>SUMIFS(Collection!$O:$O, Collection!$K:$K, AZ$2, Collection!$A:$A, "="&amp;$A56)</f>
        <v>0</v>
      </c>
      <c r="BA56" s="116">
        <f>(SUMIFS('Bucket Counts'!$P:$P, 'Bucket Counts'!$B:$B, BA$2, 'Bucket Counts'!$A:$A, "="&amp;$A56,  'Bucket Counts'!$F:$F, "&lt;&gt;100 Morts",  'Bucket Counts'!$F:$F, "&lt;&gt;224"))</f>
        <v>0</v>
      </c>
      <c r="BB56" s="116">
        <f>(SUMIFS('Bucket Counts'!$P:$P, 'Bucket Counts'!$B:$B, BB$2, 'Bucket Counts'!$A:$A, "="&amp;$A56,  'Bucket Counts'!$F:$F, "100 Morts"))</f>
        <v>0</v>
      </c>
      <c r="BC56" s="116">
        <f>(SUMIFS('Bucket Counts'!$P:$P, 'Bucket Counts'!$B:$B, BC$2, 'Bucket Counts'!$A:$A, "="&amp;$A56,  'Bucket Counts'!$F:$F, "224"))</f>
        <v>0</v>
      </c>
      <c r="BD56" s="116"/>
      <c r="BE56" s="426">
        <f>(BC56+BA56)/BF55</f>
        <v>0</v>
      </c>
      <c r="BF56" s="370">
        <f>BA53+SUM(AZ53:AZ56)</f>
        <v>326.66666666666669</v>
      </c>
      <c r="BG56" s="369">
        <f>SUMIFS(Collection!$O:$O, Collection!$K:$K, BG$2, Collection!$A:$A, "="&amp;$A56)</f>
        <v>0</v>
      </c>
      <c r="BH56" s="116">
        <f>(SUMIFS('Bucket Counts'!$P:$P, 'Bucket Counts'!$B:$B, BH$2, 'Bucket Counts'!$A:$A, "="&amp;$A56,  'Bucket Counts'!$F:$F, "&lt;&gt;100 Morts",  'Bucket Counts'!$F:$F, "&lt;&gt;224"))</f>
        <v>0</v>
      </c>
      <c r="BI56" s="116">
        <f>(SUMIFS('Bucket Counts'!$P:$P, 'Bucket Counts'!$B:$B, BI$2, 'Bucket Counts'!$A:$A, "="&amp;$A56,  'Bucket Counts'!$F:$F, "100 Morts"))</f>
        <v>0</v>
      </c>
      <c r="BJ56" s="116">
        <f>(SUMIFS('Bucket Counts'!$P:$P, 'Bucket Counts'!$B:$B, BJ$2, 'Bucket Counts'!$A:$A, "="&amp;$A56,  'Bucket Counts'!$F:$F, "224"))</f>
        <v>0</v>
      </c>
      <c r="BK56" s="116"/>
      <c r="BL56" s="426">
        <f>(BJ56+BH56)/BM55</f>
        <v>0</v>
      </c>
      <c r="BM56" s="370">
        <f>BH53+SUM(BG53:BG56)</f>
        <v>76680</v>
      </c>
      <c r="BN56" s="369">
        <f>SUMIFS(Collection!$O:$O, Collection!$K:$K, BN$2, Collection!$A:$A, "="&amp;$A56)</f>
        <v>0</v>
      </c>
      <c r="BO56" s="116">
        <f>(SUMIFS('Bucket Counts'!$P:$P, 'Bucket Counts'!$B:$B, BO$2, 'Bucket Counts'!$A:$A, "="&amp;$A56,  'Bucket Counts'!$F:$F, "&lt;&gt;100 Morts",  'Bucket Counts'!$F:$F, "&lt;&gt;224"))</f>
        <v>0</v>
      </c>
      <c r="BP56" s="116">
        <f>(SUMIFS('Bucket Counts'!$P:$P, 'Bucket Counts'!$B:$B, BP$2, 'Bucket Counts'!$A:$A, "="&amp;$A56,  'Bucket Counts'!$F:$F, "100 Morts"))</f>
        <v>0</v>
      </c>
      <c r="BQ56" s="116">
        <f>(SUMIFS('Bucket Counts'!$P:$P, 'Bucket Counts'!$B:$B, BQ$2, 'Bucket Counts'!$A:$A, "="&amp;$A56,  'Bucket Counts'!$F:$F, "224"))</f>
        <v>0</v>
      </c>
      <c r="BR56" s="116"/>
      <c r="BS56" s="426">
        <f>(BQ56+BO56)/BT55</f>
        <v>0</v>
      </c>
      <c r="BT56" s="370">
        <f>BO53+SUM(BN53:BN56)</f>
        <v>26426.666666666668</v>
      </c>
      <c r="BU56" s="369">
        <f>SUMIFS(Collection!$O:$O, Collection!$K:$K, BU$2, Collection!$A:$A, "="&amp;$A56)</f>
        <v>0</v>
      </c>
      <c r="BV56" s="116">
        <f>(SUMIFS('Bucket Counts'!$P:$P, 'Bucket Counts'!$B:$B, BV$2, 'Bucket Counts'!$A:$A, "="&amp;$A56,  'Bucket Counts'!$F:$F, "&lt;&gt;100 Morts",  'Bucket Counts'!$F:$F, "&lt;&gt;224"))</f>
        <v>0</v>
      </c>
      <c r="BW56" s="116">
        <f>(SUMIFS('Bucket Counts'!$P:$P, 'Bucket Counts'!$B:$B, BW$2, 'Bucket Counts'!$A:$A, "="&amp;$A56,  'Bucket Counts'!$F:$F, "100 Morts"))</f>
        <v>0</v>
      </c>
      <c r="BX56" s="116">
        <f>(SUMIFS('Bucket Counts'!$P:$P, 'Bucket Counts'!$B:$B, BX$2, 'Bucket Counts'!$A:$A, "="&amp;$A56,  'Bucket Counts'!$F:$F, "224"))</f>
        <v>0</v>
      </c>
      <c r="BY56" s="116"/>
      <c r="BZ56" s="426">
        <f>(BX56+BV56)/CA55</f>
        <v>0</v>
      </c>
      <c r="CA56" s="370">
        <f>BV53+SUM(BU53:BU56)</f>
        <v>3119.4444444444443</v>
      </c>
      <c r="CB56" s="369">
        <f>SUMIFS(Collection!$O:$O, Collection!$K:$K, CB$2, Collection!$A:$A, "="&amp;$A56)</f>
        <v>0</v>
      </c>
      <c r="CC56" s="116">
        <f>(SUMIFS('Bucket Counts'!$P:$P, 'Bucket Counts'!$B:$B, CC$2, 'Bucket Counts'!$A:$A, "="&amp;$A56,  'Bucket Counts'!$F:$F, "&lt;&gt;100 Morts",  'Bucket Counts'!$F:$F, "&lt;&gt;224"))</f>
        <v>0</v>
      </c>
      <c r="CD56" s="116">
        <f>(SUMIFS('Bucket Counts'!$P:$P, 'Bucket Counts'!$B:$B, CD$2, 'Bucket Counts'!$A:$A, "="&amp;$A56,  'Bucket Counts'!$F:$F, "100 Morts"))</f>
        <v>0</v>
      </c>
      <c r="CE56" s="116">
        <f>(SUMIFS('Bucket Counts'!$P:$P, 'Bucket Counts'!$B:$B, CE$2, 'Bucket Counts'!$A:$A, "="&amp;$A56,  'Bucket Counts'!$F:$F, "224"))</f>
        <v>0</v>
      </c>
      <c r="CF56" s="116"/>
      <c r="CG56" s="426">
        <f>(CE56+CC56)/CH55</f>
        <v>0</v>
      </c>
      <c r="CH56" s="370">
        <f>CC53+SUM(CB53:CB56)</f>
        <v>18900</v>
      </c>
      <c r="CI56" s="369">
        <f>SUMIFS(Collection!$O:$O, Collection!$K:$K, CI$2, Collection!$A:$A, "="&amp;$A56)</f>
        <v>0</v>
      </c>
      <c r="CJ56" s="116">
        <f>(SUMIFS('Bucket Counts'!$P:$P, 'Bucket Counts'!$B:$B, CJ$2, 'Bucket Counts'!$A:$A, "="&amp;$A56,  'Bucket Counts'!$F:$F, "&lt;&gt;100 Morts",  'Bucket Counts'!$F:$F, "&lt;&gt;224"))</f>
        <v>0</v>
      </c>
      <c r="CK56" s="116">
        <f>(SUMIFS('Bucket Counts'!$P:$P, 'Bucket Counts'!$B:$B, CK$2, 'Bucket Counts'!$A:$A, "="&amp;$A56,  'Bucket Counts'!$F:$F, "100 Morts"))</f>
        <v>0</v>
      </c>
      <c r="CL56" s="116">
        <f>(SUMIFS('Bucket Counts'!$P:$P, 'Bucket Counts'!$B:$B, CL$2, 'Bucket Counts'!$A:$A, "="&amp;$A56,  'Bucket Counts'!$F:$F, "224"))</f>
        <v>0</v>
      </c>
      <c r="CM56" s="116"/>
      <c r="CN56" s="426">
        <f>(CL56+CJ56)/CO55</f>
        <v>0</v>
      </c>
      <c r="CO56" s="370">
        <f>CJ53+SUM(CI53:CI56)</f>
        <v>3186.666666666667</v>
      </c>
      <c r="CP56" s="369">
        <f>SUMIFS(Collection!$O:$O, Collection!$K:$K, CP$2, Collection!$A:$A, "="&amp;$A56)</f>
        <v>0</v>
      </c>
      <c r="CQ56" s="116">
        <f>(SUMIFS('Bucket Counts'!$P:$P, 'Bucket Counts'!$B:$B, CQ$2, 'Bucket Counts'!$A:$A, "="&amp;$A56,  'Bucket Counts'!$F:$F, "&lt;&gt;100 Morts",  'Bucket Counts'!$F:$F, "&lt;&gt;224"))</f>
        <v>0</v>
      </c>
      <c r="CR56" s="116">
        <f>(SUMIFS('Bucket Counts'!$P:$P, 'Bucket Counts'!$B:$B, CR$2, 'Bucket Counts'!$A:$A, "="&amp;$A56,  'Bucket Counts'!$F:$F, "100 Morts"))</f>
        <v>0</v>
      </c>
      <c r="CS56" s="116">
        <f>(SUMIFS('Bucket Counts'!$P:$P, 'Bucket Counts'!$B:$B, CS$2, 'Bucket Counts'!$A:$A, "="&amp;$A56,  'Bucket Counts'!$F:$F, "224"))</f>
        <v>0</v>
      </c>
      <c r="CT56" s="116"/>
      <c r="CU56" s="426">
        <f>(CS56+CQ56)/CV55</f>
        <v>0</v>
      </c>
      <c r="CV56" s="370">
        <f>CQ53+SUM(CP53:CP56)</f>
        <v>1416.6666666666665</v>
      </c>
      <c r="CW56" s="369">
        <f>SUMIFS(Collection!$O:$O, Collection!$K:$K, CW$2, Collection!$A:$A, "="&amp;$A56)</f>
        <v>0</v>
      </c>
      <c r="CX56" s="116">
        <f>(SUMIFS('Bucket Counts'!$P:$P, 'Bucket Counts'!$B:$B, CX$2, 'Bucket Counts'!$A:$A, "="&amp;$A56,  'Bucket Counts'!$F:$F, "&lt;&gt;100 Morts",  'Bucket Counts'!$F:$F, "&lt;&gt;224"))</f>
        <v>0</v>
      </c>
      <c r="CY56" s="116">
        <f>(SUMIFS('Bucket Counts'!$P:$P, 'Bucket Counts'!$B:$B, CY$2, 'Bucket Counts'!$A:$A, "="&amp;$A56,  'Bucket Counts'!$F:$F, "100 Morts"))</f>
        <v>0</v>
      </c>
      <c r="CZ56" s="116">
        <f>(SUMIFS('Bucket Counts'!$P:$P, 'Bucket Counts'!$B:$B, CZ$2, 'Bucket Counts'!$A:$A, "="&amp;$A56,  'Bucket Counts'!$F:$F, "224"))</f>
        <v>0</v>
      </c>
      <c r="DA56" s="116"/>
      <c r="DB56" s="426">
        <f>(CZ56+CX56)/DC55</f>
        <v>0</v>
      </c>
      <c r="DC56" s="370">
        <f>CX53+SUM(CW53:CW56)</f>
        <v>12310</v>
      </c>
      <c r="DD56" s="369">
        <f>SUMIFS(Collection!$O:$O, Collection!$K:$K, DD$2, Collection!$A:$A, "="&amp;$A56)</f>
        <v>0</v>
      </c>
      <c r="DE56" s="116">
        <f>(SUMIFS('Bucket Counts'!$P:$P, 'Bucket Counts'!$B:$B, DE$2, 'Bucket Counts'!$A:$A, "="&amp;$A56,  'Bucket Counts'!$F:$F, "&lt;&gt;100 Morts",  'Bucket Counts'!$F:$F, "&lt;&gt;224"))</f>
        <v>0</v>
      </c>
      <c r="DF56" s="116">
        <f>(SUMIFS('Bucket Counts'!$P:$P, 'Bucket Counts'!$B:$B, DF$2, 'Bucket Counts'!$A:$A, "="&amp;$A56,  'Bucket Counts'!$F:$F, "100 Morts"))</f>
        <v>0</v>
      </c>
      <c r="DG56" s="116">
        <f>(SUMIFS('Bucket Counts'!$P:$P, 'Bucket Counts'!$B:$B, DG$2, 'Bucket Counts'!$A:$A, "="&amp;$A56,  'Bucket Counts'!$F:$F, "224"))</f>
        <v>0</v>
      </c>
      <c r="DH56" s="116"/>
      <c r="DI56" s="426">
        <f>(DG56+DE56)/DJ55</f>
        <v>0</v>
      </c>
      <c r="DJ56" s="370">
        <f>DE53+SUM(DD53:DD56)</f>
        <v>6034.4444444444443</v>
      </c>
      <c r="DK56" s="369">
        <f>SUMIFS(Collection!$O:$O, Collection!$K:$K, DK$2, Collection!$A:$A, "="&amp;$A56)</f>
        <v>0</v>
      </c>
      <c r="DL56" s="116">
        <f>(SUMIFS('Bucket Counts'!$P:$P, 'Bucket Counts'!$B:$B, DL$2, 'Bucket Counts'!$A:$A, "="&amp;$A56,  'Bucket Counts'!$F:$F, "&lt;&gt;100 Morts",  'Bucket Counts'!$F:$F, "&lt;&gt;224"))</f>
        <v>0</v>
      </c>
      <c r="DM56" s="116">
        <f>(SUMIFS('Bucket Counts'!$P:$P, 'Bucket Counts'!$B:$B, DM$2, 'Bucket Counts'!$A:$A, "="&amp;$A56,  'Bucket Counts'!$F:$F, "100 Morts"))</f>
        <v>0</v>
      </c>
      <c r="DN56" s="116">
        <f>(SUMIFS('Bucket Counts'!$P:$P, 'Bucket Counts'!$B:$B, DN$2, 'Bucket Counts'!$A:$A, "="&amp;$A56,  'Bucket Counts'!$F:$F, "224"))</f>
        <v>0</v>
      </c>
      <c r="DO56" s="116"/>
      <c r="DP56" s="426" t="e">
        <f>(DN56+DL56)/DQ55</f>
        <v>#DIV/0!</v>
      </c>
      <c r="DQ56" s="370">
        <f>DL53+SUM(DK53:DK56)</f>
        <v>0</v>
      </c>
      <c r="DR56" s="369">
        <f>SUMIFS(Collection!$O:$O, Collection!$K:$K, DR$2, Collection!$A:$A, "="&amp;$A56)</f>
        <v>0</v>
      </c>
      <c r="DS56" s="116">
        <f>(SUMIFS('Bucket Counts'!$P:$P, 'Bucket Counts'!$B:$B, DS$2, 'Bucket Counts'!$A:$A, "="&amp;$A56,  'Bucket Counts'!$F:$F, "&lt;&gt;100 Morts",  'Bucket Counts'!$F:$F, "&lt;&gt;224"))</f>
        <v>0</v>
      </c>
      <c r="DT56" s="116">
        <f>(SUMIFS('Bucket Counts'!$P:$P, 'Bucket Counts'!$B:$B, DT$2, 'Bucket Counts'!$A:$A, "="&amp;$A56,  'Bucket Counts'!$F:$F, "100 Morts"))</f>
        <v>0</v>
      </c>
      <c r="DU56" s="116">
        <f>(SUMIFS('Bucket Counts'!$P:$P, 'Bucket Counts'!$B:$B, DU$2, 'Bucket Counts'!$A:$A, "="&amp;$A56,  'Bucket Counts'!$F:$F, "224"))</f>
        <v>0</v>
      </c>
      <c r="DV56" s="116"/>
      <c r="DW56" s="426" t="e">
        <f>(DU56+DS56)/DX55</f>
        <v>#DIV/0!</v>
      </c>
      <c r="DX56" s="370">
        <f>DS53+SUM(DR53:DR56)</f>
        <v>0</v>
      </c>
      <c r="DY56" s="369">
        <f>SUMIFS(Collection!$O:$O, Collection!$K:$K, DY$2, Collection!$A:$A, "="&amp;$A56)</f>
        <v>0</v>
      </c>
      <c r="DZ56" s="116">
        <f>(SUMIFS('Bucket Counts'!$P:$P, 'Bucket Counts'!$B:$B, DZ$2, 'Bucket Counts'!$A:$A, "="&amp;$A56,  'Bucket Counts'!$F:$F, "&lt;&gt;100 Morts",  'Bucket Counts'!$F:$F, "&lt;&gt;224"))</f>
        <v>0</v>
      </c>
      <c r="EA56" s="116">
        <f>(SUMIFS('Bucket Counts'!$P:$P, 'Bucket Counts'!$B:$B, EA$2, 'Bucket Counts'!$A:$A, "="&amp;$A56,  'Bucket Counts'!$F:$F, "100 Morts"))</f>
        <v>0</v>
      </c>
      <c r="EB56" s="116">
        <f>(SUMIFS('Bucket Counts'!$P:$P, 'Bucket Counts'!$B:$B, EB$2, 'Bucket Counts'!$A:$A, "="&amp;$A56,  'Bucket Counts'!$F:$F, "224"))</f>
        <v>0</v>
      </c>
      <c r="EC56" s="116"/>
      <c r="ED56" s="426" t="e">
        <f>(EB56+DZ56)/EE55</f>
        <v>#DIV/0!</v>
      </c>
      <c r="EE56" s="370">
        <f>DZ53+SUM(DY53:DY56)</f>
        <v>0</v>
      </c>
      <c r="EF56" s="369">
        <f>SUMIFS(Collection!$O:$O, Collection!$K:$K, EF$2, Collection!$A:$A, "="&amp;$A56)</f>
        <v>0</v>
      </c>
      <c r="EG56" s="116">
        <f>(SUMIFS('Bucket Counts'!$P:$P, 'Bucket Counts'!$B:$B, EG$2, 'Bucket Counts'!$A:$A, "="&amp;$A56,  'Bucket Counts'!$F:$F, "&lt;&gt;100 Morts",  'Bucket Counts'!$F:$F, "&lt;&gt;224"))</f>
        <v>0</v>
      </c>
      <c r="EH56" s="116">
        <f>(SUMIFS('Bucket Counts'!$P:$P, 'Bucket Counts'!$B:$B, EH$2, 'Bucket Counts'!$A:$A, "="&amp;$A56,  'Bucket Counts'!$F:$F, "100 Morts"))</f>
        <v>0</v>
      </c>
      <c r="EI56" s="116">
        <f>(SUMIFS('Bucket Counts'!$P:$P, 'Bucket Counts'!$B:$B, EI$2, 'Bucket Counts'!$A:$A, "="&amp;$A56,  'Bucket Counts'!$F:$F, "224"))</f>
        <v>0</v>
      </c>
      <c r="EJ56" s="116"/>
      <c r="EK56" s="426" t="e">
        <f>(EI56+EG56)/EL55</f>
        <v>#DIV/0!</v>
      </c>
      <c r="EL56" s="370">
        <f>EG53+SUM(EF53:EF56)</f>
        <v>0</v>
      </c>
    </row>
    <row r="57" spans="1:142" s="434" customFormat="1" x14ac:dyDescent="0.2">
      <c r="A57" s="428">
        <f t="shared" si="0"/>
        <v>42926</v>
      </c>
      <c r="B57" s="428" t="s">
        <v>486</v>
      </c>
      <c r="C57" s="429">
        <f>SUMIFS(Collection!$O:$O, Collection!$K:$K, C$2, Collection!$A:$A, "="&amp;$A57)</f>
        <v>0</v>
      </c>
      <c r="D57" s="430">
        <f>(SUMIFS('Bucket Counts'!$P:$P, 'Bucket Counts'!$B:$B, D$2, 'Bucket Counts'!$A:$A, "="&amp;$A57,  'Bucket Counts'!$F:$F, "&lt;&gt;100 Morts",  'Bucket Counts'!$F:$F, "&lt;&gt;224"))</f>
        <v>127.77777777777779</v>
      </c>
      <c r="E57" s="430">
        <f>(SUMIFS('Bucket Counts'!$P:$P, 'Bucket Counts'!$B:$B, E$2, 'Bucket Counts'!$A:$A, "="&amp;$A57,  'Bucket Counts'!$F:$F, "100 Morts"))</f>
        <v>0</v>
      </c>
      <c r="F57" s="430">
        <f>(SUMIFS('Bucket Counts'!$P:$P, 'Bucket Counts'!$B:$B, F$2, 'Bucket Counts'!$A:$A, "="&amp;$A57,  'Bucket Counts'!$F:$F, "224"))</f>
        <v>27.777777777777775</v>
      </c>
      <c r="G57" s="430">
        <f>I56</f>
        <v>425</v>
      </c>
      <c r="H57" s="431">
        <f>SUM(D57+F57)</f>
        <v>155.55555555555557</v>
      </c>
      <c r="I57" s="432">
        <f>D57+C57</f>
        <v>127.77777777777779</v>
      </c>
      <c r="J57" s="429">
        <f>SUMIFS(Collection!$O:$O, Collection!$K:$K, J$2, Collection!$A:$A, "="&amp;$A57)</f>
        <v>0</v>
      </c>
      <c r="K57" s="430">
        <f>(SUMIFS('Bucket Counts'!$P:$P, 'Bucket Counts'!$B:$B, K$2, 'Bucket Counts'!$A:$A, "="&amp;$A57,  'Bucket Counts'!$F:$F, "&lt;&gt;100 Morts",  'Bucket Counts'!$F:$F, "&lt;&gt;224"))</f>
        <v>15446.666666666666</v>
      </c>
      <c r="L57" s="430">
        <f>(SUMIFS('Bucket Counts'!$P:$P, 'Bucket Counts'!$B:$B, L$2, 'Bucket Counts'!$A:$A, "="&amp;$A57,  'Bucket Counts'!$F:$F, "100 Morts"))</f>
        <v>0</v>
      </c>
      <c r="M57" s="430">
        <f>(SUMIFS('Bucket Counts'!$P:$P, 'Bucket Counts'!$B:$B, M$2, 'Bucket Counts'!$A:$A, "="&amp;$A57,  'Bucket Counts'!$F:$F, "224"))</f>
        <v>9</v>
      </c>
      <c r="N57" s="430">
        <f>P56</f>
        <v>26511.111111111109</v>
      </c>
      <c r="O57" s="431">
        <f>SUM(K57+M57)</f>
        <v>15455.666666666666</v>
      </c>
      <c r="P57" s="432">
        <f>K57+J57</f>
        <v>15446.666666666666</v>
      </c>
      <c r="Q57" s="429">
        <f>SUMIFS(Collection!$O:$O, Collection!$K:$K, Q$2, Collection!$A:$A, "="&amp;$A57)</f>
        <v>0</v>
      </c>
      <c r="R57" s="430">
        <f>(SUMIFS('Bucket Counts'!$P:$P, 'Bucket Counts'!$B:$B, R$2, 'Bucket Counts'!$A:$A, "="&amp;$A57,  'Bucket Counts'!$F:$F, "&lt;&gt;100 Morts",  'Bucket Counts'!$F:$F, "&lt;&gt;224"))</f>
        <v>13</v>
      </c>
      <c r="S57" s="430">
        <f>(SUMIFS('Bucket Counts'!$P:$P, 'Bucket Counts'!$B:$B, S$2, 'Bucket Counts'!$A:$A, "="&amp;$A57,  'Bucket Counts'!$F:$F, "100 Morts"))</f>
        <v>0</v>
      </c>
      <c r="T57" s="430">
        <f>(SUMIFS('Bucket Counts'!$P:$P, 'Bucket Counts'!$B:$B, T$2, 'Bucket Counts'!$A:$A, "="&amp;$A57,  'Bucket Counts'!$F:$F, "224"))</f>
        <v>7</v>
      </c>
      <c r="U57" s="430">
        <f>W56</f>
        <v>175</v>
      </c>
      <c r="V57" s="431">
        <f>SUM(R57+T57)</f>
        <v>20</v>
      </c>
      <c r="W57" s="432">
        <f>R57+Q57</f>
        <v>13</v>
      </c>
      <c r="X57" s="429">
        <f>SUMIFS(Collection!$O:$O, Collection!$K:$K, X$2, Collection!$A:$A, "="&amp;$A57)</f>
        <v>0</v>
      </c>
      <c r="Y57" s="430">
        <f>(SUMIFS('Bucket Counts'!$P:$P, 'Bucket Counts'!$B:$B, Y$2, 'Bucket Counts'!$A:$A, "="&amp;$A57,  'Bucket Counts'!$F:$F, "&lt;&gt;100 Morts",  'Bucket Counts'!$F:$F, "&lt;&gt;224"))</f>
        <v>11606.666666666666</v>
      </c>
      <c r="Z57" s="430">
        <f>(SUMIFS('Bucket Counts'!$P:$P, 'Bucket Counts'!$B:$B, Z$2, 'Bucket Counts'!$A:$A, "="&amp;$A57,  'Bucket Counts'!$F:$F, "100 Morts"))</f>
        <v>0</v>
      </c>
      <c r="AA57" s="430">
        <f>(SUMIFS('Bucket Counts'!$P:$P, 'Bucket Counts'!$B:$B, AA$2, 'Bucket Counts'!$A:$A, "="&amp;$A57,  'Bucket Counts'!$F:$F, "224"))</f>
        <v>2520.833333333333</v>
      </c>
      <c r="AB57" s="430">
        <f>AD56</f>
        <v>17683.333333333336</v>
      </c>
      <c r="AC57" s="431">
        <f>SUM(Y57+AA57)</f>
        <v>14127.5</v>
      </c>
      <c r="AD57" s="432">
        <f>Y57+X57</f>
        <v>11606.666666666666</v>
      </c>
      <c r="AE57" s="429">
        <f>SUMIFS(Collection!$O:$O, Collection!$K:$K, AE$2, Collection!$A:$A, "="&amp;$A57)</f>
        <v>0</v>
      </c>
      <c r="AF57" s="430">
        <f>(SUMIFS('Bucket Counts'!$P:$P, 'Bucket Counts'!$B:$B, AF$2, 'Bucket Counts'!$A:$A, "="&amp;$A57,  'Bucket Counts'!$F:$F, "&lt;&gt;100 Morts",  'Bucket Counts'!$F:$F, "&lt;&gt;224"))</f>
        <v>73184</v>
      </c>
      <c r="AG57" s="430">
        <f>(SUMIFS('Bucket Counts'!$P:$P, 'Bucket Counts'!$B:$B, AG$2, 'Bucket Counts'!$A:$A, "="&amp;$A57,  'Bucket Counts'!$F:$F, "100 Morts"))</f>
        <v>1063.3333333333333</v>
      </c>
      <c r="AH57" s="430">
        <f>(SUMIFS('Bucket Counts'!$P:$P, 'Bucket Counts'!$B:$B, AH$2, 'Bucket Counts'!$A:$A, "="&amp;$A57,  'Bucket Counts'!$F:$F, "224"))</f>
        <v>11</v>
      </c>
      <c r="AI57" s="430">
        <f>AK56</f>
        <v>200027.77777777778</v>
      </c>
      <c r="AJ57" s="431">
        <f>SUM(AF57+AH57)</f>
        <v>73195</v>
      </c>
      <c r="AK57" s="432">
        <f>AF57+AE57</f>
        <v>73184</v>
      </c>
      <c r="AL57" s="429">
        <f>SUMIFS(Collection!$O:$O, Collection!$K:$K, AL$2, Collection!$A:$A, "="&amp;$A57)</f>
        <v>0</v>
      </c>
      <c r="AM57" s="430">
        <f>(SUMIFS('Bucket Counts'!$P:$P, 'Bucket Counts'!$B:$B, AM$2, 'Bucket Counts'!$A:$A, "="&amp;$A57,  'Bucket Counts'!$F:$F, "&lt;&gt;100 Morts",  'Bucket Counts'!$F:$F, "&lt;&gt;224"))</f>
        <v>263.44444444444446</v>
      </c>
      <c r="AN57" s="430">
        <f>(SUMIFS('Bucket Counts'!$P:$P, 'Bucket Counts'!$B:$B, AN$2, 'Bucket Counts'!$A:$A, "="&amp;$A57,  'Bucket Counts'!$F:$F, "100 Morts"))</f>
        <v>0</v>
      </c>
      <c r="AO57" s="430">
        <f>(SUMIFS('Bucket Counts'!$P:$P, 'Bucket Counts'!$B:$B, AO$2, 'Bucket Counts'!$A:$A, "="&amp;$A57,  'Bucket Counts'!$F:$F, "224"))</f>
        <v>61</v>
      </c>
      <c r="AP57" s="430">
        <f>AR56</f>
        <v>926.11111111111109</v>
      </c>
      <c r="AQ57" s="431">
        <f>SUM(AM57+AO57)</f>
        <v>324.44444444444446</v>
      </c>
      <c r="AR57" s="432">
        <f>AM57+AL57</f>
        <v>263.44444444444446</v>
      </c>
      <c r="AS57" s="429">
        <f>SUMIFS(Collection!$O:$O, Collection!$K:$K, AS$2, Collection!$A:$A, "="&amp;$A57)</f>
        <v>0</v>
      </c>
      <c r="AT57" s="430">
        <f>(SUMIFS('Bucket Counts'!$P:$P, 'Bucket Counts'!$B:$B, AT$2, 'Bucket Counts'!$A:$A, "="&amp;$A57,  'Bucket Counts'!$F:$F, "&lt;&gt;100 Morts",  'Bucket Counts'!$F:$F, "&lt;&gt;224"))</f>
        <v>406.11111111111109</v>
      </c>
      <c r="AU57" s="430">
        <f>(SUMIFS('Bucket Counts'!$P:$P, 'Bucket Counts'!$B:$B, AU$2, 'Bucket Counts'!$A:$A, "="&amp;$A57,  'Bucket Counts'!$F:$F, "100 Morts"))</f>
        <v>0</v>
      </c>
      <c r="AV57" s="430">
        <f>(SUMIFS('Bucket Counts'!$P:$P, 'Bucket Counts'!$B:$B, AV$2, 'Bucket Counts'!$A:$A, "="&amp;$A57,  'Bucket Counts'!$F:$F, "224"))</f>
        <v>85</v>
      </c>
      <c r="AW57" s="430">
        <f>AY56</f>
        <v>1216.1111111111111</v>
      </c>
      <c r="AX57" s="431">
        <f>SUM(AT57+AV57)</f>
        <v>491.11111111111109</v>
      </c>
      <c r="AY57" s="432">
        <f>AT57+AS57</f>
        <v>406.11111111111109</v>
      </c>
      <c r="AZ57" s="429">
        <f>SUMIFS(Collection!$O:$O, Collection!$K:$K, AZ$2, Collection!$A:$A, "="&amp;$A57)</f>
        <v>0</v>
      </c>
      <c r="BA57" s="430">
        <f>(SUMIFS('Bucket Counts'!$P:$P, 'Bucket Counts'!$B:$B, BA$2, 'Bucket Counts'!$A:$A, "="&amp;$A57,  'Bucket Counts'!$F:$F, "&lt;&gt;100 Morts",  'Bucket Counts'!$F:$F, "&lt;&gt;224"))</f>
        <v>27</v>
      </c>
      <c r="BB57" s="430">
        <f>(SUMIFS('Bucket Counts'!$P:$P, 'Bucket Counts'!$B:$B, BB$2, 'Bucket Counts'!$A:$A, "="&amp;$A57,  'Bucket Counts'!$F:$F, "100 Morts"))</f>
        <v>0</v>
      </c>
      <c r="BC57" s="430">
        <f>(SUMIFS('Bucket Counts'!$P:$P, 'Bucket Counts'!$B:$B, BC$2, 'Bucket Counts'!$A:$A, "="&amp;$A57,  'Bucket Counts'!$F:$F, "224"))</f>
        <v>12</v>
      </c>
      <c r="BD57" s="430">
        <f>BF56</f>
        <v>326.66666666666669</v>
      </c>
      <c r="BE57" s="431">
        <f>SUM(BA57+BC57)</f>
        <v>39</v>
      </c>
      <c r="BF57" s="432">
        <f>BA57+AZ57</f>
        <v>27</v>
      </c>
      <c r="BG57" s="429">
        <f>SUMIFS(Collection!$O:$O, Collection!$K:$K, BG$2, Collection!$A:$A, "="&amp;$A57)</f>
        <v>0</v>
      </c>
      <c r="BH57" s="430">
        <f>(SUMIFS('Bucket Counts'!$P:$P, 'Bucket Counts'!$B:$B, BH$2, 'Bucket Counts'!$A:$A, "="&amp;$A57,  'Bucket Counts'!$F:$F, "&lt;&gt;100 Morts",  'Bucket Counts'!$F:$F, "&lt;&gt;224"))</f>
        <v>49166.666666666664</v>
      </c>
      <c r="BI57" s="430">
        <f>(SUMIFS('Bucket Counts'!$P:$P, 'Bucket Counts'!$B:$B, BI$2, 'Bucket Counts'!$A:$A, "="&amp;$A57,  'Bucket Counts'!$F:$F, "100 Morts"))</f>
        <v>0</v>
      </c>
      <c r="BJ57" s="430">
        <f>(SUMIFS('Bucket Counts'!$P:$P, 'Bucket Counts'!$B:$B, BJ$2, 'Bucket Counts'!$A:$A, "="&amp;$A57,  'Bucket Counts'!$F:$F, "224"))</f>
        <v>933.33333333333337</v>
      </c>
      <c r="BK57" s="430">
        <f>BM56</f>
        <v>76680</v>
      </c>
      <c r="BL57" s="431">
        <f>SUM(BH57+BJ57)</f>
        <v>50100</v>
      </c>
      <c r="BM57" s="432">
        <f>BH57+BG57</f>
        <v>49166.666666666664</v>
      </c>
      <c r="BN57" s="429">
        <f>SUMIFS(Collection!$O:$O, Collection!$K:$K, BN$2, Collection!$A:$A, "="&amp;$A57)</f>
        <v>0</v>
      </c>
      <c r="BO57" s="430">
        <f>(SUMIFS('Bucket Counts'!$P:$P, 'Bucket Counts'!$B:$B, BO$2, 'Bucket Counts'!$A:$A, "="&amp;$A57,  'Bucket Counts'!$F:$F, "&lt;&gt;100 Morts",  'Bucket Counts'!$F:$F, "&lt;&gt;224"))</f>
        <v>19823.333333333336</v>
      </c>
      <c r="BP57" s="430">
        <f>(SUMIFS('Bucket Counts'!$P:$P, 'Bucket Counts'!$B:$B, BP$2, 'Bucket Counts'!$A:$A, "="&amp;$A57,  'Bucket Counts'!$F:$F, "100 Morts"))</f>
        <v>150</v>
      </c>
      <c r="BQ57" s="430">
        <f>(SUMIFS('Bucket Counts'!$P:$P, 'Bucket Counts'!$B:$B, BQ$2, 'Bucket Counts'!$A:$A, "="&amp;$A57,  'Bucket Counts'!$F:$F, "224"))</f>
        <v>3655</v>
      </c>
      <c r="BR57" s="430">
        <f>BT56</f>
        <v>26426.666666666668</v>
      </c>
      <c r="BS57" s="431">
        <f>SUM(BO57+BQ57)</f>
        <v>23478.333333333336</v>
      </c>
      <c r="BT57" s="432">
        <f>BO57+BN57</f>
        <v>19823.333333333336</v>
      </c>
      <c r="BU57" s="429">
        <f>SUMIFS(Collection!$O:$O, Collection!$K:$K, BU$2, Collection!$A:$A, "="&amp;$A57)</f>
        <v>0</v>
      </c>
      <c r="BV57" s="430">
        <f>(SUMIFS('Bucket Counts'!$P:$P, 'Bucket Counts'!$B:$B, BV$2, 'Bucket Counts'!$A:$A, "="&amp;$A57,  'Bucket Counts'!$F:$F, "&lt;&gt;100 Morts",  'Bucket Counts'!$F:$F, "&lt;&gt;224"))</f>
        <v>978.33333333333337</v>
      </c>
      <c r="BW57" s="430">
        <f>(SUMIFS('Bucket Counts'!$P:$P, 'Bucket Counts'!$B:$B, BW$2, 'Bucket Counts'!$A:$A, "="&amp;$A57,  'Bucket Counts'!$F:$F, "100 Morts"))</f>
        <v>0</v>
      </c>
      <c r="BX57" s="430">
        <f>(SUMIFS('Bucket Counts'!$P:$P, 'Bucket Counts'!$B:$B, BX$2, 'Bucket Counts'!$A:$A, "="&amp;$A57,  'Bucket Counts'!$F:$F, "224"))</f>
        <v>1150</v>
      </c>
      <c r="BY57" s="430">
        <f>CA56</f>
        <v>3119.4444444444443</v>
      </c>
      <c r="BZ57" s="431">
        <f>SUM(BV57+BX57)</f>
        <v>2128.3333333333335</v>
      </c>
      <c r="CA57" s="432">
        <f>BV57+BU57</f>
        <v>978.33333333333337</v>
      </c>
      <c r="CB57" s="429">
        <f>SUMIFS(Collection!$O:$O, Collection!$K:$K, CB$2, Collection!$A:$A, "="&amp;$A57)</f>
        <v>0</v>
      </c>
      <c r="CC57" s="430">
        <f>(SUMIFS('Bucket Counts'!$P:$P, 'Bucket Counts'!$B:$B, CC$2, 'Bucket Counts'!$A:$A, "="&amp;$A57,  'Bucket Counts'!$F:$F, "&lt;&gt;100 Morts",  'Bucket Counts'!$F:$F, "&lt;&gt;224"))</f>
        <v>5750</v>
      </c>
      <c r="CD57" s="430">
        <f>(SUMIFS('Bucket Counts'!$P:$P, 'Bucket Counts'!$B:$B, CD$2, 'Bucket Counts'!$A:$A, "="&amp;$A57,  'Bucket Counts'!$F:$F, "100 Morts"))</f>
        <v>0</v>
      </c>
      <c r="CE57" s="430">
        <f>(SUMIFS('Bucket Counts'!$P:$P, 'Bucket Counts'!$B:$B, CE$2, 'Bucket Counts'!$A:$A, "="&amp;$A57,  'Bucket Counts'!$F:$F, "224"))</f>
        <v>1733.3333333333333</v>
      </c>
      <c r="CF57" s="430">
        <f>CH56</f>
        <v>18900</v>
      </c>
      <c r="CG57" s="431">
        <f>SUM(CC57+CE57)</f>
        <v>7483.333333333333</v>
      </c>
      <c r="CH57" s="432">
        <f>CC57+CB57</f>
        <v>5750</v>
      </c>
      <c r="CI57" s="429">
        <f>SUMIFS(Collection!$O:$O, Collection!$K:$K, CI$2, Collection!$A:$A, "="&amp;$A57)</f>
        <v>0</v>
      </c>
      <c r="CJ57" s="430">
        <f>(SUMIFS('Bucket Counts'!$P:$P, 'Bucket Counts'!$B:$B, CJ$2, 'Bucket Counts'!$A:$A, "="&amp;$A57,  'Bucket Counts'!$F:$F, "&lt;&gt;100 Morts",  'Bucket Counts'!$F:$F, "&lt;&gt;224"))</f>
        <v>1367.7777777777778</v>
      </c>
      <c r="CK57" s="430">
        <f>(SUMIFS('Bucket Counts'!$P:$P, 'Bucket Counts'!$B:$B, CK$2, 'Bucket Counts'!$A:$A, "="&amp;$A57,  'Bucket Counts'!$F:$F, "100 Morts"))</f>
        <v>0</v>
      </c>
      <c r="CL57" s="430">
        <f>(SUMIFS('Bucket Counts'!$P:$P, 'Bucket Counts'!$B:$B, CL$2, 'Bucket Counts'!$A:$A, "="&amp;$A57,  'Bucket Counts'!$F:$F, "224"))</f>
        <v>525</v>
      </c>
      <c r="CM57" s="430">
        <f>CO56</f>
        <v>3186.666666666667</v>
      </c>
      <c r="CN57" s="431">
        <f>SUM(CJ57+CL57)</f>
        <v>1892.7777777777778</v>
      </c>
      <c r="CO57" s="432">
        <f>CJ57+CI57</f>
        <v>1367.7777777777778</v>
      </c>
      <c r="CP57" s="429">
        <f>SUMIFS(Collection!$O:$O, Collection!$K:$K, CP$2, Collection!$A:$A, "="&amp;$A57)</f>
        <v>0</v>
      </c>
      <c r="CQ57" s="430">
        <f>(SUMIFS('Bucket Counts'!$P:$P, 'Bucket Counts'!$B:$B, CQ$2, 'Bucket Counts'!$A:$A, "="&amp;$A57,  'Bucket Counts'!$F:$F, "&lt;&gt;100 Morts",  'Bucket Counts'!$F:$F, "&lt;&gt;224"))</f>
        <v>550</v>
      </c>
      <c r="CR57" s="430">
        <f>(SUMIFS('Bucket Counts'!$P:$P, 'Bucket Counts'!$B:$B, CR$2, 'Bucket Counts'!$A:$A, "="&amp;$A57,  'Bucket Counts'!$F:$F, "100 Morts"))</f>
        <v>0</v>
      </c>
      <c r="CS57" s="430">
        <f>(SUMIFS('Bucket Counts'!$P:$P, 'Bucket Counts'!$B:$B, CS$2, 'Bucket Counts'!$A:$A, "="&amp;$A57,  'Bucket Counts'!$F:$F, "224"))</f>
        <v>93.333333333333329</v>
      </c>
      <c r="CT57" s="430">
        <f>CV56</f>
        <v>1416.6666666666665</v>
      </c>
      <c r="CU57" s="431">
        <f>SUM(CQ57+CS57)</f>
        <v>643.33333333333337</v>
      </c>
      <c r="CV57" s="432">
        <f>CQ57+CP57</f>
        <v>550</v>
      </c>
      <c r="CW57" s="429">
        <f>SUMIFS(Collection!$O:$O, Collection!$K:$K, CW$2, Collection!$A:$A, "="&amp;$A57)</f>
        <v>0</v>
      </c>
      <c r="CX57" s="430">
        <f>(SUMIFS('Bucket Counts'!$P:$P, 'Bucket Counts'!$B:$B, CX$2, 'Bucket Counts'!$A:$A, "="&amp;$A57,  'Bucket Counts'!$F:$F, "&lt;&gt;100 Morts",  'Bucket Counts'!$F:$F, "&lt;&gt;224"))</f>
        <v>7775</v>
      </c>
      <c r="CY57" s="430">
        <f>(SUMIFS('Bucket Counts'!$P:$P, 'Bucket Counts'!$B:$B, CY$2, 'Bucket Counts'!$A:$A, "="&amp;$A57,  'Bucket Counts'!$F:$F, "100 Morts"))</f>
        <v>0</v>
      </c>
      <c r="CZ57" s="430">
        <f>(SUMIFS('Bucket Counts'!$P:$P, 'Bucket Counts'!$B:$B, CZ$2, 'Bucket Counts'!$A:$A, "="&amp;$A57,  'Bucket Counts'!$F:$F, "224"))</f>
        <v>194.44444444444446</v>
      </c>
      <c r="DA57" s="430">
        <f>DC56</f>
        <v>12310</v>
      </c>
      <c r="DB57" s="431">
        <f>SUM(CX57+CZ57)</f>
        <v>7969.4444444444443</v>
      </c>
      <c r="DC57" s="432">
        <f>CX57+CW57</f>
        <v>7775</v>
      </c>
      <c r="DD57" s="429">
        <f>SUMIFS(Collection!$O:$O, Collection!$K:$K, DD$2, Collection!$A:$A, "="&amp;$A57)</f>
        <v>0</v>
      </c>
      <c r="DE57" s="430">
        <f>(SUMIFS('Bucket Counts'!$P:$P, 'Bucket Counts'!$B:$B, DE$2, 'Bucket Counts'!$A:$A, "="&amp;$A57,  'Bucket Counts'!$F:$F, "&lt;&gt;100 Morts",  'Bucket Counts'!$F:$F, "&lt;&gt;224"))</f>
        <v>2277.5</v>
      </c>
      <c r="DF57" s="430">
        <f>(SUMIFS('Bucket Counts'!$P:$P, 'Bucket Counts'!$B:$B, DF$2, 'Bucket Counts'!$A:$A, "="&amp;$A57,  'Bucket Counts'!$F:$F, "100 Morts"))</f>
        <v>0</v>
      </c>
      <c r="DG57" s="430">
        <f>(SUMIFS('Bucket Counts'!$P:$P, 'Bucket Counts'!$B:$B, DG$2, 'Bucket Counts'!$A:$A, "="&amp;$A57,  'Bucket Counts'!$F:$F, "224"))</f>
        <v>1000</v>
      </c>
      <c r="DH57" s="430">
        <f>DJ56</f>
        <v>6034.4444444444443</v>
      </c>
      <c r="DI57" s="431">
        <f>SUM(DE57+DG57)</f>
        <v>3277.5</v>
      </c>
      <c r="DJ57" s="432">
        <f>DE57+DD57</f>
        <v>2277.5</v>
      </c>
      <c r="DK57" s="429">
        <f>SUMIFS(Collection!$O:$O, Collection!$K:$K, DK$2, Collection!$A:$A, "="&amp;$A57)</f>
        <v>0</v>
      </c>
      <c r="DL57" s="430">
        <f>(SUMIFS('Bucket Counts'!$P:$P, 'Bucket Counts'!$B:$B, DL$2, 'Bucket Counts'!$A:$A, "="&amp;$A57,  'Bucket Counts'!$F:$F, "&lt;&gt;100 Morts",  'Bucket Counts'!$F:$F, "&lt;&gt;224"))</f>
        <v>0</v>
      </c>
      <c r="DM57" s="430">
        <f>(SUMIFS('Bucket Counts'!$P:$P, 'Bucket Counts'!$B:$B, DM$2, 'Bucket Counts'!$A:$A, "="&amp;$A57,  'Bucket Counts'!$F:$F, "100 Morts"))</f>
        <v>0</v>
      </c>
      <c r="DN57" s="430">
        <f>(SUMIFS('Bucket Counts'!$P:$P, 'Bucket Counts'!$B:$B, DN$2, 'Bucket Counts'!$A:$A, "="&amp;$A57,  'Bucket Counts'!$F:$F, "224"))</f>
        <v>0</v>
      </c>
      <c r="DO57" s="430">
        <f>DQ56</f>
        <v>0</v>
      </c>
      <c r="DP57" s="431">
        <f>SUM(DL57+DN57)</f>
        <v>0</v>
      </c>
      <c r="DQ57" s="432">
        <f>DL57+DK57</f>
        <v>0</v>
      </c>
      <c r="DR57" s="429">
        <f>SUMIFS(Collection!$O:$O, Collection!$K:$K, DR$2, Collection!$A:$A, "="&amp;$A57)</f>
        <v>0</v>
      </c>
      <c r="DS57" s="430">
        <f>(SUMIFS('Bucket Counts'!$P:$P, 'Bucket Counts'!$B:$B, DS$2, 'Bucket Counts'!$A:$A, "="&amp;$A57,  'Bucket Counts'!$F:$F, "&lt;&gt;100 Morts",  'Bucket Counts'!$F:$F, "&lt;&gt;224"))</f>
        <v>0</v>
      </c>
      <c r="DT57" s="430">
        <f>(SUMIFS('Bucket Counts'!$P:$P, 'Bucket Counts'!$B:$B, DT$2, 'Bucket Counts'!$A:$A, "="&amp;$A57,  'Bucket Counts'!$F:$F, "100 Morts"))</f>
        <v>0</v>
      </c>
      <c r="DU57" s="430">
        <f>(SUMIFS('Bucket Counts'!$P:$P, 'Bucket Counts'!$B:$B, DU$2, 'Bucket Counts'!$A:$A, "="&amp;$A57,  'Bucket Counts'!$F:$F, "224"))</f>
        <v>0</v>
      </c>
      <c r="DV57" s="430">
        <f>DX56</f>
        <v>0</v>
      </c>
      <c r="DW57" s="431">
        <f>SUM(DS57+DU57)</f>
        <v>0</v>
      </c>
      <c r="DX57" s="432">
        <f>DS57+DR57</f>
        <v>0</v>
      </c>
      <c r="DY57" s="429">
        <f>SUMIFS(Collection!$O:$O, Collection!$K:$K, DY$2, Collection!$A:$A, "="&amp;$A57)</f>
        <v>0</v>
      </c>
      <c r="DZ57" s="430">
        <f>(SUMIFS('Bucket Counts'!$P:$P, 'Bucket Counts'!$B:$B, DZ$2, 'Bucket Counts'!$A:$A, "="&amp;$A57,  'Bucket Counts'!$F:$F, "&lt;&gt;100 Morts",  'Bucket Counts'!$F:$F, "&lt;&gt;224"))</f>
        <v>0</v>
      </c>
      <c r="EA57" s="430">
        <f>(SUMIFS('Bucket Counts'!$P:$P, 'Bucket Counts'!$B:$B, EA$2, 'Bucket Counts'!$A:$A, "="&amp;$A57,  'Bucket Counts'!$F:$F, "100 Morts"))</f>
        <v>0</v>
      </c>
      <c r="EB57" s="430">
        <f>(SUMIFS('Bucket Counts'!$P:$P, 'Bucket Counts'!$B:$B, EB$2, 'Bucket Counts'!$A:$A, "="&amp;$A57,  'Bucket Counts'!$F:$F, "224"))</f>
        <v>0</v>
      </c>
      <c r="EC57" s="430">
        <f>EE56</f>
        <v>0</v>
      </c>
      <c r="ED57" s="431">
        <f>SUM(DZ57+EB57)</f>
        <v>0</v>
      </c>
      <c r="EE57" s="432">
        <f>DZ57+DY57</f>
        <v>0</v>
      </c>
      <c r="EF57" s="429">
        <f>SUMIFS(Collection!$O:$O, Collection!$K:$K, EF$2, Collection!$A:$A, "="&amp;$A57)</f>
        <v>0</v>
      </c>
      <c r="EG57" s="430">
        <f>(SUMIFS('Bucket Counts'!$P:$P, 'Bucket Counts'!$B:$B, EG$2, 'Bucket Counts'!$A:$A, "="&amp;$A57,  'Bucket Counts'!$F:$F, "&lt;&gt;100 Morts",  'Bucket Counts'!$F:$F, "&lt;&gt;224"))</f>
        <v>0</v>
      </c>
      <c r="EH57" s="430">
        <f>(SUMIFS('Bucket Counts'!$P:$P, 'Bucket Counts'!$B:$B, EH$2, 'Bucket Counts'!$A:$A, "="&amp;$A57,  'Bucket Counts'!$F:$F, "100 Morts"))</f>
        <v>0</v>
      </c>
      <c r="EI57" s="430">
        <f>(SUMIFS('Bucket Counts'!$P:$P, 'Bucket Counts'!$B:$B, EI$2, 'Bucket Counts'!$A:$A, "="&amp;$A57,  'Bucket Counts'!$F:$F, "224"))</f>
        <v>0</v>
      </c>
      <c r="EJ57" s="430">
        <f>EL56</f>
        <v>0</v>
      </c>
      <c r="EK57" s="431">
        <f>SUM(EG57+EI57)</f>
        <v>0</v>
      </c>
      <c r="EL57" s="432">
        <f>EG57+EF57</f>
        <v>0</v>
      </c>
    </row>
    <row r="58" spans="1:142" x14ac:dyDescent="0.2">
      <c r="A58" s="16">
        <f t="shared" si="0"/>
        <v>42927</v>
      </c>
      <c r="B58" s="16" t="s">
        <v>487</v>
      </c>
      <c r="C58" s="369">
        <f>SUMIFS(Collection!$O:$O, Collection!$K:$K, C$2, Collection!$A:$A, "="&amp;$A58)</f>
        <v>0</v>
      </c>
      <c r="D58" s="116">
        <f>(SUMIFS('Bucket Counts'!$P:$P, 'Bucket Counts'!$B:$B, D$2, 'Bucket Counts'!$A:$A, "="&amp;$A58,  'Bucket Counts'!$F:$F, "&lt;&gt;100 Morts",  'Bucket Counts'!$F:$F, "&lt;&gt;224"))</f>
        <v>0</v>
      </c>
      <c r="E58" s="116">
        <f>(SUMIFS('Bucket Counts'!$P:$P, 'Bucket Counts'!$B:$B, E$2, 'Bucket Counts'!$A:$A, "="&amp;$A58,  'Bucket Counts'!$F:$F, "100 Morts"))</f>
        <v>0</v>
      </c>
      <c r="F58" s="116">
        <f>(SUMIFS('Bucket Counts'!$P:$P, 'Bucket Counts'!$B:$B, F$2, 'Bucket Counts'!$A:$A, "="&amp;$A58,  'Bucket Counts'!$F:$F, "224"))</f>
        <v>0</v>
      </c>
      <c r="G58" s="116"/>
      <c r="H58" s="426">
        <f>(F58+D58)/I57</f>
        <v>0</v>
      </c>
      <c r="I58" s="370">
        <f>D57+SUM(C57:C58)</f>
        <v>127.77777777777779</v>
      </c>
      <c r="J58" s="369">
        <f>SUMIFS(Collection!$O:$O, Collection!$K:$K, J$2, Collection!$A:$A, "="&amp;$A58)</f>
        <v>0</v>
      </c>
      <c r="K58" s="116">
        <f>(SUMIFS('Bucket Counts'!$P:$P, 'Bucket Counts'!$B:$B, K$2, 'Bucket Counts'!$A:$A, "="&amp;$A58,  'Bucket Counts'!$F:$F, "&lt;&gt;100 Morts",  'Bucket Counts'!$F:$F, "&lt;&gt;224"))</f>
        <v>0</v>
      </c>
      <c r="L58" s="116">
        <f>(SUMIFS('Bucket Counts'!$P:$P, 'Bucket Counts'!$B:$B, L$2, 'Bucket Counts'!$A:$A, "="&amp;$A58,  'Bucket Counts'!$F:$F, "100 Morts"))</f>
        <v>0</v>
      </c>
      <c r="M58" s="116">
        <f>(SUMIFS('Bucket Counts'!$P:$P, 'Bucket Counts'!$B:$B, M$2, 'Bucket Counts'!$A:$A, "="&amp;$A58,  'Bucket Counts'!$F:$F, "224"))</f>
        <v>0</v>
      </c>
      <c r="N58" s="116"/>
      <c r="O58" s="426">
        <f>(M58+K58)/P57</f>
        <v>0</v>
      </c>
      <c r="P58" s="370">
        <f>K57+SUM(J57:J58)</f>
        <v>15446.666666666666</v>
      </c>
      <c r="Q58" s="369">
        <f>SUMIFS(Collection!$O:$O, Collection!$K:$K, Q$2, Collection!$A:$A, "="&amp;$A58)</f>
        <v>0</v>
      </c>
      <c r="R58" s="116">
        <f>(SUMIFS('Bucket Counts'!$P:$P, 'Bucket Counts'!$B:$B, R$2, 'Bucket Counts'!$A:$A, "="&amp;$A58,  'Bucket Counts'!$F:$F, "&lt;&gt;100 Morts",  'Bucket Counts'!$F:$F, "&lt;&gt;224"))</f>
        <v>0</v>
      </c>
      <c r="S58" s="116">
        <f>(SUMIFS('Bucket Counts'!$P:$P, 'Bucket Counts'!$B:$B, S$2, 'Bucket Counts'!$A:$A, "="&amp;$A58,  'Bucket Counts'!$F:$F, "100 Morts"))</f>
        <v>0</v>
      </c>
      <c r="T58" s="116">
        <f>(SUMIFS('Bucket Counts'!$P:$P, 'Bucket Counts'!$B:$B, T$2, 'Bucket Counts'!$A:$A, "="&amp;$A58,  'Bucket Counts'!$F:$F, "224"))</f>
        <v>0</v>
      </c>
      <c r="U58" s="116"/>
      <c r="V58" s="426">
        <f>(T58+R58)/W57</f>
        <v>0</v>
      </c>
      <c r="W58" s="370">
        <f>R57+SUM(Q57:Q58)</f>
        <v>13</v>
      </c>
      <c r="X58" s="369">
        <f>SUMIFS(Collection!$O:$O, Collection!$K:$K, X$2, Collection!$A:$A, "="&amp;$A58)</f>
        <v>0</v>
      </c>
      <c r="Y58" s="116">
        <f>(SUMIFS('Bucket Counts'!$P:$P, 'Bucket Counts'!$B:$B, Y$2, 'Bucket Counts'!$A:$A, "="&amp;$A58,  'Bucket Counts'!$F:$F, "&lt;&gt;100 Morts",  'Bucket Counts'!$F:$F, "&lt;&gt;224"))</f>
        <v>0</v>
      </c>
      <c r="Z58" s="116">
        <f>(SUMIFS('Bucket Counts'!$P:$P, 'Bucket Counts'!$B:$B, Z$2, 'Bucket Counts'!$A:$A, "="&amp;$A58,  'Bucket Counts'!$F:$F, "100 Morts"))</f>
        <v>0</v>
      </c>
      <c r="AA58" s="116">
        <f>(SUMIFS('Bucket Counts'!$P:$P, 'Bucket Counts'!$B:$B, AA$2, 'Bucket Counts'!$A:$A, "="&amp;$A58,  'Bucket Counts'!$F:$F, "224"))</f>
        <v>0</v>
      </c>
      <c r="AB58" s="116"/>
      <c r="AC58" s="426">
        <f>(AA58+Y58)/AD57</f>
        <v>0</v>
      </c>
      <c r="AD58" s="370">
        <f>Y57+SUM(X57:X58)</f>
        <v>11606.666666666666</v>
      </c>
      <c r="AE58" s="369">
        <f>SUMIFS(Collection!$O:$O, Collection!$K:$K, AE$2, Collection!$A:$A, "="&amp;$A58)</f>
        <v>0</v>
      </c>
      <c r="AF58" s="116">
        <f>(SUMIFS('Bucket Counts'!$P:$P, 'Bucket Counts'!$B:$B, AF$2, 'Bucket Counts'!$A:$A, "="&amp;$A58,  'Bucket Counts'!$F:$F, "&lt;&gt;100 Morts",  'Bucket Counts'!$F:$F, "&lt;&gt;224"))</f>
        <v>0</v>
      </c>
      <c r="AG58" s="116">
        <f>(SUMIFS('Bucket Counts'!$P:$P, 'Bucket Counts'!$B:$B, AG$2, 'Bucket Counts'!$A:$A, "="&amp;$A58,  'Bucket Counts'!$F:$F, "100 Morts"))</f>
        <v>0</v>
      </c>
      <c r="AH58" s="116">
        <f>(SUMIFS('Bucket Counts'!$P:$P, 'Bucket Counts'!$B:$B, AH$2, 'Bucket Counts'!$A:$A, "="&amp;$A58,  'Bucket Counts'!$F:$F, "224"))</f>
        <v>0</v>
      </c>
      <c r="AI58" s="116"/>
      <c r="AJ58" s="426">
        <f>(AH58+AF58)/AK57</f>
        <v>0</v>
      </c>
      <c r="AK58" s="370">
        <f>AF57+SUM(AE57:AE58)</f>
        <v>73184</v>
      </c>
      <c r="AL58" s="369">
        <f>SUMIFS(Collection!$O:$O, Collection!$K:$K, AL$2, Collection!$A:$A, "="&amp;$A58)</f>
        <v>0</v>
      </c>
      <c r="AM58" s="116">
        <f>(SUMIFS('Bucket Counts'!$P:$P, 'Bucket Counts'!$B:$B, AM$2, 'Bucket Counts'!$A:$A, "="&amp;$A58,  'Bucket Counts'!$F:$F, "&lt;&gt;100 Morts",  'Bucket Counts'!$F:$F, "&lt;&gt;224"))</f>
        <v>0</v>
      </c>
      <c r="AN58" s="116">
        <f>(SUMIFS('Bucket Counts'!$P:$P, 'Bucket Counts'!$B:$B, AN$2, 'Bucket Counts'!$A:$A, "="&amp;$A58,  'Bucket Counts'!$F:$F, "100 Morts"))</f>
        <v>0</v>
      </c>
      <c r="AO58" s="116">
        <f>(SUMIFS('Bucket Counts'!$P:$P, 'Bucket Counts'!$B:$B, AO$2, 'Bucket Counts'!$A:$A, "="&amp;$A58,  'Bucket Counts'!$F:$F, "224"))</f>
        <v>0</v>
      </c>
      <c r="AP58" s="116"/>
      <c r="AQ58" s="426">
        <f>(AO58+AM58)/AR57</f>
        <v>0</v>
      </c>
      <c r="AR58" s="370">
        <f>AM57+SUM(AL57:AL58)</f>
        <v>263.44444444444446</v>
      </c>
      <c r="AS58" s="369">
        <f>SUMIFS(Collection!$O:$O, Collection!$K:$K, AS$2, Collection!$A:$A, "="&amp;$A58)</f>
        <v>0</v>
      </c>
      <c r="AT58" s="116">
        <f>(SUMIFS('Bucket Counts'!$P:$P, 'Bucket Counts'!$B:$B, AT$2, 'Bucket Counts'!$A:$A, "="&amp;$A58,  'Bucket Counts'!$F:$F, "&lt;&gt;100 Morts",  'Bucket Counts'!$F:$F, "&lt;&gt;224"))</f>
        <v>0</v>
      </c>
      <c r="AU58" s="116">
        <f>(SUMIFS('Bucket Counts'!$P:$P, 'Bucket Counts'!$B:$B, AU$2, 'Bucket Counts'!$A:$A, "="&amp;$A58,  'Bucket Counts'!$F:$F, "100 Morts"))</f>
        <v>0</v>
      </c>
      <c r="AV58" s="116">
        <f>(SUMIFS('Bucket Counts'!$P:$P, 'Bucket Counts'!$B:$B, AV$2, 'Bucket Counts'!$A:$A, "="&amp;$A58,  'Bucket Counts'!$F:$F, "224"))</f>
        <v>0</v>
      </c>
      <c r="AW58" s="116"/>
      <c r="AX58" s="426">
        <f>(AV58+AT58)/AY57</f>
        <v>0</v>
      </c>
      <c r="AY58" s="370">
        <f>AT57+SUM(AS57:AS58)</f>
        <v>406.11111111111109</v>
      </c>
      <c r="AZ58" s="369">
        <f>SUMIFS(Collection!$O:$O, Collection!$K:$K, AZ$2, Collection!$A:$A, "="&amp;$A58)</f>
        <v>0</v>
      </c>
      <c r="BA58" s="116">
        <f>(SUMIFS('Bucket Counts'!$P:$P, 'Bucket Counts'!$B:$B, BA$2, 'Bucket Counts'!$A:$A, "="&amp;$A58,  'Bucket Counts'!$F:$F, "&lt;&gt;100 Morts",  'Bucket Counts'!$F:$F, "&lt;&gt;224"))</f>
        <v>0</v>
      </c>
      <c r="BB58" s="116">
        <f>(SUMIFS('Bucket Counts'!$P:$P, 'Bucket Counts'!$B:$B, BB$2, 'Bucket Counts'!$A:$A, "="&amp;$A58,  'Bucket Counts'!$F:$F, "100 Morts"))</f>
        <v>0</v>
      </c>
      <c r="BC58" s="116">
        <f>(SUMIFS('Bucket Counts'!$P:$P, 'Bucket Counts'!$B:$B, BC$2, 'Bucket Counts'!$A:$A, "="&amp;$A58,  'Bucket Counts'!$F:$F, "224"))</f>
        <v>0</v>
      </c>
      <c r="BD58" s="116"/>
      <c r="BE58" s="426">
        <f>(BC58+BA58)/BF57</f>
        <v>0</v>
      </c>
      <c r="BF58" s="370">
        <f>BA57+SUM(AZ57:AZ58)</f>
        <v>27</v>
      </c>
      <c r="BG58" s="369">
        <f>SUMIFS(Collection!$O:$O, Collection!$K:$K, BG$2, Collection!$A:$A, "="&amp;$A58)</f>
        <v>0</v>
      </c>
      <c r="BH58" s="116">
        <f>(SUMIFS('Bucket Counts'!$P:$P, 'Bucket Counts'!$B:$B, BH$2, 'Bucket Counts'!$A:$A, "="&amp;$A58,  'Bucket Counts'!$F:$F, "&lt;&gt;100 Morts",  'Bucket Counts'!$F:$F, "&lt;&gt;224"))</f>
        <v>0</v>
      </c>
      <c r="BI58" s="116">
        <f>(SUMIFS('Bucket Counts'!$P:$P, 'Bucket Counts'!$B:$B, BI$2, 'Bucket Counts'!$A:$A, "="&amp;$A58,  'Bucket Counts'!$F:$F, "100 Morts"))</f>
        <v>0</v>
      </c>
      <c r="BJ58" s="116">
        <f>(SUMIFS('Bucket Counts'!$P:$P, 'Bucket Counts'!$B:$B, BJ$2, 'Bucket Counts'!$A:$A, "="&amp;$A58,  'Bucket Counts'!$F:$F, "224"))</f>
        <v>0</v>
      </c>
      <c r="BK58" s="116"/>
      <c r="BL58" s="426">
        <f>(BJ58+BH58)/BM57</f>
        <v>0</v>
      </c>
      <c r="BM58" s="370">
        <f>BH57+SUM(BG57:BG58)</f>
        <v>49166.666666666664</v>
      </c>
      <c r="BN58" s="369">
        <f>SUMIFS(Collection!$O:$O, Collection!$K:$K, BN$2, Collection!$A:$A, "="&amp;$A58)</f>
        <v>0</v>
      </c>
      <c r="BO58" s="116">
        <f>(SUMIFS('Bucket Counts'!$P:$P, 'Bucket Counts'!$B:$B, BO$2, 'Bucket Counts'!$A:$A, "="&amp;$A58,  'Bucket Counts'!$F:$F, "&lt;&gt;100 Morts",  'Bucket Counts'!$F:$F, "&lt;&gt;224"))</f>
        <v>0</v>
      </c>
      <c r="BP58" s="116">
        <f>(SUMIFS('Bucket Counts'!$P:$P, 'Bucket Counts'!$B:$B, BP$2, 'Bucket Counts'!$A:$A, "="&amp;$A58,  'Bucket Counts'!$F:$F, "100 Morts"))</f>
        <v>0</v>
      </c>
      <c r="BQ58" s="116">
        <f>(SUMIFS('Bucket Counts'!$P:$P, 'Bucket Counts'!$B:$B, BQ$2, 'Bucket Counts'!$A:$A, "="&amp;$A58,  'Bucket Counts'!$F:$F, "224"))</f>
        <v>0</v>
      </c>
      <c r="BR58" s="116"/>
      <c r="BS58" s="426">
        <f>(BQ58+BO58)/BT57</f>
        <v>0</v>
      </c>
      <c r="BT58" s="370">
        <f>BO57+SUM(BN57:BN58)</f>
        <v>19823.333333333336</v>
      </c>
      <c r="BU58" s="369">
        <f>SUMIFS(Collection!$O:$O, Collection!$K:$K, BU$2, Collection!$A:$A, "="&amp;$A58)</f>
        <v>0</v>
      </c>
      <c r="BV58" s="116">
        <f>(SUMIFS('Bucket Counts'!$P:$P, 'Bucket Counts'!$B:$B, BV$2, 'Bucket Counts'!$A:$A, "="&amp;$A58,  'Bucket Counts'!$F:$F, "&lt;&gt;100 Morts",  'Bucket Counts'!$F:$F, "&lt;&gt;224"))</f>
        <v>0</v>
      </c>
      <c r="BW58" s="116">
        <f>(SUMIFS('Bucket Counts'!$P:$P, 'Bucket Counts'!$B:$B, BW$2, 'Bucket Counts'!$A:$A, "="&amp;$A58,  'Bucket Counts'!$F:$F, "100 Morts"))</f>
        <v>0</v>
      </c>
      <c r="BX58" s="116">
        <f>(SUMIFS('Bucket Counts'!$P:$P, 'Bucket Counts'!$B:$B, BX$2, 'Bucket Counts'!$A:$A, "="&amp;$A58,  'Bucket Counts'!$F:$F, "224"))</f>
        <v>0</v>
      </c>
      <c r="BY58" s="116"/>
      <c r="BZ58" s="426">
        <f>(BX58+BV58)/CA57</f>
        <v>0</v>
      </c>
      <c r="CA58" s="370">
        <f>BV57+SUM(BU57:BU58)</f>
        <v>978.33333333333337</v>
      </c>
      <c r="CB58" s="369">
        <f>SUMIFS(Collection!$O:$O, Collection!$K:$K, CB$2, Collection!$A:$A, "="&amp;$A58)</f>
        <v>0</v>
      </c>
      <c r="CC58" s="116">
        <f>(SUMIFS('Bucket Counts'!$P:$P, 'Bucket Counts'!$B:$B, CC$2, 'Bucket Counts'!$A:$A, "="&amp;$A58,  'Bucket Counts'!$F:$F, "&lt;&gt;100 Morts",  'Bucket Counts'!$F:$F, "&lt;&gt;224"))</f>
        <v>0</v>
      </c>
      <c r="CD58" s="116">
        <f>(SUMIFS('Bucket Counts'!$P:$P, 'Bucket Counts'!$B:$B, CD$2, 'Bucket Counts'!$A:$A, "="&amp;$A58,  'Bucket Counts'!$F:$F, "100 Morts"))</f>
        <v>0</v>
      </c>
      <c r="CE58" s="116">
        <f>(SUMIFS('Bucket Counts'!$P:$P, 'Bucket Counts'!$B:$B, CE$2, 'Bucket Counts'!$A:$A, "="&amp;$A58,  'Bucket Counts'!$F:$F, "224"))</f>
        <v>0</v>
      </c>
      <c r="CF58" s="116"/>
      <c r="CG58" s="426">
        <f>(CE58+CC58)/CH57</f>
        <v>0</v>
      </c>
      <c r="CH58" s="370">
        <f>CC57+SUM(CB57:CB58)</f>
        <v>5750</v>
      </c>
      <c r="CI58" s="369">
        <f>SUMIFS(Collection!$O:$O, Collection!$K:$K, CI$2, Collection!$A:$A, "="&amp;$A58)</f>
        <v>0</v>
      </c>
      <c r="CJ58" s="116">
        <f>(SUMIFS('Bucket Counts'!$P:$P, 'Bucket Counts'!$B:$B, CJ$2, 'Bucket Counts'!$A:$A, "="&amp;$A58,  'Bucket Counts'!$F:$F, "&lt;&gt;100 Morts",  'Bucket Counts'!$F:$F, "&lt;&gt;224"))</f>
        <v>0</v>
      </c>
      <c r="CK58" s="116">
        <f>(SUMIFS('Bucket Counts'!$P:$P, 'Bucket Counts'!$B:$B, CK$2, 'Bucket Counts'!$A:$A, "="&amp;$A58,  'Bucket Counts'!$F:$F, "100 Morts"))</f>
        <v>0</v>
      </c>
      <c r="CL58" s="116">
        <f>(SUMIFS('Bucket Counts'!$P:$P, 'Bucket Counts'!$B:$B, CL$2, 'Bucket Counts'!$A:$A, "="&amp;$A58,  'Bucket Counts'!$F:$F, "224"))</f>
        <v>0</v>
      </c>
      <c r="CM58" s="116"/>
      <c r="CN58" s="426">
        <f>(CL58+CJ58)/CO57</f>
        <v>0</v>
      </c>
      <c r="CO58" s="370">
        <f>CJ57+SUM(CI57:CI58)</f>
        <v>1367.7777777777778</v>
      </c>
      <c r="CP58" s="369">
        <f>SUMIFS(Collection!$O:$O, Collection!$K:$K, CP$2, Collection!$A:$A, "="&amp;$A58)</f>
        <v>0</v>
      </c>
      <c r="CQ58" s="116">
        <f>(SUMIFS('Bucket Counts'!$P:$P, 'Bucket Counts'!$B:$B, CQ$2, 'Bucket Counts'!$A:$A, "="&amp;$A58,  'Bucket Counts'!$F:$F, "&lt;&gt;100 Morts",  'Bucket Counts'!$F:$F, "&lt;&gt;224"))</f>
        <v>0</v>
      </c>
      <c r="CR58" s="116">
        <f>(SUMIFS('Bucket Counts'!$P:$P, 'Bucket Counts'!$B:$B, CR$2, 'Bucket Counts'!$A:$A, "="&amp;$A58,  'Bucket Counts'!$F:$F, "100 Morts"))</f>
        <v>0</v>
      </c>
      <c r="CS58" s="116">
        <f>(SUMIFS('Bucket Counts'!$P:$P, 'Bucket Counts'!$B:$B, CS$2, 'Bucket Counts'!$A:$A, "="&amp;$A58,  'Bucket Counts'!$F:$F, "224"))</f>
        <v>0</v>
      </c>
      <c r="CT58" s="116"/>
      <c r="CU58" s="426">
        <f>(CS58+CQ58)/CV57</f>
        <v>0</v>
      </c>
      <c r="CV58" s="370">
        <f>CQ57+SUM(CP57:CP58)</f>
        <v>550</v>
      </c>
      <c r="CW58" s="369">
        <f>SUMIFS(Collection!$O:$O, Collection!$K:$K, CW$2, Collection!$A:$A, "="&amp;$A58)</f>
        <v>0</v>
      </c>
      <c r="CX58" s="116">
        <f>(SUMIFS('Bucket Counts'!$P:$P, 'Bucket Counts'!$B:$B, CX$2, 'Bucket Counts'!$A:$A, "="&amp;$A58,  'Bucket Counts'!$F:$F, "&lt;&gt;100 Morts",  'Bucket Counts'!$F:$F, "&lt;&gt;224"))</f>
        <v>0</v>
      </c>
      <c r="CY58" s="116">
        <f>(SUMIFS('Bucket Counts'!$P:$P, 'Bucket Counts'!$B:$B, CY$2, 'Bucket Counts'!$A:$A, "="&amp;$A58,  'Bucket Counts'!$F:$F, "100 Morts"))</f>
        <v>0</v>
      </c>
      <c r="CZ58" s="116">
        <f>(SUMIFS('Bucket Counts'!$P:$P, 'Bucket Counts'!$B:$B, CZ$2, 'Bucket Counts'!$A:$A, "="&amp;$A58,  'Bucket Counts'!$F:$F, "224"))</f>
        <v>0</v>
      </c>
      <c r="DA58" s="116"/>
      <c r="DB58" s="426">
        <f>(CZ58+CX58)/DC57</f>
        <v>0</v>
      </c>
      <c r="DC58" s="370">
        <f>CX57+SUM(CW57:CW58)</f>
        <v>7775</v>
      </c>
      <c r="DD58" s="369">
        <f>SUMIFS(Collection!$O:$O, Collection!$K:$K, DD$2, Collection!$A:$A, "="&amp;$A58)</f>
        <v>0</v>
      </c>
      <c r="DE58" s="116">
        <f>(SUMIFS('Bucket Counts'!$P:$P, 'Bucket Counts'!$B:$B, DE$2, 'Bucket Counts'!$A:$A, "="&amp;$A58,  'Bucket Counts'!$F:$F, "&lt;&gt;100 Morts",  'Bucket Counts'!$F:$F, "&lt;&gt;224"))</f>
        <v>0</v>
      </c>
      <c r="DF58" s="116">
        <f>(SUMIFS('Bucket Counts'!$P:$P, 'Bucket Counts'!$B:$B, DF$2, 'Bucket Counts'!$A:$A, "="&amp;$A58,  'Bucket Counts'!$F:$F, "100 Morts"))</f>
        <v>0</v>
      </c>
      <c r="DG58" s="116">
        <f>(SUMIFS('Bucket Counts'!$P:$P, 'Bucket Counts'!$B:$B, DG$2, 'Bucket Counts'!$A:$A, "="&amp;$A58,  'Bucket Counts'!$F:$F, "224"))</f>
        <v>0</v>
      </c>
      <c r="DH58" s="116"/>
      <c r="DI58" s="426">
        <f>(DG58+DE58)/DJ57</f>
        <v>0</v>
      </c>
      <c r="DJ58" s="370">
        <f>DE57+SUM(DD57:DD58)</f>
        <v>2277.5</v>
      </c>
      <c r="DK58" s="369">
        <f>SUMIFS(Collection!$O:$O, Collection!$K:$K, DK$2, Collection!$A:$A, "="&amp;$A58)</f>
        <v>0</v>
      </c>
      <c r="DL58" s="116">
        <f>(SUMIFS('Bucket Counts'!$P:$P, 'Bucket Counts'!$B:$B, DL$2, 'Bucket Counts'!$A:$A, "="&amp;$A58,  'Bucket Counts'!$F:$F, "&lt;&gt;100 Morts",  'Bucket Counts'!$F:$F, "&lt;&gt;224"))</f>
        <v>0</v>
      </c>
      <c r="DM58" s="116">
        <f>(SUMIFS('Bucket Counts'!$P:$P, 'Bucket Counts'!$B:$B, DM$2, 'Bucket Counts'!$A:$A, "="&amp;$A58,  'Bucket Counts'!$F:$F, "100 Morts"))</f>
        <v>0</v>
      </c>
      <c r="DN58" s="116">
        <f>(SUMIFS('Bucket Counts'!$P:$P, 'Bucket Counts'!$B:$B, DN$2, 'Bucket Counts'!$A:$A, "="&amp;$A58,  'Bucket Counts'!$F:$F, "224"))</f>
        <v>0</v>
      </c>
      <c r="DO58" s="116"/>
      <c r="DP58" s="426" t="e">
        <f>(DN58+DL58)/DQ57</f>
        <v>#DIV/0!</v>
      </c>
      <c r="DQ58" s="370">
        <f>DL57+SUM(DK57:DK58)</f>
        <v>0</v>
      </c>
      <c r="DR58" s="369">
        <f>SUMIFS(Collection!$O:$O, Collection!$K:$K, DR$2, Collection!$A:$A, "="&amp;$A58)</f>
        <v>0</v>
      </c>
      <c r="DS58" s="116">
        <f>(SUMIFS('Bucket Counts'!$P:$P, 'Bucket Counts'!$B:$B, DS$2, 'Bucket Counts'!$A:$A, "="&amp;$A58,  'Bucket Counts'!$F:$F, "&lt;&gt;100 Morts",  'Bucket Counts'!$F:$F, "&lt;&gt;224"))</f>
        <v>0</v>
      </c>
      <c r="DT58" s="116">
        <f>(SUMIFS('Bucket Counts'!$P:$P, 'Bucket Counts'!$B:$B, DT$2, 'Bucket Counts'!$A:$A, "="&amp;$A58,  'Bucket Counts'!$F:$F, "100 Morts"))</f>
        <v>0</v>
      </c>
      <c r="DU58" s="116">
        <f>(SUMIFS('Bucket Counts'!$P:$P, 'Bucket Counts'!$B:$B, DU$2, 'Bucket Counts'!$A:$A, "="&amp;$A58,  'Bucket Counts'!$F:$F, "224"))</f>
        <v>0</v>
      </c>
      <c r="DV58" s="116"/>
      <c r="DW58" s="426" t="e">
        <f>(DU58+DS58)/DX57</f>
        <v>#DIV/0!</v>
      </c>
      <c r="DX58" s="370">
        <f>DS57+SUM(DR57:DR58)</f>
        <v>0</v>
      </c>
      <c r="DY58" s="369">
        <f>SUMIFS(Collection!$O:$O, Collection!$K:$K, DY$2, Collection!$A:$A, "="&amp;$A58)</f>
        <v>0</v>
      </c>
      <c r="DZ58" s="116">
        <f>(SUMIFS('Bucket Counts'!$P:$P, 'Bucket Counts'!$B:$B, DZ$2, 'Bucket Counts'!$A:$A, "="&amp;$A58,  'Bucket Counts'!$F:$F, "&lt;&gt;100 Morts",  'Bucket Counts'!$F:$F, "&lt;&gt;224"))</f>
        <v>0</v>
      </c>
      <c r="EA58" s="116">
        <f>(SUMIFS('Bucket Counts'!$P:$P, 'Bucket Counts'!$B:$B, EA$2, 'Bucket Counts'!$A:$A, "="&amp;$A58,  'Bucket Counts'!$F:$F, "100 Morts"))</f>
        <v>0</v>
      </c>
      <c r="EB58" s="116">
        <f>(SUMIFS('Bucket Counts'!$P:$P, 'Bucket Counts'!$B:$B, EB$2, 'Bucket Counts'!$A:$A, "="&amp;$A58,  'Bucket Counts'!$F:$F, "224"))</f>
        <v>0</v>
      </c>
      <c r="EC58" s="116"/>
      <c r="ED58" s="426" t="e">
        <f>(EB58+DZ58)/EE57</f>
        <v>#DIV/0!</v>
      </c>
      <c r="EE58" s="370">
        <f>DZ57+SUM(DY57:DY58)</f>
        <v>0</v>
      </c>
      <c r="EF58" s="369">
        <f>SUMIFS(Collection!$O:$O, Collection!$K:$K, EF$2, Collection!$A:$A, "="&amp;$A58)</f>
        <v>0</v>
      </c>
      <c r="EG58" s="116">
        <f>(SUMIFS('Bucket Counts'!$P:$P, 'Bucket Counts'!$B:$B, EG$2, 'Bucket Counts'!$A:$A, "="&amp;$A58,  'Bucket Counts'!$F:$F, "&lt;&gt;100 Morts",  'Bucket Counts'!$F:$F, "&lt;&gt;224"))</f>
        <v>0</v>
      </c>
      <c r="EH58" s="116">
        <f>(SUMIFS('Bucket Counts'!$P:$P, 'Bucket Counts'!$B:$B, EH$2, 'Bucket Counts'!$A:$A, "="&amp;$A58,  'Bucket Counts'!$F:$F, "100 Morts"))</f>
        <v>0</v>
      </c>
      <c r="EI58" s="116">
        <f>(SUMIFS('Bucket Counts'!$P:$P, 'Bucket Counts'!$B:$B, EI$2, 'Bucket Counts'!$A:$A, "="&amp;$A58,  'Bucket Counts'!$F:$F, "224"))</f>
        <v>0</v>
      </c>
      <c r="EJ58" s="116"/>
      <c r="EK58" s="426" t="e">
        <f>(EI58+EG58)/EL57</f>
        <v>#DIV/0!</v>
      </c>
      <c r="EL58" s="370">
        <f>EG57+SUM(EF57:EF58)</f>
        <v>0</v>
      </c>
    </row>
    <row r="59" spans="1:142" x14ac:dyDescent="0.2">
      <c r="A59" s="16">
        <f t="shared" si="0"/>
        <v>42928</v>
      </c>
      <c r="B59" s="16" t="s">
        <v>487</v>
      </c>
      <c r="C59" s="369">
        <f>SUMIFS(Collection!$O:$O, Collection!$K:$K, C$2, Collection!$A:$A, "="&amp;$A59)</f>
        <v>0</v>
      </c>
      <c r="D59" s="116">
        <f>(SUMIFS('Bucket Counts'!$P:$P, 'Bucket Counts'!$B:$B, D$2, 'Bucket Counts'!$A:$A, "="&amp;$A59,  'Bucket Counts'!$F:$F, "&lt;&gt;100 Morts",  'Bucket Counts'!$F:$F, "&lt;&gt;224"))</f>
        <v>0</v>
      </c>
      <c r="E59" s="116">
        <f>(SUMIFS('Bucket Counts'!$P:$P, 'Bucket Counts'!$B:$B, E$2, 'Bucket Counts'!$A:$A, "="&amp;$A59,  'Bucket Counts'!$F:$F, "100 Morts"))</f>
        <v>0</v>
      </c>
      <c r="F59" s="116">
        <f>(SUMIFS('Bucket Counts'!$P:$P, 'Bucket Counts'!$B:$B, F$2, 'Bucket Counts'!$A:$A, "="&amp;$A59,  'Bucket Counts'!$F:$F, "224"))</f>
        <v>0</v>
      </c>
      <c r="G59" s="116"/>
      <c r="H59" s="426">
        <f>(F59+D59)/I58</f>
        <v>0</v>
      </c>
      <c r="I59" s="370">
        <f>D57+SUM(C57:C59)</f>
        <v>127.77777777777779</v>
      </c>
      <c r="J59" s="369">
        <f>SUMIFS(Collection!$O:$O, Collection!$K:$K, J$2, Collection!$A:$A, "="&amp;$A59)</f>
        <v>0</v>
      </c>
      <c r="K59" s="116">
        <f>(SUMIFS('Bucket Counts'!$P:$P, 'Bucket Counts'!$B:$B, K$2, 'Bucket Counts'!$A:$A, "="&amp;$A59,  'Bucket Counts'!$F:$F, "&lt;&gt;100 Morts",  'Bucket Counts'!$F:$F, "&lt;&gt;224"))</f>
        <v>0</v>
      </c>
      <c r="L59" s="116">
        <f>(SUMIFS('Bucket Counts'!$P:$P, 'Bucket Counts'!$B:$B, L$2, 'Bucket Counts'!$A:$A, "="&amp;$A59,  'Bucket Counts'!$F:$F, "100 Morts"))</f>
        <v>0</v>
      </c>
      <c r="M59" s="116">
        <f>(SUMIFS('Bucket Counts'!$P:$P, 'Bucket Counts'!$B:$B, M$2, 'Bucket Counts'!$A:$A, "="&amp;$A59,  'Bucket Counts'!$F:$F, "224"))</f>
        <v>0</v>
      </c>
      <c r="N59" s="116"/>
      <c r="O59" s="426">
        <f>(M59+K59)/P58</f>
        <v>0</v>
      </c>
      <c r="P59" s="370">
        <f>K57+SUM(J57:J59)</f>
        <v>15446.666666666666</v>
      </c>
      <c r="Q59" s="369">
        <f>SUMIFS(Collection!$O:$O, Collection!$K:$K, Q$2, Collection!$A:$A, "="&amp;$A59)</f>
        <v>0</v>
      </c>
      <c r="R59" s="116">
        <f>(SUMIFS('Bucket Counts'!$P:$P, 'Bucket Counts'!$B:$B, R$2, 'Bucket Counts'!$A:$A, "="&amp;$A59,  'Bucket Counts'!$F:$F, "&lt;&gt;100 Morts",  'Bucket Counts'!$F:$F, "&lt;&gt;224"))</f>
        <v>0</v>
      </c>
      <c r="S59" s="116">
        <f>(SUMIFS('Bucket Counts'!$P:$P, 'Bucket Counts'!$B:$B, S$2, 'Bucket Counts'!$A:$A, "="&amp;$A59,  'Bucket Counts'!$F:$F, "100 Morts"))</f>
        <v>0</v>
      </c>
      <c r="T59" s="116">
        <f>(SUMIFS('Bucket Counts'!$P:$P, 'Bucket Counts'!$B:$B, T$2, 'Bucket Counts'!$A:$A, "="&amp;$A59,  'Bucket Counts'!$F:$F, "224"))</f>
        <v>0</v>
      </c>
      <c r="U59" s="116"/>
      <c r="V59" s="426">
        <f>(T59+R59)/W58</f>
        <v>0</v>
      </c>
      <c r="W59" s="370">
        <f>R57+SUM(Q57:Q59)</f>
        <v>13</v>
      </c>
      <c r="X59" s="369">
        <f>SUMIFS(Collection!$O:$O, Collection!$K:$K, X$2, Collection!$A:$A, "="&amp;$A59)</f>
        <v>0</v>
      </c>
      <c r="Y59" s="116">
        <f>(SUMIFS('Bucket Counts'!$P:$P, 'Bucket Counts'!$B:$B, Y$2, 'Bucket Counts'!$A:$A, "="&amp;$A59,  'Bucket Counts'!$F:$F, "&lt;&gt;100 Morts",  'Bucket Counts'!$F:$F, "&lt;&gt;224"))</f>
        <v>0</v>
      </c>
      <c r="Z59" s="116">
        <f>(SUMIFS('Bucket Counts'!$P:$P, 'Bucket Counts'!$B:$B, Z$2, 'Bucket Counts'!$A:$A, "="&amp;$A59,  'Bucket Counts'!$F:$F, "100 Morts"))</f>
        <v>0</v>
      </c>
      <c r="AA59" s="116">
        <f>(SUMIFS('Bucket Counts'!$P:$P, 'Bucket Counts'!$B:$B, AA$2, 'Bucket Counts'!$A:$A, "="&amp;$A59,  'Bucket Counts'!$F:$F, "224"))</f>
        <v>0</v>
      </c>
      <c r="AB59" s="116"/>
      <c r="AC59" s="426">
        <f>(AA59+Y59)/AD58</f>
        <v>0</v>
      </c>
      <c r="AD59" s="370">
        <f>Y57+SUM(X57:X59)</f>
        <v>11606.666666666666</v>
      </c>
      <c r="AE59" s="369">
        <f>SUMIFS(Collection!$O:$O, Collection!$K:$K, AE$2, Collection!$A:$A, "="&amp;$A59)</f>
        <v>0</v>
      </c>
      <c r="AF59" s="116">
        <f>(SUMIFS('Bucket Counts'!$P:$P, 'Bucket Counts'!$B:$B, AF$2, 'Bucket Counts'!$A:$A, "="&amp;$A59,  'Bucket Counts'!$F:$F, "&lt;&gt;100 Morts",  'Bucket Counts'!$F:$F, "&lt;&gt;224"))</f>
        <v>0</v>
      </c>
      <c r="AG59" s="116">
        <f>(SUMIFS('Bucket Counts'!$P:$P, 'Bucket Counts'!$B:$B, AG$2, 'Bucket Counts'!$A:$A, "="&amp;$A59,  'Bucket Counts'!$F:$F, "100 Morts"))</f>
        <v>0</v>
      </c>
      <c r="AH59" s="116">
        <f>(SUMIFS('Bucket Counts'!$P:$P, 'Bucket Counts'!$B:$B, AH$2, 'Bucket Counts'!$A:$A, "="&amp;$A59,  'Bucket Counts'!$F:$F, "224"))</f>
        <v>0</v>
      </c>
      <c r="AI59" s="116"/>
      <c r="AJ59" s="426">
        <f>(AH59+AF59)/AK58</f>
        <v>0</v>
      </c>
      <c r="AK59" s="370">
        <f>AF57+SUM(AE57:AE59)</f>
        <v>73184</v>
      </c>
      <c r="AL59" s="369">
        <f>SUMIFS(Collection!$O:$O, Collection!$K:$K, AL$2, Collection!$A:$A, "="&amp;$A59)</f>
        <v>0</v>
      </c>
      <c r="AM59" s="116">
        <f>(SUMIFS('Bucket Counts'!$P:$P, 'Bucket Counts'!$B:$B, AM$2, 'Bucket Counts'!$A:$A, "="&amp;$A59,  'Bucket Counts'!$F:$F, "&lt;&gt;100 Morts",  'Bucket Counts'!$F:$F, "&lt;&gt;224"))</f>
        <v>0</v>
      </c>
      <c r="AN59" s="116">
        <f>(SUMIFS('Bucket Counts'!$P:$P, 'Bucket Counts'!$B:$B, AN$2, 'Bucket Counts'!$A:$A, "="&amp;$A59,  'Bucket Counts'!$F:$F, "100 Morts"))</f>
        <v>0</v>
      </c>
      <c r="AO59" s="116">
        <f>(SUMIFS('Bucket Counts'!$P:$P, 'Bucket Counts'!$B:$B, AO$2, 'Bucket Counts'!$A:$A, "="&amp;$A59,  'Bucket Counts'!$F:$F, "224"))</f>
        <v>0</v>
      </c>
      <c r="AP59" s="116"/>
      <c r="AQ59" s="426">
        <f>(AO59+AM59)/AR58</f>
        <v>0</v>
      </c>
      <c r="AR59" s="370">
        <f>AM57+SUM(AL57:AL59)</f>
        <v>263.44444444444446</v>
      </c>
      <c r="AS59" s="369">
        <f>SUMIFS(Collection!$O:$O, Collection!$K:$K, AS$2, Collection!$A:$A, "="&amp;$A59)</f>
        <v>0</v>
      </c>
      <c r="AT59" s="116">
        <f>(SUMIFS('Bucket Counts'!$P:$P, 'Bucket Counts'!$B:$B, AT$2, 'Bucket Counts'!$A:$A, "="&amp;$A59,  'Bucket Counts'!$F:$F, "&lt;&gt;100 Morts",  'Bucket Counts'!$F:$F, "&lt;&gt;224"))</f>
        <v>0</v>
      </c>
      <c r="AU59" s="116">
        <f>(SUMIFS('Bucket Counts'!$P:$P, 'Bucket Counts'!$B:$B, AU$2, 'Bucket Counts'!$A:$A, "="&amp;$A59,  'Bucket Counts'!$F:$F, "100 Morts"))</f>
        <v>0</v>
      </c>
      <c r="AV59" s="116">
        <f>(SUMIFS('Bucket Counts'!$P:$P, 'Bucket Counts'!$B:$B, AV$2, 'Bucket Counts'!$A:$A, "="&amp;$A59,  'Bucket Counts'!$F:$F, "224"))</f>
        <v>0</v>
      </c>
      <c r="AW59" s="116"/>
      <c r="AX59" s="426">
        <f>(AV59+AT59)/AY58</f>
        <v>0</v>
      </c>
      <c r="AY59" s="370">
        <f>AT57+SUM(AS57:AS59)</f>
        <v>406.11111111111109</v>
      </c>
      <c r="AZ59" s="369">
        <f>SUMIFS(Collection!$O:$O, Collection!$K:$K, AZ$2, Collection!$A:$A, "="&amp;$A59)</f>
        <v>0</v>
      </c>
      <c r="BA59" s="116">
        <f>(SUMIFS('Bucket Counts'!$P:$P, 'Bucket Counts'!$B:$B, BA$2, 'Bucket Counts'!$A:$A, "="&amp;$A59,  'Bucket Counts'!$F:$F, "&lt;&gt;100 Morts",  'Bucket Counts'!$F:$F, "&lt;&gt;224"))</f>
        <v>0</v>
      </c>
      <c r="BB59" s="116">
        <f>(SUMIFS('Bucket Counts'!$P:$P, 'Bucket Counts'!$B:$B, BB$2, 'Bucket Counts'!$A:$A, "="&amp;$A59,  'Bucket Counts'!$F:$F, "100 Morts"))</f>
        <v>0</v>
      </c>
      <c r="BC59" s="116">
        <f>(SUMIFS('Bucket Counts'!$P:$P, 'Bucket Counts'!$B:$B, BC$2, 'Bucket Counts'!$A:$A, "="&amp;$A59,  'Bucket Counts'!$F:$F, "224"))</f>
        <v>0</v>
      </c>
      <c r="BD59" s="116"/>
      <c r="BE59" s="426">
        <f>(BC59+BA59)/BF58</f>
        <v>0</v>
      </c>
      <c r="BF59" s="370">
        <f>BA57+SUM(AZ57:AZ59)</f>
        <v>27</v>
      </c>
      <c r="BG59" s="369">
        <f>SUMIFS(Collection!$O:$O, Collection!$K:$K, BG$2, Collection!$A:$A, "="&amp;$A59)</f>
        <v>0</v>
      </c>
      <c r="BH59" s="116">
        <f>(SUMIFS('Bucket Counts'!$P:$P, 'Bucket Counts'!$B:$B, BH$2, 'Bucket Counts'!$A:$A, "="&amp;$A59,  'Bucket Counts'!$F:$F, "&lt;&gt;100 Morts",  'Bucket Counts'!$F:$F, "&lt;&gt;224"))</f>
        <v>0</v>
      </c>
      <c r="BI59" s="116">
        <f>(SUMIFS('Bucket Counts'!$P:$P, 'Bucket Counts'!$B:$B, BI$2, 'Bucket Counts'!$A:$A, "="&amp;$A59,  'Bucket Counts'!$F:$F, "100 Morts"))</f>
        <v>0</v>
      </c>
      <c r="BJ59" s="116">
        <f>(SUMIFS('Bucket Counts'!$P:$P, 'Bucket Counts'!$B:$B, BJ$2, 'Bucket Counts'!$A:$A, "="&amp;$A59,  'Bucket Counts'!$F:$F, "224"))</f>
        <v>0</v>
      </c>
      <c r="BK59" s="116"/>
      <c r="BL59" s="426">
        <f>(BJ59+BH59)/BM58</f>
        <v>0</v>
      </c>
      <c r="BM59" s="370">
        <f>BH57+SUM(BG57:BG59)</f>
        <v>49166.666666666664</v>
      </c>
      <c r="BN59" s="369">
        <f>SUMIFS(Collection!$O:$O, Collection!$K:$K, BN$2, Collection!$A:$A, "="&amp;$A59)</f>
        <v>0</v>
      </c>
      <c r="BO59" s="116">
        <f>(SUMIFS('Bucket Counts'!$P:$P, 'Bucket Counts'!$B:$B, BO$2, 'Bucket Counts'!$A:$A, "="&amp;$A59,  'Bucket Counts'!$F:$F, "&lt;&gt;100 Morts",  'Bucket Counts'!$F:$F, "&lt;&gt;224"))</f>
        <v>0</v>
      </c>
      <c r="BP59" s="116">
        <f>(SUMIFS('Bucket Counts'!$P:$P, 'Bucket Counts'!$B:$B, BP$2, 'Bucket Counts'!$A:$A, "="&amp;$A59,  'Bucket Counts'!$F:$F, "100 Morts"))</f>
        <v>0</v>
      </c>
      <c r="BQ59" s="116">
        <f>(SUMIFS('Bucket Counts'!$P:$P, 'Bucket Counts'!$B:$B, BQ$2, 'Bucket Counts'!$A:$A, "="&amp;$A59,  'Bucket Counts'!$F:$F, "224"))</f>
        <v>0</v>
      </c>
      <c r="BR59" s="116"/>
      <c r="BS59" s="426">
        <f>(BQ59+BO59)/BT58</f>
        <v>0</v>
      </c>
      <c r="BT59" s="370">
        <f>BO57+SUM(BN57:BN59)</f>
        <v>19823.333333333336</v>
      </c>
      <c r="BU59" s="369">
        <f>SUMIFS(Collection!$O:$O, Collection!$K:$K, BU$2, Collection!$A:$A, "="&amp;$A59)</f>
        <v>0</v>
      </c>
      <c r="BV59" s="116">
        <f>(SUMIFS('Bucket Counts'!$P:$P, 'Bucket Counts'!$B:$B, BV$2, 'Bucket Counts'!$A:$A, "="&amp;$A59,  'Bucket Counts'!$F:$F, "&lt;&gt;100 Morts",  'Bucket Counts'!$F:$F, "&lt;&gt;224"))</f>
        <v>0</v>
      </c>
      <c r="BW59" s="116">
        <f>(SUMIFS('Bucket Counts'!$P:$P, 'Bucket Counts'!$B:$B, BW$2, 'Bucket Counts'!$A:$A, "="&amp;$A59,  'Bucket Counts'!$F:$F, "100 Morts"))</f>
        <v>0</v>
      </c>
      <c r="BX59" s="116">
        <f>(SUMIFS('Bucket Counts'!$P:$P, 'Bucket Counts'!$B:$B, BX$2, 'Bucket Counts'!$A:$A, "="&amp;$A59,  'Bucket Counts'!$F:$F, "224"))</f>
        <v>0</v>
      </c>
      <c r="BY59" s="116"/>
      <c r="BZ59" s="426">
        <f>(BX59+BV59)/CA58</f>
        <v>0</v>
      </c>
      <c r="CA59" s="370">
        <f>BV57+SUM(BU57:BU59)</f>
        <v>978.33333333333337</v>
      </c>
      <c r="CB59" s="369">
        <f>SUMIFS(Collection!$O:$O, Collection!$K:$K, CB$2, Collection!$A:$A, "="&amp;$A59)</f>
        <v>0</v>
      </c>
      <c r="CC59" s="116">
        <f>(SUMIFS('Bucket Counts'!$P:$P, 'Bucket Counts'!$B:$B, CC$2, 'Bucket Counts'!$A:$A, "="&amp;$A59,  'Bucket Counts'!$F:$F, "&lt;&gt;100 Morts",  'Bucket Counts'!$F:$F, "&lt;&gt;224"))</f>
        <v>0</v>
      </c>
      <c r="CD59" s="116">
        <f>(SUMIFS('Bucket Counts'!$P:$P, 'Bucket Counts'!$B:$B, CD$2, 'Bucket Counts'!$A:$A, "="&amp;$A59,  'Bucket Counts'!$F:$F, "100 Morts"))</f>
        <v>0</v>
      </c>
      <c r="CE59" s="116">
        <f>(SUMIFS('Bucket Counts'!$P:$P, 'Bucket Counts'!$B:$B, CE$2, 'Bucket Counts'!$A:$A, "="&amp;$A59,  'Bucket Counts'!$F:$F, "224"))</f>
        <v>0</v>
      </c>
      <c r="CF59" s="116"/>
      <c r="CG59" s="426">
        <f>(CE59+CC59)/CH58</f>
        <v>0</v>
      </c>
      <c r="CH59" s="370">
        <f>CC57+SUM(CB57:CB59)</f>
        <v>5750</v>
      </c>
      <c r="CI59" s="369">
        <f>SUMIFS(Collection!$O:$O, Collection!$K:$K, CI$2, Collection!$A:$A, "="&amp;$A59)</f>
        <v>0</v>
      </c>
      <c r="CJ59" s="116">
        <f>(SUMIFS('Bucket Counts'!$P:$P, 'Bucket Counts'!$B:$B, CJ$2, 'Bucket Counts'!$A:$A, "="&amp;$A59,  'Bucket Counts'!$F:$F, "&lt;&gt;100 Morts",  'Bucket Counts'!$F:$F, "&lt;&gt;224"))</f>
        <v>0</v>
      </c>
      <c r="CK59" s="116">
        <f>(SUMIFS('Bucket Counts'!$P:$P, 'Bucket Counts'!$B:$B, CK$2, 'Bucket Counts'!$A:$A, "="&amp;$A59,  'Bucket Counts'!$F:$F, "100 Morts"))</f>
        <v>0</v>
      </c>
      <c r="CL59" s="116">
        <f>(SUMIFS('Bucket Counts'!$P:$P, 'Bucket Counts'!$B:$B, CL$2, 'Bucket Counts'!$A:$A, "="&amp;$A59,  'Bucket Counts'!$F:$F, "224"))</f>
        <v>0</v>
      </c>
      <c r="CM59" s="116"/>
      <c r="CN59" s="426">
        <f>(CL59+CJ59)/CO58</f>
        <v>0</v>
      </c>
      <c r="CO59" s="370">
        <f>CJ57+SUM(CI57:CI59)</f>
        <v>1367.7777777777778</v>
      </c>
      <c r="CP59" s="369">
        <f>SUMIFS(Collection!$O:$O, Collection!$K:$K, CP$2, Collection!$A:$A, "="&amp;$A59)</f>
        <v>0</v>
      </c>
      <c r="CQ59" s="116">
        <f>(SUMIFS('Bucket Counts'!$P:$P, 'Bucket Counts'!$B:$B, CQ$2, 'Bucket Counts'!$A:$A, "="&amp;$A59,  'Bucket Counts'!$F:$F, "&lt;&gt;100 Morts",  'Bucket Counts'!$F:$F, "&lt;&gt;224"))</f>
        <v>0</v>
      </c>
      <c r="CR59" s="116">
        <f>(SUMIFS('Bucket Counts'!$P:$P, 'Bucket Counts'!$B:$B, CR$2, 'Bucket Counts'!$A:$A, "="&amp;$A59,  'Bucket Counts'!$F:$F, "100 Morts"))</f>
        <v>0</v>
      </c>
      <c r="CS59" s="116">
        <f>(SUMIFS('Bucket Counts'!$P:$P, 'Bucket Counts'!$B:$B, CS$2, 'Bucket Counts'!$A:$A, "="&amp;$A59,  'Bucket Counts'!$F:$F, "224"))</f>
        <v>0</v>
      </c>
      <c r="CT59" s="116"/>
      <c r="CU59" s="426">
        <f>(CS59+CQ59)/CV58</f>
        <v>0</v>
      </c>
      <c r="CV59" s="370">
        <f>CQ57+SUM(CP57:CP59)</f>
        <v>550</v>
      </c>
      <c r="CW59" s="369">
        <f>SUMIFS(Collection!$O:$O, Collection!$K:$K, CW$2, Collection!$A:$A, "="&amp;$A59)</f>
        <v>0</v>
      </c>
      <c r="CX59" s="116">
        <f>(SUMIFS('Bucket Counts'!$P:$P, 'Bucket Counts'!$B:$B, CX$2, 'Bucket Counts'!$A:$A, "="&amp;$A59,  'Bucket Counts'!$F:$F, "&lt;&gt;100 Morts",  'Bucket Counts'!$F:$F, "&lt;&gt;224"))</f>
        <v>0</v>
      </c>
      <c r="CY59" s="116">
        <f>(SUMIFS('Bucket Counts'!$P:$P, 'Bucket Counts'!$B:$B, CY$2, 'Bucket Counts'!$A:$A, "="&amp;$A59,  'Bucket Counts'!$F:$F, "100 Morts"))</f>
        <v>0</v>
      </c>
      <c r="CZ59" s="116">
        <f>(SUMIFS('Bucket Counts'!$P:$P, 'Bucket Counts'!$B:$B, CZ$2, 'Bucket Counts'!$A:$A, "="&amp;$A59,  'Bucket Counts'!$F:$F, "224"))</f>
        <v>0</v>
      </c>
      <c r="DA59" s="116"/>
      <c r="DB59" s="426">
        <f>(CZ59+CX59)/DC58</f>
        <v>0</v>
      </c>
      <c r="DC59" s="370">
        <f>CX57+SUM(CW57:CW59)</f>
        <v>7775</v>
      </c>
      <c r="DD59" s="369">
        <f>SUMIFS(Collection!$O:$O, Collection!$K:$K, DD$2, Collection!$A:$A, "="&amp;$A59)</f>
        <v>0</v>
      </c>
      <c r="DE59" s="116">
        <f>(SUMIFS('Bucket Counts'!$P:$P, 'Bucket Counts'!$B:$B, DE$2, 'Bucket Counts'!$A:$A, "="&amp;$A59,  'Bucket Counts'!$F:$F, "&lt;&gt;100 Morts",  'Bucket Counts'!$F:$F, "&lt;&gt;224"))</f>
        <v>0</v>
      </c>
      <c r="DF59" s="116">
        <f>(SUMIFS('Bucket Counts'!$P:$P, 'Bucket Counts'!$B:$B, DF$2, 'Bucket Counts'!$A:$A, "="&amp;$A59,  'Bucket Counts'!$F:$F, "100 Morts"))</f>
        <v>0</v>
      </c>
      <c r="DG59" s="116">
        <f>(SUMIFS('Bucket Counts'!$P:$P, 'Bucket Counts'!$B:$B, DG$2, 'Bucket Counts'!$A:$A, "="&amp;$A59,  'Bucket Counts'!$F:$F, "224"))</f>
        <v>0</v>
      </c>
      <c r="DH59" s="116"/>
      <c r="DI59" s="426">
        <f>(DG59+DE59)/DJ58</f>
        <v>0</v>
      </c>
      <c r="DJ59" s="370">
        <f>DE57+SUM(DD57:DD59)</f>
        <v>2277.5</v>
      </c>
      <c r="DK59" s="369">
        <f>SUMIFS(Collection!$O:$O, Collection!$K:$K, DK$2, Collection!$A:$A, "="&amp;$A59)</f>
        <v>0</v>
      </c>
      <c r="DL59" s="116">
        <f>(SUMIFS('Bucket Counts'!$P:$P, 'Bucket Counts'!$B:$B, DL$2, 'Bucket Counts'!$A:$A, "="&amp;$A59,  'Bucket Counts'!$F:$F, "&lt;&gt;100 Morts",  'Bucket Counts'!$F:$F, "&lt;&gt;224"))</f>
        <v>0</v>
      </c>
      <c r="DM59" s="116">
        <f>(SUMIFS('Bucket Counts'!$P:$P, 'Bucket Counts'!$B:$B, DM$2, 'Bucket Counts'!$A:$A, "="&amp;$A59,  'Bucket Counts'!$F:$F, "100 Morts"))</f>
        <v>0</v>
      </c>
      <c r="DN59" s="116">
        <f>(SUMIFS('Bucket Counts'!$P:$P, 'Bucket Counts'!$B:$B, DN$2, 'Bucket Counts'!$A:$A, "="&amp;$A59,  'Bucket Counts'!$F:$F, "224"))</f>
        <v>0</v>
      </c>
      <c r="DO59" s="116"/>
      <c r="DP59" s="426" t="e">
        <f>(DN59+DL59)/DQ58</f>
        <v>#DIV/0!</v>
      </c>
      <c r="DQ59" s="370">
        <f>DL57+SUM(DK57:DK59)</f>
        <v>0</v>
      </c>
      <c r="DR59" s="369">
        <f>SUMIFS(Collection!$O:$O, Collection!$K:$K, DR$2, Collection!$A:$A, "="&amp;$A59)</f>
        <v>0</v>
      </c>
      <c r="DS59" s="116">
        <f>(SUMIFS('Bucket Counts'!$P:$P, 'Bucket Counts'!$B:$B, DS$2, 'Bucket Counts'!$A:$A, "="&amp;$A59,  'Bucket Counts'!$F:$F, "&lt;&gt;100 Morts",  'Bucket Counts'!$F:$F, "&lt;&gt;224"))</f>
        <v>0</v>
      </c>
      <c r="DT59" s="116">
        <f>(SUMIFS('Bucket Counts'!$P:$P, 'Bucket Counts'!$B:$B, DT$2, 'Bucket Counts'!$A:$A, "="&amp;$A59,  'Bucket Counts'!$F:$F, "100 Morts"))</f>
        <v>0</v>
      </c>
      <c r="DU59" s="116">
        <f>(SUMIFS('Bucket Counts'!$P:$P, 'Bucket Counts'!$B:$B, DU$2, 'Bucket Counts'!$A:$A, "="&amp;$A59,  'Bucket Counts'!$F:$F, "224"))</f>
        <v>0</v>
      </c>
      <c r="DV59" s="116"/>
      <c r="DW59" s="426" t="e">
        <f>(DU59+DS59)/DX58</f>
        <v>#DIV/0!</v>
      </c>
      <c r="DX59" s="370">
        <f>DS57+SUM(DR57:DR59)</f>
        <v>0</v>
      </c>
      <c r="DY59" s="369">
        <f>SUMIFS(Collection!$O:$O, Collection!$K:$K, DY$2, Collection!$A:$A, "="&amp;$A59)</f>
        <v>0</v>
      </c>
      <c r="DZ59" s="116">
        <f>(SUMIFS('Bucket Counts'!$P:$P, 'Bucket Counts'!$B:$B, DZ$2, 'Bucket Counts'!$A:$A, "="&amp;$A59,  'Bucket Counts'!$F:$F, "&lt;&gt;100 Morts",  'Bucket Counts'!$F:$F, "&lt;&gt;224"))</f>
        <v>0</v>
      </c>
      <c r="EA59" s="116">
        <f>(SUMIFS('Bucket Counts'!$P:$P, 'Bucket Counts'!$B:$B, EA$2, 'Bucket Counts'!$A:$A, "="&amp;$A59,  'Bucket Counts'!$F:$F, "100 Morts"))</f>
        <v>0</v>
      </c>
      <c r="EB59" s="116">
        <f>(SUMIFS('Bucket Counts'!$P:$P, 'Bucket Counts'!$B:$B, EB$2, 'Bucket Counts'!$A:$A, "="&amp;$A59,  'Bucket Counts'!$F:$F, "224"))</f>
        <v>0</v>
      </c>
      <c r="EC59" s="116"/>
      <c r="ED59" s="426" t="e">
        <f>(EB59+DZ59)/EE58</f>
        <v>#DIV/0!</v>
      </c>
      <c r="EE59" s="370">
        <f>DZ57+SUM(DY57:DY59)</f>
        <v>0</v>
      </c>
      <c r="EF59" s="369">
        <f>SUMIFS(Collection!$O:$O, Collection!$K:$K, EF$2, Collection!$A:$A, "="&amp;$A59)</f>
        <v>0</v>
      </c>
      <c r="EG59" s="116">
        <f>(SUMIFS('Bucket Counts'!$P:$P, 'Bucket Counts'!$B:$B, EG$2, 'Bucket Counts'!$A:$A, "="&amp;$A59,  'Bucket Counts'!$F:$F, "&lt;&gt;100 Morts",  'Bucket Counts'!$F:$F, "&lt;&gt;224"))</f>
        <v>0</v>
      </c>
      <c r="EH59" s="116">
        <f>(SUMIFS('Bucket Counts'!$P:$P, 'Bucket Counts'!$B:$B, EH$2, 'Bucket Counts'!$A:$A, "="&amp;$A59,  'Bucket Counts'!$F:$F, "100 Morts"))</f>
        <v>0</v>
      </c>
      <c r="EI59" s="116">
        <f>(SUMIFS('Bucket Counts'!$P:$P, 'Bucket Counts'!$B:$B, EI$2, 'Bucket Counts'!$A:$A, "="&amp;$A59,  'Bucket Counts'!$F:$F, "224"))</f>
        <v>0</v>
      </c>
      <c r="EJ59" s="116"/>
      <c r="EK59" s="426" t="e">
        <f>(EI59+EG59)/EL58</f>
        <v>#DIV/0!</v>
      </c>
      <c r="EL59" s="370">
        <f>EG57+SUM(EF57:EF59)</f>
        <v>0</v>
      </c>
    </row>
    <row r="60" spans="1:142" s="434" customFormat="1" x14ac:dyDescent="0.2">
      <c r="A60" s="428">
        <f t="shared" si="0"/>
        <v>42929</v>
      </c>
      <c r="B60" s="428" t="s">
        <v>486</v>
      </c>
      <c r="C60" s="429">
        <f>SUMIFS(Collection!$O:$O, Collection!$K:$K, C$2, Collection!$A:$A, "="&amp;$A60)</f>
        <v>0</v>
      </c>
      <c r="D60" s="430">
        <f>(SUMIFS('Bucket Counts'!$P:$P, 'Bucket Counts'!$B:$B, D$2, 'Bucket Counts'!$A:$A, "="&amp;$A60,  'Bucket Counts'!$F:$F, "&lt;&gt;100 Morts",  'Bucket Counts'!$F:$F, "&lt;&gt;224"))</f>
        <v>45</v>
      </c>
      <c r="E60" s="430">
        <f>(SUMIFS('Bucket Counts'!$P:$P, 'Bucket Counts'!$B:$B, E$2, 'Bucket Counts'!$A:$A, "="&amp;$A60,  'Bucket Counts'!$F:$F, "100 Morts"))</f>
        <v>0</v>
      </c>
      <c r="F60" s="430">
        <f>(SUMIFS('Bucket Counts'!$P:$P, 'Bucket Counts'!$B:$B, F$2, 'Bucket Counts'!$A:$A, "="&amp;$A60,  'Bucket Counts'!$F:$F, "224"))</f>
        <v>1</v>
      </c>
      <c r="G60" s="430">
        <f>I59</f>
        <v>127.77777777777779</v>
      </c>
      <c r="H60" s="431">
        <f>SUM(D60+F60)</f>
        <v>46</v>
      </c>
      <c r="I60" s="432">
        <f>D60+C60</f>
        <v>45</v>
      </c>
      <c r="J60" s="429">
        <f>SUMIFS(Collection!$O:$O, Collection!$K:$K, J$2, Collection!$A:$A, "="&amp;$A60)</f>
        <v>0</v>
      </c>
      <c r="K60" s="430">
        <f>(SUMIFS('Bucket Counts'!$P:$P, 'Bucket Counts'!$B:$B, K$2, 'Bucket Counts'!$A:$A, "="&amp;$A60,  'Bucket Counts'!$F:$F, "&lt;&gt;100 Morts",  'Bucket Counts'!$F:$F, "&lt;&gt;224"))</f>
        <v>1500</v>
      </c>
      <c r="L60" s="430">
        <f>(SUMIFS('Bucket Counts'!$P:$P, 'Bucket Counts'!$B:$B, L$2, 'Bucket Counts'!$A:$A, "="&amp;$A60,  'Bucket Counts'!$F:$F, "100 Morts"))</f>
        <v>80</v>
      </c>
      <c r="M60" s="430">
        <f>(SUMIFS('Bucket Counts'!$P:$P, 'Bucket Counts'!$B:$B, M$2, 'Bucket Counts'!$A:$A, "="&amp;$A60,  'Bucket Counts'!$F:$F, "224"))</f>
        <v>0</v>
      </c>
      <c r="N60" s="430">
        <f>P59</f>
        <v>15446.666666666666</v>
      </c>
      <c r="O60" s="431">
        <f>SUM(K60+M60)</f>
        <v>1500</v>
      </c>
      <c r="P60" s="432">
        <f>K60+J60</f>
        <v>1500</v>
      </c>
      <c r="Q60" s="429">
        <f>SUMIFS(Collection!$O:$O, Collection!$K:$K, Q$2, Collection!$A:$A, "="&amp;$A60)</f>
        <v>0</v>
      </c>
      <c r="R60" s="430">
        <f>(SUMIFS('Bucket Counts'!$P:$P, 'Bucket Counts'!$B:$B, R$2, 'Bucket Counts'!$A:$A, "="&amp;$A60,  'Bucket Counts'!$F:$F, "&lt;&gt;100 Morts",  'Bucket Counts'!$F:$F, "&lt;&gt;224"))</f>
        <v>0</v>
      </c>
      <c r="S60" s="430">
        <f>(SUMIFS('Bucket Counts'!$P:$P, 'Bucket Counts'!$B:$B, S$2, 'Bucket Counts'!$A:$A, "="&amp;$A60,  'Bucket Counts'!$F:$F, "100 Morts"))</f>
        <v>0</v>
      </c>
      <c r="T60" s="430">
        <f>(SUMIFS('Bucket Counts'!$P:$P, 'Bucket Counts'!$B:$B, T$2, 'Bucket Counts'!$A:$A, "="&amp;$A60,  'Bucket Counts'!$F:$F, "224"))</f>
        <v>0</v>
      </c>
      <c r="U60" s="430">
        <f>W59</f>
        <v>13</v>
      </c>
      <c r="V60" s="431">
        <f>SUM(R60+T60)</f>
        <v>0</v>
      </c>
      <c r="W60" s="432">
        <f>R60+Q60</f>
        <v>0</v>
      </c>
      <c r="X60" s="429">
        <f>SUMIFS(Collection!$O:$O, Collection!$K:$K, X$2, Collection!$A:$A, "="&amp;$A60)</f>
        <v>0</v>
      </c>
      <c r="Y60" s="430">
        <f>(SUMIFS('Bucket Counts'!$P:$P, 'Bucket Counts'!$B:$B, Y$2, 'Bucket Counts'!$A:$A, "="&amp;$A60,  'Bucket Counts'!$F:$F, "&lt;&gt;100 Morts",  'Bucket Counts'!$F:$F, "&lt;&gt;224"))</f>
        <v>611.1111111111112</v>
      </c>
      <c r="Z60" s="430">
        <f>(SUMIFS('Bucket Counts'!$P:$P, 'Bucket Counts'!$B:$B, Z$2, 'Bucket Counts'!$A:$A, "="&amp;$A60,  'Bucket Counts'!$F:$F, "100 Morts"))</f>
        <v>0</v>
      </c>
      <c r="AA60" s="430">
        <f>(SUMIFS('Bucket Counts'!$P:$P, 'Bucket Counts'!$B:$B, AA$2, 'Bucket Counts'!$A:$A, "="&amp;$A60,  'Bucket Counts'!$F:$F, "224"))</f>
        <v>93.333333333333329</v>
      </c>
      <c r="AB60" s="430">
        <f>AD59</f>
        <v>11606.666666666666</v>
      </c>
      <c r="AC60" s="431">
        <f>SUM(Y60+AA60)</f>
        <v>704.44444444444457</v>
      </c>
      <c r="AD60" s="432">
        <f>Y60+X60</f>
        <v>611.1111111111112</v>
      </c>
      <c r="AE60" s="429">
        <f>SUMIFS(Collection!$O:$O, Collection!$K:$K, AE$2, Collection!$A:$A, "="&amp;$A60)</f>
        <v>0</v>
      </c>
      <c r="AF60" s="430">
        <f>(SUMIFS('Bucket Counts'!$P:$P, 'Bucket Counts'!$B:$B, AF$2, 'Bucket Counts'!$A:$A, "="&amp;$A60,  'Bucket Counts'!$F:$F, "&lt;&gt;100 Morts",  'Bucket Counts'!$F:$F, "&lt;&gt;224"))</f>
        <v>45655.555555555555</v>
      </c>
      <c r="AG60" s="430">
        <f>(SUMIFS('Bucket Counts'!$P:$P, 'Bucket Counts'!$B:$B, AG$2, 'Bucket Counts'!$A:$A, "="&amp;$A60,  'Bucket Counts'!$F:$F, "100 Morts"))</f>
        <v>225</v>
      </c>
      <c r="AH60" s="430">
        <f>(SUMIFS('Bucket Counts'!$P:$P, 'Bucket Counts'!$B:$B, AH$2, 'Bucket Counts'!$A:$A, "="&amp;$A60,  'Bucket Counts'!$F:$F, "224"))</f>
        <v>0</v>
      </c>
      <c r="AI60" s="430">
        <f>AK59</f>
        <v>73184</v>
      </c>
      <c r="AJ60" s="431">
        <f>SUM(AF60+AH60)</f>
        <v>45655.555555555555</v>
      </c>
      <c r="AK60" s="432">
        <f>AF60+AE60</f>
        <v>45655.555555555555</v>
      </c>
      <c r="AL60" s="429">
        <f>SUMIFS(Collection!$O:$O, Collection!$K:$K, AL$2, Collection!$A:$A, "="&amp;$A60)</f>
        <v>0</v>
      </c>
      <c r="AM60" s="430">
        <f>(SUMIFS('Bucket Counts'!$P:$P, 'Bucket Counts'!$B:$B, AM$2, 'Bucket Counts'!$A:$A, "="&amp;$A60,  'Bucket Counts'!$F:$F, "&lt;&gt;100 Morts",  'Bucket Counts'!$F:$F, "&lt;&gt;224"))</f>
        <v>0</v>
      </c>
      <c r="AN60" s="430">
        <f>(SUMIFS('Bucket Counts'!$P:$P, 'Bucket Counts'!$B:$B, AN$2, 'Bucket Counts'!$A:$A, "="&amp;$A60,  'Bucket Counts'!$F:$F, "100 Morts"))</f>
        <v>0</v>
      </c>
      <c r="AO60" s="430">
        <f>(SUMIFS('Bucket Counts'!$P:$P, 'Bucket Counts'!$B:$B, AO$2, 'Bucket Counts'!$A:$A, "="&amp;$A60,  'Bucket Counts'!$F:$F, "224"))</f>
        <v>9</v>
      </c>
      <c r="AP60" s="430">
        <f>AR59</f>
        <v>263.44444444444446</v>
      </c>
      <c r="AQ60" s="431">
        <f>SUM(AM60+AO60)</f>
        <v>9</v>
      </c>
      <c r="AR60" s="432">
        <f>AM60+AL60</f>
        <v>0</v>
      </c>
      <c r="AS60" s="429">
        <f>SUMIFS(Collection!$O:$O, Collection!$K:$K, AS$2, Collection!$A:$A, "="&amp;$A60)</f>
        <v>0</v>
      </c>
      <c r="AT60" s="430">
        <f>(SUMIFS('Bucket Counts'!$P:$P, 'Bucket Counts'!$B:$B, AT$2, 'Bucket Counts'!$A:$A, "="&amp;$A60,  'Bucket Counts'!$F:$F, "&lt;&gt;100 Morts",  'Bucket Counts'!$F:$F, "&lt;&gt;224"))</f>
        <v>160</v>
      </c>
      <c r="AU60" s="430">
        <f>(SUMIFS('Bucket Counts'!$P:$P, 'Bucket Counts'!$B:$B, AU$2, 'Bucket Counts'!$A:$A, "="&amp;$A60,  'Bucket Counts'!$F:$F, "100 Morts"))</f>
        <v>0</v>
      </c>
      <c r="AV60" s="430">
        <f>(SUMIFS('Bucket Counts'!$P:$P, 'Bucket Counts'!$B:$B, AV$2, 'Bucket Counts'!$A:$A, "="&amp;$A60,  'Bucket Counts'!$F:$F, "224"))</f>
        <v>48.888888888888886</v>
      </c>
      <c r="AW60" s="430">
        <f>AY59</f>
        <v>406.11111111111109</v>
      </c>
      <c r="AX60" s="431">
        <f>SUM(AT60+AV60)</f>
        <v>208.88888888888889</v>
      </c>
      <c r="AY60" s="432">
        <f>AT60+AS60</f>
        <v>160</v>
      </c>
      <c r="AZ60" s="429">
        <f>SUMIFS(Collection!$O:$O, Collection!$K:$K, AZ$2, Collection!$A:$A, "="&amp;$A60)</f>
        <v>0</v>
      </c>
      <c r="BA60" s="430">
        <f>(SUMIFS('Bucket Counts'!$P:$P, 'Bucket Counts'!$B:$B, BA$2, 'Bucket Counts'!$A:$A, "="&amp;$A60,  'Bucket Counts'!$F:$F, "&lt;&gt;100 Morts",  'Bucket Counts'!$F:$F, "&lt;&gt;224"))</f>
        <v>0</v>
      </c>
      <c r="BB60" s="430">
        <f>(SUMIFS('Bucket Counts'!$P:$P, 'Bucket Counts'!$B:$B, BB$2, 'Bucket Counts'!$A:$A, "="&amp;$A60,  'Bucket Counts'!$F:$F, "100 Morts"))</f>
        <v>0</v>
      </c>
      <c r="BC60" s="430">
        <f>(SUMIFS('Bucket Counts'!$P:$P, 'Bucket Counts'!$B:$B, BC$2, 'Bucket Counts'!$A:$A, "="&amp;$A60,  'Bucket Counts'!$F:$F, "224"))</f>
        <v>0</v>
      </c>
      <c r="BD60" s="430">
        <f>BF59</f>
        <v>27</v>
      </c>
      <c r="BE60" s="431">
        <f>SUM(BA60+BC60)</f>
        <v>0</v>
      </c>
      <c r="BF60" s="432">
        <f>BA60+AZ60</f>
        <v>0</v>
      </c>
      <c r="BG60" s="429">
        <f>SUMIFS(Collection!$O:$O, Collection!$K:$K, BG$2, Collection!$A:$A, "="&amp;$A60)</f>
        <v>0</v>
      </c>
      <c r="BH60" s="430">
        <f>(SUMIFS('Bucket Counts'!$P:$P, 'Bucket Counts'!$B:$B, BH$2, 'Bucket Counts'!$A:$A, "="&amp;$A60,  'Bucket Counts'!$F:$F, "&lt;&gt;100 Morts",  'Bucket Counts'!$F:$F, "&lt;&gt;224"))</f>
        <v>14290</v>
      </c>
      <c r="BI60" s="430">
        <f>(SUMIFS('Bucket Counts'!$P:$P, 'Bucket Counts'!$B:$B, BI$2, 'Bucket Counts'!$A:$A, "="&amp;$A60,  'Bucket Counts'!$F:$F, "100 Morts"))</f>
        <v>2166.666666666667</v>
      </c>
      <c r="BJ60" s="430">
        <f>(SUMIFS('Bucket Counts'!$P:$P, 'Bucket Counts'!$B:$B, BJ$2, 'Bucket Counts'!$A:$A, "="&amp;$A60,  'Bucket Counts'!$F:$F, "224"))</f>
        <v>75</v>
      </c>
      <c r="BK60" s="430">
        <f>BM59</f>
        <v>49166.666666666664</v>
      </c>
      <c r="BL60" s="431">
        <f>SUM(BH60+BJ60)</f>
        <v>14365</v>
      </c>
      <c r="BM60" s="432">
        <f>BH60+BG60</f>
        <v>14290</v>
      </c>
      <c r="BN60" s="429">
        <f>SUMIFS(Collection!$O:$O, Collection!$K:$K, BN$2, Collection!$A:$A, "="&amp;$A60)</f>
        <v>0</v>
      </c>
      <c r="BO60" s="430">
        <f>(SUMIFS('Bucket Counts'!$P:$P, 'Bucket Counts'!$B:$B, BO$2, 'Bucket Counts'!$A:$A, "="&amp;$A60,  'Bucket Counts'!$F:$F, "&lt;&gt;100 Morts",  'Bucket Counts'!$F:$F, "&lt;&gt;224"))</f>
        <v>10033.333333333334</v>
      </c>
      <c r="BP60" s="430">
        <f>(SUMIFS('Bucket Counts'!$P:$P, 'Bucket Counts'!$B:$B, BP$2, 'Bucket Counts'!$A:$A, "="&amp;$A60,  'Bucket Counts'!$F:$F, "100 Morts"))</f>
        <v>533.33333333333337</v>
      </c>
      <c r="BQ60" s="430">
        <f>(SUMIFS('Bucket Counts'!$P:$P, 'Bucket Counts'!$B:$B, BQ$2, 'Bucket Counts'!$A:$A, "="&amp;$A60,  'Bucket Counts'!$F:$F, "224"))</f>
        <v>333.33333333333331</v>
      </c>
      <c r="BR60" s="430">
        <f>BT59</f>
        <v>19823.333333333336</v>
      </c>
      <c r="BS60" s="431">
        <f>SUM(BO60+BQ60)</f>
        <v>10366.666666666668</v>
      </c>
      <c r="BT60" s="432">
        <f>BO60+BN60</f>
        <v>10033.333333333334</v>
      </c>
      <c r="BU60" s="429">
        <f>SUMIFS(Collection!$O:$O, Collection!$K:$K, BU$2, Collection!$A:$A, "="&amp;$A60)</f>
        <v>0</v>
      </c>
      <c r="BV60" s="430">
        <f>(SUMIFS('Bucket Counts'!$P:$P, 'Bucket Counts'!$B:$B, BV$2, 'Bucket Counts'!$A:$A, "="&amp;$A60,  'Bucket Counts'!$F:$F, "&lt;&gt;100 Morts",  'Bucket Counts'!$F:$F, "&lt;&gt;224"))</f>
        <v>573.33333333333337</v>
      </c>
      <c r="BW60" s="430">
        <f>(SUMIFS('Bucket Counts'!$P:$P, 'Bucket Counts'!$B:$B, BW$2, 'Bucket Counts'!$A:$A, "="&amp;$A60,  'Bucket Counts'!$F:$F, "100 Morts"))</f>
        <v>75</v>
      </c>
      <c r="BX60" s="430">
        <f>(SUMIFS('Bucket Counts'!$P:$P, 'Bucket Counts'!$B:$B, BX$2, 'Bucket Counts'!$A:$A, "="&amp;$A60,  'Bucket Counts'!$F:$F, "224"))</f>
        <v>112.5</v>
      </c>
      <c r="BY60" s="430">
        <f>CA59</f>
        <v>978.33333333333337</v>
      </c>
      <c r="BZ60" s="431">
        <f>SUM(BV60+BX60)</f>
        <v>685.83333333333337</v>
      </c>
      <c r="CA60" s="432">
        <f>BV60+BU60</f>
        <v>573.33333333333337</v>
      </c>
      <c r="CB60" s="429">
        <f>SUMIFS(Collection!$O:$O, Collection!$K:$K, CB$2, Collection!$A:$A, "="&amp;$A60)</f>
        <v>0</v>
      </c>
      <c r="CC60" s="430">
        <f>(SUMIFS('Bucket Counts'!$P:$P, 'Bucket Counts'!$B:$B, CC$2, 'Bucket Counts'!$A:$A, "="&amp;$A60,  'Bucket Counts'!$F:$F, "&lt;&gt;100 Morts",  'Bucket Counts'!$F:$F, "&lt;&gt;224"))</f>
        <v>4575</v>
      </c>
      <c r="CD60" s="430">
        <f>(SUMIFS('Bucket Counts'!$P:$P, 'Bucket Counts'!$B:$B, CD$2, 'Bucket Counts'!$A:$A, "="&amp;$A60,  'Bucket Counts'!$F:$F, "100 Morts"))</f>
        <v>0</v>
      </c>
      <c r="CE60" s="430">
        <f>(SUMIFS('Bucket Counts'!$P:$P, 'Bucket Counts'!$B:$B, CE$2, 'Bucket Counts'!$A:$A, "="&amp;$A60,  'Bucket Counts'!$F:$F, "224"))</f>
        <v>220</v>
      </c>
      <c r="CF60" s="430">
        <f>CH59</f>
        <v>5750</v>
      </c>
      <c r="CG60" s="431">
        <f>SUM(CC60+CE60)</f>
        <v>4795</v>
      </c>
      <c r="CH60" s="432">
        <f>CC60+CB60</f>
        <v>4575</v>
      </c>
      <c r="CI60" s="429">
        <f>SUMIFS(Collection!$O:$O, Collection!$K:$K, CI$2, Collection!$A:$A, "="&amp;$A60)</f>
        <v>0</v>
      </c>
      <c r="CJ60" s="430">
        <f>(SUMIFS('Bucket Counts'!$P:$P, 'Bucket Counts'!$B:$B, CJ$2, 'Bucket Counts'!$A:$A, "="&amp;$A60,  'Bucket Counts'!$F:$F, "&lt;&gt;100 Morts",  'Bucket Counts'!$F:$F, "&lt;&gt;224"))</f>
        <v>346.66666666666669</v>
      </c>
      <c r="CK60" s="430">
        <f>(SUMIFS('Bucket Counts'!$P:$P, 'Bucket Counts'!$B:$B, CK$2, 'Bucket Counts'!$A:$A, "="&amp;$A60,  'Bucket Counts'!$F:$F, "100 Morts"))</f>
        <v>0</v>
      </c>
      <c r="CL60" s="430">
        <f>(SUMIFS('Bucket Counts'!$P:$P, 'Bucket Counts'!$B:$B, CL$2, 'Bucket Counts'!$A:$A, "="&amp;$A60,  'Bucket Counts'!$F:$F, "224"))</f>
        <v>25</v>
      </c>
      <c r="CM60" s="430">
        <f>CO59</f>
        <v>1367.7777777777778</v>
      </c>
      <c r="CN60" s="431">
        <f>SUM(CJ60+CL60)</f>
        <v>371.66666666666669</v>
      </c>
      <c r="CO60" s="432">
        <f>CJ60+CI60</f>
        <v>346.66666666666669</v>
      </c>
      <c r="CP60" s="429">
        <f>SUMIFS(Collection!$O:$O, Collection!$K:$K, CP$2, Collection!$A:$A, "="&amp;$A60)</f>
        <v>0</v>
      </c>
      <c r="CQ60" s="430">
        <f>(SUMIFS('Bucket Counts'!$P:$P, 'Bucket Counts'!$B:$B, CQ$2, 'Bucket Counts'!$A:$A, "="&amp;$A60,  'Bucket Counts'!$F:$F, "&lt;&gt;100 Morts",  'Bucket Counts'!$F:$F, "&lt;&gt;224"))</f>
        <v>293.33333333333331</v>
      </c>
      <c r="CR60" s="430">
        <f>(SUMIFS('Bucket Counts'!$P:$P, 'Bucket Counts'!$B:$B, CR$2, 'Bucket Counts'!$A:$A, "="&amp;$A60,  'Bucket Counts'!$F:$F, "100 Morts"))</f>
        <v>83.333333333333329</v>
      </c>
      <c r="CS60" s="430">
        <f>(SUMIFS('Bucket Counts'!$P:$P, 'Bucket Counts'!$B:$B, CS$2, 'Bucket Counts'!$A:$A, "="&amp;$A60,  'Bucket Counts'!$F:$F, "224"))</f>
        <v>24</v>
      </c>
      <c r="CT60" s="430">
        <f>CV59</f>
        <v>550</v>
      </c>
      <c r="CU60" s="431">
        <f>SUM(CQ60+CS60)</f>
        <v>317.33333333333331</v>
      </c>
      <c r="CV60" s="432">
        <f>CQ60+CP60</f>
        <v>293.33333333333331</v>
      </c>
      <c r="CW60" s="429">
        <f>SUMIFS(Collection!$O:$O, Collection!$K:$K, CW$2, Collection!$A:$A, "="&amp;$A60)</f>
        <v>0</v>
      </c>
      <c r="CX60" s="430">
        <f>(SUMIFS('Bucket Counts'!$P:$P, 'Bucket Counts'!$B:$B, CX$2, 'Bucket Counts'!$A:$A, "="&amp;$A60,  'Bucket Counts'!$F:$F, "&lt;&gt;100 Morts",  'Bucket Counts'!$F:$F, "&lt;&gt;224"))</f>
        <v>2779.166666666667</v>
      </c>
      <c r="CY60" s="430">
        <f>(SUMIFS('Bucket Counts'!$P:$P, 'Bucket Counts'!$B:$B, CY$2, 'Bucket Counts'!$A:$A, "="&amp;$A60,  'Bucket Counts'!$F:$F, "100 Morts"))</f>
        <v>0</v>
      </c>
      <c r="CZ60" s="430">
        <f>(SUMIFS('Bucket Counts'!$P:$P, 'Bucket Counts'!$B:$B, CZ$2, 'Bucket Counts'!$A:$A, "="&amp;$A60,  'Bucket Counts'!$F:$F, "224"))</f>
        <v>50</v>
      </c>
      <c r="DA60" s="430">
        <f>DC59</f>
        <v>7775</v>
      </c>
      <c r="DB60" s="431">
        <f>SUM(CX60+CZ60)</f>
        <v>2829.166666666667</v>
      </c>
      <c r="DC60" s="432">
        <f>CX60+CW60</f>
        <v>2779.166666666667</v>
      </c>
      <c r="DD60" s="429">
        <f>SUMIFS(Collection!$O:$O, Collection!$K:$K, DD$2, Collection!$A:$A, "="&amp;$A60)</f>
        <v>0</v>
      </c>
      <c r="DE60" s="430">
        <f>(SUMIFS('Bucket Counts'!$P:$P, 'Bucket Counts'!$B:$B, DE$2, 'Bucket Counts'!$A:$A, "="&amp;$A60,  'Bucket Counts'!$F:$F, "&lt;&gt;100 Morts",  'Bucket Counts'!$F:$F, "&lt;&gt;224"))</f>
        <v>373.33333333333331</v>
      </c>
      <c r="DF60" s="430">
        <f>(SUMIFS('Bucket Counts'!$P:$P, 'Bucket Counts'!$B:$B, DF$2, 'Bucket Counts'!$A:$A, "="&amp;$A60,  'Bucket Counts'!$F:$F, "100 Morts"))</f>
        <v>0</v>
      </c>
      <c r="DG60" s="430">
        <f>(SUMIFS('Bucket Counts'!$P:$P, 'Bucket Counts'!$B:$B, DG$2, 'Bucket Counts'!$A:$A, "="&amp;$A60,  'Bucket Counts'!$F:$F, "224"))</f>
        <v>27.777777777777775</v>
      </c>
      <c r="DH60" s="430">
        <f>DJ59</f>
        <v>2277.5</v>
      </c>
      <c r="DI60" s="431">
        <f>SUM(DE60+DG60)</f>
        <v>401.11111111111109</v>
      </c>
      <c r="DJ60" s="432">
        <f>DE60+DD60</f>
        <v>373.33333333333331</v>
      </c>
      <c r="DK60" s="429">
        <f>SUMIFS(Collection!$O:$O, Collection!$K:$K, DK$2, Collection!$A:$A, "="&amp;$A60)</f>
        <v>0</v>
      </c>
      <c r="DL60" s="430">
        <f>(SUMIFS('Bucket Counts'!$P:$P, 'Bucket Counts'!$B:$B, DL$2, 'Bucket Counts'!$A:$A, "="&amp;$A60,  'Bucket Counts'!$F:$F, "&lt;&gt;100 Morts",  'Bucket Counts'!$F:$F, "&lt;&gt;224"))</f>
        <v>0</v>
      </c>
      <c r="DM60" s="430">
        <f>(SUMIFS('Bucket Counts'!$P:$P, 'Bucket Counts'!$B:$B, DM$2, 'Bucket Counts'!$A:$A, "="&amp;$A60,  'Bucket Counts'!$F:$F, "100 Morts"))</f>
        <v>0</v>
      </c>
      <c r="DN60" s="430">
        <f>(SUMIFS('Bucket Counts'!$P:$P, 'Bucket Counts'!$B:$B, DN$2, 'Bucket Counts'!$A:$A, "="&amp;$A60,  'Bucket Counts'!$F:$F, "224"))</f>
        <v>0</v>
      </c>
      <c r="DO60" s="430">
        <f>DQ59</f>
        <v>0</v>
      </c>
      <c r="DP60" s="431">
        <f>SUM(DL60+DN60)</f>
        <v>0</v>
      </c>
      <c r="DQ60" s="432">
        <f>DL60+DK60</f>
        <v>0</v>
      </c>
      <c r="DR60" s="429">
        <f>SUMIFS(Collection!$O:$O, Collection!$K:$K, DR$2, Collection!$A:$A, "="&amp;$A60)</f>
        <v>0</v>
      </c>
      <c r="DS60" s="430">
        <f>(SUMIFS('Bucket Counts'!$P:$P, 'Bucket Counts'!$B:$B, DS$2, 'Bucket Counts'!$A:$A, "="&amp;$A60,  'Bucket Counts'!$F:$F, "&lt;&gt;100 Morts",  'Bucket Counts'!$F:$F, "&lt;&gt;224"))</f>
        <v>0</v>
      </c>
      <c r="DT60" s="430">
        <f>(SUMIFS('Bucket Counts'!$P:$P, 'Bucket Counts'!$B:$B, DT$2, 'Bucket Counts'!$A:$A, "="&amp;$A60,  'Bucket Counts'!$F:$F, "100 Morts"))</f>
        <v>0</v>
      </c>
      <c r="DU60" s="430">
        <f>(SUMIFS('Bucket Counts'!$P:$P, 'Bucket Counts'!$B:$B, DU$2, 'Bucket Counts'!$A:$A, "="&amp;$A60,  'Bucket Counts'!$F:$F, "224"))</f>
        <v>0</v>
      </c>
      <c r="DV60" s="430">
        <f>DX59</f>
        <v>0</v>
      </c>
      <c r="DW60" s="431">
        <f>SUM(DS60+DU60)</f>
        <v>0</v>
      </c>
      <c r="DX60" s="432">
        <f>DS60+DR60</f>
        <v>0</v>
      </c>
      <c r="DY60" s="429">
        <f>SUMIFS(Collection!$O:$O, Collection!$K:$K, DY$2, Collection!$A:$A, "="&amp;$A60)</f>
        <v>0</v>
      </c>
      <c r="DZ60" s="430">
        <f>(SUMIFS('Bucket Counts'!$P:$P, 'Bucket Counts'!$B:$B, DZ$2, 'Bucket Counts'!$A:$A, "="&amp;$A60,  'Bucket Counts'!$F:$F, "&lt;&gt;100 Morts",  'Bucket Counts'!$F:$F, "&lt;&gt;224"))</f>
        <v>0</v>
      </c>
      <c r="EA60" s="430">
        <f>(SUMIFS('Bucket Counts'!$P:$P, 'Bucket Counts'!$B:$B, EA$2, 'Bucket Counts'!$A:$A, "="&amp;$A60,  'Bucket Counts'!$F:$F, "100 Morts"))</f>
        <v>0</v>
      </c>
      <c r="EB60" s="430">
        <f>(SUMIFS('Bucket Counts'!$P:$P, 'Bucket Counts'!$B:$B, EB$2, 'Bucket Counts'!$A:$A, "="&amp;$A60,  'Bucket Counts'!$F:$F, "224"))</f>
        <v>0</v>
      </c>
      <c r="EC60" s="430">
        <f>EE59</f>
        <v>0</v>
      </c>
      <c r="ED60" s="431">
        <f>SUM(DZ60+EB60)</f>
        <v>0</v>
      </c>
      <c r="EE60" s="432">
        <f>DZ60+DY60</f>
        <v>0</v>
      </c>
      <c r="EF60" s="429">
        <f>SUMIFS(Collection!$O:$O, Collection!$K:$K, EF$2, Collection!$A:$A, "="&amp;$A60)</f>
        <v>0</v>
      </c>
      <c r="EG60" s="430">
        <f>(SUMIFS('Bucket Counts'!$P:$P, 'Bucket Counts'!$B:$B, EG$2, 'Bucket Counts'!$A:$A, "="&amp;$A60,  'Bucket Counts'!$F:$F, "&lt;&gt;100 Morts",  'Bucket Counts'!$F:$F, "&lt;&gt;224"))</f>
        <v>0</v>
      </c>
      <c r="EH60" s="430">
        <f>(SUMIFS('Bucket Counts'!$P:$P, 'Bucket Counts'!$B:$B, EH$2, 'Bucket Counts'!$A:$A, "="&amp;$A60,  'Bucket Counts'!$F:$F, "100 Morts"))</f>
        <v>0</v>
      </c>
      <c r="EI60" s="430">
        <f>(SUMIFS('Bucket Counts'!$P:$P, 'Bucket Counts'!$B:$B, EI$2, 'Bucket Counts'!$A:$A, "="&amp;$A60,  'Bucket Counts'!$F:$F, "224"))</f>
        <v>0</v>
      </c>
      <c r="EJ60" s="430">
        <f>EL59</f>
        <v>0</v>
      </c>
      <c r="EK60" s="431">
        <f>SUM(EG60+EI60)</f>
        <v>0</v>
      </c>
      <c r="EL60" s="432">
        <f>EG60+EF60</f>
        <v>0</v>
      </c>
    </row>
    <row r="61" spans="1:142" x14ac:dyDescent="0.2">
      <c r="A61" s="16">
        <f t="shared" si="0"/>
        <v>42930</v>
      </c>
      <c r="B61" s="16" t="s">
        <v>487</v>
      </c>
      <c r="C61" s="369">
        <f>SUMIFS(Collection!$O:$O, Collection!$K:$K, C$2, Collection!$A:$A, "="&amp;$A61)</f>
        <v>0</v>
      </c>
      <c r="D61" s="116">
        <f>(SUMIFS('Bucket Counts'!$P:$P, 'Bucket Counts'!$B:$B, D$2, 'Bucket Counts'!$A:$A, "="&amp;$A61,  'Bucket Counts'!$F:$F, "&lt;&gt;100 Morts",  'Bucket Counts'!$F:$F, "&lt;&gt;224"))</f>
        <v>0</v>
      </c>
      <c r="E61" s="116">
        <f>(SUMIFS('Bucket Counts'!$P:$P, 'Bucket Counts'!$B:$B, E$2, 'Bucket Counts'!$A:$A, "="&amp;$A61,  'Bucket Counts'!$F:$F, "100 Morts"))</f>
        <v>0</v>
      </c>
      <c r="F61" s="116">
        <f>(SUMIFS('Bucket Counts'!$P:$P, 'Bucket Counts'!$B:$B, F$2, 'Bucket Counts'!$A:$A, "="&amp;$A61,  'Bucket Counts'!$F:$F, "224"))</f>
        <v>0</v>
      </c>
      <c r="G61" s="116"/>
      <c r="H61" s="426">
        <f>(F61+D61)/I60</f>
        <v>0</v>
      </c>
      <c r="I61" s="370">
        <f>D60+SUM(C60:C61)</f>
        <v>45</v>
      </c>
      <c r="J61" s="369">
        <f>SUMIFS(Collection!$O:$O, Collection!$K:$K, J$2, Collection!$A:$A, "="&amp;$A61)</f>
        <v>0</v>
      </c>
      <c r="K61" s="116">
        <f>(SUMIFS('Bucket Counts'!$P:$P, 'Bucket Counts'!$B:$B, K$2, 'Bucket Counts'!$A:$A, "="&amp;$A61,  'Bucket Counts'!$F:$F, "&lt;&gt;100 Morts",  'Bucket Counts'!$F:$F, "&lt;&gt;224"))</f>
        <v>0</v>
      </c>
      <c r="L61" s="116">
        <f>(SUMIFS('Bucket Counts'!$P:$P, 'Bucket Counts'!$B:$B, L$2, 'Bucket Counts'!$A:$A, "="&amp;$A61,  'Bucket Counts'!$F:$F, "100 Morts"))</f>
        <v>0</v>
      </c>
      <c r="M61" s="116">
        <f>(SUMIFS('Bucket Counts'!$P:$P, 'Bucket Counts'!$B:$B, M$2, 'Bucket Counts'!$A:$A, "="&amp;$A61,  'Bucket Counts'!$F:$F, "224"))</f>
        <v>0</v>
      </c>
      <c r="N61" s="116"/>
      <c r="O61" s="426">
        <f>(M61+K61)/P60</f>
        <v>0</v>
      </c>
      <c r="P61" s="370">
        <f>K60+SUM(J60:J61)</f>
        <v>1500</v>
      </c>
      <c r="Q61" s="369">
        <f>SUMIFS(Collection!$O:$O, Collection!$K:$K, Q$2, Collection!$A:$A, "="&amp;$A61)</f>
        <v>0</v>
      </c>
      <c r="R61" s="116">
        <f>(SUMIFS('Bucket Counts'!$P:$P, 'Bucket Counts'!$B:$B, R$2, 'Bucket Counts'!$A:$A, "="&amp;$A61,  'Bucket Counts'!$F:$F, "&lt;&gt;100 Morts",  'Bucket Counts'!$F:$F, "&lt;&gt;224"))</f>
        <v>0</v>
      </c>
      <c r="S61" s="116">
        <f>(SUMIFS('Bucket Counts'!$P:$P, 'Bucket Counts'!$B:$B, S$2, 'Bucket Counts'!$A:$A, "="&amp;$A61,  'Bucket Counts'!$F:$F, "100 Morts"))</f>
        <v>0</v>
      </c>
      <c r="T61" s="116">
        <f>(SUMIFS('Bucket Counts'!$P:$P, 'Bucket Counts'!$B:$B, T$2, 'Bucket Counts'!$A:$A, "="&amp;$A61,  'Bucket Counts'!$F:$F, "224"))</f>
        <v>0</v>
      </c>
      <c r="U61" s="116"/>
      <c r="V61" s="426" t="e">
        <f>(T61+R61)/W60</f>
        <v>#DIV/0!</v>
      </c>
      <c r="W61" s="370">
        <f>R60+SUM(Q60:Q61)</f>
        <v>0</v>
      </c>
      <c r="X61" s="369">
        <f>SUMIFS(Collection!$O:$O, Collection!$K:$K, X$2, Collection!$A:$A, "="&amp;$A61)</f>
        <v>0</v>
      </c>
      <c r="Y61" s="116">
        <f>(SUMIFS('Bucket Counts'!$P:$P, 'Bucket Counts'!$B:$B, Y$2, 'Bucket Counts'!$A:$A, "="&amp;$A61,  'Bucket Counts'!$F:$F, "&lt;&gt;100 Morts",  'Bucket Counts'!$F:$F, "&lt;&gt;224"))</f>
        <v>0</v>
      </c>
      <c r="Z61" s="116">
        <f>(SUMIFS('Bucket Counts'!$P:$P, 'Bucket Counts'!$B:$B, Z$2, 'Bucket Counts'!$A:$A, "="&amp;$A61,  'Bucket Counts'!$F:$F, "100 Morts"))</f>
        <v>0</v>
      </c>
      <c r="AA61" s="116">
        <f>(SUMIFS('Bucket Counts'!$P:$P, 'Bucket Counts'!$B:$B, AA$2, 'Bucket Counts'!$A:$A, "="&amp;$A61,  'Bucket Counts'!$F:$F, "224"))</f>
        <v>0</v>
      </c>
      <c r="AB61" s="116"/>
      <c r="AC61" s="426">
        <f>(AA61+Y61)/AD60</f>
        <v>0</v>
      </c>
      <c r="AD61" s="370">
        <f>Y60+SUM(X60:X61)</f>
        <v>611.1111111111112</v>
      </c>
      <c r="AE61" s="369">
        <f>SUMIFS(Collection!$O:$O, Collection!$K:$K, AE$2, Collection!$A:$A, "="&amp;$A61)</f>
        <v>0</v>
      </c>
      <c r="AF61" s="116">
        <f>(SUMIFS('Bucket Counts'!$P:$P, 'Bucket Counts'!$B:$B, AF$2, 'Bucket Counts'!$A:$A, "="&amp;$A61,  'Bucket Counts'!$F:$F, "&lt;&gt;100 Morts",  'Bucket Counts'!$F:$F, "&lt;&gt;224"))</f>
        <v>0</v>
      </c>
      <c r="AG61" s="116">
        <f>(SUMIFS('Bucket Counts'!$P:$P, 'Bucket Counts'!$B:$B, AG$2, 'Bucket Counts'!$A:$A, "="&amp;$A61,  'Bucket Counts'!$F:$F, "100 Morts"))</f>
        <v>0</v>
      </c>
      <c r="AH61" s="116">
        <f>(SUMIFS('Bucket Counts'!$P:$P, 'Bucket Counts'!$B:$B, AH$2, 'Bucket Counts'!$A:$A, "="&amp;$A61,  'Bucket Counts'!$F:$F, "224"))</f>
        <v>0</v>
      </c>
      <c r="AI61" s="116"/>
      <c r="AJ61" s="426">
        <f>(AH61+AF61)/AK60</f>
        <v>0</v>
      </c>
      <c r="AK61" s="370">
        <f>AF60+SUM(AE60:AE61)</f>
        <v>45655.555555555555</v>
      </c>
      <c r="AL61" s="369">
        <f>SUMIFS(Collection!$O:$O, Collection!$K:$K, AL$2, Collection!$A:$A, "="&amp;$A61)</f>
        <v>0</v>
      </c>
      <c r="AM61" s="116">
        <f>(SUMIFS('Bucket Counts'!$P:$P, 'Bucket Counts'!$B:$B, AM$2, 'Bucket Counts'!$A:$A, "="&amp;$A61,  'Bucket Counts'!$F:$F, "&lt;&gt;100 Morts",  'Bucket Counts'!$F:$F, "&lt;&gt;224"))</f>
        <v>0</v>
      </c>
      <c r="AN61" s="116">
        <f>(SUMIFS('Bucket Counts'!$P:$P, 'Bucket Counts'!$B:$B, AN$2, 'Bucket Counts'!$A:$A, "="&amp;$A61,  'Bucket Counts'!$F:$F, "100 Morts"))</f>
        <v>0</v>
      </c>
      <c r="AO61" s="116">
        <f>(SUMIFS('Bucket Counts'!$P:$P, 'Bucket Counts'!$B:$B, AO$2, 'Bucket Counts'!$A:$A, "="&amp;$A61,  'Bucket Counts'!$F:$F, "224"))</f>
        <v>0</v>
      </c>
      <c r="AP61" s="116"/>
      <c r="AQ61" s="426" t="e">
        <f>(AO61+AM61)/AR60</f>
        <v>#DIV/0!</v>
      </c>
      <c r="AR61" s="370">
        <f>AM60+SUM(AL60:AL61)</f>
        <v>0</v>
      </c>
      <c r="AS61" s="369">
        <f>SUMIFS(Collection!$O:$O, Collection!$K:$K, AS$2, Collection!$A:$A, "="&amp;$A61)</f>
        <v>0</v>
      </c>
      <c r="AT61" s="116">
        <f>(SUMIFS('Bucket Counts'!$P:$P, 'Bucket Counts'!$B:$B, AT$2, 'Bucket Counts'!$A:$A, "="&amp;$A61,  'Bucket Counts'!$F:$F, "&lt;&gt;100 Morts",  'Bucket Counts'!$F:$F, "&lt;&gt;224"))</f>
        <v>0</v>
      </c>
      <c r="AU61" s="116">
        <f>(SUMIFS('Bucket Counts'!$P:$P, 'Bucket Counts'!$B:$B, AU$2, 'Bucket Counts'!$A:$A, "="&amp;$A61,  'Bucket Counts'!$F:$F, "100 Morts"))</f>
        <v>0</v>
      </c>
      <c r="AV61" s="116">
        <f>(SUMIFS('Bucket Counts'!$P:$P, 'Bucket Counts'!$B:$B, AV$2, 'Bucket Counts'!$A:$A, "="&amp;$A61,  'Bucket Counts'!$F:$F, "224"))</f>
        <v>0</v>
      </c>
      <c r="AW61" s="116"/>
      <c r="AX61" s="426">
        <f>(AV61+AT61)/AY60</f>
        <v>0</v>
      </c>
      <c r="AY61" s="370">
        <f>AT60+SUM(AS60:AS61)</f>
        <v>160</v>
      </c>
      <c r="AZ61" s="369">
        <f>SUMIFS(Collection!$O:$O, Collection!$K:$K, AZ$2, Collection!$A:$A, "="&amp;$A61)</f>
        <v>0</v>
      </c>
      <c r="BA61" s="116">
        <f>(SUMIFS('Bucket Counts'!$P:$P, 'Bucket Counts'!$B:$B, BA$2, 'Bucket Counts'!$A:$A, "="&amp;$A61,  'Bucket Counts'!$F:$F, "&lt;&gt;100 Morts",  'Bucket Counts'!$F:$F, "&lt;&gt;224"))</f>
        <v>0</v>
      </c>
      <c r="BB61" s="116">
        <f>(SUMIFS('Bucket Counts'!$P:$P, 'Bucket Counts'!$B:$B, BB$2, 'Bucket Counts'!$A:$A, "="&amp;$A61,  'Bucket Counts'!$F:$F, "100 Morts"))</f>
        <v>0</v>
      </c>
      <c r="BC61" s="116">
        <f>(SUMIFS('Bucket Counts'!$P:$P, 'Bucket Counts'!$B:$B, BC$2, 'Bucket Counts'!$A:$A, "="&amp;$A61,  'Bucket Counts'!$F:$F, "224"))</f>
        <v>0</v>
      </c>
      <c r="BD61" s="116"/>
      <c r="BE61" s="426" t="e">
        <f>(BC61+BA61)/BF60</f>
        <v>#DIV/0!</v>
      </c>
      <c r="BF61" s="370">
        <f>BA60+SUM(AZ60:AZ61)</f>
        <v>0</v>
      </c>
      <c r="BG61" s="369">
        <f>SUMIFS(Collection!$O:$O, Collection!$K:$K, BG$2, Collection!$A:$A, "="&amp;$A61)</f>
        <v>0</v>
      </c>
      <c r="BH61" s="116">
        <f>(SUMIFS('Bucket Counts'!$P:$P, 'Bucket Counts'!$B:$B, BH$2, 'Bucket Counts'!$A:$A, "="&amp;$A61,  'Bucket Counts'!$F:$F, "&lt;&gt;100 Morts",  'Bucket Counts'!$F:$F, "&lt;&gt;224"))</f>
        <v>0</v>
      </c>
      <c r="BI61" s="116">
        <f>(SUMIFS('Bucket Counts'!$P:$P, 'Bucket Counts'!$B:$B, BI$2, 'Bucket Counts'!$A:$A, "="&amp;$A61,  'Bucket Counts'!$F:$F, "100 Morts"))</f>
        <v>0</v>
      </c>
      <c r="BJ61" s="116">
        <f>(SUMIFS('Bucket Counts'!$P:$P, 'Bucket Counts'!$B:$B, BJ$2, 'Bucket Counts'!$A:$A, "="&amp;$A61,  'Bucket Counts'!$F:$F, "224"))</f>
        <v>0</v>
      </c>
      <c r="BK61" s="116"/>
      <c r="BL61" s="426">
        <f>(BJ61+BH61)/BM60</f>
        <v>0</v>
      </c>
      <c r="BM61" s="370">
        <f>BH60+SUM(BG60:BG61)</f>
        <v>14290</v>
      </c>
      <c r="BN61" s="369">
        <f>SUMIFS(Collection!$O:$O, Collection!$K:$K, BN$2, Collection!$A:$A, "="&amp;$A61)</f>
        <v>0</v>
      </c>
      <c r="BO61" s="116">
        <f>(SUMIFS('Bucket Counts'!$P:$P, 'Bucket Counts'!$B:$B, BO$2, 'Bucket Counts'!$A:$A, "="&amp;$A61,  'Bucket Counts'!$F:$F, "&lt;&gt;100 Morts",  'Bucket Counts'!$F:$F, "&lt;&gt;224"))</f>
        <v>0</v>
      </c>
      <c r="BP61" s="116">
        <f>(SUMIFS('Bucket Counts'!$P:$P, 'Bucket Counts'!$B:$B, BP$2, 'Bucket Counts'!$A:$A, "="&amp;$A61,  'Bucket Counts'!$F:$F, "100 Morts"))</f>
        <v>0</v>
      </c>
      <c r="BQ61" s="116">
        <f>(SUMIFS('Bucket Counts'!$P:$P, 'Bucket Counts'!$B:$B, BQ$2, 'Bucket Counts'!$A:$A, "="&amp;$A61,  'Bucket Counts'!$F:$F, "224"))</f>
        <v>0</v>
      </c>
      <c r="BR61" s="116"/>
      <c r="BS61" s="426">
        <f>(BQ61+BO61)/BT60</f>
        <v>0</v>
      </c>
      <c r="BT61" s="370">
        <f>BO60+SUM(BN60:BN61)</f>
        <v>10033.333333333334</v>
      </c>
      <c r="BU61" s="369">
        <f>SUMIFS(Collection!$O:$O, Collection!$K:$K, BU$2, Collection!$A:$A, "="&amp;$A61)</f>
        <v>0</v>
      </c>
      <c r="BV61" s="116">
        <f>(SUMIFS('Bucket Counts'!$P:$P, 'Bucket Counts'!$B:$B, BV$2, 'Bucket Counts'!$A:$A, "="&amp;$A61,  'Bucket Counts'!$F:$F, "&lt;&gt;100 Morts",  'Bucket Counts'!$F:$F, "&lt;&gt;224"))</f>
        <v>0</v>
      </c>
      <c r="BW61" s="116">
        <f>(SUMIFS('Bucket Counts'!$P:$P, 'Bucket Counts'!$B:$B, BW$2, 'Bucket Counts'!$A:$A, "="&amp;$A61,  'Bucket Counts'!$F:$F, "100 Morts"))</f>
        <v>0</v>
      </c>
      <c r="BX61" s="116">
        <f>(SUMIFS('Bucket Counts'!$P:$P, 'Bucket Counts'!$B:$B, BX$2, 'Bucket Counts'!$A:$A, "="&amp;$A61,  'Bucket Counts'!$F:$F, "224"))</f>
        <v>0</v>
      </c>
      <c r="BY61" s="116"/>
      <c r="BZ61" s="426">
        <f>(BX61+BV61)/CA60</f>
        <v>0</v>
      </c>
      <c r="CA61" s="370">
        <f>BV60+SUM(BU60:BU61)</f>
        <v>573.33333333333337</v>
      </c>
      <c r="CB61" s="369">
        <f>SUMIFS(Collection!$O:$O, Collection!$K:$K, CB$2, Collection!$A:$A, "="&amp;$A61)</f>
        <v>0</v>
      </c>
      <c r="CC61" s="116">
        <f>(SUMIFS('Bucket Counts'!$P:$P, 'Bucket Counts'!$B:$B, CC$2, 'Bucket Counts'!$A:$A, "="&amp;$A61,  'Bucket Counts'!$F:$F, "&lt;&gt;100 Morts",  'Bucket Counts'!$F:$F, "&lt;&gt;224"))</f>
        <v>0</v>
      </c>
      <c r="CD61" s="116">
        <f>(SUMIFS('Bucket Counts'!$P:$P, 'Bucket Counts'!$B:$B, CD$2, 'Bucket Counts'!$A:$A, "="&amp;$A61,  'Bucket Counts'!$F:$F, "100 Morts"))</f>
        <v>0</v>
      </c>
      <c r="CE61" s="116">
        <f>(SUMIFS('Bucket Counts'!$P:$P, 'Bucket Counts'!$B:$B, CE$2, 'Bucket Counts'!$A:$A, "="&amp;$A61,  'Bucket Counts'!$F:$F, "224"))</f>
        <v>0</v>
      </c>
      <c r="CF61" s="116"/>
      <c r="CG61" s="426">
        <f>(CE61+CC61)/CH60</f>
        <v>0</v>
      </c>
      <c r="CH61" s="370">
        <f>CC60+SUM(CB60:CB61)</f>
        <v>4575</v>
      </c>
      <c r="CI61" s="369">
        <f>SUMIFS(Collection!$O:$O, Collection!$K:$K, CI$2, Collection!$A:$A, "="&amp;$A61)</f>
        <v>0</v>
      </c>
      <c r="CJ61" s="116">
        <f>(SUMIFS('Bucket Counts'!$P:$P, 'Bucket Counts'!$B:$B, CJ$2, 'Bucket Counts'!$A:$A, "="&amp;$A61,  'Bucket Counts'!$F:$F, "&lt;&gt;100 Morts",  'Bucket Counts'!$F:$F, "&lt;&gt;224"))</f>
        <v>0</v>
      </c>
      <c r="CK61" s="116">
        <f>(SUMIFS('Bucket Counts'!$P:$P, 'Bucket Counts'!$B:$B, CK$2, 'Bucket Counts'!$A:$A, "="&amp;$A61,  'Bucket Counts'!$F:$F, "100 Morts"))</f>
        <v>0</v>
      </c>
      <c r="CL61" s="116">
        <f>(SUMIFS('Bucket Counts'!$P:$P, 'Bucket Counts'!$B:$B, CL$2, 'Bucket Counts'!$A:$A, "="&amp;$A61,  'Bucket Counts'!$F:$F, "224"))</f>
        <v>0</v>
      </c>
      <c r="CM61" s="116"/>
      <c r="CN61" s="426">
        <f>(CL61+CJ61)/CO60</f>
        <v>0</v>
      </c>
      <c r="CO61" s="370">
        <f>CJ60+SUM(CI60:CI61)</f>
        <v>346.66666666666669</v>
      </c>
      <c r="CP61" s="369">
        <f>SUMIFS(Collection!$O:$O, Collection!$K:$K, CP$2, Collection!$A:$A, "="&amp;$A61)</f>
        <v>0</v>
      </c>
      <c r="CQ61" s="116">
        <f>(SUMIFS('Bucket Counts'!$P:$P, 'Bucket Counts'!$B:$B, CQ$2, 'Bucket Counts'!$A:$A, "="&amp;$A61,  'Bucket Counts'!$F:$F, "&lt;&gt;100 Morts",  'Bucket Counts'!$F:$F, "&lt;&gt;224"))</f>
        <v>0</v>
      </c>
      <c r="CR61" s="116">
        <f>(SUMIFS('Bucket Counts'!$P:$P, 'Bucket Counts'!$B:$B, CR$2, 'Bucket Counts'!$A:$A, "="&amp;$A61,  'Bucket Counts'!$F:$F, "100 Morts"))</f>
        <v>0</v>
      </c>
      <c r="CS61" s="116">
        <f>(SUMIFS('Bucket Counts'!$P:$P, 'Bucket Counts'!$B:$B, CS$2, 'Bucket Counts'!$A:$A, "="&amp;$A61,  'Bucket Counts'!$F:$F, "224"))</f>
        <v>0</v>
      </c>
      <c r="CT61" s="116"/>
      <c r="CU61" s="426">
        <f>(CS61+CQ61)/CV60</f>
        <v>0</v>
      </c>
      <c r="CV61" s="370">
        <f>CQ60+SUM(CP60:CP61)</f>
        <v>293.33333333333331</v>
      </c>
      <c r="CW61" s="369">
        <f>SUMIFS(Collection!$O:$O, Collection!$K:$K, CW$2, Collection!$A:$A, "="&amp;$A61)</f>
        <v>0</v>
      </c>
      <c r="CX61" s="116">
        <f>(SUMIFS('Bucket Counts'!$P:$P, 'Bucket Counts'!$B:$B, CX$2, 'Bucket Counts'!$A:$A, "="&amp;$A61,  'Bucket Counts'!$F:$F, "&lt;&gt;100 Morts",  'Bucket Counts'!$F:$F, "&lt;&gt;224"))</f>
        <v>0</v>
      </c>
      <c r="CY61" s="116">
        <f>(SUMIFS('Bucket Counts'!$P:$P, 'Bucket Counts'!$B:$B, CY$2, 'Bucket Counts'!$A:$A, "="&amp;$A61,  'Bucket Counts'!$F:$F, "100 Morts"))</f>
        <v>0</v>
      </c>
      <c r="CZ61" s="116">
        <f>(SUMIFS('Bucket Counts'!$P:$P, 'Bucket Counts'!$B:$B, CZ$2, 'Bucket Counts'!$A:$A, "="&amp;$A61,  'Bucket Counts'!$F:$F, "224"))</f>
        <v>0</v>
      </c>
      <c r="DA61" s="116"/>
      <c r="DB61" s="426">
        <f>(CZ61+CX61)/DC60</f>
        <v>0</v>
      </c>
      <c r="DC61" s="370">
        <f>CX60+SUM(CW60:CW61)</f>
        <v>2779.166666666667</v>
      </c>
      <c r="DD61" s="369">
        <f>SUMIFS(Collection!$O:$O, Collection!$K:$K, DD$2, Collection!$A:$A, "="&amp;$A61)</f>
        <v>0</v>
      </c>
      <c r="DE61" s="116">
        <f>(SUMIFS('Bucket Counts'!$P:$P, 'Bucket Counts'!$B:$B, DE$2, 'Bucket Counts'!$A:$A, "="&amp;$A61,  'Bucket Counts'!$F:$F, "&lt;&gt;100 Morts",  'Bucket Counts'!$F:$F, "&lt;&gt;224"))</f>
        <v>0</v>
      </c>
      <c r="DF61" s="116">
        <f>(SUMIFS('Bucket Counts'!$P:$P, 'Bucket Counts'!$B:$B, DF$2, 'Bucket Counts'!$A:$A, "="&amp;$A61,  'Bucket Counts'!$F:$F, "100 Morts"))</f>
        <v>0</v>
      </c>
      <c r="DG61" s="116">
        <f>(SUMIFS('Bucket Counts'!$P:$P, 'Bucket Counts'!$B:$B, DG$2, 'Bucket Counts'!$A:$A, "="&amp;$A61,  'Bucket Counts'!$F:$F, "224"))</f>
        <v>0</v>
      </c>
      <c r="DH61" s="116"/>
      <c r="DI61" s="426">
        <f>(DG61+DE61)/DJ60</f>
        <v>0</v>
      </c>
      <c r="DJ61" s="370">
        <f>DE60+SUM(DD60:DD61)</f>
        <v>373.33333333333331</v>
      </c>
      <c r="DK61" s="369">
        <f>SUMIFS(Collection!$O:$O, Collection!$K:$K, DK$2, Collection!$A:$A, "="&amp;$A61)</f>
        <v>0</v>
      </c>
      <c r="DL61" s="116">
        <f>(SUMIFS('Bucket Counts'!$P:$P, 'Bucket Counts'!$B:$B, DL$2, 'Bucket Counts'!$A:$A, "="&amp;$A61,  'Bucket Counts'!$F:$F, "&lt;&gt;100 Morts",  'Bucket Counts'!$F:$F, "&lt;&gt;224"))</f>
        <v>0</v>
      </c>
      <c r="DM61" s="116">
        <f>(SUMIFS('Bucket Counts'!$P:$P, 'Bucket Counts'!$B:$B, DM$2, 'Bucket Counts'!$A:$A, "="&amp;$A61,  'Bucket Counts'!$F:$F, "100 Morts"))</f>
        <v>0</v>
      </c>
      <c r="DN61" s="116">
        <f>(SUMIFS('Bucket Counts'!$P:$P, 'Bucket Counts'!$B:$B, DN$2, 'Bucket Counts'!$A:$A, "="&amp;$A61,  'Bucket Counts'!$F:$F, "224"))</f>
        <v>0</v>
      </c>
      <c r="DO61" s="116"/>
      <c r="DP61" s="426" t="e">
        <f>(DN61+DL61)/DQ60</f>
        <v>#DIV/0!</v>
      </c>
      <c r="DQ61" s="370">
        <f>DL60+SUM(DK60:DK61)</f>
        <v>0</v>
      </c>
      <c r="DR61" s="369">
        <f>SUMIFS(Collection!$O:$O, Collection!$K:$K, DR$2, Collection!$A:$A, "="&amp;$A61)</f>
        <v>0</v>
      </c>
      <c r="DS61" s="116">
        <f>(SUMIFS('Bucket Counts'!$P:$P, 'Bucket Counts'!$B:$B, DS$2, 'Bucket Counts'!$A:$A, "="&amp;$A61,  'Bucket Counts'!$F:$F, "&lt;&gt;100 Morts",  'Bucket Counts'!$F:$F, "&lt;&gt;224"))</f>
        <v>0</v>
      </c>
      <c r="DT61" s="116">
        <f>(SUMIFS('Bucket Counts'!$P:$P, 'Bucket Counts'!$B:$B, DT$2, 'Bucket Counts'!$A:$A, "="&amp;$A61,  'Bucket Counts'!$F:$F, "100 Morts"))</f>
        <v>0</v>
      </c>
      <c r="DU61" s="116">
        <f>(SUMIFS('Bucket Counts'!$P:$P, 'Bucket Counts'!$B:$B, DU$2, 'Bucket Counts'!$A:$A, "="&amp;$A61,  'Bucket Counts'!$F:$F, "224"))</f>
        <v>0</v>
      </c>
      <c r="DV61" s="116"/>
      <c r="DW61" s="426" t="e">
        <f>(DU61+DS61)/DX60</f>
        <v>#DIV/0!</v>
      </c>
      <c r="DX61" s="370">
        <f>DS60+SUM(DR60:DR61)</f>
        <v>0</v>
      </c>
      <c r="DY61" s="369">
        <f>SUMIFS(Collection!$O:$O, Collection!$K:$K, DY$2, Collection!$A:$A, "="&amp;$A61)</f>
        <v>0</v>
      </c>
      <c r="DZ61" s="116">
        <f>(SUMIFS('Bucket Counts'!$P:$P, 'Bucket Counts'!$B:$B, DZ$2, 'Bucket Counts'!$A:$A, "="&amp;$A61,  'Bucket Counts'!$F:$F, "&lt;&gt;100 Morts",  'Bucket Counts'!$F:$F, "&lt;&gt;224"))</f>
        <v>0</v>
      </c>
      <c r="EA61" s="116">
        <f>(SUMIFS('Bucket Counts'!$P:$P, 'Bucket Counts'!$B:$B, EA$2, 'Bucket Counts'!$A:$A, "="&amp;$A61,  'Bucket Counts'!$F:$F, "100 Morts"))</f>
        <v>0</v>
      </c>
      <c r="EB61" s="116">
        <f>(SUMIFS('Bucket Counts'!$P:$P, 'Bucket Counts'!$B:$B, EB$2, 'Bucket Counts'!$A:$A, "="&amp;$A61,  'Bucket Counts'!$F:$F, "224"))</f>
        <v>0</v>
      </c>
      <c r="EC61" s="116"/>
      <c r="ED61" s="426" t="e">
        <f>(EB61+DZ61)/EE60</f>
        <v>#DIV/0!</v>
      </c>
      <c r="EE61" s="370">
        <f>DZ60+SUM(DY60:DY61)</f>
        <v>0</v>
      </c>
      <c r="EF61" s="369">
        <f>SUMIFS(Collection!$O:$O, Collection!$K:$K, EF$2, Collection!$A:$A, "="&amp;$A61)</f>
        <v>0</v>
      </c>
      <c r="EG61" s="116">
        <f>(SUMIFS('Bucket Counts'!$P:$P, 'Bucket Counts'!$B:$B, EG$2, 'Bucket Counts'!$A:$A, "="&amp;$A61,  'Bucket Counts'!$F:$F, "&lt;&gt;100 Morts",  'Bucket Counts'!$F:$F, "&lt;&gt;224"))</f>
        <v>0</v>
      </c>
      <c r="EH61" s="116">
        <f>(SUMIFS('Bucket Counts'!$P:$P, 'Bucket Counts'!$B:$B, EH$2, 'Bucket Counts'!$A:$A, "="&amp;$A61,  'Bucket Counts'!$F:$F, "100 Morts"))</f>
        <v>0</v>
      </c>
      <c r="EI61" s="116">
        <f>(SUMIFS('Bucket Counts'!$P:$P, 'Bucket Counts'!$B:$B, EI$2, 'Bucket Counts'!$A:$A, "="&amp;$A61,  'Bucket Counts'!$F:$F, "224"))</f>
        <v>0</v>
      </c>
      <c r="EJ61" s="116"/>
      <c r="EK61" s="426" t="e">
        <f>(EI61+EG61)/EL60</f>
        <v>#DIV/0!</v>
      </c>
      <c r="EL61" s="370">
        <f>EG60+SUM(EF60:EF61)</f>
        <v>0</v>
      </c>
    </row>
    <row r="62" spans="1:142" x14ac:dyDescent="0.2">
      <c r="A62" s="16">
        <f t="shared" si="0"/>
        <v>42931</v>
      </c>
      <c r="B62" s="16" t="s">
        <v>487</v>
      </c>
      <c r="C62" s="369">
        <f>SUMIFS(Collection!$O:$O, Collection!$K:$K, C$2, Collection!$A:$A, "="&amp;$A62)</f>
        <v>0</v>
      </c>
      <c r="D62" s="116">
        <f>(SUMIFS('Bucket Counts'!$P:$P, 'Bucket Counts'!$B:$B, D$2, 'Bucket Counts'!$A:$A, "="&amp;$A62,  'Bucket Counts'!$F:$F, "&lt;&gt;100 Morts",  'Bucket Counts'!$F:$F, "&lt;&gt;224"))</f>
        <v>0</v>
      </c>
      <c r="E62" s="116">
        <f>(SUMIFS('Bucket Counts'!$P:$P, 'Bucket Counts'!$B:$B, E$2, 'Bucket Counts'!$A:$A, "="&amp;$A62,  'Bucket Counts'!$F:$F, "100 Morts"))</f>
        <v>0</v>
      </c>
      <c r="F62" s="116">
        <f>(SUMIFS('Bucket Counts'!$P:$P, 'Bucket Counts'!$B:$B, F$2, 'Bucket Counts'!$A:$A, "="&amp;$A62,  'Bucket Counts'!$F:$F, "224"))</f>
        <v>0</v>
      </c>
      <c r="G62" s="116"/>
      <c r="H62" s="426">
        <f>(F62+D62)/I61</f>
        <v>0</v>
      </c>
      <c r="I62" s="370">
        <f>D60+SUM(C60:C62)</f>
        <v>45</v>
      </c>
      <c r="J62" s="369">
        <f>SUMIFS(Collection!$O:$O, Collection!$K:$K, J$2, Collection!$A:$A, "="&amp;$A62)</f>
        <v>0</v>
      </c>
      <c r="K62" s="116">
        <f>(SUMIFS('Bucket Counts'!$P:$P, 'Bucket Counts'!$B:$B, K$2, 'Bucket Counts'!$A:$A, "="&amp;$A62,  'Bucket Counts'!$F:$F, "&lt;&gt;100 Morts",  'Bucket Counts'!$F:$F, "&lt;&gt;224"))</f>
        <v>0</v>
      </c>
      <c r="L62" s="116">
        <f>(SUMIFS('Bucket Counts'!$P:$P, 'Bucket Counts'!$B:$B, L$2, 'Bucket Counts'!$A:$A, "="&amp;$A62,  'Bucket Counts'!$F:$F, "100 Morts"))</f>
        <v>0</v>
      </c>
      <c r="M62" s="116">
        <f>(SUMIFS('Bucket Counts'!$P:$P, 'Bucket Counts'!$B:$B, M$2, 'Bucket Counts'!$A:$A, "="&amp;$A62,  'Bucket Counts'!$F:$F, "224"))</f>
        <v>0</v>
      </c>
      <c r="N62" s="116"/>
      <c r="O62" s="426">
        <f>(M62+K62)/P61</f>
        <v>0</v>
      </c>
      <c r="P62" s="370">
        <f>K60+SUM(J60:J62)</f>
        <v>1500</v>
      </c>
      <c r="Q62" s="369">
        <f>SUMIFS(Collection!$O:$O, Collection!$K:$K, Q$2, Collection!$A:$A, "="&amp;$A62)</f>
        <v>0</v>
      </c>
      <c r="R62" s="116">
        <f>(SUMIFS('Bucket Counts'!$P:$P, 'Bucket Counts'!$B:$B, R$2, 'Bucket Counts'!$A:$A, "="&amp;$A62,  'Bucket Counts'!$F:$F, "&lt;&gt;100 Morts",  'Bucket Counts'!$F:$F, "&lt;&gt;224"))</f>
        <v>0</v>
      </c>
      <c r="S62" s="116">
        <f>(SUMIFS('Bucket Counts'!$P:$P, 'Bucket Counts'!$B:$B, S$2, 'Bucket Counts'!$A:$A, "="&amp;$A62,  'Bucket Counts'!$F:$F, "100 Morts"))</f>
        <v>0</v>
      </c>
      <c r="T62" s="116">
        <f>(SUMIFS('Bucket Counts'!$P:$P, 'Bucket Counts'!$B:$B, T$2, 'Bucket Counts'!$A:$A, "="&amp;$A62,  'Bucket Counts'!$F:$F, "224"))</f>
        <v>0</v>
      </c>
      <c r="U62" s="116"/>
      <c r="V62" s="426" t="e">
        <f>(T62+R62)/W61</f>
        <v>#DIV/0!</v>
      </c>
      <c r="W62" s="370">
        <f>R60+SUM(Q60:Q62)</f>
        <v>0</v>
      </c>
      <c r="X62" s="369">
        <f>SUMIFS(Collection!$O:$O, Collection!$K:$K, X$2, Collection!$A:$A, "="&amp;$A62)</f>
        <v>0</v>
      </c>
      <c r="Y62" s="116">
        <f>(SUMIFS('Bucket Counts'!$P:$P, 'Bucket Counts'!$B:$B, Y$2, 'Bucket Counts'!$A:$A, "="&amp;$A62,  'Bucket Counts'!$F:$F, "&lt;&gt;100 Morts",  'Bucket Counts'!$F:$F, "&lt;&gt;224"))</f>
        <v>0</v>
      </c>
      <c r="Z62" s="116">
        <f>(SUMIFS('Bucket Counts'!$P:$P, 'Bucket Counts'!$B:$B, Z$2, 'Bucket Counts'!$A:$A, "="&amp;$A62,  'Bucket Counts'!$F:$F, "100 Morts"))</f>
        <v>0</v>
      </c>
      <c r="AA62" s="116">
        <f>(SUMIFS('Bucket Counts'!$P:$P, 'Bucket Counts'!$B:$B, AA$2, 'Bucket Counts'!$A:$A, "="&amp;$A62,  'Bucket Counts'!$F:$F, "224"))</f>
        <v>0</v>
      </c>
      <c r="AB62" s="116"/>
      <c r="AC62" s="426">
        <f>(AA62+Y62)/AD61</f>
        <v>0</v>
      </c>
      <c r="AD62" s="370">
        <f>Y60+SUM(X60:X62)</f>
        <v>611.1111111111112</v>
      </c>
      <c r="AE62" s="369">
        <f>SUMIFS(Collection!$O:$O, Collection!$K:$K, AE$2, Collection!$A:$A, "="&amp;$A62)</f>
        <v>0</v>
      </c>
      <c r="AF62" s="116">
        <f>(SUMIFS('Bucket Counts'!$P:$P, 'Bucket Counts'!$B:$B, AF$2, 'Bucket Counts'!$A:$A, "="&amp;$A62,  'Bucket Counts'!$F:$F, "&lt;&gt;100 Morts",  'Bucket Counts'!$F:$F, "&lt;&gt;224"))</f>
        <v>0</v>
      </c>
      <c r="AG62" s="116">
        <f>(SUMIFS('Bucket Counts'!$P:$P, 'Bucket Counts'!$B:$B, AG$2, 'Bucket Counts'!$A:$A, "="&amp;$A62,  'Bucket Counts'!$F:$F, "100 Morts"))</f>
        <v>0</v>
      </c>
      <c r="AH62" s="116">
        <f>(SUMIFS('Bucket Counts'!$P:$P, 'Bucket Counts'!$B:$B, AH$2, 'Bucket Counts'!$A:$A, "="&amp;$A62,  'Bucket Counts'!$F:$F, "224"))</f>
        <v>0</v>
      </c>
      <c r="AI62" s="116"/>
      <c r="AJ62" s="426">
        <f>(AH62+AF62)/AK61</f>
        <v>0</v>
      </c>
      <c r="AK62" s="370">
        <f>AF60+SUM(AE60:AE62)</f>
        <v>45655.555555555555</v>
      </c>
      <c r="AL62" s="369">
        <f>SUMIFS(Collection!$O:$O, Collection!$K:$K, AL$2, Collection!$A:$A, "="&amp;$A62)</f>
        <v>0</v>
      </c>
      <c r="AM62" s="116">
        <f>(SUMIFS('Bucket Counts'!$P:$P, 'Bucket Counts'!$B:$B, AM$2, 'Bucket Counts'!$A:$A, "="&amp;$A62,  'Bucket Counts'!$F:$F, "&lt;&gt;100 Morts",  'Bucket Counts'!$F:$F, "&lt;&gt;224"))</f>
        <v>0</v>
      </c>
      <c r="AN62" s="116">
        <f>(SUMIFS('Bucket Counts'!$P:$P, 'Bucket Counts'!$B:$B, AN$2, 'Bucket Counts'!$A:$A, "="&amp;$A62,  'Bucket Counts'!$F:$F, "100 Morts"))</f>
        <v>0</v>
      </c>
      <c r="AO62" s="116">
        <f>(SUMIFS('Bucket Counts'!$P:$P, 'Bucket Counts'!$B:$B, AO$2, 'Bucket Counts'!$A:$A, "="&amp;$A62,  'Bucket Counts'!$F:$F, "224"))</f>
        <v>0</v>
      </c>
      <c r="AP62" s="116"/>
      <c r="AQ62" s="426" t="e">
        <f>(AO62+AM62)/AR61</f>
        <v>#DIV/0!</v>
      </c>
      <c r="AR62" s="370">
        <f>AM60+SUM(AL60:AL62)</f>
        <v>0</v>
      </c>
      <c r="AS62" s="369">
        <f>SUMIFS(Collection!$O:$O, Collection!$K:$K, AS$2, Collection!$A:$A, "="&amp;$A62)</f>
        <v>0</v>
      </c>
      <c r="AT62" s="116">
        <f>(SUMIFS('Bucket Counts'!$P:$P, 'Bucket Counts'!$B:$B, AT$2, 'Bucket Counts'!$A:$A, "="&amp;$A62,  'Bucket Counts'!$F:$F, "&lt;&gt;100 Morts",  'Bucket Counts'!$F:$F, "&lt;&gt;224"))</f>
        <v>0</v>
      </c>
      <c r="AU62" s="116">
        <f>(SUMIFS('Bucket Counts'!$P:$P, 'Bucket Counts'!$B:$B, AU$2, 'Bucket Counts'!$A:$A, "="&amp;$A62,  'Bucket Counts'!$F:$F, "100 Morts"))</f>
        <v>0</v>
      </c>
      <c r="AV62" s="116">
        <f>(SUMIFS('Bucket Counts'!$P:$P, 'Bucket Counts'!$B:$B, AV$2, 'Bucket Counts'!$A:$A, "="&amp;$A62,  'Bucket Counts'!$F:$F, "224"))</f>
        <v>0</v>
      </c>
      <c r="AW62" s="116"/>
      <c r="AX62" s="426">
        <f>(AV62+AT62)/AY61</f>
        <v>0</v>
      </c>
      <c r="AY62" s="370">
        <f>AT60+SUM(AS60:AS62)</f>
        <v>160</v>
      </c>
      <c r="AZ62" s="369">
        <f>SUMIFS(Collection!$O:$O, Collection!$K:$K, AZ$2, Collection!$A:$A, "="&amp;$A62)</f>
        <v>0</v>
      </c>
      <c r="BA62" s="116">
        <f>(SUMIFS('Bucket Counts'!$P:$P, 'Bucket Counts'!$B:$B, BA$2, 'Bucket Counts'!$A:$A, "="&amp;$A62,  'Bucket Counts'!$F:$F, "&lt;&gt;100 Morts",  'Bucket Counts'!$F:$F, "&lt;&gt;224"))</f>
        <v>0</v>
      </c>
      <c r="BB62" s="116">
        <f>(SUMIFS('Bucket Counts'!$P:$P, 'Bucket Counts'!$B:$B, BB$2, 'Bucket Counts'!$A:$A, "="&amp;$A62,  'Bucket Counts'!$F:$F, "100 Morts"))</f>
        <v>0</v>
      </c>
      <c r="BC62" s="116">
        <f>(SUMIFS('Bucket Counts'!$P:$P, 'Bucket Counts'!$B:$B, BC$2, 'Bucket Counts'!$A:$A, "="&amp;$A62,  'Bucket Counts'!$F:$F, "224"))</f>
        <v>0</v>
      </c>
      <c r="BD62" s="116"/>
      <c r="BE62" s="426" t="e">
        <f>(BC62+BA62)/BF61</f>
        <v>#DIV/0!</v>
      </c>
      <c r="BF62" s="370">
        <f>BA60+SUM(AZ60:AZ62)</f>
        <v>0</v>
      </c>
      <c r="BG62" s="369">
        <f>SUMIFS(Collection!$O:$O, Collection!$K:$K, BG$2, Collection!$A:$A, "="&amp;$A62)</f>
        <v>0</v>
      </c>
      <c r="BH62" s="116">
        <f>(SUMIFS('Bucket Counts'!$P:$P, 'Bucket Counts'!$B:$B, BH$2, 'Bucket Counts'!$A:$A, "="&amp;$A62,  'Bucket Counts'!$F:$F, "&lt;&gt;100 Morts",  'Bucket Counts'!$F:$F, "&lt;&gt;224"))</f>
        <v>0</v>
      </c>
      <c r="BI62" s="116">
        <f>(SUMIFS('Bucket Counts'!$P:$P, 'Bucket Counts'!$B:$B, BI$2, 'Bucket Counts'!$A:$A, "="&amp;$A62,  'Bucket Counts'!$F:$F, "100 Morts"))</f>
        <v>0</v>
      </c>
      <c r="BJ62" s="116">
        <f>(SUMIFS('Bucket Counts'!$P:$P, 'Bucket Counts'!$B:$B, BJ$2, 'Bucket Counts'!$A:$A, "="&amp;$A62,  'Bucket Counts'!$F:$F, "224"))</f>
        <v>0</v>
      </c>
      <c r="BK62" s="116"/>
      <c r="BL62" s="426">
        <f>(BJ62+BH62)/BM61</f>
        <v>0</v>
      </c>
      <c r="BM62" s="370">
        <f>BH60+SUM(BG60:BG62)</f>
        <v>14290</v>
      </c>
      <c r="BN62" s="369">
        <f>SUMIFS(Collection!$O:$O, Collection!$K:$K, BN$2, Collection!$A:$A, "="&amp;$A62)</f>
        <v>0</v>
      </c>
      <c r="BO62" s="116">
        <f>(SUMIFS('Bucket Counts'!$P:$P, 'Bucket Counts'!$B:$B, BO$2, 'Bucket Counts'!$A:$A, "="&amp;$A62,  'Bucket Counts'!$F:$F, "&lt;&gt;100 Morts",  'Bucket Counts'!$F:$F, "&lt;&gt;224"))</f>
        <v>0</v>
      </c>
      <c r="BP62" s="116">
        <f>(SUMIFS('Bucket Counts'!$P:$P, 'Bucket Counts'!$B:$B, BP$2, 'Bucket Counts'!$A:$A, "="&amp;$A62,  'Bucket Counts'!$F:$F, "100 Morts"))</f>
        <v>0</v>
      </c>
      <c r="BQ62" s="116">
        <f>(SUMIFS('Bucket Counts'!$P:$P, 'Bucket Counts'!$B:$B, BQ$2, 'Bucket Counts'!$A:$A, "="&amp;$A62,  'Bucket Counts'!$F:$F, "224"))</f>
        <v>0</v>
      </c>
      <c r="BR62" s="116"/>
      <c r="BS62" s="426">
        <f>(BQ62+BO62)/BT61</f>
        <v>0</v>
      </c>
      <c r="BT62" s="370">
        <f>BO60+SUM(BN60:BN62)</f>
        <v>10033.333333333334</v>
      </c>
      <c r="BU62" s="369">
        <f>SUMIFS(Collection!$O:$O, Collection!$K:$K, BU$2, Collection!$A:$A, "="&amp;$A62)</f>
        <v>0</v>
      </c>
      <c r="BV62" s="116">
        <f>(SUMIFS('Bucket Counts'!$P:$P, 'Bucket Counts'!$B:$B, BV$2, 'Bucket Counts'!$A:$A, "="&amp;$A62,  'Bucket Counts'!$F:$F, "&lt;&gt;100 Morts",  'Bucket Counts'!$F:$F, "&lt;&gt;224"))</f>
        <v>0</v>
      </c>
      <c r="BW62" s="116">
        <f>(SUMIFS('Bucket Counts'!$P:$P, 'Bucket Counts'!$B:$B, BW$2, 'Bucket Counts'!$A:$A, "="&amp;$A62,  'Bucket Counts'!$F:$F, "100 Morts"))</f>
        <v>0</v>
      </c>
      <c r="BX62" s="116">
        <f>(SUMIFS('Bucket Counts'!$P:$P, 'Bucket Counts'!$B:$B, BX$2, 'Bucket Counts'!$A:$A, "="&amp;$A62,  'Bucket Counts'!$F:$F, "224"))</f>
        <v>0</v>
      </c>
      <c r="BY62" s="116"/>
      <c r="BZ62" s="426">
        <f>(BX62+BV62)/CA61</f>
        <v>0</v>
      </c>
      <c r="CA62" s="370">
        <f>BV60+SUM(BU60:BU62)</f>
        <v>573.33333333333337</v>
      </c>
      <c r="CB62" s="369">
        <f>SUMIFS(Collection!$O:$O, Collection!$K:$K, CB$2, Collection!$A:$A, "="&amp;$A62)</f>
        <v>0</v>
      </c>
      <c r="CC62" s="116">
        <f>(SUMIFS('Bucket Counts'!$P:$P, 'Bucket Counts'!$B:$B, CC$2, 'Bucket Counts'!$A:$A, "="&amp;$A62,  'Bucket Counts'!$F:$F, "&lt;&gt;100 Morts",  'Bucket Counts'!$F:$F, "&lt;&gt;224"))</f>
        <v>0</v>
      </c>
      <c r="CD62" s="116">
        <f>(SUMIFS('Bucket Counts'!$P:$P, 'Bucket Counts'!$B:$B, CD$2, 'Bucket Counts'!$A:$A, "="&amp;$A62,  'Bucket Counts'!$F:$F, "100 Morts"))</f>
        <v>0</v>
      </c>
      <c r="CE62" s="116">
        <f>(SUMIFS('Bucket Counts'!$P:$P, 'Bucket Counts'!$B:$B, CE$2, 'Bucket Counts'!$A:$A, "="&amp;$A62,  'Bucket Counts'!$F:$F, "224"))</f>
        <v>0</v>
      </c>
      <c r="CF62" s="116"/>
      <c r="CG62" s="426">
        <f>(CE62+CC62)/CH61</f>
        <v>0</v>
      </c>
      <c r="CH62" s="370">
        <f>CC60+SUM(CB60:CB62)</f>
        <v>4575</v>
      </c>
      <c r="CI62" s="369">
        <f>SUMIFS(Collection!$O:$O, Collection!$K:$K, CI$2, Collection!$A:$A, "="&amp;$A62)</f>
        <v>0</v>
      </c>
      <c r="CJ62" s="116">
        <f>(SUMIFS('Bucket Counts'!$P:$P, 'Bucket Counts'!$B:$B, CJ$2, 'Bucket Counts'!$A:$A, "="&amp;$A62,  'Bucket Counts'!$F:$F, "&lt;&gt;100 Morts",  'Bucket Counts'!$F:$F, "&lt;&gt;224"))</f>
        <v>0</v>
      </c>
      <c r="CK62" s="116">
        <f>(SUMIFS('Bucket Counts'!$P:$P, 'Bucket Counts'!$B:$B, CK$2, 'Bucket Counts'!$A:$A, "="&amp;$A62,  'Bucket Counts'!$F:$F, "100 Morts"))</f>
        <v>0</v>
      </c>
      <c r="CL62" s="116">
        <f>(SUMIFS('Bucket Counts'!$P:$P, 'Bucket Counts'!$B:$B, CL$2, 'Bucket Counts'!$A:$A, "="&amp;$A62,  'Bucket Counts'!$F:$F, "224"))</f>
        <v>0</v>
      </c>
      <c r="CM62" s="116"/>
      <c r="CN62" s="426">
        <f>(CL62+CJ62)/CO61</f>
        <v>0</v>
      </c>
      <c r="CO62" s="370">
        <f>CJ60+SUM(CI60:CI62)</f>
        <v>346.66666666666669</v>
      </c>
      <c r="CP62" s="369">
        <f>SUMIFS(Collection!$O:$O, Collection!$K:$K, CP$2, Collection!$A:$A, "="&amp;$A62)</f>
        <v>0</v>
      </c>
      <c r="CQ62" s="116">
        <f>(SUMIFS('Bucket Counts'!$P:$P, 'Bucket Counts'!$B:$B, CQ$2, 'Bucket Counts'!$A:$A, "="&amp;$A62,  'Bucket Counts'!$F:$F, "&lt;&gt;100 Morts",  'Bucket Counts'!$F:$F, "&lt;&gt;224"))</f>
        <v>0</v>
      </c>
      <c r="CR62" s="116">
        <f>(SUMIFS('Bucket Counts'!$P:$P, 'Bucket Counts'!$B:$B, CR$2, 'Bucket Counts'!$A:$A, "="&amp;$A62,  'Bucket Counts'!$F:$F, "100 Morts"))</f>
        <v>0</v>
      </c>
      <c r="CS62" s="116">
        <f>(SUMIFS('Bucket Counts'!$P:$P, 'Bucket Counts'!$B:$B, CS$2, 'Bucket Counts'!$A:$A, "="&amp;$A62,  'Bucket Counts'!$F:$F, "224"))</f>
        <v>0</v>
      </c>
      <c r="CT62" s="116"/>
      <c r="CU62" s="426">
        <f>(CS62+CQ62)/CV61</f>
        <v>0</v>
      </c>
      <c r="CV62" s="370">
        <f>CQ60+SUM(CP60:CP62)</f>
        <v>293.33333333333331</v>
      </c>
      <c r="CW62" s="369">
        <f>SUMIFS(Collection!$O:$O, Collection!$K:$K, CW$2, Collection!$A:$A, "="&amp;$A62)</f>
        <v>0</v>
      </c>
      <c r="CX62" s="116">
        <f>(SUMIFS('Bucket Counts'!$P:$P, 'Bucket Counts'!$B:$B, CX$2, 'Bucket Counts'!$A:$A, "="&amp;$A62,  'Bucket Counts'!$F:$F, "&lt;&gt;100 Morts",  'Bucket Counts'!$F:$F, "&lt;&gt;224"))</f>
        <v>0</v>
      </c>
      <c r="CY62" s="116">
        <f>(SUMIFS('Bucket Counts'!$P:$P, 'Bucket Counts'!$B:$B, CY$2, 'Bucket Counts'!$A:$A, "="&amp;$A62,  'Bucket Counts'!$F:$F, "100 Morts"))</f>
        <v>0</v>
      </c>
      <c r="CZ62" s="116">
        <f>(SUMIFS('Bucket Counts'!$P:$P, 'Bucket Counts'!$B:$B, CZ$2, 'Bucket Counts'!$A:$A, "="&amp;$A62,  'Bucket Counts'!$F:$F, "224"))</f>
        <v>0</v>
      </c>
      <c r="DA62" s="116"/>
      <c r="DB62" s="426">
        <f>(CZ62+CX62)/DC61</f>
        <v>0</v>
      </c>
      <c r="DC62" s="370">
        <f>CX60+SUM(CW60:CW62)</f>
        <v>2779.166666666667</v>
      </c>
      <c r="DD62" s="369">
        <f>SUMIFS(Collection!$O:$O, Collection!$K:$K, DD$2, Collection!$A:$A, "="&amp;$A62)</f>
        <v>0</v>
      </c>
      <c r="DE62" s="116">
        <f>(SUMIFS('Bucket Counts'!$P:$P, 'Bucket Counts'!$B:$B, DE$2, 'Bucket Counts'!$A:$A, "="&amp;$A62,  'Bucket Counts'!$F:$F, "&lt;&gt;100 Morts",  'Bucket Counts'!$F:$F, "&lt;&gt;224"))</f>
        <v>0</v>
      </c>
      <c r="DF62" s="116">
        <f>(SUMIFS('Bucket Counts'!$P:$P, 'Bucket Counts'!$B:$B, DF$2, 'Bucket Counts'!$A:$A, "="&amp;$A62,  'Bucket Counts'!$F:$F, "100 Morts"))</f>
        <v>0</v>
      </c>
      <c r="DG62" s="116">
        <f>(SUMIFS('Bucket Counts'!$P:$P, 'Bucket Counts'!$B:$B, DG$2, 'Bucket Counts'!$A:$A, "="&amp;$A62,  'Bucket Counts'!$F:$F, "224"))</f>
        <v>0</v>
      </c>
      <c r="DH62" s="116"/>
      <c r="DI62" s="426">
        <f>(DG62+DE62)/DJ61</f>
        <v>0</v>
      </c>
      <c r="DJ62" s="370">
        <f>DE60+SUM(DD60:DD62)</f>
        <v>373.33333333333331</v>
      </c>
      <c r="DK62" s="369">
        <f>SUMIFS(Collection!$O:$O, Collection!$K:$K, DK$2, Collection!$A:$A, "="&amp;$A62)</f>
        <v>0</v>
      </c>
      <c r="DL62" s="116">
        <f>(SUMIFS('Bucket Counts'!$P:$P, 'Bucket Counts'!$B:$B, DL$2, 'Bucket Counts'!$A:$A, "="&amp;$A62,  'Bucket Counts'!$F:$F, "&lt;&gt;100 Morts",  'Bucket Counts'!$F:$F, "&lt;&gt;224"))</f>
        <v>0</v>
      </c>
      <c r="DM62" s="116">
        <f>(SUMIFS('Bucket Counts'!$P:$P, 'Bucket Counts'!$B:$B, DM$2, 'Bucket Counts'!$A:$A, "="&amp;$A62,  'Bucket Counts'!$F:$F, "100 Morts"))</f>
        <v>0</v>
      </c>
      <c r="DN62" s="116">
        <f>(SUMIFS('Bucket Counts'!$P:$P, 'Bucket Counts'!$B:$B, DN$2, 'Bucket Counts'!$A:$A, "="&amp;$A62,  'Bucket Counts'!$F:$F, "224"))</f>
        <v>0</v>
      </c>
      <c r="DO62" s="116"/>
      <c r="DP62" s="426" t="e">
        <f>(DN62+DL62)/DQ61</f>
        <v>#DIV/0!</v>
      </c>
      <c r="DQ62" s="370">
        <f>DL60+SUM(DK60:DK62)</f>
        <v>0</v>
      </c>
      <c r="DR62" s="369">
        <f>SUMIFS(Collection!$O:$O, Collection!$K:$K, DR$2, Collection!$A:$A, "="&amp;$A62)</f>
        <v>0</v>
      </c>
      <c r="DS62" s="116">
        <f>(SUMIFS('Bucket Counts'!$P:$P, 'Bucket Counts'!$B:$B, DS$2, 'Bucket Counts'!$A:$A, "="&amp;$A62,  'Bucket Counts'!$F:$F, "&lt;&gt;100 Morts",  'Bucket Counts'!$F:$F, "&lt;&gt;224"))</f>
        <v>0</v>
      </c>
      <c r="DT62" s="116">
        <f>(SUMIFS('Bucket Counts'!$P:$P, 'Bucket Counts'!$B:$B, DT$2, 'Bucket Counts'!$A:$A, "="&amp;$A62,  'Bucket Counts'!$F:$F, "100 Morts"))</f>
        <v>0</v>
      </c>
      <c r="DU62" s="116">
        <f>(SUMIFS('Bucket Counts'!$P:$P, 'Bucket Counts'!$B:$B, DU$2, 'Bucket Counts'!$A:$A, "="&amp;$A62,  'Bucket Counts'!$F:$F, "224"))</f>
        <v>0</v>
      </c>
      <c r="DV62" s="116"/>
      <c r="DW62" s="426" t="e">
        <f>(DU62+DS62)/DX61</f>
        <v>#DIV/0!</v>
      </c>
      <c r="DX62" s="370">
        <f>DS60+SUM(DR60:DR62)</f>
        <v>0</v>
      </c>
      <c r="DY62" s="369">
        <f>SUMIFS(Collection!$O:$O, Collection!$K:$K, DY$2, Collection!$A:$A, "="&amp;$A62)</f>
        <v>0</v>
      </c>
      <c r="DZ62" s="116">
        <f>(SUMIFS('Bucket Counts'!$P:$P, 'Bucket Counts'!$B:$B, DZ$2, 'Bucket Counts'!$A:$A, "="&amp;$A62,  'Bucket Counts'!$F:$F, "&lt;&gt;100 Morts",  'Bucket Counts'!$F:$F, "&lt;&gt;224"))</f>
        <v>0</v>
      </c>
      <c r="EA62" s="116">
        <f>(SUMIFS('Bucket Counts'!$P:$P, 'Bucket Counts'!$B:$B, EA$2, 'Bucket Counts'!$A:$A, "="&amp;$A62,  'Bucket Counts'!$F:$F, "100 Morts"))</f>
        <v>0</v>
      </c>
      <c r="EB62" s="116">
        <f>(SUMIFS('Bucket Counts'!$P:$P, 'Bucket Counts'!$B:$B, EB$2, 'Bucket Counts'!$A:$A, "="&amp;$A62,  'Bucket Counts'!$F:$F, "224"))</f>
        <v>0</v>
      </c>
      <c r="EC62" s="116"/>
      <c r="ED62" s="426" t="e">
        <f>(EB62+DZ62)/EE61</f>
        <v>#DIV/0!</v>
      </c>
      <c r="EE62" s="370">
        <f>DZ60+SUM(DY60:DY62)</f>
        <v>0</v>
      </c>
      <c r="EF62" s="369">
        <f>SUMIFS(Collection!$O:$O, Collection!$K:$K, EF$2, Collection!$A:$A, "="&amp;$A62)</f>
        <v>0</v>
      </c>
      <c r="EG62" s="116">
        <f>(SUMIFS('Bucket Counts'!$P:$P, 'Bucket Counts'!$B:$B, EG$2, 'Bucket Counts'!$A:$A, "="&amp;$A62,  'Bucket Counts'!$F:$F, "&lt;&gt;100 Morts",  'Bucket Counts'!$F:$F, "&lt;&gt;224"))</f>
        <v>0</v>
      </c>
      <c r="EH62" s="116">
        <f>(SUMIFS('Bucket Counts'!$P:$P, 'Bucket Counts'!$B:$B, EH$2, 'Bucket Counts'!$A:$A, "="&amp;$A62,  'Bucket Counts'!$F:$F, "100 Morts"))</f>
        <v>0</v>
      </c>
      <c r="EI62" s="116">
        <f>(SUMIFS('Bucket Counts'!$P:$P, 'Bucket Counts'!$B:$B, EI$2, 'Bucket Counts'!$A:$A, "="&amp;$A62,  'Bucket Counts'!$F:$F, "224"))</f>
        <v>0</v>
      </c>
      <c r="EJ62" s="116"/>
      <c r="EK62" s="426" t="e">
        <f>(EI62+EG62)/EL61</f>
        <v>#DIV/0!</v>
      </c>
      <c r="EL62" s="370">
        <f>EG60+SUM(EF60:EF62)</f>
        <v>0</v>
      </c>
    </row>
    <row r="63" spans="1:142" x14ac:dyDescent="0.2">
      <c r="A63" s="16">
        <f t="shared" si="0"/>
        <v>42932</v>
      </c>
      <c r="B63" s="16" t="s">
        <v>487</v>
      </c>
      <c r="C63" s="369">
        <f>SUMIFS(Collection!$O:$O, Collection!$K:$K, C$2, Collection!$A:$A, "="&amp;$A63)</f>
        <v>0</v>
      </c>
      <c r="D63" s="116">
        <f>(SUMIFS('Bucket Counts'!$P:$P, 'Bucket Counts'!$B:$B, D$2, 'Bucket Counts'!$A:$A, "="&amp;$A63,  'Bucket Counts'!$F:$F, "&lt;&gt;100 Morts",  'Bucket Counts'!$F:$F, "&lt;&gt;224"))</f>
        <v>0</v>
      </c>
      <c r="E63" s="116">
        <f>(SUMIFS('Bucket Counts'!$P:$P, 'Bucket Counts'!$B:$B, E$2, 'Bucket Counts'!$A:$A, "="&amp;$A63,  'Bucket Counts'!$F:$F, "100 Morts"))</f>
        <v>0</v>
      </c>
      <c r="F63" s="116">
        <f>(SUMIFS('Bucket Counts'!$P:$P, 'Bucket Counts'!$B:$B, F$2, 'Bucket Counts'!$A:$A, "="&amp;$A63,  'Bucket Counts'!$F:$F, "224"))</f>
        <v>0</v>
      </c>
      <c r="G63" s="116"/>
      <c r="H63" s="426">
        <f>(F63+D63)/I62</f>
        <v>0</v>
      </c>
      <c r="I63" s="370">
        <f>D60+SUM(C60:C63)</f>
        <v>45</v>
      </c>
      <c r="J63" s="369">
        <f>SUMIFS(Collection!$O:$O, Collection!$K:$K, J$2, Collection!$A:$A, "="&amp;$A63)</f>
        <v>0</v>
      </c>
      <c r="K63" s="116">
        <f>(SUMIFS('Bucket Counts'!$P:$P, 'Bucket Counts'!$B:$B, K$2, 'Bucket Counts'!$A:$A, "="&amp;$A63,  'Bucket Counts'!$F:$F, "&lt;&gt;100 Morts",  'Bucket Counts'!$F:$F, "&lt;&gt;224"))</f>
        <v>0</v>
      </c>
      <c r="L63" s="116">
        <f>(SUMIFS('Bucket Counts'!$P:$P, 'Bucket Counts'!$B:$B, L$2, 'Bucket Counts'!$A:$A, "="&amp;$A63,  'Bucket Counts'!$F:$F, "100 Morts"))</f>
        <v>0</v>
      </c>
      <c r="M63" s="116">
        <f>(SUMIFS('Bucket Counts'!$P:$P, 'Bucket Counts'!$B:$B, M$2, 'Bucket Counts'!$A:$A, "="&amp;$A63,  'Bucket Counts'!$F:$F, "224"))</f>
        <v>0</v>
      </c>
      <c r="N63" s="116"/>
      <c r="O63" s="426">
        <f>(M63+K63)/P62</f>
        <v>0</v>
      </c>
      <c r="P63" s="370">
        <f>K60+SUM(J60:J63)</f>
        <v>1500</v>
      </c>
      <c r="Q63" s="369">
        <f>SUMIFS(Collection!$O:$O, Collection!$K:$K, Q$2, Collection!$A:$A, "="&amp;$A63)</f>
        <v>0</v>
      </c>
      <c r="R63" s="116">
        <f>(SUMIFS('Bucket Counts'!$P:$P, 'Bucket Counts'!$B:$B, R$2, 'Bucket Counts'!$A:$A, "="&amp;$A63,  'Bucket Counts'!$F:$F, "&lt;&gt;100 Morts",  'Bucket Counts'!$F:$F, "&lt;&gt;224"))</f>
        <v>0</v>
      </c>
      <c r="S63" s="116">
        <f>(SUMIFS('Bucket Counts'!$P:$P, 'Bucket Counts'!$B:$B, S$2, 'Bucket Counts'!$A:$A, "="&amp;$A63,  'Bucket Counts'!$F:$F, "100 Morts"))</f>
        <v>0</v>
      </c>
      <c r="T63" s="116">
        <f>(SUMIFS('Bucket Counts'!$P:$P, 'Bucket Counts'!$B:$B, T$2, 'Bucket Counts'!$A:$A, "="&amp;$A63,  'Bucket Counts'!$F:$F, "224"))</f>
        <v>0</v>
      </c>
      <c r="U63" s="116"/>
      <c r="V63" s="426" t="e">
        <f>(T63+R63)/W62</f>
        <v>#DIV/0!</v>
      </c>
      <c r="W63" s="370">
        <f>R60+SUM(Q60:Q63)</f>
        <v>0</v>
      </c>
      <c r="X63" s="369">
        <f>SUMIFS(Collection!$O:$O, Collection!$K:$K, X$2, Collection!$A:$A, "="&amp;$A63)</f>
        <v>0</v>
      </c>
      <c r="Y63" s="116">
        <f>(SUMIFS('Bucket Counts'!$P:$P, 'Bucket Counts'!$B:$B, Y$2, 'Bucket Counts'!$A:$A, "="&amp;$A63,  'Bucket Counts'!$F:$F, "&lt;&gt;100 Morts",  'Bucket Counts'!$F:$F, "&lt;&gt;224"))</f>
        <v>0</v>
      </c>
      <c r="Z63" s="116">
        <f>(SUMIFS('Bucket Counts'!$P:$P, 'Bucket Counts'!$B:$B, Z$2, 'Bucket Counts'!$A:$A, "="&amp;$A63,  'Bucket Counts'!$F:$F, "100 Morts"))</f>
        <v>0</v>
      </c>
      <c r="AA63" s="116">
        <f>(SUMIFS('Bucket Counts'!$P:$P, 'Bucket Counts'!$B:$B, AA$2, 'Bucket Counts'!$A:$A, "="&amp;$A63,  'Bucket Counts'!$F:$F, "224"))</f>
        <v>0</v>
      </c>
      <c r="AB63" s="116"/>
      <c r="AC63" s="426">
        <f>(AA63+Y63)/AD62</f>
        <v>0</v>
      </c>
      <c r="AD63" s="370">
        <f>Y60+SUM(X60:X63)</f>
        <v>611.1111111111112</v>
      </c>
      <c r="AE63" s="369">
        <f>SUMIFS(Collection!$O:$O, Collection!$K:$K, AE$2, Collection!$A:$A, "="&amp;$A63)</f>
        <v>0</v>
      </c>
      <c r="AF63" s="116">
        <f>(SUMIFS('Bucket Counts'!$P:$P, 'Bucket Counts'!$B:$B, AF$2, 'Bucket Counts'!$A:$A, "="&amp;$A63,  'Bucket Counts'!$F:$F, "&lt;&gt;100 Morts",  'Bucket Counts'!$F:$F, "&lt;&gt;224"))</f>
        <v>0</v>
      </c>
      <c r="AG63" s="116">
        <f>(SUMIFS('Bucket Counts'!$P:$P, 'Bucket Counts'!$B:$B, AG$2, 'Bucket Counts'!$A:$A, "="&amp;$A63,  'Bucket Counts'!$F:$F, "100 Morts"))</f>
        <v>0</v>
      </c>
      <c r="AH63" s="116">
        <f>(SUMIFS('Bucket Counts'!$P:$P, 'Bucket Counts'!$B:$B, AH$2, 'Bucket Counts'!$A:$A, "="&amp;$A63,  'Bucket Counts'!$F:$F, "224"))</f>
        <v>0</v>
      </c>
      <c r="AI63" s="116"/>
      <c r="AJ63" s="426">
        <f>(AH63+AF63)/AK62</f>
        <v>0</v>
      </c>
      <c r="AK63" s="370">
        <f>AF60+SUM(AE60:AE63)</f>
        <v>45655.555555555555</v>
      </c>
      <c r="AL63" s="369">
        <f>SUMIFS(Collection!$O:$O, Collection!$K:$K, AL$2, Collection!$A:$A, "="&amp;$A63)</f>
        <v>0</v>
      </c>
      <c r="AM63" s="116">
        <f>(SUMIFS('Bucket Counts'!$P:$P, 'Bucket Counts'!$B:$B, AM$2, 'Bucket Counts'!$A:$A, "="&amp;$A63,  'Bucket Counts'!$F:$F, "&lt;&gt;100 Morts",  'Bucket Counts'!$F:$F, "&lt;&gt;224"))</f>
        <v>0</v>
      </c>
      <c r="AN63" s="116">
        <f>(SUMIFS('Bucket Counts'!$P:$P, 'Bucket Counts'!$B:$B, AN$2, 'Bucket Counts'!$A:$A, "="&amp;$A63,  'Bucket Counts'!$F:$F, "100 Morts"))</f>
        <v>0</v>
      </c>
      <c r="AO63" s="116">
        <f>(SUMIFS('Bucket Counts'!$P:$P, 'Bucket Counts'!$B:$B, AO$2, 'Bucket Counts'!$A:$A, "="&amp;$A63,  'Bucket Counts'!$F:$F, "224"))</f>
        <v>0</v>
      </c>
      <c r="AP63" s="116"/>
      <c r="AQ63" s="426" t="e">
        <f>(AO63+AM63)/AR62</f>
        <v>#DIV/0!</v>
      </c>
      <c r="AR63" s="370">
        <f>AM60+SUM(AL60:AL63)</f>
        <v>0</v>
      </c>
      <c r="AS63" s="369">
        <f>SUMIFS(Collection!$O:$O, Collection!$K:$K, AS$2, Collection!$A:$A, "="&amp;$A63)</f>
        <v>0</v>
      </c>
      <c r="AT63" s="116">
        <f>(SUMIFS('Bucket Counts'!$P:$P, 'Bucket Counts'!$B:$B, AT$2, 'Bucket Counts'!$A:$A, "="&amp;$A63,  'Bucket Counts'!$F:$F, "&lt;&gt;100 Morts",  'Bucket Counts'!$F:$F, "&lt;&gt;224"))</f>
        <v>0</v>
      </c>
      <c r="AU63" s="116">
        <f>(SUMIFS('Bucket Counts'!$P:$P, 'Bucket Counts'!$B:$B, AU$2, 'Bucket Counts'!$A:$A, "="&amp;$A63,  'Bucket Counts'!$F:$F, "100 Morts"))</f>
        <v>0</v>
      </c>
      <c r="AV63" s="116">
        <f>(SUMIFS('Bucket Counts'!$P:$P, 'Bucket Counts'!$B:$B, AV$2, 'Bucket Counts'!$A:$A, "="&amp;$A63,  'Bucket Counts'!$F:$F, "224"))</f>
        <v>0</v>
      </c>
      <c r="AW63" s="116"/>
      <c r="AX63" s="426">
        <f>(AV63+AT63)/AY62</f>
        <v>0</v>
      </c>
      <c r="AY63" s="370">
        <f>AT60+SUM(AS60:AS63)</f>
        <v>160</v>
      </c>
      <c r="AZ63" s="369">
        <f>SUMIFS(Collection!$O:$O, Collection!$K:$K, AZ$2, Collection!$A:$A, "="&amp;$A63)</f>
        <v>0</v>
      </c>
      <c r="BA63" s="116">
        <f>(SUMIFS('Bucket Counts'!$P:$P, 'Bucket Counts'!$B:$B, BA$2, 'Bucket Counts'!$A:$A, "="&amp;$A63,  'Bucket Counts'!$F:$F, "&lt;&gt;100 Morts",  'Bucket Counts'!$F:$F, "&lt;&gt;224"))</f>
        <v>0</v>
      </c>
      <c r="BB63" s="116">
        <f>(SUMIFS('Bucket Counts'!$P:$P, 'Bucket Counts'!$B:$B, BB$2, 'Bucket Counts'!$A:$A, "="&amp;$A63,  'Bucket Counts'!$F:$F, "100 Morts"))</f>
        <v>0</v>
      </c>
      <c r="BC63" s="116">
        <f>(SUMIFS('Bucket Counts'!$P:$P, 'Bucket Counts'!$B:$B, BC$2, 'Bucket Counts'!$A:$A, "="&amp;$A63,  'Bucket Counts'!$F:$F, "224"))</f>
        <v>0</v>
      </c>
      <c r="BD63" s="116"/>
      <c r="BE63" s="426" t="e">
        <f>(BC63+BA63)/BF62</f>
        <v>#DIV/0!</v>
      </c>
      <c r="BF63" s="370">
        <f>BA60+SUM(AZ60:AZ63)</f>
        <v>0</v>
      </c>
      <c r="BG63" s="369">
        <f>SUMIFS(Collection!$O:$O, Collection!$K:$K, BG$2, Collection!$A:$A, "="&amp;$A63)</f>
        <v>0</v>
      </c>
      <c r="BH63" s="116">
        <f>(SUMIFS('Bucket Counts'!$P:$P, 'Bucket Counts'!$B:$B, BH$2, 'Bucket Counts'!$A:$A, "="&amp;$A63,  'Bucket Counts'!$F:$F, "&lt;&gt;100 Morts",  'Bucket Counts'!$F:$F, "&lt;&gt;224"))</f>
        <v>0</v>
      </c>
      <c r="BI63" s="116">
        <f>(SUMIFS('Bucket Counts'!$P:$P, 'Bucket Counts'!$B:$B, BI$2, 'Bucket Counts'!$A:$A, "="&amp;$A63,  'Bucket Counts'!$F:$F, "100 Morts"))</f>
        <v>0</v>
      </c>
      <c r="BJ63" s="116">
        <f>(SUMIFS('Bucket Counts'!$P:$P, 'Bucket Counts'!$B:$B, BJ$2, 'Bucket Counts'!$A:$A, "="&amp;$A63,  'Bucket Counts'!$F:$F, "224"))</f>
        <v>0</v>
      </c>
      <c r="BK63" s="116"/>
      <c r="BL63" s="426">
        <f>(BJ63+BH63)/BM62</f>
        <v>0</v>
      </c>
      <c r="BM63" s="370">
        <f>BH60+SUM(BG60:BG63)</f>
        <v>14290</v>
      </c>
      <c r="BN63" s="369">
        <f>SUMIFS(Collection!$O:$O, Collection!$K:$K, BN$2, Collection!$A:$A, "="&amp;$A63)</f>
        <v>0</v>
      </c>
      <c r="BO63" s="116">
        <f>(SUMIFS('Bucket Counts'!$P:$P, 'Bucket Counts'!$B:$B, BO$2, 'Bucket Counts'!$A:$A, "="&amp;$A63,  'Bucket Counts'!$F:$F, "&lt;&gt;100 Morts",  'Bucket Counts'!$F:$F, "&lt;&gt;224"))</f>
        <v>0</v>
      </c>
      <c r="BP63" s="116">
        <f>(SUMIFS('Bucket Counts'!$P:$P, 'Bucket Counts'!$B:$B, BP$2, 'Bucket Counts'!$A:$A, "="&amp;$A63,  'Bucket Counts'!$F:$F, "100 Morts"))</f>
        <v>0</v>
      </c>
      <c r="BQ63" s="116">
        <f>(SUMIFS('Bucket Counts'!$P:$P, 'Bucket Counts'!$B:$B, BQ$2, 'Bucket Counts'!$A:$A, "="&amp;$A63,  'Bucket Counts'!$F:$F, "224"))</f>
        <v>0</v>
      </c>
      <c r="BR63" s="116"/>
      <c r="BS63" s="426">
        <f>(BQ63+BO63)/BT62</f>
        <v>0</v>
      </c>
      <c r="BT63" s="370">
        <f>BO60+SUM(BN60:BN63)</f>
        <v>10033.333333333334</v>
      </c>
      <c r="BU63" s="369">
        <f>SUMIFS(Collection!$O:$O, Collection!$K:$K, BU$2, Collection!$A:$A, "="&amp;$A63)</f>
        <v>0</v>
      </c>
      <c r="BV63" s="116">
        <f>(SUMIFS('Bucket Counts'!$P:$P, 'Bucket Counts'!$B:$B, BV$2, 'Bucket Counts'!$A:$A, "="&amp;$A63,  'Bucket Counts'!$F:$F, "&lt;&gt;100 Morts",  'Bucket Counts'!$F:$F, "&lt;&gt;224"))</f>
        <v>0</v>
      </c>
      <c r="BW63" s="116">
        <f>(SUMIFS('Bucket Counts'!$P:$P, 'Bucket Counts'!$B:$B, BW$2, 'Bucket Counts'!$A:$A, "="&amp;$A63,  'Bucket Counts'!$F:$F, "100 Morts"))</f>
        <v>0</v>
      </c>
      <c r="BX63" s="116">
        <f>(SUMIFS('Bucket Counts'!$P:$P, 'Bucket Counts'!$B:$B, BX$2, 'Bucket Counts'!$A:$A, "="&amp;$A63,  'Bucket Counts'!$F:$F, "224"))</f>
        <v>0</v>
      </c>
      <c r="BY63" s="116"/>
      <c r="BZ63" s="426">
        <f>(BX63+BV63)/CA62</f>
        <v>0</v>
      </c>
      <c r="CA63" s="370">
        <f>BV60+SUM(BU60:BU63)</f>
        <v>573.33333333333337</v>
      </c>
      <c r="CB63" s="369">
        <f>SUMIFS(Collection!$O:$O, Collection!$K:$K, CB$2, Collection!$A:$A, "="&amp;$A63)</f>
        <v>0</v>
      </c>
      <c r="CC63" s="116">
        <f>(SUMIFS('Bucket Counts'!$P:$P, 'Bucket Counts'!$B:$B, CC$2, 'Bucket Counts'!$A:$A, "="&amp;$A63,  'Bucket Counts'!$F:$F, "&lt;&gt;100 Morts",  'Bucket Counts'!$F:$F, "&lt;&gt;224"))</f>
        <v>0</v>
      </c>
      <c r="CD63" s="116">
        <f>(SUMIFS('Bucket Counts'!$P:$P, 'Bucket Counts'!$B:$B, CD$2, 'Bucket Counts'!$A:$A, "="&amp;$A63,  'Bucket Counts'!$F:$F, "100 Morts"))</f>
        <v>0</v>
      </c>
      <c r="CE63" s="116">
        <f>(SUMIFS('Bucket Counts'!$P:$P, 'Bucket Counts'!$B:$B, CE$2, 'Bucket Counts'!$A:$A, "="&amp;$A63,  'Bucket Counts'!$F:$F, "224"))</f>
        <v>0</v>
      </c>
      <c r="CF63" s="116"/>
      <c r="CG63" s="426">
        <f>(CE63+CC63)/CH62</f>
        <v>0</v>
      </c>
      <c r="CH63" s="370">
        <f>CC60+SUM(CB60:CB63)</f>
        <v>4575</v>
      </c>
      <c r="CI63" s="369">
        <f>SUMIFS(Collection!$O:$O, Collection!$K:$K, CI$2, Collection!$A:$A, "="&amp;$A63)</f>
        <v>0</v>
      </c>
      <c r="CJ63" s="116">
        <f>(SUMIFS('Bucket Counts'!$P:$P, 'Bucket Counts'!$B:$B, CJ$2, 'Bucket Counts'!$A:$A, "="&amp;$A63,  'Bucket Counts'!$F:$F, "&lt;&gt;100 Morts",  'Bucket Counts'!$F:$F, "&lt;&gt;224"))</f>
        <v>0</v>
      </c>
      <c r="CK63" s="116">
        <f>(SUMIFS('Bucket Counts'!$P:$P, 'Bucket Counts'!$B:$B, CK$2, 'Bucket Counts'!$A:$A, "="&amp;$A63,  'Bucket Counts'!$F:$F, "100 Morts"))</f>
        <v>0</v>
      </c>
      <c r="CL63" s="116">
        <f>(SUMIFS('Bucket Counts'!$P:$P, 'Bucket Counts'!$B:$B, CL$2, 'Bucket Counts'!$A:$A, "="&amp;$A63,  'Bucket Counts'!$F:$F, "224"))</f>
        <v>0</v>
      </c>
      <c r="CM63" s="116"/>
      <c r="CN63" s="426">
        <f>(CL63+CJ63)/CO62</f>
        <v>0</v>
      </c>
      <c r="CO63" s="370">
        <f>CJ60+SUM(CI60:CI63)</f>
        <v>346.66666666666669</v>
      </c>
      <c r="CP63" s="369">
        <f>SUMIFS(Collection!$O:$O, Collection!$K:$K, CP$2, Collection!$A:$A, "="&amp;$A63)</f>
        <v>0</v>
      </c>
      <c r="CQ63" s="116">
        <f>(SUMIFS('Bucket Counts'!$P:$P, 'Bucket Counts'!$B:$B, CQ$2, 'Bucket Counts'!$A:$A, "="&amp;$A63,  'Bucket Counts'!$F:$F, "&lt;&gt;100 Morts",  'Bucket Counts'!$F:$F, "&lt;&gt;224"))</f>
        <v>0</v>
      </c>
      <c r="CR63" s="116">
        <f>(SUMIFS('Bucket Counts'!$P:$P, 'Bucket Counts'!$B:$B, CR$2, 'Bucket Counts'!$A:$A, "="&amp;$A63,  'Bucket Counts'!$F:$F, "100 Morts"))</f>
        <v>0</v>
      </c>
      <c r="CS63" s="116">
        <f>(SUMIFS('Bucket Counts'!$P:$P, 'Bucket Counts'!$B:$B, CS$2, 'Bucket Counts'!$A:$A, "="&amp;$A63,  'Bucket Counts'!$F:$F, "224"))</f>
        <v>0</v>
      </c>
      <c r="CT63" s="116"/>
      <c r="CU63" s="426">
        <f>(CS63+CQ63)/CV62</f>
        <v>0</v>
      </c>
      <c r="CV63" s="370">
        <f>CQ60+SUM(CP60:CP63)</f>
        <v>293.33333333333331</v>
      </c>
      <c r="CW63" s="369">
        <f>SUMIFS(Collection!$O:$O, Collection!$K:$K, CW$2, Collection!$A:$A, "="&amp;$A63)</f>
        <v>0</v>
      </c>
      <c r="CX63" s="116">
        <f>(SUMIFS('Bucket Counts'!$P:$P, 'Bucket Counts'!$B:$B, CX$2, 'Bucket Counts'!$A:$A, "="&amp;$A63,  'Bucket Counts'!$F:$F, "&lt;&gt;100 Morts",  'Bucket Counts'!$F:$F, "&lt;&gt;224"))</f>
        <v>0</v>
      </c>
      <c r="CY63" s="116">
        <f>(SUMIFS('Bucket Counts'!$P:$P, 'Bucket Counts'!$B:$B, CY$2, 'Bucket Counts'!$A:$A, "="&amp;$A63,  'Bucket Counts'!$F:$F, "100 Morts"))</f>
        <v>0</v>
      </c>
      <c r="CZ63" s="116">
        <f>(SUMIFS('Bucket Counts'!$P:$P, 'Bucket Counts'!$B:$B, CZ$2, 'Bucket Counts'!$A:$A, "="&amp;$A63,  'Bucket Counts'!$F:$F, "224"))</f>
        <v>0</v>
      </c>
      <c r="DA63" s="116"/>
      <c r="DB63" s="426">
        <f>(CZ63+CX63)/DC62</f>
        <v>0</v>
      </c>
      <c r="DC63" s="370">
        <f>CX60+SUM(CW60:CW63)</f>
        <v>2779.166666666667</v>
      </c>
      <c r="DD63" s="369">
        <f>SUMIFS(Collection!$O:$O, Collection!$K:$K, DD$2, Collection!$A:$A, "="&amp;$A63)</f>
        <v>0</v>
      </c>
      <c r="DE63" s="116">
        <f>(SUMIFS('Bucket Counts'!$P:$P, 'Bucket Counts'!$B:$B, DE$2, 'Bucket Counts'!$A:$A, "="&amp;$A63,  'Bucket Counts'!$F:$F, "&lt;&gt;100 Morts",  'Bucket Counts'!$F:$F, "&lt;&gt;224"))</f>
        <v>0</v>
      </c>
      <c r="DF63" s="116">
        <f>(SUMIFS('Bucket Counts'!$P:$P, 'Bucket Counts'!$B:$B, DF$2, 'Bucket Counts'!$A:$A, "="&amp;$A63,  'Bucket Counts'!$F:$F, "100 Morts"))</f>
        <v>0</v>
      </c>
      <c r="DG63" s="116">
        <f>(SUMIFS('Bucket Counts'!$P:$P, 'Bucket Counts'!$B:$B, DG$2, 'Bucket Counts'!$A:$A, "="&amp;$A63,  'Bucket Counts'!$F:$F, "224"))</f>
        <v>0</v>
      </c>
      <c r="DH63" s="116"/>
      <c r="DI63" s="426">
        <f>(DG63+DE63)/DJ62</f>
        <v>0</v>
      </c>
      <c r="DJ63" s="370">
        <f>DE60+SUM(DD60:DD63)</f>
        <v>373.33333333333331</v>
      </c>
      <c r="DK63" s="369">
        <f>SUMIFS(Collection!$O:$O, Collection!$K:$K, DK$2, Collection!$A:$A, "="&amp;$A63)</f>
        <v>0</v>
      </c>
      <c r="DL63" s="116">
        <f>(SUMIFS('Bucket Counts'!$P:$P, 'Bucket Counts'!$B:$B, DL$2, 'Bucket Counts'!$A:$A, "="&amp;$A63,  'Bucket Counts'!$F:$F, "&lt;&gt;100 Morts",  'Bucket Counts'!$F:$F, "&lt;&gt;224"))</f>
        <v>0</v>
      </c>
      <c r="DM63" s="116">
        <f>(SUMIFS('Bucket Counts'!$P:$P, 'Bucket Counts'!$B:$B, DM$2, 'Bucket Counts'!$A:$A, "="&amp;$A63,  'Bucket Counts'!$F:$F, "100 Morts"))</f>
        <v>0</v>
      </c>
      <c r="DN63" s="116">
        <f>(SUMIFS('Bucket Counts'!$P:$P, 'Bucket Counts'!$B:$B, DN$2, 'Bucket Counts'!$A:$A, "="&amp;$A63,  'Bucket Counts'!$F:$F, "224"))</f>
        <v>0</v>
      </c>
      <c r="DO63" s="116"/>
      <c r="DP63" s="426" t="e">
        <f>(DN63+DL63)/DQ62</f>
        <v>#DIV/0!</v>
      </c>
      <c r="DQ63" s="370">
        <f>DL60+SUM(DK60:DK63)</f>
        <v>0</v>
      </c>
      <c r="DR63" s="369">
        <f>SUMIFS(Collection!$O:$O, Collection!$K:$K, DR$2, Collection!$A:$A, "="&amp;$A63)</f>
        <v>0</v>
      </c>
      <c r="DS63" s="116">
        <f>(SUMIFS('Bucket Counts'!$P:$P, 'Bucket Counts'!$B:$B, DS$2, 'Bucket Counts'!$A:$A, "="&amp;$A63,  'Bucket Counts'!$F:$F, "&lt;&gt;100 Morts",  'Bucket Counts'!$F:$F, "&lt;&gt;224"))</f>
        <v>0</v>
      </c>
      <c r="DT63" s="116">
        <f>(SUMIFS('Bucket Counts'!$P:$P, 'Bucket Counts'!$B:$B, DT$2, 'Bucket Counts'!$A:$A, "="&amp;$A63,  'Bucket Counts'!$F:$F, "100 Morts"))</f>
        <v>0</v>
      </c>
      <c r="DU63" s="116">
        <f>(SUMIFS('Bucket Counts'!$P:$P, 'Bucket Counts'!$B:$B, DU$2, 'Bucket Counts'!$A:$A, "="&amp;$A63,  'Bucket Counts'!$F:$F, "224"))</f>
        <v>0</v>
      </c>
      <c r="DV63" s="116"/>
      <c r="DW63" s="426" t="e">
        <f>(DU63+DS63)/DX62</f>
        <v>#DIV/0!</v>
      </c>
      <c r="DX63" s="370">
        <f>DS60+SUM(DR60:DR63)</f>
        <v>0</v>
      </c>
      <c r="DY63" s="369">
        <f>SUMIFS(Collection!$O:$O, Collection!$K:$K, DY$2, Collection!$A:$A, "="&amp;$A63)</f>
        <v>0</v>
      </c>
      <c r="DZ63" s="116">
        <f>(SUMIFS('Bucket Counts'!$P:$P, 'Bucket Counts'!$B:$B, DZ$2, 'Bucket Counts'!$A:$A, "="&amp;$A63,  'Bucket Counts'!$F:$F, "&lt;&gt;100 Morts",  'Bucket Counts'!$F:$F, "&lt;&gt;224"))</f>
        <v>0</v>
      </c>
      <c r="EA63" s="116">
        <f>(SUMIFS('Bucket Counts'!$P:$P, 'Bucket Counts'!$B:$B, EA$2, 'Bucket Counts'!$A:$A, "="&amp;$A63,  'Bucket Counts'!$F:$F, "100 Morts"))</f>
        <v>0</v>
      </c>
      <c r="EB63" s="116">
        <f>(SUMIFS('Bucket Counts'!$P:$P, 'Bucket Counts'!$B:$B, EB$2, 'Bucket Counts'!$A:$A, "="&amp;$A63,  'Bucket Counts'!$F:$F, "224"))</f>
        <v>0</v>
      </c>
      <c r="EC63" s="116"/>
      <c r="ED63" s="426" t="e">
        <f>(EB63+DZ63)/EE62</f>
        <v>#DIV/0!</v>
      </c>
      <c r="EE63" s="370">
        <f>DZ60+SUM(DY60:DY63)</f>
        <v>0</v>
      </c>
      <c r="EF63" s="369">
        <f>SUMIFS(Collection!$O:$O, Collection!$K:$K, EF$2, Collection!$A:$A, "="&amp;$A63)</f>
        <v>0</v>
      </c>
      <c r="EG63" s="116">
        <f>(SUMIFS('Bucket Counts'!$P:$P, 'Bucket Counts'!$B:$B, EG$2, 'Bucket Counts'!$A:$A, "="&amp;$A63,  'Bucket Counts'!$F:$F, "&lt;&gt;100 Morts",  'Bucket Counts'!$F:$F, "&lt;&gt;224"))</f>
        <v>0</v>
      </c>
      <c r="EH63" s="116">
        <f>(SUMIFS('Bucket Counts'!$P:$P, 'Bucket Counts'!$B:$B, EH$2, 'Bucket Counts'!$A:$A, "="&amp;$A63,  'Bucket Counts'!$F:$F, "100 Morts"))</f>
        <v>0</v>
      </c>
      <c r="EI63" s="116">
        <f>(SUMIFS('Bucket Counts'!$P:$P, 'Bucket Counts'!$B:$B, EI$2, 'Bucket Counts'!$A:$A, "="&amp;$A63,  'Bucket Counts'!$F:$F, "224"))</f>
        <v>0</v>
      </c>
      <c r="EJ63" s="116"/>
      <c r="EK63" s="426" t="e">
        <f>(EI63+EG63)/EL62</f>
        <v>#DIV/0!</v>
      </c>
      <c r="EL63" s="370">
        <f>EG60+SUM(EF60:EF63)</f>
        <v>0</v>
      </c>
    </row>
    <row r="64" spans="1:142" s="434" customFormat="1" x14ac:dyDescent="0.2">
      <c r="A64" s="428">
        <f t="shared" si="0"/>
        <v>42933</v>
      </c>
      <c r="B64" s="428" t="s">
        <v>486</v>
      </c>
      <c r="C64" s="429">
        <f>SUMIFS(Collection!$O:$O, Collection!$K:$K, C$2, Collection!$A:$A, "="&amp;$A64)</f>
        <v>0</v>
      </c>
      <c r="D64" s="430">
        <f>(SUMIFS('Bucket Counts'!$P:$P, 'Bucket Counts'!$B:$B, D$2, 'Bucket Counts'!$A:$A, "="&amp;$A64,  'Bucket Counts'!$F:$F, "&lt;&gt;100 Morts",  'Bucket Counts'!$F:$F, "&lt;&gt;224"))</f>
        <v>86.1111111111111</v>
      </c>
      <c r="E64" s="430">
        <f>(SUMIFS('Bucket Counts'!$P:$P, 'Bucket Counts'!$B:$B, E$2, 'Bucket Counts'!$A:$A, "="&amp;$A64,  'Bucket Counts'!$F:$F, "100 Morts"))</f>
        <v>28.888888888888886</v>
      </c>
      <c r="F64" s="430">
        <f>(SUMIFS('Bucket Counts'!$P:$P, 'Bucket Counts'!$B:$B, F$2, 'Bucket Counts'!$A:$A, "="&amp;$A64,  'Bucket Counts'!$F:$F, "224"))</f>
        <v>27.777777777777775</v>
      </c>
      <c r="G64" s="430">
        <f>I63</f>
        <v>45</v>
      </c>
      <c r="H64" s="431">
        <f>SUM(D64+F64)</f>
        <v>113.88888888888887</v>
      </c>
      <c r="I64" s="432">
        <f>D64+C64</f>
        <v>86.1111111111111</v>
      </c>
      <c r="J64" s="429">
        <f>SUMIFS(Collection!$O:$O, Collection!$K:$K, J$2, Collection!$A:$A, "="&amp;$A64)</f>
        <v>0</v>
      </c>
      <c r="K64" s="430">
        <f>(SUMIFS('Bucket Counts'!$P:$P, 'Bucket Counts'!$B:$B, K$2, 'Bucket Counts'!$A:$A, "="&amp;$A64,  'Bucket Counts'!$F:$F, "&lt;&gt;100 Morts",  'Bucket Counts'!$F:$F, "&lt;&gt;224"))</f>
        <v>722.22222222222217</v>
      </c>
      <c r="L64" s="430">
        <f>(SUMIFS('Bucket Counts'!$P:$P, 'Bucket Counts'!$B:$B, L$2, 'Bucket Counts'!$A:$A, "="&amp;$A64,  'Bucket Counts'!$F:$F, "100 Morts"))</f>
        <v>0</v>
      </c>
      <c r="M64" s="430">
        <f>(SUMIFS('Bucket Counts'!$P:$P, 'Bucket Counts'!$B:$B, M$2, 'Bucket Counts'!$A:$A, "="&amp;$A64,  'Bucket Counts'!$F:$F, "224"))</f>
        <v>0</v>
      </c>
      <c r="N64" s="430">
        <f>P63</f>
        <v>1500</v>
      </c>
      <c r="O64" s="431">
        <f>SUM(K64+M64)</f>
        <v>722.22222222222217</v>
      </c>
      <c r="P64" s="432">
        <f>K64+J64</f>
        <v>722.22222222222217</v>
      </c>
      <c r="Q64" s="429">
        <f>SUMIFS(Collection!$O:$O, Collection!$K:$K, Q$2, Collection!$A:$A, "="&amp;$A64)</f>
        <v>0</v>
      </c>
      <c r="R64" s="430">
        <f>(SUMIFS('Bucket Counts'!$P:$P, 'Bucket Counts'!$B:$B, R$2, 'Bucket Counts'!$A:$A, "="&amp;$A64,  'Bucket Counts'!$F:$F, "&lt;&gt;100 Morts",  'Bucket Counts'!$F:$F, "&lt;&gt;224"))</f>
        <v>0</v>
      </c>
      <c r="S64" s="430">
        <f>(SUMIFS('Bucket Counts'!$P:$P, 'Bucket Counts'!$B:$B, S$2, 'Bucket Counts'!$A:$A, "="&amp;$A64,  'Bucket Counts'!$F:$F, "100 Morts"))</f>
        <v>0</v>
      </c>
      <c r="T64" s="430">
        <f>(SUMIFS('Bucket Counts'!$P:$P, 'Bucket Counts'!$B:$B, T$2, 'Bucket Counts'!$A:$A, "="&amp;$A64,  'Bucket Counts'!$F:$F, "224"))</f>
        <v>0</v>
      </c>
      <c r="U64" s="430">
        <f>W63</f>
        <v>0</v>
      </c>
      <c r="V64" s="431">
        <f>SUM(R64+T64)</f>
        <v>0</v>
      </c>
      <c r="W64" s="432">
        <f>R64+Q64</f>
        <v>0</v>
      </c>
      <c r="X64" s="429">
        <f>SUMIFS(Collection!$O:$O, Collection!$K:$K, X$2, Collection!$A:$A, "="&amp;$A64)</f>
        <v>0</v>
      </c>
      <c r="Y64" s="430">
        <f>(SUMIFS('Bucket Counts'!$P:$P, 'Bucket Counts'!$B:$B, Y$2, 'Bucket Counts'!$A:$A, "="&amp;$A64,  'Bucket Counts'!$F:$F, "&lt;&gt;100 Morts",  'Bucket Counts'!$F:$F, "&lt;&gt;224"))</f>
        <v>379.16666666666669</v>
      </c>
      <c r="Z64" s="430">
        <f>(SUMIFS('Bucket Counts'!$P:$P, 'Bucket Counts'!$B:$B, Z$2, 'Bucket Counts'!$A:$A, "="&amp;$A64,  'Bucket Counts'!$F:$F, "100 Morts"))</f>
        <v>0</v>
      </c>
      <c r="AA64" s="430">
        <f>(SUMIFS('Bucket Counts'!$P:$P, 'Bucket Counts'!$B:$B, AA$2, 'Bucket Counts'!$A:$A, "="&amp;$A64,  'Bucket Counts'!$F:$F, "224"))</f>
        <v>111.1111111111111</v>
      </c>
      <c r="AB64" s="430">
        <f>AD63</f>
        <v>611.1111111111112</v>
      </c>
      <c r="AC64" s="431">
        <f>SUM(Y64+AA64)</f>
        <v>490.27777777777777</v>
      </c>
      <c r="AD64" s="432">
        <f>Y64+X64</f>
        <v>379.16666666666669</v>
      </c>
      <c r="AE64" s="429">
        <f>SUMIFS(Collection!$O:$O, Collection!$K:$K, AE$2, Collection!$A:$A, "="&amp;$A64)</f>
        <v>0</v>
      </c>
      <c r="AF64" s="430">
        <f>(SUMIFS('Bucket Counts'!$P:$P, 'Bucket Counts'!$B:$B, AF$2, 'Bucket Counts'!$A:$A, "="&amp;$A64,  'Bucket Counts'!$F:$F, "&lt;&gt;100 Morts",  'Bucket Counts'!$F:$F, "&lt;&gt;224"))</f>
        <v>37090</v>
      </c>
      <c r="AG64" s="430">
        <f>(SUMIFS('Bucket Counts'!$P:$P, 'Bucket Counts'!$B:$B, AG$2, 'Bucket Counts'!$A:$A, "="&amp;$A64,  'Bucket Counts'!$F:$F, "100 Morts"))</f>
        <v>53.333333333333329</v>
      </c>
      <c r="AH64" s="430">
        <f>(SUMIFS('Bucket Counts'!$P:$P, 'Bucket Counts'!$B:$B, AH$2, 'Bucket Counts'!$A:$A, "="&amp;$A64,  'Bucket Counts'!$F:$F, "224"))</f>
        <v>10</v>
      </c>
      <c r="AI64" s="430">
        <f>AK63</f>
        <v>45655.555555555555</v>
      </c>
      <c r="AJ64" s="431">
        <f>SUM(AF64+AH64)</f>
        <v>37100</v>
      </c>
      <c r="AK64" s="432">
        <f>AF64+AE64</f>
        <v>37090</v>
      </c>
      <c r="AL64" s="429">
        <f>SUMIFS(Collection!$O:$O, Collection!$K:$K, AL$2, Collection!$A:$A, "="&amp;$A64)</f>
        <v>0</v>
      </c>
      <c r="AM64" s="430">
        <f>(SUMIFS('Bucket Counts'!$P:$P, 'Bucket Counts'!$B:$B, AM$2, 'Bucket Counts'!$A:$A, "="&amp;$A64,  'Bucket Counts'!$F:$F, "&lt;&gt;100 Morts",  'Bucket Counts'!$F:$F, "&lt;&gt;224"))</f>
        <v>36.666666666666664</v>
      </c>
      <c r="AN64" s="430">
        <f>(SUMIFS('Bucket Counts'!$P:$P, 'Bucket Counts'!$B:$B, AN$2, 'Bucket Counts'!$A:$A, "="&amp;$A64,  'Bucket Counts'!$F:$F, "100 Morts"))</f>
        <v>0</v>
      </c>
      <c r="AO64" s="430">
        <f>(SUMIFS('Bucket Counts'!$P:$P, 'Bucket Counts'!$B:$B, AO$2, 'Bucket Counts'!$A:$A, "="&amp;$A64,  'Bucket Counts'!$F:$F, "224"))</f>
        <v>1</v>
      </c>
      <c r="AP64" s="430">
        <f>AR63</f>
        <v>0</v>
      </c>
      <c r="AQ64" s="431">
        <f>SUM(AM64+AO64)</f>
        <v>37.666666666666664</v>
      </c>
      <c r="AR64" s="432">
        <f>AM64+AL64</f>
        <v>36.666666666666664</v>
      </c>
      <c r="AS64" s="429">
        <f>SUMIFS(Collection!$O:$O, Collection!$K:$K, AS$2, Collection!$A:$A, "="&amp;$A64)</f>
        <v>0</v>
      </c>
      <c r="AT64" s="430">
        <f>(SUMIFS('Bucket Counts'!$P:$P, 'Bucket Counts'!$B:$B, AT$2, 'Bucket Counts'!$A:$A, "="&amp;$A64,  'Bucket Counts'!$F:$F, "&lt;&gt;100 Morts",  'Bucket Counts'!$F:$F, "&lt;&gt;224"))</f>
        <v>57.777777777777771</v>
      </c>
      <c r="AU64" s="430">
        <f>(SUMIFS('Bucket Counts'!$P:$P, 'Bucket Counts'!$B:$B, AU$2, 'Bucket Counts'!$A:$A, "="&amp;$A64,  'Bucket Counts'!$F:$F, "100 Morts"))</f>
        <v>0</v>
      </c>
      <c r="AV64" s="430">
        <f>(SUMIFS('Bucket Counts'!$P:$P, 'Bucket Counts'!$B:$B, AV$2, 'Bucket Counts'!$A:$A, "="&amp;$A64,  'Bucket Counts'!$F:$F, "224"))</f>
        <v>27.777777777777775</v>
      </c>
      <c r="AW64" s="430">
        <f>AY63</f>
        <v>160</v>
      </c>
      <c r="AX64" s="431">
        <f>SUM(AT64+AV64)</f>
        <v>85.555555555555543</v>
      </c>
      <c r="AY64" s="432">
        <f>AT64+AS64</f>
        <v>57.777777777777771</v>
      </c>
      <c r="AZ64" s="429">
        <f>SUMIFS(Collection!$O:$O, Collection!$K:$K, AZ$2, Collection!$A:$A, "="&amp;$A64)</f>
        <v>0</v>
      </c>
      <c r="BA64" s="430">
        <f>(SUMIFS('Bucket Counts'!$P:$P, 'Bucket Counts'!$B:$B, BA$2, 'Bucket Counts'!$A:$A, "="&amp;$A64,  'Bucket Counts'!$F:$F, "&lt;&gt;100 Morts",  'Bucket Counts'!$F:$F, "&lt;&gt;224"))</f>
        <v>0</v>
      </c>
      <c r="BB64" s="430">
        <f>(SUMIFS('Bucket Counts'!$P:$P, 'Bucket Counts'!$B:$B, BB$2, 'Bucket Counts'!$A:$A, "="&amp;$A64,  'Bucket Counts'!$F:$F, "100 Morts"))</f>
        <v>0</v>
      </c>
      <c r="BC64" s="430">
        <f>(SUMIFS('Bucket Counts'!$P:$P, 'Bucket Counts'!$B:$B, BC$2, 'Bucket Counts'!$A:$A, "="&amp;$A64,  'Bucket Counts'!$F:$F, "224"))</f>
        <v>0</v>
      </c>
      <c r="BD64" s="430">
        <f>BF63</f>
        <v>0</v>
      </c>
      <c r="BE64" s="431">
        <f>SUM(BA64+BC64)</f>
        <v>0</v>
      </c>
      <c r="BF64" s="432">
        <f>BA64+AZ64</f>
        <v>0</v>
      </c>
      <c r="BG64" s="429">
        <f>SUMIFS(Collection!$O:$O, Collection!$K:$K, BG$2, Collection!$A:$A, "="&amp;$A64)</f>
        <v>0</v>
      </c>
      <c r="BH64" s="430">
        <f>(SUMIFS('Bucket Counts'!$P:$P, 'Bucket Counts'!$B:$B, BH$2, 'Bucket Counts'!$A:$A, "="&amp;$A64,  'Bucket Counts'!$F:$F, "&lt;&gt;100 Morts",  'Bucket Counts'!$F:$F, "&lt;&gt;224"))</f>
        <v>3190</v>
      </c>
      <c r="BI64" s="430">
        <f>(SUMIFS('Bucket Counts'!$P:$P, 'Bucket Counts'!$B:$B, BI$2, 'Bucket Counts'!$A:$A, "="&amp;$A64,  'Bucket Counts'!$F:$F, "100 Morts"))</f>
        <v>0</v>
      </c>
      <c r="BJ64" s="430">
        <f>(SUMIFS('Bucket Counts'!$P:$P, 'Bucket Counts'!$B:$B, BJ$2, 'Bucket Counts'!$A:$A, "="&amp;$A64,  'Bucket Counts'!$F:$F, "224"))</f>
        <v>61.111111111111107</v>
      </c>
      <c r="BK64" s="430">
        <f>BM63</f>
        <v>14290</v>
      </c>
      <c r="BL64" s="431">
        <f>SUM(BH64+BJ64)</f>
        <v>3251.1111111111113</v>
      </c>
      <c r="BM64" s="432">
        <f>BH64+BG64</f>
        <v>3190</v>
      </c>
      <c r="BN64" s="429">
        <f>SUMIFS(Collection!$O:$O, Collection!$K:$K, BN$2, Collection!$A:$A, "="&amp;$A64)</f>
        <v>0</v>
      </c>
      <c r="BO64" s="430">
        <f>(SUMIFS('Bucket Counts'!$P:$P, 'Bucket Counts'!$B:$B, BO$2, 'Bucket Counts'!$A:$A, "="&amp;$A64,  'Bucket Counts'!$F:$F, "&lt;&gt;100 Morts",  'Bucket Counts'!$F:$F, "&lt;&gt;224"))</f>
        <v>4550.5555555555547</v>
      </c>
      <c r="BP64" s="430">
        <f>(SUMIFS('Bucket Counts'!$P:$P, 'Bucket Counts'!$B:$B, BP$2, 'Bucket Counts'!$A:$A, "="&amp;$A64,  'Bucket Counts'!$F:$F, "100 Morts"))</f>
        <v>0</v>
      </c>
      <c r="BQ64" s="430">
        <f>(SUMIFS('Bucket Counts'!$P:$P, 'Bucket Counts'!$B:$B, BQ$2, 'Bucket Counts'!$A:$A, "="&amp;$A64,  'Bucket Counts'!$F:$F, "224"))</f>
        <v>520</v>
      </c>
      <c r="BR64" s="430">
        <f>BT63</f>
        <v>10033.333333333334</v>
      </c>
      <c r="BS64" s="431">
        <f>SUM(BO64+BQ64)</f>
        <v>5070.5555555555547</v>
      </c>
      <c r="BT64" s="432">
        <f>BO64+BN64</f>
        <v>4550.5555555555547</v>
      </c>
      <c r="BU64" s="429">
        <f>SUMIFS(Collection!$O:$O, Collection!$K:$K, BU$2, Collection!$A:$A, "="&amp;$A64)</f>
        <v>0</v>
      </c>
      <c r="BV64" s="430">
        <f>(SUMIFS('Bucket Counts'!$P:$P, 'Bucket Counts'!$B:$B, BV$2, 'Bucket Counts'!$A:$A, "="&amp;$A64,  'Bucket Counts'!$F:$F, "&lt;&gt;100 Morts",  'Bucket Counts'!$F:$F, "&lt;&gt;224"))</f>
        <v>250</v>
      </c>
      <c r="BW64" s="430">
        <f>(SUMIFS('Bucket Counts'!$P:$P, 'Bucket Counts'!$B:$B, BW$2, 'Bucket Counts'!$A:$A, "="&amp;$A64,  'Bucket Counts'!$F:$F, "100 Morts"))</f>
        <v>225.55555555555557</v>
      </c>
      <c r="BX64" s="430">
        <f>(SUMIFS('Bucket Counts'!$P:$P, 'Bucket Counts'!$B:$B, BX$2, 'Bucket Counts'!$A:$A, "="&amp;$A64,  'Bucket Counts'!$F:$F, "224"))</f>
        <v>100</v>
      </c>
      <c r="BY64" s="430">
        <f>CA63</f>
        <v>573.33333333333337</v>
      </c>
      <c r="BZ64" s="431">
        <f>SUM(BV64+BX64)</f>
        <v>350</v>
      </c>
      <c r="CA64" s="432">
        <f>BV64+BU64</f>
        <v>250</v>
      </c>
      <c r="CB64" s="429">
        <f>SUMIFS(Collection!$O:$O, Collection!$K:$K, CB$2, Collection!$A:$A, "="&amp;$A64)</f>
        <v>0</v>
      </c>
      <c r="CC64" s="430">
        <f>(SUMIFS('Bucket Counts'!$P:$P, 'Bucket Counts'!$B:$B, CC$2, 'Bucket Counts'!$A:$A, "="&amp;$A64,  'Bucket Counts'!$F:$F, "&lt;&gt;100 Morts",  'Bucket Counts'!$F:$F, "&lt;&gt;224"))</f>
        <v>955.55555555555554</v>
      </c>
      <c r="CD64" s="430">
        <f>(SUMIFS('Bucket Counts'!$P:$P, 'Bucket Counts'!$B:$B, CD$2, 'Bucket Counts'!$A:$A, "="&amp;$A64,  'Bucket Counts'!$F:$F, "100 Morts"))</f>
        <v>105</v>
      </c>
      <c r="CE64" s="430">
        <f>(SUMIFS('Bucket Counts'!$P:$P, 'Bucket Counts'!$B:$B, CE$2, 'Bucket Counts'!$A:$A, "="&amp;$A64,  'Bucket Counts'!$F:$F, "224"))</f>
        <v>77.777777777777771</v>
      </c>
      <c r="CF64" s="430">
        <f>CH63</f>
        <v>4575</v>
      </c>
      <c r="CG64" s="431">
        <f>SUM(CC64+CE64)</f>
        <v>1033.3333333333333</v>
      </c>
      <c r="CH64" s="432">
        <f>CC64+CB64</f>
        <v>955.55555555555554</v>
      </c>
      <c r="CI64" s="429">
        <f>SUMIFS(Collection!$O:$O, Collection!$K:$K, CI$2, Collection!$A:$A, "="&amp;$A64)</f>
        <v>0</v>
      </c>
      <c r="CJ64" s="430">
        <f>(SUMIFS('Bucket Counts'!$P:$P, 'Bucket Counts'!$B:$B, CJ$2, 'Bucket Counts'!$A:$A, "="&amp;$A64,  'Bucket Counts'!$F:$F, "&lt;&gt;100 Morts",  'Bucket Counts'!$F:$F, "&lt;&gt;224"))</f>
        <v>27.777777777777775</v>
      </c>
      <c r="CK64" s="430">
        <f>(SUMIFS('Bucket Counts'!$P:$P, 'Bucket Counts'!$B:$B, CK$2, 'Bucket Counts'!$A:$A, "="&amp;$A64,  'Bucket Counts'!$F:$F, "100 Morts"))</f>
        <v>0</v>
      </c>
      <c r="CL64" s="430">
        <f>(SUMIFS('Bucket Counts'!$P:$P, 'Bucket Counts'!$B:$B, CL$2, 'Bucket Counts'!$A:$A, "="&amp;$A64,  'Bucket Counts'!$F:$F, "224"))</f>
        <v>3</v>
      </c>
      <c r="CM64" s="430">
        <f>CO63</f>
        <v>346.66666666666669</v>
      </c>
      <c r="CN64" s="431">
        <f>SUM(CJ64+CL64)</f>
        <v>30.777777777777775</v>
      </c>
      <c r="CO64" s="432">
        <f>CJ64+CI64</f>
        <v>27.777777777777775</v>
      </c>
      <c r="CP64" s="429">
        <f>SUMIFS(Collection!$O:$O, Collection!$K:$K, CP$2, Collection!$A:$A, "="&amp;$A64)</f>
        <v>0</v>
      </c>
      <c r="CQ64" s="430">
        <f>(SUMIFS('Bucket Counts'!$P:$P, 'Bucket Counts'!$B:$B, CQ$2, 'Bucket Counts'!$A:$A, "="&amp;$A64,  'Bucket Counts'!$F:$F, "&lt;&gt;100 Morts",  'Bucket Counts'!$F:$F, "&lt;&gt;224"))</f>
        <v>136.66666666666666</v>
      </c>
      <c r="CR64" s="430">
        <f>(SUMIFS('Bucket Counts'!$P:$P, 'Bucket Counts'!$B:$B, CR$2, 'Bucket Counts'!$A:$A, "="&amp;$A64,  'Bucket Counts'!$F:$F, "100 Morts"))</f>
        <v>0</v>
      </c>
      <c r="CS64" s="430">
        <f>(SUMIFS('Bucket Counts'!$P:$P, 'Bucket Counts'!$B:$B, CS$2, 'Bucket Counts'!$A:$A, "="&amp;$A64,  'Bucket Counts'!$F:$F, "224"))</f>
        <v>6</v>
      </c>
      <c r="CT64" s="430">
        <f>CV63</f>
        <v>293.33333333333331</v>
      </c>
      <c r="CU64" s="431">
        <f>SUM(CQ64+CS64)</f>
        <v>142.66666666666666</v>
      </c>
      <c r="CV64" s="432">
        <f>CQ64+CP64</f>
        <v>136.66666666666666</v>
      </c>
      <c r="CW64" s="429">
        <f>SUMIFS(Collection!$O:$O, Collection!$K:$K, CW$2, Collection!$A:$A, "="&amp;$A64)</f>
        <v>0</v>
      </c>
      <c r="CX64" s="430">
        <f>(SUMIFS('Bucket Counts'!$P:$P, 'Bucket Counts'!$B:$B, CX$2, 'Bucket Counts'!$A:$A, "="&amp;$A64,  'Bucket Counts'!$F:$F, "&lt;&gt;100 Morts",  'Bucket Counts'!$F:$F, "&lt;&gt;224"))</f>
        <v>364.33333333333337</v>
      </c>
      <c r="CY64" s="430">
        <f>(SUMIFS('Bucket Counts'!$P:$P, 'Bucket Counts'!$B:$B, CY$2, 'Bucket Counts'!$A:$A, "="&amp;$A64,  'Bucket Counts'!$F:$F, "100 Morts"))</f>
        <v>124.44444444444444</v>
      </c>
      <c r="CZ64" s="430">
        <f>(SUMIFS('Bucket Counts'!$P:$P, 'Bucket Counts'!$B:$B, CZ$2, 'Bucket Counts'!$A:$A, "="&amp;$A64,  'Bucket Counts'!$F:$F, "224"))</f>
        <v>161.11111111111111</v>
      </c>
      <c r="DA64" s="430">
        <f>DC63</f>
        <v>2779.166666666667</v>
      </c>
      <c r="DB64" s="431">
        <f>SUM(CX64+CZ64)</f>
        <v>525.44444444444446</v>
      </c>
      <c r="DC64" s="432">
        <f>CX64+CW64</f>
        <v>364.33333333333337</v>
      </c>
      <c r="DD64" s="429">
        <f>SUMIFS(Collection!$O:$O, Collection!$K:$K, DD$2, Collection!$A:$A, "="&amp;$A64)</f>
        <v>0</v>
      </c>
      <c r="DE64" s="430">
        <f>(SUMIFS('Bucket Counts'!$P:$P, 'Bucket Counts'!$B:$B, DE$2, 'Bucket Counts'!$A:$A, "="&amp;$A64,  'Bucket Counts'!$F:$F, "&lt;&gt;100 Morts",  'Bucket Counts'!$F:$F, "&lt;&gt;224"))</f>
        <v>225</v>
      </c>
      <c r="DF64" s="430">
        <f>(SUMIFS('Bucket Counts'!$P:$P, 'Bucket Counts'!$B:$B, DF$2, 'Bucket Counts'!$A:$A, "="&amp;$A64,  'Bucket Counts'!$F:$F, "100 Morts"))</f>
        <v>0</v>
      </c>
      <c r="DG64" s="430">
        <f>(SUMIFS('Bucket Counts'!$P:$P, 'Bucket Counts'!$B:$B, DG$2, 'Bucket Counts'!$A:$A, "="&amp;$A64,  'Bucket Counts'!$F:$F, "224"))</f>
        <v>18</v>
      </c>
      <c r="DH64" s="430">
        <f>DJ63</f>
        <v>373.33333333333331</v>
      </c>
      <c r="DI64" s="431">
        <f>SUM(DE64+DG64)</f>
        <v>243</v>
      </c>
      <c r="DJ64" s="432">
        <f>DE64+DD64</f>
        <v>225</v>
      </c>
      <c r="DK64" s="429">
        <f>SUMIFS(Collection!$O:$O, Collection!$K:$K, DK$2, Collection!$A:$A, "="&amp;$A64)</f>
        <v>0</v>
      </c>
      <c r="DL64" s="430">
        <f>(SUMIFS('Bucket Counts'!$P:$P, 'Bucket Counts'!$B:$B, DL$2, 'Bucket Counts'!$A:$A, "="&amp;$A64,  'Bucket Counts'!$F:$F, "&lt;&gt;100 Morts",  'Bucket Counts'!$F:$F, "&lt;&gt;224"))</f>
        <v>0</v>
      </c>
      <c r="DM64" s="430">
        <f>(SUMIFS('Bucket Counts'!$P:$P, 'Bucket Counts'!$B:$B, DM$2, 'Bucket Counts'!$A:$A, "="&amp;$A64,  'Bucket Counts'!$F:$F, "100 Morts"))</f>
        <v>0</v>
      </c>
      <c r="DN64" s="430">
        <f>(SUMIFS('Bucket Counts'!$P:$P, 'Bucket Counts'!$B:$B, DN$2, 'Bucket Counts'!$A:$A, "="&amp;$A64,  'Bucket Counts'!$F:$F, "224"))</f>
        <v>0</v>
      </c>
      <c r="DO64" s="430">
        <f>DQ63</f>
        <v>0</v>
      </c>
      <c r="DP64" s="431">
        <f>SUM(DL64+DN64)</f>
        <v>0</v>
      </c>
      <c r="DQ64" s="432">
        <f>DL64+DK64</f>
        <v>0</v>
      </c>
      <c r="DR64" s="429">
        <f>SUMIFS(Collection!$O:$O, Collection!$K:$K, DR$2, Collection!$A:$A, "="&amp;$A64)</f>
        <v>0</v>
      </c>
      <c r="DS64" s="430">
        <f>(SUMIFS('Bucket Counts'!$P:$P, 'Bucket Counts'!$B:$B, DS$2, 'Bucket Counts'!$A:$A, "="&amp;$A64,  'Bucket Counts'!$F:$F, "&lt;&gt;100 Morts",  'Bucket Counts'!$F:$F, "&lt;&gt;224"))</f>
        <v>0</v>
      </c>
      <c r="DT64" s="430">
        <f>(SUMIFS('Bucket Counts'!$P:$P, 'Bucket Counts'!$B:$B, DT$2, 'Bucket Counts'!$A:$A, "="&amp;$A64,  'Bucket Counts'!$F:$F, "100 Morts"))</f>
        <v>0</v>
      </c>
      <c r="DU64" s="430">
        <f>(SUMIFS('Bucket Counts'!$P:$P, 'Bucket Counts'!$B:$B, DU$2, 'Bucket Counts'!$A:$A, "="&amp;$A64,  'Bucket Counts'!$F:$F, "224"))</f>
        <v>0</v>
      </c>
      <c r="DV64" s="430">
        <f>DX63</f>
        <v>0</v>
      </c>
      <c r="DW64" s="431">
        <f>SUM(DS64+DU64)</f>
        <v>0</v>
      </c>
      <c r="DX64" s="432">
        <f>DS64+DR64</f>
        <v>0</v>
      </c>
      <c r="DY64" s="429">
        <f>SUMIFS(Collection!$O:$O, Collection!$K:$K, DY$2, Collection!$A:$A, "="&amp;$A64)</f>
        <v>0</v>
      </c>
      <c r="DZ64" s="430">
        <f>(SUMIFS('Bucket Counts'!$P:$P, 'Bucket Counts'!$B:$B, DZ$2, 'Bucket Counts'!$A:$A, "="&amp;$A64,  'Bucket Counts'!$F:$F, "&lt;&gt;100 Morts",  'Bucket Counts'!$F:$F, "&lt;&gt;224"))</f>
        <v>0</v>
      </c>
      <c r="EA64" s="430">
        <f>(SUMIFS('Bucket Counts'!$P:$P, 'Bucket Counts'!$B:$B, EA$2, 'Bucket Counts'!$A:$A, "="&amp;$A64,  'Bucket Counts'!$F:$F, "100 Morts"))</f>
        <v>0</v>
      </c>
      <c r="EB64" s="430">
        <f>(SUMIFS('Bucket Counts'!$P:$P, 'Bucket Counts'!$B:$B, EB$2, 'Bucket Counts'!$A:$A, "="&amp;$A64,  'Bucket Counts'!$F:$F, "224"))</f>
        <v>0</v>
      </c>
      <c r="EC64" s="430">
        <f>EE63</f>
        <v>0</v>
      </c>
      <c r="ED64" s="431">
        <f>SUM(DZ64+EB64)</f>
        <v>0</v>
      </c>
      <c r="EE64" s="432">
        <f>DZ64+DY64</f>
        <v>0</v>
      </c>
      <c r="EF64" s="429">
        <f>SUMIFS(Collection!$O:$O, Collection!$K:$K, EF$2, Collection!$A:$A, "="&amp;$A64)</f>
        <v>0</v>
      </c>
      <c r="EG64" s="430">
        <f>(SUMIFS('Bucket Counts'!$P:$P, 'Bucket Counts'!$B:$B, EG$2, 'Bucket Counts'!$A:$A, "="&amp;$A64,  'Bucket Counts'!$F:$F, "&lt;&gt;100 Morts",  'Bucket Counts'!$F:$F, "&lt;&gt;224"))</f>
        <v>0</v>
      </c>
      <c r="EH64" s="430">
        <f>(SUMIFS('Bucket Counts'!$P:$P, 'Bucket Counts'!$B:$B, EH$2, 'Bucket Counts'!$A:$A, "="&amp;$A64,  'Bucket Counts'!$F:$F, "100 Morts"))</f>
        <v>0</v>
      </c>
      <c r="EI64" s="430">
        <f>(SUMIFS('Bucket Counts'!$P:$P, 'Bucket Counts'!$B:$B, EI$2, 'Bucket Counts'!$A:$A, "="&amp;$A64,  'Bucket Counts'!$F:$F, "224"))</f>
        <v>0</v>
      </c>
      <c r="EJ64" s="430">
        <f>EL63</f>
        <v>0</v>
      </c>
      <c r="EK64" s="431">
        <f>SUM(EG64+EI64)</f>
        <v>0</v>
      </c>
      <c r="EL64" s="432">
        <f>EG64+EF64</f>
        <v>0</v>
      </c>
    </row>
    <row r="65" spans="1:142" x14ac:dyDescent="0.2">
      <c r="A65" s="16">
        <f t="shared" si="0"/>
        <v>42934</v>
      </c>
      <c r="B65" s="16" t="s">
        <v>487</v>
      </c>
      <c r="C65" s="369">
        <f>SUMIFS(Collection!$O:$O, Collection!$K:$K, C$2, Collection!$A:$A, "="&amp;$A65)</f>
        <v>0</v>
      </c>
      <c r="D65" s="116">
        <f>(SUMIFS('Bucket Counts'!$P:$P, 'Bucket Counts'!$B:$B, D$2, 'Bucket Counts'!$A:$A, "="&amp;$A65,  'Bucket Counts'!$F:$F, "&lt;&gt;100 Morts",  'Bucket Counts'!$F:$F, "&lt;&gt;224"))</f>
        <v>0</v>
      </c>
      <c r="E65" s="116">
        <f>(SUMIFS('Bucket Counts'!$P:$P, 'Bucket Counts'!$B:$B, E$2, 'Bucket Counts'!$A:$A, "="&amp;$A65,  'Bucket Counts'!$F:$F, "100 Morts"))</f>
        <v>0</v>
      </c>
      <c r="F65" s="116">
        <f>(SUMIFS('Bucket Counts'!$P:$P, 'Bucket Counts'!$B:$B, F$2, 'Bucket Counts'!$A:$A, "="&amp;$A65,  'Bucket Counts'!$F:$F, "224"))</f>
        <v>0</v>
      </c>
      <c r="G65" s="116"/>
      <c r="H65" s="426">
        <f>(F65+D65)/I64</f>
        <v>0</v>
      </c>
      <c r="I65" s="370">
        <f>D64+SUM(C64:C65)</f>
        <v>86.1111111111111</v>
      </c>
      <c r="J65" s="369">
        <f>SUMIFS(Collection!$O:$O, Collection!$K:$K, J$2, Collection!$A:$A, "="&amp;$A65)</f>
        <v>0</v>
      </c>
      <c r="K65" s="116">
        <f>(SUMIFS('Bucket Counts'!$P:$P, 'Bucket Counts'!$B:$B, K$2, 'Bucket Counts'!$A:$A, "="&amp;$A65,  'Bucket Counts'!$F:$F, "&lt;&gt;100 Morts",  'Bucket Counts'!$F:$F, "&lt;&gt;224"))</f>
        <v>0</v>
      </c>
      <c r="L65" s="116">
        <f>(SUMIFS('Bucket Counts'!$P:$P, 'Bucket Counts'!$B:$B, L$2, 'Bucket Counts'!$A:$A, "="&amp;$A65,  'Bucket Counts'!$F:$F, "100 Morts"))</f>
        <v>0</v>
      </c>
      <c r="M65" s="116">
        <f>(SUMIFS('Bucket Counts'!$P:$P, 'Bucket Counts'!$B:$B, M$2, 'Bucket Counts'!$A:$A, "="&amp;$A65,  'Bucket Counts'!$F:$F, "224"))</f>
        <v>0</v>
      </c>
      <c r="N65" s="116"/>
      <c r="O65" s="426">
        <f>(M65+K65)/P64</f>
        <v>0</v>
      </c>
      <c r="P65" s="370">
        <f>K64+SUM(J64:J65)</f>
        <v>722.22222222222217</v>
      </c>
      <c r="Q65" s="369">
        <f>SUMIFS(Collection!$O:$O, Collection!$K:$K, Q$2, Collection!$A:$A, "="&amp;$A65)</f>
        <v>0</v>
      </c>
      <c r="R65" s="116">
        <f>(SUMIFS('Bucket Counts'!$P:$P, 'Bucket Counts'!$B:$B, R$2, 'Bucket Counts'!$A:$A, "="&amp;$A65,  'Bucket Counts'!$F:$F, "&lt;&gt;100 Morts",  'Bucket Counts'!$F:$F, "&lt;&gt;224"))</f>
        <v>0</v>
      </c>
      <c r="S65" s="116">
        <f>(SUMIFS('Bucket Counts'!$P:$P, 'Bucket Counts'!$B:$B, S$2, 'Bucket Counts'!$A:$A, "="&amp;$A65,  'Bucket Counts'!$F:$F, "100 Morts"))</f>
        <v>0</v>
      </c>
      <c r="T65" s="116">
        <f>(SUMIFS('Bucket Counts'!$P:$P, 'Bucket Counts'!$B:$B, T$2, 'Bucket Counts'!$A:$A, "="&amp;$A65,  'Bucket Counts'!$F:$F, "224"))</f>
        <v>0</v>
      </c>
      <c r="U65" s="116"/>
      <c r="V65" s="426" t="e">
        <f>(T65+R65)/W64</f>
        <v>#DIV/0!</v>
      </c>
      <c r="W65" s="370">
        <f>R64+SUM(Q64:Q65)</f>
        <v>0</v>
      </c>
      <c r="X65" s="369">
        <f>SUMIFS(Collection!$O:$O, Collection!$K:$K, X$2, Collection!$A:$A, "="&amp;$A65)</f>
        <v>0</v>
      </c>
      <c r="Y65" s="116">
        <f>(SUMIFS('Bucket Counts'!$P:$P, 'Bucket Counts'!$B:$B, Y$2, 'Bucket Counts'!$A:$A, "="&amp;$A65,  'Bucket Counts'!$F:$F, "&lt;&gt;100 Morts",  'Bucket Counts'!$F:$F, "&lt;&gt;224"))</f>
        <v>0</v>
      </c>
      <c r="Z65" s="116">
        <f>(SUMIFS('Bucket Counts'!$P:$P, 'Bucket Counts'!$B:$B, Z$2, 'Bucket Counts'!$A:$A, "="&amp;$A65,  'Bucket Counts'!$F:$F, "100 Morts"))</f>
        <v>0</v>
      </c>
      <c r="AA65" s="116">
        <f>(SUMIFS('Bucket Counts'!$P:$P, 'Bucket Counts'!$B:$B, AA$2, 'Bucket Counts'!$A:$A, "="&amp;$A65,  'Bucket Counts'!$F:$F, "224"))</f>
        <v>0</v>
      </c>
      <c r="AB65" s="116"/>
      <c r="AC65" s="426">
        <f>(AA65+Y65)/AD64</f>
        <v>0</v>
      </c>
      <c r="AD65" s="370">
        <f>Y64+SUM(X64:X65)</f>
        <v>379.16666666666669</v>
      </c>
      <c r="AE65" s="369">
        <f>SUMIFS(Collection!$O:$O, Collection!$K:$K, AE$2, Collection!$A:$A, "="&amp;$A65)</f>
        <v>0</v>
      </c>
      <c r="AF65" s="116">
        <f>(SUMIFS('Bucket Counts'!$P:$P, 'Bucket Counts'!$B:$B, AF$2, 'Bucket Counts'!$A:$A, "="&amp;$A65,  'Bucket Counts'!$F:$F, "&lt;&gt;100 Morts",  'Bucket Counts'!$F:$F, "&lt;&gt;224"))</f>
        <v>0</v>
      </c>
      <c r="AG65" s="116">
        <f>(SUMIFS('Bucket Counts'!$P:$P, 'Bucket Counts'!$B:$B, AG$2, 'Bucket Counts'!$A:$A, "="&amp;$A65,  'Bucket Counts'!$F:$F, "100 Morts"))</f>
        <v>0</v>
      </c>
      <c r="AH65" s="116">
        <f>(SUMIFS('Bucket Counts'!$P:$P, 'Bucket Counts'!$B:$B, AH$2, 'Bucket Counts'!$A:$A, "="&amp;$A65,  'Bucket Counts'!$F:$F, "224"))</f>
        <v>0</v>
      </c>
      <c r="AI65" s="116"/>
      <c r="AJ65" s="426">
        <f>(AH65+AF65)/AK64</f>
        <v>0</v>
      </c>
      <c r="AK65" s="370">
        <f>AF64+SUM(AE64:AE65)</f>
        <v>37090</v>
      </c>
      <c r="AL65" s="369">
        <f>SUMIFS(Collection!$O:$O, Collection!$K:$K, AL$2, Collection!$A:$A, "="&amp;$A65)</f>
        <v>0</v>
      </c>
      <c r="AM65" s="116">
        <f>(SUMIFS('Bucket Counts'!$P:$P, 'Bucket Counts'!$B:$B, AM$2, 'Bucket Counts'!$A:$A, "="&amp;$A65,  'Bucket Counts'!$F:$F, "&lt;&gt;100 Morts",  'Bucket Counts'!$F:$F, "&lt;&gt;224"))</f>
        <v>0</v>
      </c>
      <c r="AN65" s="116">
        <f>(SUMIFS('Bucket Counts'!$P:$P, 'Bucket Counts'!$B:$B, AN$2, 'Bucket Counts'!$A:$A, "="&amp;$A65,  'Bucket Counts'!$F:$F, "100 Morts"))</f>
        <v>0</v>
      </c>
      <c r="AO65" s="116">
        <f>(SUMIFS('Bucket Counts'!$P:$P, 'Bucket Counts'!$B:$B, AO$2, 'Bucket Counts'!$A:$A, "="&amp;$A65,  'Bucket Counts'!$F:$F, "224"))</f>
        <v>0</v>
      </c>
      <c r="AP65" s="116"/>
      <c r="AQ65" s="426">
        <f>(AO65+AM65)/AR64</f>
        <v>0</v>
      </c>
      <c r="AR65" s="370">
        <f>AM64+SUM(AL64:AL65)</f>
        <v>36.666666666666664</v>
      </c>
      <c r="AS65" s="369">
        <f>SUMIFS(Collection!$O:$O, Collection!$K:$K, AS$2, Collection!$A:$A, "="&amp;$A65)</f>
        <v>0</v>
      </c>
      <c r="AT65" s="116">
        <f>(SUMIFS('Bucket Counts'!$P:$P, 'Bucket Counts'!$B:$B, AT$2, 'Bucket Counts'!$A:$A, "="&amp;$A65,  'Bucket Counts'!$F:$F, "&lt;&gt;100 Morts",  'Bucket Counts'!$F:$F, "&lt;&gt;224"))</f>
        <v>0</v>
      </c>
      <c r="AU65" s="116">
        <f>(SUMIFS('Bucket Counts'!$P:$P, 'Bucket Counts'!$B:$B, AU$2, 'Bucket Counts'!$A:$A, "="&amp;$A65,  'Bucket Counts'!$F:$F, "100 Morts"))</f>
        <v>0</v>
      </c>
      <c r="AV65" s="116">
        <f>(SUMIFS('Bucket Counts'!$P:$P, 'Bucket Counts'!$B:$B, AV$2, 'Bucket Counts'!$A:$A, "="&amp;$A65,  'Bucket Counts'!$F:$F, "224"))</f>
        <v>0</v>
      </c>
      <c r="AW65" s="116"/>
      <c r="AX65" s="426">
        <f>(AV65+AT65)/AY64</f>
        <v>0</v>
      </c>
      <c r="AY65" s="370">
        <f>AT64+SUM(AS64:AS65)</f>
        <v>57.777777777777771</v>
      </c>
      <c r="AZ65" s="369">
        <f>SUMIFS(Collection!$O:$O, Collection!$K:$K, AZ$2, Collection!$A:$A, "="&amp;$A65)</f>
        <v>0</v>
      </c>
      <c r="BA65" s="116">
        <f>(SUMIFS('Bucket Counts'!$P:$P, 'Bucket Counts'!$B:$B, BA$2, 'Bucket Counts'!$A:$A, "="&amp;$A65,  'Bucket Counts'!$F:$F, "&lt;&gt;100 Morts",  'Bucket Counts'!$F:$F, "&lt;&gt;224"))</f>
        <v>0</v>
      </c>
      <c r="BB65" s="116">
        <f>(SUMIFS('Bucket Counts'!$P:$P, 'Bucket Counts'!$B:$B, BB$2, 'Bucket Counts'!$A:$A, "="&amp;$A65,  'Bucket Counts'!$F:$F, "100 Morts"))</f>
        <v>0</v>
      </c>
      <c r="BC65" s="116">
        <f>(SUMIFS('Bucket Counts'!$P:$P, 'Bucket Counts'!$B:$B, BC$2, 'Bucket Counts'!$A:$A, "="&amp;$A65,  'Bucket Counts'!$F:$F, "224"))</f>
        <v>0</v>
      </c>
      <c r="BD65" s="116"/>
      <c r="BE65" s="426" t="e">
        <f>(BC65+BA65)/BF64</f>
        <v>#DIV/0!</v>
      </c>
      <c r="BF65" s="370">
        <f>BA64+SUM(AZ64:AZ65)</f>
        <v>0</v>
      </c>
      <c r="BG65" s="369">
        <f>SUMIFS(Collection!$O:$O, Collection!$K:$K, BG$2, Collection!$A:$A, "="&amp;$A65)</f>
        <v>0</v>
      </c>
      <c r="BH65" s="116">
        <f>(SUMIFS('Bucket Counts'!$P:$P, 'Bucket Counts'!$B:$B, BH$2, 'Bucket Counts'!$A:$A, "="&amp;$A65,  'Bucket Counts'!$F:$F, "&lt;&gt;100 Morts",  'Bucket Counts'!$F:$F, "&lt;&gt;224"))</f>
        <v>0</v>
      </c>
      <c r="BI65" s="116">
        <f>(SUMIFS('Bucket Counts'!$P:$P, 'Bucket Counts'!$B:$B, BI$2, 'Bucket Counts'!$A:$A, "="&amp;$A65,  'Bucket Counts'!$F:$F, "100 Morts"))</f>
        <v>0</v>
      </c>
      <c r="BJ65" s="116">
        <f>(SUMIFS('Bucket Counts'!$P:$P, 'Bucket Counts'!$B:$B, BJ$2, 'Bucket Counts'!$A:$A, "="&amp;$A65,  'Bucket Counts'!$F:$F, "224"))</f>
        <v>0</v>
      </c>
      <c r="BK65" s="116"/>
      <c r="BL65" s="426">
        <f>(BJ65+BH65)/BM64</f>
        <v>0</v>
      </c>
      <c r="BM65" s="370">
        <f>BH64+SUM(BG64:BG65)</f>
        <v>3190</v>
      </c>
      <c r="BN65" s="369">
        <f>SUMIFS(Collection!$O:$O, Collection!$K:$K, BN$2, Collection!$A:$A, "="&amp;$A65)</f>
        <v>0</v>
      </c>
      <c r="BO65" s="116">
        <f>(SUMIFS('Bucket Counts'!$P:$P, 'Bucket Counts'!$B:$B, BO$2, 'Bucket Counts'!$A:$A, "="&amp;$A65,  'Bucket Counts'!$F:$F, "&lt;&gt;100 Morts",  'Bucket Counts'!$F:$F, "&lt;&gt;224"))</f>
        <v>0</v>
      </c>
      <c r="BP65" s="116">
        <f>(SUMIFS('Bucket Counts'!$P:$P, 'Bucket Counts'!$B:$B, BP$2, 'Bucket Counts'!$A:$A, "="&amp;$A65,  'Bucket Counts'!$F:$F, "100 Morts"))</f>
        <v>0</v>
      </c>
      <c r="BQ65" s="116">
        <f>(SUMIFS('Bucket Counts'!$P:$P, 'Bucket Counts'!$B:$B, BQ$2, 'Bucket Counts'!$A:$A, "="&amp;$A65,  'Bucket Counts'!$F:$F, "224"))</f>
        <v>0</v>
      </c>
      <c r="BR65" s="116"/>
      <c r="BS65" s="426">
        <f>(BQ65+BO65)/BT64</f>
        <v>0</v>
      </c>
      <c r="BT65" s="370">
        <f>BO64+SUM(BN64:BN65)</f>
        <v>4550.5555555555547</v>
      </c>
      <c r="BU65" s="369">
        <f>SUMIFS(Collection!$O:$O, Collection!$K:$K, BU$2, Collection!$A:$A, "="&amp;$A65)</f>
        <v>0</v>
      </c>
      <c r="BV65" s="116">
        <f>(SUMIFS('Bucket Counts'!$P:$P, 'Bucket Counts'!$B:$B, BV$2, 'Bucket Counts'!$A:$A, "="&amp;$A65,  'Bucket Counts'!$F:$F, "&lt;&gt;100 Morts",  'Bucket Counts'!$F:$F, "&lt;&gt;224"))</f>
        <v>0</v>
      </c>
      <c r="BW65" s="116">
        <f>(SUMIFS('Bucket Counts'!$P:$P, 'Bucket Counts'!$B:$B, BW$2, 'Bucket Counts'!$A:$A, "="&amp;$A65,  'Bucket Counts'!$F:$F, "100 Morts"))</f>
        <v>0</v>
      </c>
      <c r="BX65" s="116">
        <f>(SUMIFS('Bucket Counts'!$P:$P, 'Bucket Counts'!$B:$B, BX$2, 'Bucket Counts'!$A:$A, "="&amp;$A65,  'Bucket Counts'!$F:$F, "224"))</f>
        <v>0</v>
      </c>
      <c r="BY65" s="116"/>
      <c r="BZ65" s="426">
        <f>(BX65+BV65)/CA64</f>
        <v>0</v>
      </c>
      <c r="CA65" s="370">
        <f>BV64+SUM(BU64:BU65)</f>
        <v>250</v>
      </c>
      <c r="CB65" s="369">
        <f>SUMIFS(Collection!$O:$O, Collection!$K:$K, CB$2, Collection!$A:$A, "="&amp;$A65)</f>
        <v>0</v>
      </c>
      <c r="CC65" s="116">
        <f>(SUMIFS('Bucket Counts'!$P:$P, 'Bucket Counts'!$B:$B, CC$2, 'Bucket Counts'!$A:$A, "="&amp;$A65,  'Bucket Counts'!$F:$F, "&lt;&gt;100 Morts",  'Bucket Counts'!$F:$F, "&lt;&gt;224"))</f>
        <v>0</v>
      </c>
      <c r="CD65" s="116">
        <f>(SUMIFS('Bucket Counts'!$P:$P, 'Bucket Counts'!$B:$B, CD$2, 'Bucket Counts'!$A:$A, "="&amp;$A65,  'Bucket Counts'!$F:$F, "100 Morts"))</f>
        <v>0</v>
      </c>
      <c r="CE65" s="116">
        <f>(SUMIFS('Bucket Counts'!$P:$P, 'Bucket Counts'!$B:$B, CE$2, 'Bucket Counts'!$A:$A, "="&amp;$A65,  'Bucket Counts'!$F:$F, "224"))</f>
        <v>0</v>
      </c>
      <c r="CF65" s="116"/>
      <c r="CG65" s="426">
        <f>(CE65+CC65)/CH64</f>
        <v>0</v>
      </c>
      <c r="CH65" s="370">
        <f>CC64+SUM(CB64:CB65)</f>
        <v>955.55555555555554</v>
      </c>
      <c r="CI65" s="369">
        <f>SUMIFS(Collection!$O:$O, Collection!$K:$K, CI$2, Collection!$A:$A, "="&amp;$A65)</f>
        <v>0</v>
      </c>
      <c r="CJ65" s="116">
        <f>(SUMIFS('Bucket Counts'!$P:$P, 'Bucket Counts'!$B:$B, CJ$2, 'Bucket Counts'!$A:$A, "="&amp;$A65,  'Bucket Counts'!$F:$F, "&lt;&gt;100 Morts",  'Bucket Counts'!$F:$F, "&lt;&gt;224"))</f>
        <v>0</v>
      </c>
      <c r="CK65" s="116">
        <f>(SUMIFS('Bucket Counts'!$P:$P, 'Bucket Counts'!$B:$B, CK$2, 'Bucket Counts'!$A:$A, "="&amp;$A65,  'Bucket Counts'!$F:$F, "100 Morts"))</f>
        <v>0</v>
      </c>
      <c r="CL65" s="116">
        <f>(SUMIFS('Bucket Counts'!$P:$P, 'Bucket Counts'!$B:$B, CL$2, 'Bucket Counts'!$A:$A, "="&amp;$A65,  'Bucket Counts'!$F:$F, "224"))</f>
        <v>0</v>
      </c>
      <c r="CM65" s="116"/>
      <c r="CN65" s="426">
        <f>(CL65+CJ65)/CO64</f>
        <v>0</v>
      </c>
      <c r="CO65" s="370">
        <f>CJ64+SUM(CI64:CI65)</f>
        <v>27.777777777777775</v>
      </c>
      <c r="CP65" s="369">
        <f>SUMIFS(Collection!$O:$O, Collection!$K:$K, CP$2, Collection!$A:$A, "="&amp;$A65)</f>
        <v>0</v>
      </c>
      <c r="CQ65" s="116">
        <f>(SUMIFS('Bucket Counts'!$P:$P, 'Bucket Counts'!$B:$B, CQ$2, 'Bucket Counts'!$A:$A, "="&amp;$A65,  'Bucket Counts'!$F:$F, "&lt;&gt;100 Morts",  'Bucket Counts'!$F:$F, "&lt;&gt;224"))</f>
        <v>0</v>
      </c>
      <c r="CR65" s="116">
        <f>(SUMIFS('Bucket Counts'!$P:$P, 'Bucket Counts'!$B:$B, CR$2, 'Bucket Counts'!$A:$A, "="&amp;$A65,  'Bucket Counts'!$F:$F, "100 Morts"))</f>
        <v>0</v>
      </c>
      <c r="CS65" s="116">
        <f>(SUMIFS('Bucket Counts'!$P:$P, 'Bucket Counts'!$B:$B, CS$2, 'Bucket Counts'!$A:$A, "="&amp;$A65,  'Bucket Counts'!$F:$F, "224"))</f>
        <v>0</v>
      </c>
      <c r="CT65" s="116"/>
      <c r="CU65" s="426">
        <f>(CS65+CQ65)/CV64</f>
        <v>0</v>
      </c>
      <c r="CV65" s="370">
        <f>CQ64+SUM(CP64:CP65)</f>
        <v>136.66666666666666</v>
      </c>
      <c r="CW65" s="369">
        <f>SUMIFS(Collection!$O:$O, Collection!$K:$K, CW$2, Collection!$A:$A, "="&amp;$A65)</f>
        <v>0</v>
      </c>
      <c r="CX65" s="116">
        <f>(SUMIFS('Bucket Counts'!$P:$P, 'Bucket Counts'!$B:$B, CX$2, 'Bucket Counts'!$A:$A, "="&amp;$A65,  'Bucket Counts'!$F:$F, "&lt;&gt;100 Morts",  'Bucket Counts'!$F:$F, "&lt;&gt;224"))</f>
        <v>0</v>
      </c>
      <c r="CY65" s="116">
        <f>(SUMIFS('Bucket Counts'!$P:$P, 'Bucket Counts'!$B:$B, CY$2, 'Bucket Counts'!$A:$A, "="&amp;$A65,  'Bucket Counts'!$F:$F, "100 Morts"))</f>
        <v>0</v>
      </c>
      <c r="CZ65" s="116">
        <f>(SUMIFS('Bucket Counts'!$P:$P, 'Bucket Counts'!$B:$B, CZ$2, 'Bucket Counts'!$A:$A, "="&amp;$A65,  'Bucket Counts'!$F:$F, "224"))</f>
        <v>0</v>
      </c>
      <c r="DA65" s="116"/>
      <c r="DB65" s="426">
        <f>(CZ65+CX65)/DC64</f>
        <v>0</v>
      </c>
      <c r="DC65" s="370">
        <f>CX64+SUM(CW64:CW65)</f>
        <v>364.33333333333337</v>
      </c>
      <c r="DD65" s="369">
        <f>SUMIFS(Collection!$O:$O, Collection!$K:$K, DD$2, Collection!$A:$A, "="&amp;$A65)</f>
        <v>0</v>
      </c>
      <c r="DE65" s="116">
        <f>(SUMIFS('Bucket Counts'!$P:$P, 'Bucket Counts'!$B:$B, DE$2, 'Bucket Counts'!$A:$A, "="&amp;$A65,  'Bucket Counts'!$F:$F, "&lt;&gt;100 Morts",  'Bucket Counts'!$F:$F, "&lt;&gt;224"))</f>
        <v>0</v>
      </c>
      <c r="DF65" s="116">
        <f>(SUMIFS('Bucket Counts'!$P:$P, 'Bucket Counts'!$B:$B, DF$2, 'Bucket Counts'!$A:$A, "="&amp;$A65,  'Bucket Counts'!$F:$F, "100 Morts"))</f>
        <v>0</v>
      </c>
      <c r="DG65" s="116">
        <f>(SUMIFS('Bucket Counts'!$P:$P, 'Bucket Counts'!$B:$B, DG$2, 'Bucket Counts'!$A:$A, "="&amp;$A65,  'Bucket Counts'!$F:$F, "224"))</f>
        <v>0</v>
      </c>
      <c r="DH65" s="116"/>
      <c r="DI65" s="426">
        <f>(DG65+DE65)/DJ64</f>
        <v>0</v>
      </c>
      <c r="DJ65" s="370">
        <f>DE64+SUM(DD64:DD65)</f>
        <v>225</v>
      </c>
      <c r="DK65" s="369">
        <f>SUMIFS(Collection!$O:$O, Collection!$K:$K, DK$2, Collection!$A:$A, "="&amp;$A65)</f>
        <v>0</v>
      </c>
      <c r="DL65" s="116">
        <f>(SUMIFS('Bucket Counts'!$P:$P, 'Bucket Counts'!$B:$B, DL$2, 'Bucket Counts'!$A:$A, "="&amp;$A65,  'Bucket Counts'!$F:$F, "&lt;&gt;100 Morts",  'Bucket Counts'!$F:$F, "&lt;&gt;224"))</f>
        <v>0</v>
      </c>
      <c r="DM65" s="116">
        <f>(SUMIFS('Bucket Counts'!$P:$P, 'Bucket Counts'!$B:$B, DM$2, 'Bucket Counts'!$A:$A, "="&amp;$A65,  'Bucket Counts'!$F:$F, "100 Morts"))</f>
        <v>0</v>
      </c>
      <c r="DN65" s="116">
        <f>(SUMIFS('Bucket Counts'!$P:$P, 'Bucket Counts'!$B:$B, DN$2, 'Bucket Counts'!$A:$A, "="&amp;$A65,  'Bucket Counts'!$F:$F, "224"))</f>
        <v>0</v>
      </c>
      <c r="DO65" s="116"/>
      <c r="DP65" s="426" t="e">
        <f>(DN65+DL65)/DQ64</f>
        <v>#DIV/0!</v>
      </c>
      <c r="DQ65" s="370">
        <f>DL64+SUM(DK64:DK65)</f>
        <v>0</v>
      </c>
      <c r="DR65" s="369">
        <f>SUMIFS(Collection!$O:$O, Collection!$K:$K, DR$2, Collection!$A:$A, "="&amp;$A65)</f>
        <v>0</v>
      </c>
      <c r="DS65" s="116">
        <f>(SUMIFS('Bucket Counts'!$P:$P, 'Bucket Counts'!$B:$B, DS$2, 'Bucket Counts'!$A:$A, "="&amp;$A65,  'Bucket Counts'!$F:$F, "&lt;&gt;100 Morts",  'Bucket Counts'!$F:$F, "&lt;&gt;224"))</f>
        <v>0</v>
      </c>
      <c r="DT65" s="116">
        <f>(SUMIFS('Bucket Counts'!$P:$P, 'Bucket Counts'!$B:$B, DT$2, 'Bucket Counts'!$A:$A, "="&amp;$A65,  'Bucket Counts'!$F:$F, "100 Morts"))</f>
        <v>0</v>
      </c>
      <c r="DU65" s="116">
        <f>(SUMIFS('Bucket Counts'!$P:$P, 'Bucket Counts'!$B:$B, DU$2, 'Bucket Counts'!$A:$A, "="&amp;$A65,  'Bucket Counts'!$F:$F, "224"))</f>
        <v>0</v>
      </c>
      <c r="DV65" s="116"/>
      <c r="DW65" s="426" t="e">
        <f>(DU65+DS65)/DX64</f>
        <v>#DIV/0!</v>
      </c>
      <c r="DX65" s="370">
        <f>DS64+SUM(DR64:DR65)</f>
        <v>0</v>
      </c>
      <c r="DY65" s="369">
        <f>SUMIFS(Collection!$O:$O, Collection!$K:$K, DY$2, Collection!$A:$A, "="&amp;$A65)</f>
        <v>0</v>
      </c>
      <c r="DZ65" s="116">
        <f>(SUMIFS('Bucket Counts'!$P:$P, 'Bucket Counts'!$B:$B, DZ$2, 'Bucket Counts'!$A:$A, "="&amp;$A65,  'Bucket Counts'!$F:$F, "&lt;&gt;100 Morts",  'Bucket Counts'!$F:$F, "&lt;&gt;224"))</f>
        <v>0</v>
      </c>
      <c r="EA65" s="116">
        <f>(SUMIFS('Bucket Counts'!$P:$P, 'Bucket Counts'!$B:$B, EA$2, 'Bucket Counts'!$A:$A, "="&amp;$A65,  'Bucket Counts'!$F:$F, "100 Morts"))</f>
        <v>0</v>
      </c>
      <c r="EB65" s="116">
        <f>(SUMIFS('Bucket Counts'!$P:$P, 'Bucket Counts'!$B:$B, EB$2, 'Bucket Counts'!$A:$A, "="&amp;$A65,  'Bucket Counts'!$F:$F, "224"))</f>
        <v>0</v>
      </c>
      <c r="EC65" s="116"/>
      <c r="ED65" s="426" t="e">
        <f>(EB65+DZ65)/EE64</f>
        <v>#DIV/0!</v>
      </c>
      <c r="EE65" s="370">
        <f>DZ64+SUM(DY64:DY65)</f>
        <v>0</v>
      </c>
      <c r="EF65" s="369">
        <f>SUMIFS(Collection!$O:$O, Collection!$K:$K, EF$2, Collection!$A:$A, "="&amp;$A65)</f>
        <v>0</v>
      </c>
      <c r="EG65" s="116">
        <f>(SUMIFS('Bucket Counts'!$P:$P, 'Bucket Counts'!$B:$B, EG$2, 'Bucket Counts'!$A:$A, "="&amp;$A65,  'Bucket Counts'!$F:$F, "&lt;&gt;100 Morts",  'Bucket Counts'!$F:$F, "&lt;&gt;224"))</f>
        <v>0</v>
      </c>
      <c r="EH65" s="116">
        <f>(SUMIFS('Bucket Counts'!$P:$P, 'Bucket Counts'!$B:$B, EH$2, 'Bucket Counts'!$A:$A, "="&amp;$A65,  'Bucket Counts'!$F:$F, "100 Morts"))</f>
        <v>0</v>
      </c>
      <c r="EI65" s="116">
        <f>(SUMIFS('Bucket Counts'!$P:$P, 'Bucket Counts'!$B:$B, EI$2, 'Bucket Counts'!$A:$A, "="&amp;$A65,  'Bucket Counts'!$F:$F, "224"))</f>
        <v>0</v>
      </c>
      <c r="EJ65" s="116"/>
      <c r="EK65" s="426" t="e">
        <f>(EI65+EG65)/EL64</f>
        <v>#DIV/0!</v>
      </c>
      <c r="EL65" s="370">
        <f>EG64+SUM(EF64:EF65)</f>
        <v>0</v>
      </c>
    </row>
    <row r="66" spans="1:142" x14ac:dyDescent="0.2">
      <c r="A66" s="16">
        <f t="shared" si="0"/>
        <v>42935</v>
      </c>
      <c r="B66" s="16" t="s">
        <v>487</v>
      </c>
      <c r="C66" s="369">
        <f>SUMIFS(Collection!$O:$O, Collection!$K:$K, C$2, Collection!$A:$A, "="&amp;$A66)</f>
        <v>0</v>
      </c>
      <c r="D66" s="116">
        <f>(SUMIFS('Bucket Counts'!$P:$P, 'Bucket Counts'!$B:$B, D$2, 'Bucket Counts'!$A:$A, "="&amp;$A66,  'Bucket Counts'!$F:$F, "&lt;&gt;100 Morts",  'Bucket Counts'!$F:$F, "&lt;&gt;224"))</f>
        <v>0</v>
      </c>
      <c r="E66" s="116">
        <f>(SUMIFS('Bucket Counts'!$P:$P, 'Bucket Counts'!$B:$B, E$2, 'Bucket Counts'!$A:$A, "="&amp;$A66,  'Bucket Counts'!$F:$F, "100 Morts"))</f>
        <v>0</v>
      </c>
      <c r="F66" s="116">
        <f>(SUMIFS('Bucket Counts'!$P:$P, 'Bucket Counts'!$B:$B, F$2, 'Bucket Counts'!$A:$A, "="&amp;$A66,  'Bucket Counts'!$F:$F, "224"))</f>
        <v>0</v>
      </c>
      <c r="G66" s="116"/>
      <c r="H66" s="426">
        <f>(F66+D66)/I65</f>
        <v>0</v>
      </c>
      <c r="I66" s="370">
        <f>D64+SUM(C64:C66)</f>
        <v>86.1111111111111</v>
      </c>
      <c r="J66" s="369">
        <f>SUMIFS(Collection!$O:$O, Collection!$K:$K, J$2, Collection!$A:$A, "="&amp;$A66)</f>
        <v>0</v>
      </c>
      <c r="K66" s="116">
        <f>(SUMIFS('Bucket Counts'!$P:$P, 'Bucket Counts'!$B:$B, K$2, 'Bucket Counts'!$A:$A, "="&amp;$A66,  'Bucket Counts'!$F:$F, "&lt;&gt;100 Morts",  'Bucket Counts'!$F:$F, "&lt;&gt;224"))</f>
        <v>0</v>
      </c>
      <c r="L66" s="116">
        <f>(SUMIFS('Bucket Counts'!$P:$P, 'Bucket Counts'!$B:$B, L$2, 'Bucket Counts'!$A:$A, "="&amp;$A66,  'Bucket Counts'!$F:$F, "100 Morts"))</f>
        <v>0</v>
      </c>
      <c r="M66" s="116">
        <f>(SUMIFS('Bucket Counts'!$P:$P, 'Bucket Counts'!$B:$B, M$2, 'Bucket Counts'!$A:$A, "="&amp;$A66,  'Bucket Counts'!$F:$F, "224"))</f>
        <v>0</v>
      </c>
      <c r="N66" s="116"/>
      <c r="O66" s="426">
        <f>(M66+K66)/P65</f>
        <v>0</v>
      </c>
      <c r="P66" s="370">
        <f>K64+SUM(J64:J66)</f>
        <v>722.22222222222217</v>
      </c>
      <c r="Q66" s="369">
        <f>SUMIFS(Collection!$O:$O, Collection!$K:$K, Q$2, Collection!$A:$A, "="&amp;$A66)</f>
        <v>0</v>
      </c>
      <c r="R66" s="116">
        <f>(SUMIFS('Bucket Counts'!$P:$P, 'Bucket Counts'!$B:$B, R$2, 'Bucket Counts'!$A:$A, "="&amp;$A66,  'Bucket Counts'!$F:$F, "&lt;&gt;100 Morts",  'Bucket Counts'!$F:$F, "&lt;&gt;224"))</f>
        <v>0</v>
      </c>
      <c r="S66" s="116">
        <f>(SUMIFS('Bucket Counts'!$P:$P, 'Bucket Counts'!$B:$B, S$2, 'Bucket Counts'!$A:$A, "="&amp;$A66,  'Bucket Counts'!$F:$F, "100 Morts"))</f>
        <v>0</v>
      </c>
      <c r="T66" s="116">
        <f>(SUMIFS('Bucket Counts'!$P:$P, 'Bucket Counts'!$B:$B, T$2, 'Bucket Counts'!$A:$A, "="&amp;$A66,  'Bucket Counts'!$F:$F, "224"))</f>
        <v>0</v>
      </c>
      <c r="U66" s="116"/>
      <c r="V66" s="426" t="e">
        <f>(T66+R66)/W65</f>
        <v>#DIV/0!</v>
      </c>
      <c r="W66" s="370">
        <f>R64+SUM(Q64:Q66)</f>
        <v>0</v>
      </c>
      <c r="X66" s="369">
        <f>SUMIFS(Collection!$O:$O, Collection!$K:$K, X$2, Collection!$A:$A, "="&amp;$A66)</f>
        <v>0</v>
      </c>
      <c r="Y66" s="116">
        <f>(SUMIFS('Bucket Counts'!$P:$P, 'Bucket Counts'!$B:$B, Y$2, 'Bucket Counts'!$A:$A, "="&amp;$A66,  'Bucket Counts'!$F:$F, "&lt;&gt;100 Morts",  'Bucket Counts'!$F:$F, "&lt;&gt;224"))</f>
        <v>0</v>
      </c>
      <c r="Z66" s="116">
        <f>(SUMIFS('Bucket Counts'!$P:$P, 'Bucket Counts'!$B:$B, Z$2, 'Bucket Counts'!$A:$A, "="&amp;$A66,  'Bucket Counts'!$F:$F, "100 Morts"))</f>
        <v>0</v>
      </c>
      <c r="AA66" s="116">
        <f>(SUMIFS('Bucket Counts'!$P:$P, 'Bucket Counts'!$B:$B, AA$2, 'Bucket Counts'!$A:$A, "="&amp;$A66,  'Bucket Counts'!$F:$F, "224"))</f>
        <v>0</v>
      </c>
      <c r="AB66" s="116"/>
      <c r="AC66" s="426">
        <f>(AA66+Y66)/AD65</f>
        <v>0</v>
      </c>
      <c r="AD66" s="370">
        <f>Y64+SUM(X64:X66)</f>
        <v>379.16666666666669</v>
      </c>
      <c r="AE66" s="369">
        <f>SUMIFS(Collection!$O:$O, Collection!$K:$K, AE$2, Collection!$A:$A, "="&amp;$A66)</f>
        <v>0</v>
      </c>
      <c r="AF66" s="116">
        <f>(SUMIFS('Bucket Counts'!$P:$P, 'Bucket Counts'!$B:$B, AF$2, 'Bucket Counts'!$A:$A, "="&amp;$A66,  'Bucket Counts'!$F:$F, "&lt;&gt;100 Morts",  'Bucket Counts'!$F:$F, "&lt;&gt;224"))</f>
        <v>0</v>
      </c>
      <c r="AG66" s="116">
        <f>(SUMIFS('Bucket Counts'!$P:$P, 'Bucket Counts'!$B:$B, AG$2, 'Bucket Counts'!$A:$A, "="&amp;$A66,  'Bucket Counts'!$F:$F, "100 Morts"))</f>
        <v>0</v>
      </c>
      <c r="AH66" s="116">
        <f>(SUMIFS('Bucket Counts'!$P:$P, 'Bucket Counts'!$B:$B, AH$2, 'Bucket Counts'!$A:$A, "="&amp;$A66,  'Bucket Counts'!$F:$F, "224"))</f>
        <v>0</v>
      </c>
      <c r="AI66" s="116"/>
      <c r="AJ66" s="426">
        <f>(AH66+AF66)/AK65</f>
        <v>0</v>
      </c>
      <c r="AK66" s="370">
        <f>AF64+SUM(AE64:AE66)</f>
        <v>37090</v>
      </c>
      <c r="AL66" s="369">
        <f>SUMIFS(Collection!$O:$O, Collection!$K:$K, AL$2, Collection!$A:$A, "="&amp;$A66)</f>
        <v>0</v>
      </c>
      <c r="AM66" s="116">
        <f>(SUMIFS('Bucket Counts'!$P:$P, 'Bucket Counts'!$B:$B, AM$2, 'Bucket Counts'!$A:$A, "="&amp;$A66,  'Bucket Counts'!$F:$F, "&lt;&gt;100 Morts",  'Bucket Counts'!$F:$F, "&lt;&gt;224"))</f>
        <v>0</v>
      </c>
      <c r="AN66" s="116">
        <f>(SUMIFS('Bucket Counts'!$P:$P, 'Bucket Counts'!$B:$B, AN$2, 'Bucket Counts'!$A:$A, "="&amp;$A66,  'Bucket Counts'!$F:$F, "100 Morts"))</f>
        <v>0</v>
      </c>
      <c r="AO66" s="116">
        <f>(SUMIFS('Bucket Counts'!$P:$P, 'Bucket Counts'!$B:$B, AO$2, 'Bucket Counts'!$A:$A, "="&amp;$A66,  'Bucket Counts'!$F:$F, "224"))</f>
        <v>0</v>
      </c>
      <c r="AP66" s="116"/>
      <c r="AQ66" s="426">
        <f>(AO66+AM66)/AR65</f>
        <v>0</v>
      </c>
      <c r="AR66" s="370">
        <f>AM64+SUM(AL64:AL66)</f>
        <v>36.666666666666664</v>
      </c>
      <c r="AS66" s="369">
        <f>SUMIFS(Collection!$O:$O, Collection!$K:$K, AS$2, Collection!$A:$A, "="&amp;$A66)</f>
        <v>0</v>
      </c>
      <c r="AT66" s="116">
        <f>(SUMIFS('Bucket Counts'!$P:$P, 'Bucket Counts'!$B:$B, AT$2, 'Bucket Counts'!$A:$A, "="&amp;$A66,  'Bucket Counts'!$F:$F, "&lt;&gt;100 Morts",  'Bucket Counts'!$F:$F, "&lt;&gt;224"))</f>
        <v>0</v>
      </c>
      <c r="AU66" s="116">
        <f>(SUMIFS('Bucket Counts'!$P:$P, 'Bucket Counts'!$B:$B, AU$2, 'Bucket Counts'!$A:$A, "="&amp;$A66,  'Bucket Counts'!$F:$F, "100 Morts"))</f>
        <v>0</v>
      </c>
      <c r="AV66" s="116">
        <f>(SUMIFS('Bucket Counts'!$P:$P, 'Bucket Counts'!$B:$B, AV$2, 'Bucket Counts'!$A:$A, "="&amp;$A66,  'Bucket Counts'!$F:$F, "224"))</f>
        <v>0</v>
      </c>
      <c r="AW66" s="116"/>
      <c r="AX66" s="426">
        <f>(AV66+AT66)/AY65</f>
        <v>0</v>
      </c>
      <c r="AY66" s="370">
        <f>AT64+SUM(AS64:AS66)</f>
        <v>57.777777777777771</v>
      </c>
      <c r="AZ66" s="369">
        <f>SUMIFS(Collection!$O:$O, Collection!$K:$K, AZ$2, Collection!$A:$A, "="&amp;$A66)</f>
        <v>0</v>
      </c>
      <c r="BA66" s="116">
        <f>(SUMIFS('Bucket Counts'!$P:$P, 'Bucket Counts'!$B:$B, BA$2, 'Bucket Counts'!$A:$A, "="&amp;$A66,  'Bucket Counts'!$F:$F, "&lt;&gt;100 Morts",  'Bucket Counts'!$F:$F, "&lt;&gt;224"))</f>
        <v>0</v>
      </c>
      <c r="BB66" s="116">
        <f>(SUMIFS('Bucket Counts'!$P:$P, 'Bucket Counts'!$B:$B, BB$2, 'Bucket Counts'!$A:$A, "="&amp;$A66,  'Bucket Counts'!$F:$F, "100 Morts"))</f>
        <v>0</v>
      </c>
      <c r="BC66" s="116">
        <f>(SUMIFS('Bucket Counts'!$P:$P, 'Bucket Counts'!$B:$B, BC$2, 'Bucket Counts'!$A:$A, "="&amp;$A66,  'Bucket Counts'!$F:$F, "224"))</f>
        <v>0</v>
      </c>
      <c r="BD66" s="116"/>
      <c r="BE66" s="426" t="e">
        <f>(BC66+BA66)/BF65</f>
        <v>#DIV/0!</v>
      </c>
      <c r="BF66" s="370">
        <f>BA64+SUM(AZ64:AZ66)</f>
        <v>0</v>
      </c>
      <c r="BG66" s="369">
        <f>SUMIFS(Collection!$O:$O, Collection!$K:$K, BG$2, Collection!$A:$A, "="&amp;$A66)</f>
        <v>0</v>
      </c>
      <c r="BH66" s="116">
        <f>(SUMIFS('Bucket Counts'!$P:$P, 'Bucket Counts'!$B:$B, BH$2, 'Bucket Counts'!$A:$A, "="&amp;$A66,  'Bucket Counts'!$F:$F, "&lt;&gt;100 Morts",  'Bucket Counts'!$F:$F, "&lt;&gt;224"))</f>
        <v>0</v>
      </c>
      <c r="BI66" s="116">
        <f>(SUMIFS('Bucket Counts'!$P:$P, 'Bucket Counts'!$B:$B, BI$2, 'Bucket Counts'!$A:$A, "="&amp;$A66,  'Bucket Counts'!$F:$F, "100 Morts"))</f>
        <v>0</v>
      </c>
      <c r="BJ66" s="116">
        <f>(SUMIFS('Bucket Counts'!$P:$P, 'Bucket Counts'!$B:$B, BJ$2, 'Bucket Counts'!$A:$A, "="&amp;$A66,  'Bucket Counts'!$F:$F, "224"))</f>
        <v>0</v>
      </c>
      <c r="BK66" s="116"/>
      <c r="BL66" s="426">
        <f>(BJ66+BH66)/BM65</f>
        <v>0</v>
      </c>
      <c r="BM66" s="370">
        <f>BH64+SUM(BG64:BG66)</f>
        <v>3190</v>
      </c>
      <c r="BN66" s="369">
        <f>SUMIFS(Collection!$O:$O, Collection!$K:$K, BN$2, Collection!$A:$A, "="&amp;$A66)</f>
        <v>0</v>
      </c>
      <c r="BO66" s="116">
        <f>(SUMIFS('Bucket Counts'!$P:$P, 'Bucket Counts'!$B:$B, BO$2, 'Bucket Counts'!$A:$A, "="&amp;$A66,  'Bucket Counts'!$F:$F, "&lt;&gt;100 Morts",  'Bucket Counts'!$F:$F, "&lt;&gt;224"))</f>
        <v>0</v>
      </c>
      <c r="BP66" s="116">
        <f>(SUMIFS('Bucket Counts'!$P:$P, 'Bucket Counts'!$B:$B, BP$2, 'Bucket Counts'!$A:$A, "="&amp;$A66,  'Bucket Counts'!$F:$F, "100 Morts"))</f>
        <v>0</v>
      </c>
      <c r="BQ66" s="116">
        <f>(SUMIFS('Bucket Counts'!$P:$P, 'Bucket Counts'!$B:$B, BQ$2, 'Bucket Counts'!$A:$A, "="&amp;$A66,  'Bucket Counts'!$F:$F, "224"))</f>
        <v>0</v>
      </c>
      <c r="BR66" s="116"/>
      <c r="BS66" s="426">
        <f>(BQ66+BO66)/BT65</f>
        <v>0</v>
      </c>
      <c r="BT66" s="370">
        <f>BO64+SUM(BN64:BN66)</f>
        <v>4550.5555555555547</v>
      </c>
      <c r="BU66" s="369">
        <f>SUMIFS(Collection!$O:$O, Collection!$K:$K, BU$2, Collection!$A:$A, "="&amp;$A66)</f>
        <v>0</v>
      </c>
      <c r="BV66" s="116">
        <f>(SUMIFS('Bucket Counts'!$P:$P, 'Bucket Counts'!$B:$B, BV$2, 'Bucket Counts'!$A:$A, "="&amp;$A66,  'Bucket Counts'!$F:$F, "&lt;&gt;100 Morts",  'Bucket Counts'!$F:$F, "&lt;&gt;224"))</f>
        <v>0</v>
      </c>
      <c r="BW66" s="116">
        <f>(SUMIFS('Bucket Counts'!$P:$P, 'Bucket Counts'!$B:$B, BW$2, 'Bucket Counts'!$A:$A, "="&amp;$A66,  'Bucket Counts'!$F:$F, "100 Morts"))</f>
        <v>0</v>
      </c>
      <c r="BX66" s="116">
        <f>(SUMIFS('Bucket Counts'!$P:$P, 'Bucket Counts'!$B:$B, BX$2, 'Bucket Counts'!$A:$A, "="&amp;$A66,  'Bucket Counts'!$F:$F, "224"))</f>
        <v>0</v>
      </c>
      <c r="BY66" s="116"/>
      <c r="BZ66" s="426">
        <f>(BX66+BV66)/CA65</f>
        <v>0</v>
      </c>
      <c r="CA66" s="370">
        <f>BV64+SUM(BU64:BU66)</f>
        <v>250</v>
      </c>
      <c r="CB66" s="369">
        <f>SUMIFS(Collection!$O:$O, Collection!$K:$K, CB$2, Collection!$A:$A, "="&amp;$A66)</f>
        <v>0</v>
      </c>
      <c r="CC66" s="116">
        <f>(SUMIFS('Bucket Counts'!$P:$P, 'Bucket Counts'!$B:$B, CC$2, 'Bucket Counts'!$A:$A, "="&amp;$A66,  'Bucket Counts'!$F:$F, "&lt;&gt;100 Morts",  'Bucket Counts'!$F:$F, "&lt;&gt;224"))</f>
        <v>0</v>
      </c>
      <c r="CD66" s="116">
        <f>(SUMIFS('Bucket Counts'!$P:$P, 'Bucket Counts'!$B:$B, CD$2, 'Bucket Counts'!$A:$A, "="&amp;$A66,  'Bucket Counts'!$F:$F, "100 Morts"))</f>
        <v>0</v>
      </c>
      <c r="CE66" s="116">
        <f>(SUMIFS('Bucket Counts'!$P:$P, 'Bucket Counts'!$B:$B, CE$2, 'Bucket Counts'!$A:$A, "="&amp;$A66,  'Bucket Counts'!$F:$F, "224"))</f>
        <v>0</v>
      </c>
      <c r="CF66" s="116"/>
      <c r="CG66" s="426">
        <f>(CE66+CC66)/CH65</f>
        <v>0</v>
      </c>
      <c r="CH66" s="370">
        <f>CC64+SUM(CB64:CB66)</f>
        <v>955.55555555555554</v>
      </c>
      <c r="CI66" s="369">
        <f>SUMIFS(Collection!$O:$O, Collection!$K:$K, CI$2, Collection!$A:$A, "="&amp;$A66)</f>
        <v>0</v>
      </c>
      <c r="CJ66" s="116">
        <f>(SUMIFS('Bucket Counts'!$P:$P, 'Bucket Counts'!$B:$B, CJ$2, 'Bucket Counts'!$A:$A, "="&amp;$A66,  'Bucket Counts'!$F:$F, "&lt;&gt;100 Morts",  'Bucket Counts'!$F:$F, "&lt;&gt;224"))</f>
        <v>0</v>
      </c>
      <c r="CK66" s="116">
        <f>(SUMIFS('Bucket Counts'!$P:$P, 'Bucket Counts'!$B:$B, CK$2, 'Bucket Counts'!$A:$A, "="&amp;$A66,  'Bucket Counts'!$F:$F, "100 Morts"))</f>
        <v>0</v>
      </c>
      <c r="CL66" s="116">
        <f>(SUMIFS('Bucket Counts'!$P:$P, 'Bucket Counts'!$B:$B, CL$2, 'Bucket Counts'!$A:$A, "="&amp;$A66,  'Bucket Counts'!$F:$F, "224"))</f>
        <v>0</v>
      </c>
      <c r="CM66" s="116"/>
      <c r="CN66" s="426">
        <f>(CL66+CJ66)/CO65</f>
        <v>0</v>
      </c>
      <c r="CO66" s="370">
        <f>CJ64+SUM(CI64:CI66)</f>
        <v>27.777777777777775</v>
      </c>
      <c r="CP66" s="369">
        <f>SUMIFS(Collection!$O:$O, Collection!$K:$K, CP$2, Collection!$A:$A, "="&amp;$A66)</f>
        <v>0</v>
      </c>
      <c r="CQ66" s="116">
        <f>(SUMIFS('Bucket Counts'!$P:$P, 'Bucket Counts'!$B:$B, CQ$2, 'Bucket Counts'!$A:$A, "="&amp;$A66,  'Bucket Counts'!$F:$F, "&lt;&gt;100 Morts",  'Bucket Counts'!$F:$F, "&lt;&gt;224"))</f>
        <v>0</v>
      </c>
      <c r="CR66" s="116">
        <f>(SUMIFS('Bucket Counts'!$P:$P, 'Bucket Counts'!$B:$B, CR$2, 'Bucket Counts'!$A:$A, "="&amp;$A66,  'Bucket Counts'!$F:$F, "100 Morts"))</f>
        <v>0</v>
      </c>
      <c r="CS66" s="116">
        <f>(SUMIFS('Bucket Counts'!$P:$P, 'Bucket Counts'!$B:$B, CS$2, 'Bucket Counts'!$A:$A, "="&amp;$A66,  'Bucket Counts'!$F:$F, "224"))</f>
        <v>0</v>
      </c>
      <c r="CT66" s="116"/>
      <c r="CU66" s="426">
        <f>(CS66+CQ66)/CV65</f>
        <v>0</v>
      </c>
      <c r="CV66" s="370">
        <f>CQ64+SUM(CP64:CP66)</f>
        <v>136.66666666666666</v>
      </c>
      <c r="CW66" s="369">
        <f>SUMIFS(Collection!$O:$O, Collection!$K:$K, CW$2, Collection!$A:$A, "="&amp;$A66)</f>
        <v>0</v>
      </c>
      <c r="CX66" s="116">
        <f>(SUMIFS('Bucket Counts'!$P:$P, 'Bucket Counts'!$B:$B, CX$2, 'Bucket Counts'!$A:$A, "="&amp;$A66,  'Bucket Counts'!$F:$F, "&lt;&gt;100 Morts",  'Bucket Counts'!$F:$F, "&lt;&gt;224"))</f>
        <v>0</v>
      </c>
      <c r="CY66" s="116">
        <f>(SUMIFS('Bucket Counts'!$P:$P, 'Bucket Counts'!$B:$B, CY$2, 'Bucket Counts'!$A:$A, "="&amp;$A66,  'Bucket Counts'!$F:$F, "100 Morts"))</f>
        <v>0</v>
      </c>
      <c r="CZ66" s="116">
        <f>(SUMIFS('Bucket Counts'!$P:$P, 'Bucket Counts'!$B:$B, CZ$2, 'Bucket Counts'!$A:$A, "="&amp;$A66,  'Bucket Counts'!$F:$F, "224"))</f>
        <v>0</v>
      </c>
      <c r="DA66" s="116"/>
      <c r="DB66" s="426">
        <f>(CZ66+CX66)/DC65</f>
        <v>0</v>
      </c>
      <c r="DC66" s="370">
        <f>CX64+SUM(CW64:CW66)</f>
        <v>364.33333333333337</v>
      </c>
      <c r="DD66" s="369">
        <f>SUMIFS(Collection!$O:$O, Collection!$K:$K, DD$2, Collection!$A:$A, "="&amp;$A66)</f>
        <v>0</v>
      </c>
      <c r="DE66" s="116">
        <f>(SUMIFS('Bucket Counts'!$P:$P, 'Bucket Counts'!$B:$B, DE$2, 'Bucket Counts'!$A:$A, "="&amp;$A66,  'Bucket Counts'!$F:$F, "&lt;&gt;100 Morts",  'Bucket Counts'!$F:$F, "&lt;&gt;224"))</f>
        <v>0</v>
      </c>
      <c r="DF66" s="116">
        <f>(SUMIFS('Bucket Counts'!$P:$P, 'Bucket Counts'!$B:$B, DF$2, 'Bucket Counts'!$A:$A, "="&amp;$A66,  'Bucket Counts'!$F:$F, "100 Morts"))</f>
        <v>0</v>
      </c>
      <c r="DG66" s="116">
        <f>(SUMIFS('Bucket Counts'!$P:$P, 'Bucket Counts'!$B:$B, DG$2, 'Bucket Counts'!$A:$A, "="&amp;$A66,  'Bucket Counts'!$F:$F, "224"))</f>
        <v>0</v>
      </c>
      <c r="DH66" s="116"/>
      <c r="DI66" s="426">
        <f>(DG66+DE66)/DJ65</f>
        <v>0</v>
      </c>
      <c r="DJ66" s="370">
        <f>DE64+SUM(DD64:DD66)</f>
        <v>225</v>
      </c>
      <c r="DK66" s="369">
        <f>SUMIFS(Collection!$O:$O, Collection!$K:$K, DK$2, Collection!$A:$A, "="&amp;$A66)</f>
        <v>0</v>
      </c>
      <c r="DL66" s="116">
        <f>(SUMIFS('Bucket Counts'!$P:$P, 'Bucket Counts'!$B:$B, DL$2, 'Bucket Counts'!$A:$A, "="&amp;$A66,  'Bucket Counts'!$F:$F, "&lt;&gt;100 Morts",  'Bucket Counts'!$F:$F, "&lt;&gt;224"))</f>
        <v>0</v>
      </c>
      <c r="DM66" s="116">
        <f>(SUMIFS('Bucket Counts'!$P:$P, 'Bucket Counts'!$B:$B, DM$2, 'Bucket Counts'!$A:$A, "="&amp;$A66,  'Bucket Counts'!$F:$F, "100 Morts"))</f>
        <v>0</v>
      </c>
      <c r="DN66" s="116">
        <f>(SUMIFS('Bucket Counts'!$P:$P, 'Bucket Counts'!$B:$B, DN$2, 'Bucket Counts'!$A:$A, "="&amp;$A66,  'Bucket Counts'!$F:$F, "224"))</f>
        <v>0</v>
      </c>
      <c r="DO66" s="116"/>
      <c r="DP66" s="426" t="e">
        <f>(DN66+DL66)/DQ65</f>
        <v>#DIV/0!</v>
      </c>
      <c r="DQ66" s="370">
        <f>DL64+SUM(DK64:DK66)</f>
        <v>0</v>
      </c>
      <c r="DR66" s="369">
        <f>SUMIFS(Collection!$O:$O, Collection!$K:$K, DR$2, Collection!$A:$A, "="&amp;$A66)</f>
        <v>0</v>
      </c>
      <c r="DS66" s="116">
        <f>(SUMIFS('Bucket Counts'!$P:$P, 'Bucket Counts'!$B:$B, DS$2, 'Bucket Counts'!$A:$A, "="&amp;$A66,  'Bucket Counts'!$F:$F, "&lt;&gt;100 Morts",  'Bucket Counts'!$F:$F, "&lt;&gt;224"))</f>
        <v>0</v>
      </c>
      <c r="DT66" s="116">
        <f>(SUMIFS('Bucket Counts'!$P:$P, 'Bucket Counts'!$B:$B, DT$2, 'Bucket Counts'!$A:$A, "="&amp;$A66,  'Bucket Counts'!$F:$F, "100 Morts"))</f>
        <v>0</v>
      </c>
      <c r="DU66" s="116">
        <f>(SUMIFS('Bucket Counts'!$P:$P, 'Bucket Counts'!$B:$B, DU$2, 'Bucket Counts'!$A:$A, "="&amp;$A66,  'Bucket Counts'!$F:$F, "224"))</f>
        <v>0</v>
      </c>
      <c r="DV66" s="116"/>
      <c r="DW66" s="426" t="e">
        <f>(DU66+DS66)/DX65</f>
        <v>#DIV/0!</v>
      </c>
      <c r="DX66" s="370">
        <f>DS64+SUM(DR64:DR66)</f>
        <v>0</v>
      </c>
      <c r="DY66" s="369">
        <f>SUMIFS(Collection!$O:$O, Collection!$K:$K, DY$2, Collection!$A:$A, "="&amp;$A66)</f>
        <v>0</v>
      </c>
      <c r="DZ66" s="116">
        <f>(SUMIFS('Bucket Counts'!$P:$P, 'Bucket Counts'!$B:$B, DZ$2, 'Bucket Counts'!$A:$A, "="&amp;$A66,  'Bucket Counts'!$F:$F, "&lt;&gt;100 Morts",  'Bucket Counts'!$F:$F, "&lt;&gt;224"))</f>
        <v>0</v>
      </c>
      <c r="EA66" s="116">
        <f>(SUMIFS('Bucket Counts'!$P:$P, 'Bucket Counts'!$B:$B, EA$2, 'Bucket Counts'!$A:$A, "="&amp;$A66,  'Bucket Counts'!$F:$F, "100 Morts"))</f>
        <v>0</v>
      </c>
      <c r="EB66" s="116">
        <f>(SUMIFS('Bucket Counts'!$P:$P, 'Bucket Counts'!$B:$B, EB$2, 'Bucket Counts'!$A:$A, "="&amp;$A66,  'Bucket Counts'!$F:$F, "224"))</f>
        <v>0</v>
      </c>
      <c r="EC66" s="116"/>
      <c r="ED66" s="426" t="e">
        <f>(EB66+DZ66)/EE65</f>
        <v>#DIV/0!</v>
      </c>
      <c r="EE66" s="370">
        <f>DZ64+SUM(DY64:DY66)</f>
        <v>0</v>
      </c>
      <c r="EF66" s="369">
        <f>SUMIFS(Collection!$O:$O, Collection!$K:$K, EF$2, Collection!$A:$A, "="&amp;$A66)</f>
        <v>0</v>
      </c>
      <c r="EG66" s="116">
        <f>(SUMIFS('Bucket Counts'!$P:$P, 'Bucket Counts'!$B:$B, EG$2, 'Bucket Counts'!$A:$A, "="&amp;$A66,  'Bucket Counts'!$F:$F, "&lt;&gt;100 Morts",  'Bucket Counts'!$F:$F, "&lt;&gt;224"))</f>
        <v>0</v>
      </c>
      <c r="EH66" s="116">
        <f>(SUMIFS('Bucket Counts'!$P:$P, 'Bucket Counts'!$B:$B, EH$2, 'Bucket Counts'!$A:$A, "="&amp;$A66,  'Bucket Counts'!$F:$F, "100 Morts"))</f>
        <v>0</v>
      </c>
      <c r="EI66" s="116">
        <f>(SUMIFS('Bucket Counts'!$P:$P, 'Bucket Counts'!$B:$B, EI$2, 'Bucket Counts'!$A:$A, "="&amp;$A66,  'Bucket Counts'!$F:$F, "224"))</f>
        <v>0</v>
      </c>
      <c r="EJ66" s="116"/>
      <c r="EK66" s="426" t="e">
        <f>(EI66+EG66)/EL65</f>
        <v>#DIV/0!</v>
      </c>
      <c r="EL66" s="370">
        <f>EG64+SUM(EF64:EF66)</f>
        <v>0</v>
      </c>
    </row>
    <row r="67" spans="1:142" s="434" customFormat="1" x14ac:dyDescent="0.2">
      <c r="A67" s="428">
        <f t="shared" si="0"/>
        <v>42936</v>
      </c>
      <c r="B67" s="428" t="s">
        <v>486</v>
      </c>
      <c r="C67" s="429">
        <f>SUMIFS(Collection!$O:$O, Collection!$K:$K, C$2, Collection!$A:$A, "="&amp;$A67)</f>
        <v>0</v>
      </c>
      <c r="D67" s="430">
        <f>(SUMIFS('Bucket Counts'!$P:$P, 'Bucket Counts'!$B:$B, D$2, 'Bucket Counts'!$A:$A, "="&amp;$A67,  'Bucket Counts'!$F:$F, "&lt;&gt;100 Morts",  'Bucket Counts'!$F:$F, "&lt;&gt;224"))</f>
        <v>25</v>
      </c>
      <c r="E67" s="430">
        <f>(SUMIFS('Bucket Counts'!$P:$P, 'Bucket Counts'!$B:$B, E$2, 'Bucket Counts'!$A:$A, "="&amp;$A67,  'Bucket Counts'!$F:$F, "100 Morts"))</f>
        <v>0</v>
      </c>
      <c r="F67" s="430">
        <f>(SUMIFS('Bucket Counts'!$P:$P, 'Bucket Counts'!$B:$B, F$2, 'Bucket Counts'!$A:$A, "="&amp;$A67,  'Bucket Counts'!$F:$F, "224"))</f>
        <v>12</v>
      </c>
      <c r="G67" s="430">
        <f>I66</f>
        <v>86.1111111111111</v>
      </c>
      <c r="H67" s="431">
        <f>SUM(D67+F67)</f>
        <v>37</v>
      </c>
      <c r="I67" s="432">
        <f>D67+C67</f>
        <v>25</v>
      </c>
      <c r="J67" s="429">
        <f>SUMIFS(Collection!$O:$O, Collection!$K:$K, J$2, Collection!$A:$A, "="&amp;$A67)</f>
        <v>0</v>
      </c>
      <c r="K67" s="430">
        <f>(SUMIFS('Bucket Counts'!$P:$P, 'Bucket Counts'!$B:$B, K$2, 'Bucket Counts'!$A:$A, "="&amp;$A67,  'Bucket Counts'!$F:$F, "&lt;&gt;100 Morts",  'Bucket Counts'!$F:$F, "&lt;&gt;224"))</f>
        <v>275</v>
      </c>
      <c r="L67" s="430">
        <f>(SUMIFS('Bucket Counts'!$P:$P, 'Bucket Counts'!$B:$B, L$2, 'Bucket Counts'!$A:$A, "="&amp;$A67,  'Bucket Counts'!$F:$F, "100 Morts"))</f>
        <v>0</v>
      </c>
      <c r="M67" s="430">
        <f>(SUMIFS('Bucket Counts'!$P:$P, 'Bucket Counts'!$B:$B, M$2, 'Bucket Counts'!$A:$A, "="&amp;$A67,  'Bucket Counts'!$F:$F, "224"))</f>
        <v>166.66666666666666</v>
      </c>
      <c r="N67" s="430">
        <f>P66</f>
        <v>722.22222222222217</v>
      </c>
      <c r="O67" s="431">
        <f>SUM(K67+M67)</f>
        <v>441.66666666666663</v>
      </c>
      <c r="P67" s="432">
        <f>K67+J67</f>
        <v>275</v>
      </c>
      <c r="Q67" s="429">
        <f>SUMIFS(Collection!$O:$O, Collection!$K:$K, Q$2, Collection!$A:$A, "="&amp;$A67)</f>
        <v>0</v>
      </c>
      <c r="R67" s="430">
        <f>(SUMIFS('Bucket Counts'!$P:$P, 'Bucket Counts'!$B:$B, R$2, 'Bucket Counts'!$A:$A, "="&amp;$A67,  'Bucket Counts'!$F:$F, "&lt;&gt;100 Morts",  'Bucket Counts'!$F:$F, "&lt;&gt;224"))</f>
        <v>0</v>
      </c>
      <c r="S67" s="430">
        <f>(SUMIFS('Bucket Counts'!$P:$P, 'Bucket Counts'!$B:$B, S$2, 'Bucket Counts'!$A:$A, "="&amp;$A67,  'Bucket Counts'!$F:$F, "100 Morts"))</f>
        <v>0</v>
      </c>
      <c r="T67" s="430">
        <f>(SUMIFS('Bucket Counts'!$P:$P, 'Bucket Counts'!$B:$B, T$2, 'Bucket Counts'!$A:$A, "="&amp;$A67,  'Bucket Counts'!$F:$F, "224"))</f>
        <v>0</v>
      </c>
      <c r="U67" s="430">
        <f>W66</f>
        <v>0</v>
      </c>
      <c r="V67" s="431">
        <f>SUM(R67+T67)</f>
        <v>0</v>
      </c>
      <c r="W67" s="432">
        <f>R67+Q67</f>
        <v>0</v>
      </c>
      <c r="X67" s="429">
        <f>SUMIFS(Collection!$O:$O, Collection!$K:$K, X$2, Collection!$A:$A, "="&amp;$A67)</f>
        <v>0</v>
      </c>
      <c r="Y67" s="430">
        <f>(SUMIFS('Bucket Counts'!$P:$P, 'Bucket Counts'!$B:$B, Y$2, 'Bucket Counts'!$A:$A, "="&amp;$A67,  'Bucket Counts'!$F:$F, "&lt;&gt;100 Morts",  'Bucket Counts'!$F:$F, "&lt;&gt;224"))</f>
        <v>0</v>
      </c>
      <c r="Z67" s="430">
        <f>(SUMIFS('Bucket Counts'!$P:$P, 'Bucket Counts'!$B:$B, Z$2, 'Bucket Counts'!$A:$A, "="&amp;$A67,  'Bucket Counts'!$F:$F, "100 Morts"))</f>
        <v>0</v>
      </c>
      <c r="AA67" s="430">
        <f>(SUMIFS('Bucket Counts'!$P:$P, 'Bucket Counts'!$B:$B, AA$2, 'Bucket Counts'!$A:$A, "="&amp;$A67,  'Bucket Counts'!$F:$F, "224"))</f>
        <v>0</v>
      </c>
      <c r="AB67" s="430">
        <f>AD66</f>
        <v>379.16666666666669</v>
      </c>
      <c r="AC67" s="431">
        <f>SUM(Y67+AA67)</f>
        <v>0</v>
      </c>
      <c r="AD67" s="432">
        <f>Y67+X67</f>
        <v>0</v>
      </c>
      <c r="AE67" s="429">
        <f>SUMIFS(Collection!$O:$O, Collection!$K:$K, AE$2, Collection!$A:$A, "="&amp;$A67)</f>
        <v>0</v>
      </c>
      <c r="AF67" s="430">
        <f>(SUMIFS('Bucket Counts'!$P:$P, 'Bucket Counts'!$B:$B, AF$2, 'Bucket Counts'!$A:$A, "="&amp;$A67,  'Bucket Counts'!$F:$F, "&lt;&gt;100 Morts",  'Bucket Counts'!$F:$F, "&lt;&gt;224"))</f>
        <v>7626.6666666666661</v>
      </c>
      <c r="AG67" s="430">
        <f>(SUMIFS('Bucket Counts'!$P:$P, 'Bucket Counts'!$B:$B, AG$2, 'Bucket Counts'!$A:$A, "="&amp;$A67,  'Bucket Counts'!$F:$F, "100 Morts"))</f>
        <v>0</v>
      </c>
      <c r="AH67" s="430">
        <f>(SUMIFS('Bucket Counts'!$P:$P, 'Bucket Counts'!$B:$B, AH$2, 'Bucket Counts'!$A:$A, "="&amp;$A67,  'Bucket Counts'!$F:$F, "224"))</f>
        <v>7955</v>
      </c>
      <c r="AI67" s="430">
        <f>AK66</f>
        <v>37090</v>
      </c>
      <c r="AJ67" s="431">
        <f>SUM(AF67+AH67)</f>
        <v>15581.666666666666</v>
      </c>
      <c r="AK67" s="432">
        <f>AF67+AE67</f>
        <v>7626.6666666666661</v>
      </c>
      <c r="AL67" s="429">
        <f>SUMIFS(Collection!$O:$O, Collection!$K:$K, AL$2, Collection!$A:$A, "="&amp;$A67)</f>
        <v>0</v>
      </c>
      <c r="AM67" s="430">
        <f>(SUMIFS('Bucket Counts'!$P:$P, 'Bucket Counts'!$B:$B, AM$2, 'Bucket Counts'!$A:$A, "="&amp;$A67,  'Bucket Counts'!$F:$F, "&lt;&gt;100 Morts",  'Bucket Counts'!$F:$F, "&lt;&gt;224"))</f>
        <v>0</v>
      </c>
      <c r="AN67" s="430">
        <f>(SUMIFS('Bucket Counts'!$P:$P, 'Bucket Counts'!$B:$B, AN$2, 'Bucket Counts'!$A:$A, "="&amp;$A67,  'Bucket Counts'!$F:$F, "100 Morts"))</f>
        <v>0</v>
      </c>
      <c r="AO67" s="430">
        <f>(SUMIFS('Bucket Counts'!$P:$P, 'Bucket Counts'!$B:$B, AO$2, 'Bucket Counts'!$A:$A, "="&amp;$A67,  'Bucket Counts'!$F:$F, "224"))</f>
        <v>0</v>
      </c>
      <c r="AP67" s="430">
        <f>AR66</f>
        <v>36.666666666666664</v>
      </c>
      <c r="AQ67" s="431">
        <f>SUM(AM67+AO67)</f>
        <v>0</v>
      </c>
      <c r="AR67" s="432">
        <f>AM67+AL67</f>
        <v>0</v>
      </c>
      <c r="AS67" s="429">
        <f>SUMIFS(Collection!$O:$O, Collection!$K:$K, AS$2, Collection!$A:$A, "="&amp;$A67)</f>
        <v>0</v>
      </c>
      <c r="AT67" s="430">
        <f>(SUMIFS('Bucket Counts'!$P:$P, 'Bucket Counts'!$B:$B, AT$2, 'Bucket Counts'!$A:$A, "="&amp;$A67,  'Bucket Counts'!$F:$F, "&lt;&gt;100 Morts",  'Bucket Counts'!$F:$F, "&lt;&gt;224"))</f>
        <v>0</v>
      </c>
      <c r="AU67" s="430">
        <f>(SUMIFS('Bucket Counts'!$P:$P, 'Bucket Counts'!$B:$B, AU$2, 'Bucket Counts'!$A:$A, "="&amp;$A67,  'Bucket Counts'!$F:$F, "100 Morts"))</f>
        <v>0</v>
      </c>
      <c r="AV67" s="430">
        <f>(SUMIFS('Bucket Counts'!$P:$P, 'Bucket Counts'!$B:$B, AV$2, 'Bucket Counts'!$A:$A, "="&amp;$A67,  'Bucket Counts'!$F:$F, "224"))</f>
        <v>0</v>
      </c>
      <c r="AW67" s="430">
        <f>AY66</f>
        <v>57.777777777777771</v>
      </c>
      <c r="AX67" s="431">
        <f>SUM(AT67+AV67)</f>
        <v>0</v>
      </c>
      <c r="AY67" s="432">
        <f>AT67+AS67</f>
        <v>0</v>
      </c>
      <c r="AZ67" s="429">
        <f>SUMIFS(Collection!$O:$O, Collection!$K:$K, AZ$2, Collection!$A:$A, "="&amp;$A67)</f>
        <v>0</v>
      </c>
      <c r="BA67" s="430">
        <f>(SUMIFS('Bucket Counts'!$P:$P, 'Bucket Counts'!$B:$B, BA$2, 'Bucket Counts'!$A:$A, "="&amp;$A67,  'Bucket Counts'!$F:$F, "&lt;&gt;100 Morts",  'Bucket Counts'!$F:$F, "&lt;&gt;224"))</f>
        <v>0</v>
      </c>
      <c r="BB67" s="430">
        <f>(SUMIFS('Bucket Counts'!$P:$P, 'Bucket Counts'!$B:$B, BB$2, 'Bucket Counts'!$A:$A, "="&amp;$A67,  'Bucket Counts'!$F:$F, "100 Morts"))</f>
        <v>0</v>
      </c>
      <c r="BC67" s="430">
        <f>(SUMIFS('Bucket Counts'!$P:$P, 'Bucket Counts'!$B:$B, BC$2, 'Bucket Counts'!$A:$A, "="&amp;$A67,  'Bucket Counts'!$F:$F, "224"))</f>
        <v>0</v>
      </c>
      <c r="BD67" s="430">
        <f>BF66</f>
        <v>0</v>
      </c>
      <c r="BE67" s="431">
        <f>SUM(BA67+BC67)</f>
        <v>0</v>
      </c>
      <c r="BF67" s="432">
        <f>BA67+AZ67</f>
        <v>0</v>
      </c>
      <c r="BG67" s="429">
        <f>SUMIFS(Collection!$O:$O, Collection!$K:$K, BG$2, Collection!$A:$A, "="&amp;$A67)</f>
        <v>0</v>
      </c>
      <c r="BH67" s="430">
        <f>(SUMIFS('Bucket Counts'!$P:$P, 'Bucket Counts'!$B:$B, BH$2, 'Bucket Counts'!$A:$A, "="&amp;$A67,  'Bucket Counts'!$F:$F, "&lt;&gt;100 Morts",  'Bucket Counts'!$F:$F, "&lt;&gt;224"))</f>
        <v>311.11111111111109</v>
      </c>
      <c r="BI67" s="430">
        <f>(SUMIFS('Bucket Counts'!$P:$P, 'Bucket Counts'!$B:$B, BI$2, 'Bucket Counts'!$A:$A, "="&amp;$A67,  'Bucket Counts'!$F:$F, "100 Morts"))</f>
        <v>0</v>
      </c>
      <c r="BJ67" s="430">
        <f>(SUMIFS('Bucket Counts'!$P:$P, 'Bucket Counts'!$B:$B, BJ$2, 'Bucket Counts'!$A:$A, "="&amp;$A67,  'Bucket Counts'!$F:$F, "224"))</f>
        <v>20</v>
      </c>
      <c r="BK67" s="430">
        <f>BM66</f>
        <v>3190</v>
      </c>
      <c r="BL67" s="431">
        <f>SUM(BH67+BJ67)</f>
        <v>331.11111111111109</v>
      </c>
      <c r="BM67" s="432">
        <f>BH67+BG67</f>
        <v>311.11111111111109</v>
      </c>
      <c r="BN67" s="429">
        <f>SUMIFS(Collection!$O:$O, Collection!$K:$K, BN$2, Collection!$A:$A, "="&amp;$A67)</f>
        <v>0</v>
      </c>
      <c r="BO67" s="430">
        <f>(SUMIFS('Bucket Counts'!$P:$P, 'Bucket Counts'!$B:$B, BO$2, 'Bucket Counts'!$A:$A, "="&amp;$A67,  'Bucket Counts'!$F:$F, "&lt;&gt;100 Morts",  'Bucket Counts'!$F:$F, "&lt;&gt;224"))</f>
        <v>1125</v>
      </c>
      <c r="BP67" s="430">
        <f>(SUMIFS('Bucket Counts'!$P:$P, 'Bucket Counts'!$B:$B, BP$2, 'Bucket Counts'!$A:$A, "="&amp;$A67,  'Bucket Counts'!$F:$F, "100 Morts"))</f>
        <v>0</v>
      </c>
      <c r="BQ67" s="430">
        <f>(SUMIFS('Bucket Counts'!$P:$P, 'Bucket Counts'!$B:$B, BQ$2, 'Bucket Counts'!$A:$A, "="&amp;$A67,  'Bucket Counts'!$F:$F, "224"))</f>
        <v>550</v>
      </c>
      <c r="BR67" s="430">
        <f>BT66</f>
        <v>4550.5555555555547</v>
      </c>
      <c r="BS67" s="431">
        <f>SUM(BO67+BQ67)</f>
        <v>1675</v>
      </c>
      <c r="BT67" s="432">
        <f>BO67+BN67</f>
        <v>1125</v>
      </c>
      <c r="BU67" s="429">
        <f>SUMIFS(Collection!$O:$O, Collection!$K:$K, BU$2, Collection!$A:$A, "="&amp;$A67)</f>
        <v>0</v>
      </c>
      <c r="BV67" s="430">
        <f>(SUMIFS('Bucket Counts'!$P:$P, 'Bucket Counts'!$B:$B, BV$2, 'Bucket Counts'!$A:$A, "="&amp;$A67,  'Bucket Counts'!$F:$F, "&lt;&gt;100 Morts",  'Bucket Counts'!$F:$F, "&lt;&gt;224"))</f>
        <v>0</v>
      </c>
      <c r="BW67" s="430">
        <f>(SUMIFS('Bucket Counts'!$P:$P, 'Bucket Counts'!$B:$B, BW$2, 'Bucket Counts'!$A:$A, "="&amp;$A67,  'Bucket Counts'!$F:$F, "100 Morts"))</f>
        <v>0</v>
      </c>
      <c r="BX67" s="430">
        <f>(SUMIFS('Bucket Counts'!$P:$P, 'Bucket Counts'!$B:$B, BX$2, 'Bucket Counts'!$A:$A, "="&amp;$A67,  'Bucket Counts'!$F:$F, "224"))</f>
        <v>0</v>
      </c>
      <c r="BY67" s="430">
        <f>CA66</f>
        <v>250</v>
      </c>
      <c r="BZ67" s="431">
        <f>SUM(BV67+BX67)</f>
        <v>0</v>
      </c>
      <c r="CA67" s="432">
        <f>BV67+BU67</f>
        <v>0</v>
      </c>
      <c r="CB67" s="429">
        <f>SUMIFS(Collection!$O:$O, Collection!$K:$K, CB$2, Collection!$A:$A, "="&amp;$A67)</f>
        <v>0</v>
      </c>
      <c r="CC67" s="430">
        <f>(SUMIFS('Bucket Counts'!$P:$P, 'Bucket Counts'!$B:$B, CC$2, 'Bucket Counts'!$A:$A, "="&amp;$A67,  'Bucket Counts'!$F:$F, "&lt;&gt;100 Morts",  'Bucket Counts'!$F:$F, "&lt;&gt;224"))</f>
        <v>133.33333333333331</v>
      </c>
      <c r="CD67" s="430">
        <f>(SUMIFS('Bucket Counts'!$P:$P, 'Bucket Counts'!$B:$B, CD$2, 'Bucket Counts'!$A:$A, "="&amp;$A67,  'Bucket Counts'!$F:$F, "100 Morts"))</f>
        <v>0</v>
      </c>
      <c r="CE67" s="430">
        <f>(SUMIFS('Bucket Counts'!$P:$P, 'Bucket Counts'!$B:$B, CE$2, 'Bucket Counts'!$A:$A, "="&amp;$A67,  'Bucket Counts'!$F:$F, "224"))</f>
        <v>66.666666666666657</v>
      </c>
      <c r="CF67" s="430">
        <f>CH66</f>
        <v>955.55555555555554</v>
      </c>
      <c r="CG67" s="431">
        <f>SUM(CC67+CE67)</f>
        <v>199.99999999999997</v>
      </c>
      <c r="CH67" s="432">
        <f>CC67+CB67</f>
        <v>133.33333333333331</v>
      </c>
      <c r="CI67" s="429">
        <f>SUMIFS(Collection!$O:$O, Collection!$K:$K, CI$2, Collection!$A:$A, "="&amp;$A67)</f>
        <v>0</v>
      </c>
      <c r="CJ67" s="430">
        <f>(SUMIFS('Bucket Counts'!$P:$P, 'Bucket Counts'!$B:$B, CJ$2, 'Bucket Counts'!$A:$A, "="&amp;$A67,  'Bucket Counts'!$F:$F, "&lt;&gt;100 Morts",  'Bucket Counts'!$F:$F, "&lt;&gt;224"))</f>
        <v>0</v>
      </c>
      <c r="CK67" s="430">
        <f>(SUMIFS('Bucket Counts'!$P:$P, 'Bucket Counts'!$B:$B, CK$2, 'Bucket Counts'!$A:$A, "="&amp;$A67,  'Bucket Counts'!$F:$F, "100 Morts"))</f>
        <v>0</v>
      </c>
      <c r="CL67" s="430">
        <f>(SUMIFS('Bucket Counts'!$P:$P, 'Bucket Counts'!$B:$B, CL$2, 'Bucket Counts'!$A:$A, "="&amp;$A67,  'Bucket Counts'!$F:$F, "224"))</f>
        <v>0</v>
      </c>
      <c r="CM67" s="430">
        <f>CO66</f>
        <v>27.777777777777775</v>
      </c>
      <c r="CN67" s="431">
        <f>SUM(CJ67+CL67)</f>
        <v>0</v>
      </c>
      <c r="CO67" s="432">
        <f>CJ67+CI67</f>
        <v>0</v>
      </c>
      <c r="CP67" s="429">
        <f>SUMIFS(Collection!$O:$O, Collection!$K:$K, CP$2, Collection!$A:$A, "="&amp;$A67)</f>
        <v>0</v>
      </c>
      <c r="CQ67" s="430">
        <f>(SUMIFS('Bucket Counts'!$P:$P, 'Bucket Counts'!$B:$B, CQ$2, 'Bucket Counts'!$A:$A, "="&amp;$A67,  'Bucket Counts'!$F:$F, "&lt;&gt;100 Morts",  'Bucket Counts'!$F:$F, "&lt;&gt;224"))</f>
        <v>0</v>
      </c>
      <c r="CR67" s="430">
        <f>(SUMIFS('Bucket Counts'!$P:$P, 'Bucket Counts'!$B:$B, CR$2, 'Bucket Counts'!$A:$A, "="&amp;$A67,  'Bucket Counts'!$F:$F, "100 Morts"))</f>
        <v>0</v>
      </c>
      <c r="CS67" s="430">
        <f>(SUMIFS('Bucket Counts'!$P:$P, 'Bucket Counts'!$B:$B, CS$2, 'Bucket Counts'!$A:$A, "="&amp;$A67,  'Bucket Counts'!$F:$F, "224"))</f>
        <v>27.777777777777775</v>
      </c>
      <c r="CT67" s="430">
        <f>CV66</f>
        <v>136.66666666666666</v>
      </c>
      <c r="CU67" s="431">
        <f>SUM(CQ67+CS67)</f>
        <v>27.777777777777775</v>
      </c>
      <c r="CV67" s="432">
        <f>CQ67+CP67</f>
        <v>0</v>
      </c>
      <c r="CW67" s="429">
        <f>SUMIFS(Collection!$O:$O, Collection!$K:$K, CW$2, Collection!$A:$A, "="&amp;$A67)</f>
        <v>0</v>
      </c>
      <c r="CX67" s="430">
        <f>(SUMIFS('Bucket Counts'!$P:$P, 'Bucket Counts'!$B:$B, CX$2, 'Bucket Counts'!$A:$A, "="&amp;$A67,  'Bucket Counts'!$F:$F, "&lt;&gt;100 Morts",  'Bucket Counts'!$F:$F, "&lt;&gt;224"))</f>
        <v>26.666666666666664</v>
      </c>
      <c r="CY67" s="430">
        <f>(SUMIFS('Bucket Counts'!$P:$P, 'Bucket Counts'!$B:$B, CY$2, 'Bucket Counts'!$A:$A, "="&amp;$A67,  'Bucket Counts'!$F:$F, "100 Morts"))</f>
        <v>0</v>
      </c>
      <c r="CZ67" s="430">
        <f>(SUMIFS('Bucket Counts'!$P:$P, 'Bucket Counts'!$B:$B, CZ$2, 'Bucket Counts'!$A:$A, "="&amp;$A67,  'Bucket Counts'!$F:$F, "224"))</f>
        <v>66.666666666666657</v>
      </c>
      <c r="DA67" s="430">
        <f>DC66</f>
        <v>364.33333333333337</v>
      </c>
      <c r="DB67" s="431">
        <f>SUM(CX67+CZ67)</f>
        <v>93.333333333333314</v>
      </c>
      <c r="DC67" s="432">
        <f>CX67+CW67</f>
        <v>26.666666666666664</v>
      </c>
      <c r="DD67" s="429">
        <f>SUMIFS(Collection!$O:$O, Collection!$K:$K, DD$2, Collection!$A:$A, "="&amp;$A67)</f>
        <v>0</v>
      </c>
      <c r="DE67" s="430">
        <f>(SUMIFS('Bucket Counts'!$P:$P, 'Bucket Counts'!$B:$B, DE$2, 'Bucket Counts'!$A:$A, "="&amp;$A67,  'Bucket Counts'!$F:$F, "&lt;&gt;100 Morts",  'Bucket Counts'!$F:$F, "&lt;&gt;224"))</f>
        <v>0</v>
      </c>
      <c r="DF67" s="430">
        <f>(SUMIFS('Bucket Counts'!$P:$P, 'Bucket Counts'!$B:$B, DF$2, 'Bucket Counts'!$A:$A, "="&amp;$A67,  'Bucket Counts'!$F:$F, "100 Morts"))</f>
        <v>0</v>
      </c>
      <c r="DG67" s="430">
        <f>(SUMIFS('Bucket Counts'!$P:$P, 'Bucket Counts'!$B:$B, DG$2, 'Bucket Counts'!$A:$A, "="&amp;$A67,  'Bucket Counts'!$F:$F, "224"))</f>
        <v>0</v>
      </c>
      <c r="DH67" s="430">
        <f>DJ66</f>
        <v>225</v>
      </c>
      <c r="DI67" s="431">
        <f>SUM(DE67+DG67)</f>
        <v>0</v>
      </c>
      <c r="DJ67" s="432">
        <f>DE67+DD67</f>
        <v>0</v>
      </c>
      <c r="DK67" s="429">
        <f>SUMIFS(Collection!$O:$O, Collection!$K:$K, DK$2, Collection!$A:$A, "="&amp;$A67)</f>
        <v>0</v>
      </c>
      <c r="DL67" s="430">
        <f>(SUMIFS('Bucket Counts'!$P:$P, 'Bucket Counts'!$B:$B, DL$2, 'Bucket Counts'!$A:$A, "="&amp;$A67,  'Bucket Counts'!$F:$F, "&lt;&gt;100 Morts",  'Bucket Counts'!$F:$F, "&lt;&gt;224"))</f>
        <v>0</v>
      </c>
      <c r="DM67" s="430">
        <f>(SUMIFS('Bucket Counts'!$P:$P, 'Bucket Counts'!$B:$B, DM$2, 'Bucket Counts'!$A:$A, "="&amp;$A67,  'Bucket Counts'!$F:$F, "100 Morts"))</f>
        <v>0</v>
      </c>
      <c r="DN67" s="430">
        <f>(SUMIFS('Bucket Counts'!$P:$P, 'Bucket Counts'!$B:$B, DN$2, 'Bucket Counts'!$A:$A, "="&amp;$A67,  'Bucket Counts'!$F:$F, "224"))</f>
        <v>0</v>
      </c>
      <c r="DO67" s="430">
        <f>DQ66</f>
        <v>0</v>
      </c>
      <c r="DP67" s="431">
        <f>SUM(DL67+DN67)</f>
        <v>0</v>
      </c>
      <c r="DQ67" s="432">
        <f>DL67+DK67</f>
        <v>0</v>
      </c>
      <c r="DR67" s="429">
        <f>SUMIFS(Collection!$O:$O, Collection!$K:$K, DR$2, Collection!$A:$A, "="&amp;$A67)</f>
        <v>0</v>
      </c>
      <c r="DS67" s="430">
        <f>(SUMIFS('Bucket Counts'!$P:$P, 'Bucket Counts'!$B:$B, DS$2, 'Bucket Counts'!$A:$A, "="&amp;$A67,  'Bucket Counts'!$F:$F, "&lt;&gt;100 Morts",  'Bucket Counts'!$F:$F, "&lt;&gt;224"))</f>
        <v>0</v>
      </c>
      <c r="DT67" s="430">
        <f>(SUMIFS('Bucket Counts'!$P:$P, 'Bucket Counts'!$B:$B, DT$2, 'Bucket Counts'!$A:$A, "="&amp;$A67,  'Bucket Counts'!$F:$F, "100 Morts"))</f>
        <v>0</v>
      </c>
      <c r="DU67" s="430">
        <f>(SUMIFS('Bucket Counts'!$P:$P, 'Bucket Counts'!$B:$B, DU$2, 'Bucket Counts'!$A:$A, "="&amp;$A67,  'Bucket Counts'!$F:$F, "224"))</f>
        <v>0</v>
      </c>
      <c r="DV67" s="430">
        <f>DX66</f>
        <v>0</v>
      </c>
      <c r="DW67" s="431">
        <f>SUM(DS67+DU67)</f>
        <v>0</v>
      </c>
      <c r="DX67" s="432">
        <f>DS67+DR67</f>
        <v>0</v>
      </c>
      <c r="DY67" s="429">
        <f>SUMIFS(Collection!$O:$O, Collection!$K:$K, DY$2, Collection!$A:$A, "="&amp;$A67)</f>
        <v>0</v>
      </c>
      <c r="DZ67" s="430">
        <f>(SUMIFS('Bucket Counts'!$P:$P, 'Bucket Counts'!$B:$B, DZ$2, 'Bucket Counts'!$A:$A, "="&amp;$A67,  'Bucket Counts'!$F:$F, "&lt;&gt;100 Morts",  'Bucket Counts'!$F:$F, "&lt;&gt;224"))</f>
        <v>0</v>
      </c>
      <c r="EA67" s="430">
        <f>(SUMIFS('Bucket Counts'!$P:$P, 'Bucket Counts'!$B:$B, EA$2, 'Bucket Counts'!$A:$A, "="&amp;$A67,  'Bucket Counts'!$F:$F, "100 Morts"))</f>
        <v>0</v>
      </c>
      <c r="EB67" s="430">
        <f>(SUMIFS('Bucket Counts'!$P:$P, 'Bucket Counts'!$B:$B, EB$2, 'Bucket Counts'!$A:$A, "="&amp;$A67,  'Bucket Counts'!$F:$F, "224"))</f>
        <v>0</v>
      </c>
      <c r="EC67" s="430">
        <f>EE66</f>
        <v>0</v>
      </c>
      <c r="ED67" s="431">
        <f>SUM(DZ67+EB67)</f>
        <v>0</v>
      </c>
      <c r="EE67" s="432">
        <f>DZ67+DY67</f>
        <v>0</v>
      </c>
      <c r="EF67" s="429">
        <f>SUMIFS(Collection!$O:$O, Collection!$K:$K, EF$2, Collection!$A:$A, "="&amp;$A67)</f>
        <v>0</v>
      </c>
      <c r="EG67" s="430">
        <f>(SUMIFS('Bucket Counts'!$P:$P, 'Bucket Counts'!$B:$B, EG$2, 'Bucket Counts'!$A:$A, "="&amp;$A67,  'Bucket Counts'!$F:$F, "&lt;&gt;100 Morts",  'Bucket Counts'!$F:$F, "&lt;&gt;224"))</f>
        <v>0</v>
      </c>
      <c r="EH67" s="430">
        <f>(SUMIFS('Bucket Counts'!$P:$P, 'Bucket Counts'!$B:$B, EH$2, 'Bucket Counts'!$A:$A, "="&amp;$A67,  'Bucket Counts'!$F:$F, "100 Morts"))</f>
        <v>0</v>
      </c>
      <c r="EI67" s="430">
        <f>(SUMIFS('Bucket Counts'!$P:$P, 'Bucket Counts'!$B:$B, EI$2, 'Bucket Counts'!$A:$A, "="&amp;$A67,  'Bucket Counts'!$F:$F, "224"))</f>
        <v>0</v>
      </c>
      <c r="EJ67" s="430">
        <f>EL66</f>
        <v>0</v>
      </c>
      <c r="EK67" s="431">
        <f>SUM(EG67+EI67)</f>
        <v>0</v>
      </c>
      <c r="EL67" s="432">
        <f>EG67+EF67</f>
        <v>0</v>
      </c>
    </row>
    <row r="68" spans="1:142" x14ac:dyDescent="0.2">
      <c r="A68" s="16">
        <f t="shared" si="0"/>
        <v>42937</v>
      </c>
      <c r="B68" s="16" t="s">
        <v>487</v>
      </c>
      <c r="C68" s="369">
        <f>SUMIFS(Collection!$O:$O, Collection!$K:$K, C$2, Collection!$A:$A, "="&amp;$A68)</f>
        <v>0</v>
      </c>
      <c r="D68" s="116">
        <f>(SUMIFS('Bucket Counts'!$P:$P, 'Bucket Counts'!$B:$B, D$2, 'Bucket Counts'!$A:$A, "="&amp;$A68,  'Bucket Counts'!$F:$F, "&lt;&gt;100 Morts",  'Bucket Counts'!$F:$F, "&lt;&gt;224"))</f>
        <v>0</v>
      </c>
      <c r="E68" s="116">
        <f>(SUMIFS('Bucket Counts'!$P:$P, 'Bucket Counts'!$B:$B, E$2, 'Bucket Counts'!$A:$A, "="&amp;$A68,  'Bucket Counts'!$F:$F, "100 Morts"))</f>
        <v>0</v>
      </c>
      <c r="F68" s="116">
        <f>(SUMIFS('Bucket Counts'!$P:$P, 'Bucket Counts'!$B:$B, F$2, 'Bucket Counts'!$A:$A, "="&amp;$A68,  'Bucket Counts'!$F:$F, "224"))</f>
        <v>0</v>
      </c>
      <c r="G68" s="116"/>
      <c r="H68" s="426">
        <f>(F68+D68)/I67</f>
        <v>0</v>
      </c>
      <c r="I68" s="370">
        <f>D67+SUM(C67:C68)</f>
        <v>25</v>
      </c>
      <c r="J68" s="369">
        <f>SUMIFS(Collection!$O:$O, Collection!$K:$K, J$2, Collection!$A:$A, "="&amp;$A68)</f>
        <v>0</v>
      </c>
      <c r="K68" s="116">
        <f>(SUMIFS('Bucket Counts'!$P:$P, 'Bucket Counts'!$B:$B, K$2, 'Bucket Counts'!$A:$A, "="&amp;$A68,  'Bucket Counts'!$F:$F, "&lt;&gt;100 Morts",  'Bucket Counts'!$F:$F, "&lt;&gt;224"))</f>
        <v>0</v>
      </c>
      <c r="L68" s="116">
        <f>(SUMIFS('Bucket Counts'!$P:$P, 'Bucket Counts'!$B:$B, L$2, 'Bucket Counts'!$A:$A, "="&amp;$A68,  'Bucket Counts'!$F:$F, "100 Morts"))</f>
        <v>0</v>
      </c>
      <c r="M68" s="116">
        <f>(SUMIFS('Bucket Counts'!$P:$P, 'Bucket Counts'!$B:$B, M$2, 'Bucket Counts'!$A:$A, "="&amp;$A68,  'Bucket Counts'!$F:$F, "224"))</f>
        <v>0</v>
      </c>
      <c r="N68" s="116"/>
      <c r="O68" s="426">
        <f>(M68+K68)/P67</f>
        <v>0</v>
      </c>
      <c r="P68" s="370">
        <f>K67+SUM(J67:J68)</f>
        <v>275</v>
      </c>
      <c r="Q68" s="369">
        <f>SUMIFS(Collection!$O:$O, Collection!$K:$K, Q$2, Collection!$A:$A, "="&amp;$A68)</f>
        <v>0</v>
      </c>
      <c r="R68" s="116">
        <f>(SUMIFS('Bucket Counts'!$P:$P, 'Bucket Counts'!$B:$B, R$2, 'Bucket Counts'!$A:$A, "="&amp;$A68,  'Bucket Counts'!$F:$F, "&lt;&gt;100 Morts",  'Bucket Counts'!$F:$F, "&lt;&gt;224"))</f>
        <v>0</v>
      </c>
      <c r="S68" s="116">
        <f>(SUMIFS('Bucket Counts'!$P:$P, 'Bucket Counts'!$B:$B, S$2, 'Bucket Counts'!$A:$A, "="&amp;$A68,  'Bucket Counts'!$F:$F, "100 Morts"))</f>
        <v>0</v>
      </c>
      <c r="T68" s="116">
        <f>(SUMIFS('Bucket Counts'!$P:$P, 'Bucket Counts'!$B:$B, T$2, 'Bucket Counts'!$A:$A, "="&amp;$A68,  'Bucket Counts'!$F:$F, "224"))</f>
        <v>0</v>
      </c>
      <c r="U68" s="116"/>
      <c r="V68" s="426" t="e">
        <f>(T68+R68)/W67</f>
        <v>#DIV/0!</v>
      </c>
      <c r="W68" s="370">
        <f>R67+SUM(Q67:Q68)</f>
        <v>0</v>
      </c>
      <c r="X68" s="369">
        <f>SUMIFS(Collection!$O:$O, Collection!$K:$K, X$2, Collection!$A:$A, "="&amp;$A68)</f>
        <v>0</v>
      </c>
      <c r="Y68" s="116">
        <f>(SUMIFS('Bucket Counts'!$P:$P, 'Bucket Counts'!$B:$B, Y$2, 'Bucket Counts'!$A:$A, "="&amp;$A68,  'Bucket Counts'!$F:$F, "&lt;&gt;100 Morts",  'Bucket Counts'!$F:$F, "&lt;&gt;224"))</f>
        <v>0</v>
      </c>
      <c r="Z68" s="116">
        <f>(SUMIFS('Bucket Counts'!$P:$P, 'Bucket Counts'!$B:$B, Z$2, 'Bucket Counts'!$A:$A, "="&amp;$A68,  'Bucket Counts'!$F:$F, "100 Morts"))</f>
        <v>0</v>
      </c>
      <c r="AA68" s="116">
        <f>(SUMIFS('Bucket Counts'!$P:$P, 'Bucket Counts'!$B:$B, AA$2, 'Bucket Counts'!$A:$A, "="&amp;$A68,  'Bucket Counts'!$F:$F, "224"))</f>
        <v>0</v>
      </c>
      <c r="AB68" s="116"/>
      <c r="AC68" s="426" t="e">
        <f>(AA68+Y68)/AD67</f>
        <v>#DIV/0!</v>
      </c>
      <c r="AD68" s="370">
        <f>Y67+SUM(X67:X68)</f>
        <v>0</v>
      </c>
      <c r="AE68" s="369">
        <f>SUMIFS(Collection!$O:$O, Collection!$K:$K, AE$2, Collection!$A:$A, "="&amp;$A68)</f>
        <v>0</v>
      </c>
      <c r="AF68" s="116">
        <f>(SUMIFS('Bucket Counts'!$P:$P, 'Bucket Counts'!$B:$B, AF$2, 'Bucket Counts'!$A:$A, "="&amp;$A68,  'Bucket Counts'!$F:$F, "&lt;&gt;100 Morts",  'Bucket Counts'!$F:$F, "&lt;&gt;224"))</f>
        <v>0</v>
      </c>
      <c r="AG68" s="116">
        <f>(SUMIFS('Bucket Counts'!$P:$P, 'Bucket Counts'!$B:$B, AG$2, 'Bucket Counts'!$A:$A, "="&amp;$A68,  'Bucket Counts'!$F:$F, "100 Morts"))</f>
        <v>0</v>
      </c>
      <c r="AH68" s="116">
        <f>(SUMIFS('Bucket Counts'!$P:$P, 'Bucket Counts'!$B:$B, AH$2, 'Bucket Counts'!$A:$A, "="&amp;$A68,  'Bucket Counts'!$F:$F, "224"))</f>
        <v>0</v>
      </c>
      <c r="AI68" s="116"/>
      <c r="AJ68" s="426">
        <f>(AH68+AF68)/AK67</f>
        <v>0</v>
      </c>
      <c r="AK68" s="370">
        <f>AF67+SUM(AE67:AE68)</f>
        <v>7626.6666666666661</v>
      </c>
      <c r="AL68" s="369">
        <f>SUMIFS(Collection!$O:$O, Collection!$K:$K, AL$2, Collection!$A:$A, "="&amp;$A68)</f>
        <v>0</v>
      </c>
      <c r="AM68" s="116">
        <f>(SUMIFS('Bucket Counts'!$P:$P, 'Bucket Counts'!$B:$B, AM$2, 'Bucket Counts'!$A:$A, "="&amp;$A68,  'Bucket Counts'!$F:$F, "&lt;&gt;100 Morts",  'Bucket Counts'!$F:$F, "&lt;&gt;224"))</f>
        <v>0</v>
      </c>
      <c r="AN68" s="116">
        <f>(SUMIFS('Bucket Counts'!$P:$P, 'Bucket Counts'!$B:$B, AN$2, 'Bucket Counts'!$A:$A, "="&amp;$A68,  'Bucket Counts'!$F:$F, "100 Morts"))</f>
        <v>0</v>
      </c>
      <c r="AO68" s="116">
        <f>(SUMIFS('Bucket Counts'!$P:$P, 'Bucket Counts'!$B:$B, AO$2, 'Bucket Counts'!$A:$A, "="&amp;$A68,  'Bucket Counts'!$F:$F, "224"))</f>
        <v>0</v>
      </c>
      <c r="AP68" s="116"/>
      <c r="AQ68" s="426" t="e">
        <f>(AO68+AM68)/AR67</f>
        <v>#DIV/0!</v>
      </c>
      <c r="AR68" s="370">
        <f>AM67+SUM(AL67:AL68)</f>
        <v>0</v>
      </c>
      <c r="AS68" s="369">
        <f>SUMIFS(Collection!$O:$O, Collection!$K:$K, AS$2, Collection!$A:$A, "="&amp;$A68)</f>
        <v>0</v>
      </c>
      <c r="AT68" s="116">
        <f>(SUMIFS('Bucket Counts'!$P:$P, 'Bucket Counts'!$B:$B, AT$2, 'Bucket Counts'!$A:$A, "="&amp;$A68,  'Bucket Counts'!$F:$F, "&lt;&gt;100 Morts",  'Bucket Counts'!$F:$F, "&lt;&gt;224"))</f>
        <v>0</v>
      </c>
      <c r="AU68" s="116">
        <f>(SUMIFS('Bucket Counts'!$P:$P, 'Bucket Counts'!$B:$B, AU$2, 'Bucket Counts'!$A:$A, "="&amp;$A68,  'Bucket Counts'!$F:$F, "100 Morts"))</f>
        <v>0</v>
      </c>
      <c r="AV68" s="116">
        <f>(SUMIFS('Bucket Counts'!$P:$P, 'Bucket Counts'!$B:$B, AV$2, 'Bucket Counts'!$A:$A, "="&amp;$A68,  'Bucket Counts'!$F:$F, "224"))</f>
        <v>0</v>
      </c>
      <c r="AW68" s="116"/>
      <c r="AX68" s="426" t="e">
        <f>(AV68+AT68)/AY67</f>
        <v>#DIV/0!</v>
      </c>
      <c r="AY68" s="370">
        <f>AT67+SUM(AS67:AS68)</f>
        <v>0</v>
      </c>
      <c r="AZ68" s="369">
        <f>SUMIFS(Collection!$O:$O, Collection!$K:$K, AZ$2, Collection!$A:$A, "="&amp;$A68)</f>
        <v>0</v>
      </c>
      <c r="BA68" s="116">
        <f>(SUMIFS('Bucket Counts'!$P:$P, 'Bucket Counts'!$B:$B, BA$2, 'Bucket Counts'!$A:$A, "="&amp;$A68,  'Bucket Counts'!$F:$F, "&lt;&gt;100 Morts",  'Bucket Counts'!$F:$F, "&lt;&gt;224"))</f>
        <v>0</v>
      </c>
      <c r="BB68" s="116">
        <f>(SUMIFS('Bucket Counts'!$P:$P, 'Bucket Counts'!$B:$B, BB$2, 'Bucket Counts'!$A:$A, "="&amp;$A68,  'Bucket Counts'!$F:$F, "100 Morts"))</f>
        <v>0</v>
      </c>
      <c r="BC68" s="116">
        <f>(SUMIFS('Bucket Counts'!$P:$P, 'Bucket Counts'!$B:$B, BC$2, 'Bucket Counts'!$A:$A, "="&amp;$A68,  'Bucket Counts'!$F:$F, "224"))</f>
        <v>0</v>
      </c>
      <c r="BD68" s="116"/>
      <c r="BE68" s="426" t="e">
        <f>(BC68+BA68)/BF67</f>
        <v>#DIV/0!</v>
      </c>
      <c r="BF68" s="370">
        <f>BA67+SUM(AZ67:AZ68)</f>
        <v>0</v>
      </c>
      <c r="BG68" s="369">
        <f>SUMIFS(Collection!$O:$O, Collection!$K:$K, BG$2, Collection!$A:$A, "="&amp;$A68)</f>
        <v>0</v>
      </c>
      <c r="BH68" s="116">
        <f>(SUMIFS('Bucket Counts'!$P:$P, 'Bucket Counts'!$B:$B, BH$2, 'Bucket Counts'!$A:$A, "="&amp;$A68,  'Bucket Counts'!$F:$F, "&lt;&gt;100 Morts",  'Bucket Counts'!$F:$F, "&lt;&gt;224"))</f>
        <v>0</v>
      </c>
      <c r="BI68" s="116">
        <f>(SUMIFS('Bucket Counts'!$P:$P, 'Bucket Counts'!$B:$B, BI$2, 'Bucket Counts'!$A:$A, "="&amp;$A68,  'Bucket Counts'!$F:$F, "100 Morts"))</f>
        <v>0</v>
      </c>
      <c r="BJ68" s="116">
        <f>(SUMIFS('Bucket Counts'!$P:$P, 'Bucket Counts'!$B:$B, BJ$2, 'Bucket Counts'!$A:$A, "="&amp;$A68,  'Bucket Counts'!$F:$F, "224"))</f>
        <v>0</v>
      </c>
      <c r="BK68" s="116"/>
      <c r="BL68" s="426">
        <f>(BJ68+BH68)/BM67</f>
        <v>0</v>
      </c>
      <c r="BM68" s="370">
        <f>BH67+SUM(BG67:BG68)</f>
        <v>311.11111111111109</v>
      </c>
      <c r="BN68" s="369">
        <f>SUMIFS(Collection!$O:$O, Collection!$K:$K, BN$2, Collection!$A:$A, "="&amp;$A68)</f>
        <v>0</v>
      </c>
      <c r="BO68" s="116">
        <f>(SUMIFS('Bucket Counts'!$P:$P, 'Bucket Counts'!$B:$B, BO$2, 'Bucket Counts'!$A:$A, "="&amp;$A68,  'Bucket Counts'!$F:$F, "&lt;&gt;100 Morts",  'Bucket Counts'!$F:$F, "&lt;&gt;224"))</f>
        <v>0</v>
      </c>
      <c r="BP68" s="116">
        <f>(SUMIFS('Bucket Counts'!$P:$P, 'Bucket Counts'!$B:$B, BP$2, 'Bucket Counts'!$A:$A, "="&amp;$A68,  'Bucket Counts'!$F:$F, "100 Morts"))</f>
        <v>0</v>
      </c>
      <c r="BQ68" s="116">
        <f>(SUMIFS('Bucket Counts'!$P:$P, 'Bucket Counts'!$B:$B, BQ$2, 'Bucket Counts'!$A:$A, "="&amp;$A68,  'Bucket Counts'!$F:$F, "224"))</f>
        <v>0</v>
      </c>
      <c r="BR68" s="116"/>
      <c r="BS68" s="426">
        <f>(BQ68+BO68)/BT67</f>
        <v>0</v>
      </c>
      <c r="BT68" s="370">
        <f>BO67+SUM(BN67:BN68)</f>
        <v>1125</v>
      </c>
      <c r="BU68" s="369">
        <f>SUMIFS(Collection!$O:$O, Collection!$K:$K, BU$2, Collection!$A:$A, "="&amp;$A68)</f>
        <v>0</v>
      </c>
      <c r="BV68" s="116">
        <f>(SUMIFS('Bucket Counts'!$P:$P, 'Bucket Counts'!$B:$B, BV$2, 'Bucket Counts'!$A:$A, "="&amp;$A68,  'Bucket Counts'!$F:$F, "&lt;&gt;100 Morts",  'Bucket Counts'!$F:$F, "&lt;&gt;224"))</f>
        <v>0</v>
      </c>
      <c r="BW68" s="116">
        <f>(SUMIFS('Bucket Counts'!$P:$P, 'Bucket Counts'!$B:$B, BW$2, 'Bucket Counts'!$A:$A, "="&amp;$A68,  'Bucket Counts'!$F:$F, "100 Morts"))</f>
        <v>0</v>
      </c>
      <c r="BX68" s="116">
        <f>(SUMIFS('Bucket Counts'!$P:$P, 'Bucket Counts'!$B:$B, BX$2, 'Bucket Counts'!$A:$A, "="&amp;$A68,  'Bucket Counts'!$F:$F, "224"))</f>
        <v>0</v>
      </c>
      <c r="BY68" s="116"/>
      <c r="BZ68" s="426" t="e">
        <f>(BX68+BV68)/CA67</f>
        <v>#DIV/0!</v>
      </c>
      <c r="CA68" s="370">
        <f>BV67+SUM(BU67:BU68)</f>
        <v>0</v>
      </c>
      <c r="CB68" s="369">
        <f>SUMIFS(Collection!$O:$O, Collection!$K:$K, CB$2, Collection!$A:$A, "="&amp;$A68)</f>
        <v>0</v>
      </c>
      <c r="CC68" s="116">
        <f>(SUMIFS('Bucket Counts'!$P:$P, 'Bucket Counts'!$B:$B, CC$2, 'Bucket Counts'!$A:$A, "="&amp;$A68,  'Bucket Counts'!$F:$F, "&lt;&gt;100 Morts",  'Bucket Counts'!$F:$F, "&lt;&gt;224"))</f>
        <v>0</v>
      </c>
      <c r="CD68" s="116">
        <f>(SUMIFS('Bucket Counts'!$P:$P, 'Bucket Counts'!$B:$B, CD$2, 'Bucket Counts'!$A:$A, "="&amp;$A68,  'Bucket Counts'!$F:$F, "100 Morts"))</f>
        <v>0</v>
      </c>
      <c r="CE68" s="116">
        <f>(SUMIFS('Bucket Counts'!$P:$P, 'Bucket Counts'!$B:$B, CE$2, 'Bucket Counts'!$A:$A, "="&amp;$A68,  'Bucket Counts'!$F:$F, "224"))</f>
        <v>0</v>
      </c>
      <c r="CF68" s="116"/>
      <c r="CG68" s="426">
        <f>(CE68+CC68)/CH67</f>
        <v>0</v>
      </c>
      <c r="CH68" s="370">
        <f>CC67+SUM(CB67:CB68)</f>
        <v>133.33333333333331</v>
      </c>
      <c r="CI68" s="369">
        <f>SUMIFS(Collection!$O:$O, Collection!$K:$K, CI$2, Collection!$A:$A, "="&amp;$A68)</f>
        <v>0</v>
      </c>
      <c r="CJ68" s="116">
        <f>(SUMIFS('Bucket Counts'!$P:$P, 'Bucket Counts'!$B:$B, CJ$2, 'Bucket Counts'!$A:$A, "="&amp;$A68,  'Bucket Counts'!$F:$F, "&lt;&gt;100 Morts",  'Bucket Counts'!$F:$F, "&lt;&gt;224"))</f>
        <v>0</v>
      </c>
      <c r="CK68" s="116">
        <f>(SUMIFS('Bucket Counts'!$P:$P, 'Bucket Counts'!$B:$B, CK$2, 'Bucket Counts'!$A:$A, "="&amp;$A68,  'Bucket Counts'!$F:$F, "100 Morts"))</f>
        <v>0</v>
      </c>
      <c r="CL68" s="116">
        <f>(SUMIFS('Bucket Counts'!$P:$P, 'Bucket Counts'!$B:$B, CL$2, 'Bucket Counts'!$A:$A, "="&amp;$A68,  'Bucket Counts'!$F:$F, "224"))</f>
        <v>0</v>
      </c>
      <c r="CM68" s="116"/>
      <c r="CN68" s="426" t="e">
        <f>(CL68+CJ68)/CO67</f>
        <v>#DIV/0!</v>
      </c>
      <c r="CO68" s="370">
        <f>CJ67+SUM(CI67:CI68)</f>
        <v>0</v>
      </c>
      <c r="CP68" s="369">
        <f>SUMIFS(Collection!$O:$O, Collection!$K:$K, CP$2, Collection!$A:$A, "="&amp;$A68)</f>
        <v>0</v>
      </c>
      <c r="CQ68" s="116">
        <f>(SUMIFS('Bucket Counts'!$P:$P, 'Bucket Counts'!$B:$B, CQ$2, 'Bucket Counts'!$A:$A, "="&amp;$A68,  'Bucket Counts'!$F:$F, "&lt;&gt;100 Morts",  'Bucket Counts'!$F:$F, "&lt;&gt;224"))</f>
        <v>0</v>
      </c>
      <c r="CR68" s="116">
        <f>(SUMIFS('Bucket Counts'!$P:$P, 'Bucket Counts'!$B:$B, CR$2, 'Bucket Counts'!$A:$A, "="&amp;$A68,  'Bucket Counts'!$F:$F, "100 Morts"))</f>
        <v>0</v>
      </c>
      <c r="CS68" s="116">
        <f>(SUMIFS('Bucket Counts'!$P:$P, 'Bucket Counts'!$B:$B, CS$2, 'Bucket Counts'!$A:$A, "="&amp;$A68,  'Bucket Counts'!$F:$F, "224"))</f>
        <v>0</v>
      </c>
      <c r="CT68" s="116"/>
      <c r="CU68" s="426" t="e">
        <f>(CS68+CQ68)/CV67</f>
        <v>#DIV/0!</v>
      </c>
      <c r="CV68" s="370">
        <f>CQ67+SUM(CP67:CP68)</f>
        <v>0</v>
      </c>
      <c r="CW68" s="369">
        <f>SUMIFS(Collection!$O:$O, Collection!$K:$K, CW$2, Collection!$A:$A, "="&amp;$A68)</f>
        <v>0</v>
      </c>
      <c r="CX68" s="116">
        <f>(SUMIFS('Bucket Counts'!$P:$P, 'Bucket Counts'!$B:$B, CX$2, 'Bucket Counts'!$A:$A, "="&amp;$A68,  'Bucket Counts'!$F:$F, "&lt;&gt;100 Morts",  'Bucket Counts'!$F:$F, "&lt;&gt;224"))</f>
        <v>0</v>
      </c>
      <c r="CY68" s="116">
        <f>(SUMIFS('Bucket Counts'!$P:$P, 'Bucket Counts'!$B:$B, CY$2, 'Bucket Counts'!$A:$A, "="&amp;$A68,  'Bucket Counts'!$F:$F, "100 Morts"))</f>
        <v>0</v>
      </c>
      <c r="CZ68" s="116">
        <f>(SUMIFS('Bucket Counts'!$P:$P, 'Bucket Counts'!$B:$B, CZ$2, 'Bucket Counts'!$A:$A, "="&amp;$A68,  'Bucket Counts'!$F:$F, "224"))</f>
        <v>0</v>
      </c>
      <c r="DA68" s="116"/>
      <c r="DB68" s="426">
        <f>(CZ68+CX68)/DC67</f>
        <v>0</v>
      </c>
      <c r="DC68" s="370">
        <f>CX67+SUM(CW67:CW68)</f>
        <v>26.666666666666664</v>
      </c>
      <c r="DD68" s="369">
        <f>SUMIFS(Collection!$O:$O, Collection!$K:$K, DD$2, Collection!$A:$A, "="&amp;$A68)</f>
        <v>0</v>
      </c>
      <c r="DE68" s="116">
        <f>(SUMIFS('Bucket Counts'!$P:$P, 'Bucket Counts'!$B:$B, DE$2, 'Bucket Counts'!$A:$A, "="&amp;$A68,  'Bucket Counts'!$F:$F, "&lt;&gt;100 Morts",  'Bucket Counts'!$F:$F, "&lt;&gt;224"))</f>
        <v>0</v>
      </c>
      <c r="DF68" s="116">
        <f>(SUMIFS('Bucket Counts'!$P:$P, 'Bucket Counts'!$B:$B, DF$2, 'Bucket Counts'!$A:$A, "="&amp;$A68,  'Bucket Counts'!$F:$F, "100 Morts"))</f>
        <v>0</v>
      </c>
      <c r="DG68" s="116">
        <f>(SUMIFS('Bucket Counts'!$P:$P, 'Bucket Counts'!$B:$B, DG$2, 'Bucket Counts'!$A:$A, "="&amp;$A68,  'Bucket Counts'!$F:$F, "224"))</f>
        <v>0</v>
      </c>
      <c r="DH68" s="116"/>
      <c r="DI68" s="426" t="e">
        <f>(DG68+DE68)/DJ67</f>
        <v>#DIV/0!</v>
      </c>
      <c r="DJ68" s="370">
        <f>DE67+SUM(DD67:DD68)</f>
        <v>0</v>
      </c>
      <c r="DK68" s="369">
        <f>SUMIFS(Collection!$O:$O, Collection!$K:$K, DK$2, Collection!$A:$A, "="&amp;$A68)</f>
        <v>0</v>
      </c>
      <c r="DL68" s="116">
        <f>(SUMIFS('Bucket Counts'!$P:$P, 'Bucket Counts'!$B:$B, DL$2, 'Bucket Counts'!$A:$A, "="&amp;$A68,  'Bucket Counts'!$F:$F, "&lt;&gt;100 Morts",  'Bucket Counts'!$F:$F, "&lt;&gt;224"))</f>
        <v>0</v>
      </c>
      <c r="DM68" s="116">
        <f>(SUMIFS('Bucket Counts'!$P:$P, 'Bucket Counts'!$B:$B, DM$2, 'Bucket Counts'!$A:$A, "="&amp;$A68,  'Bucket Counts'!$F:$F, "100 Morts"))</f>
        <v>0</v>
      </c>
      <c r="DN68" s="116">
        <f>(SUMIFS('Bucket Counts'!$P:$P, 'Bucket Counts'!$B:$B, DN$2, 'Bucket Counts'!$A:$A, "="&amp;$A68,  'Bucket Counts'!$F:$F, "224"))</f>
        <v>0</v>
      </c>
      <c r="DO68" s="116"/>
      <c r="DP68" s="426" t="e">
        <f>(DN68+DL68)/DQ67</f>
        <v>#DIV/0!</v>
      </c>
      <c r="DQ68" s="370">
        <f>DL67+SUM(DK67:DK68)</f>
        <v>0</v>
      </c>
      <c r="DR68" s="369">
        <f>SUMIFS(Collection!$O:$O, Collection!$K:$K, DR$2, Collection!$A:$A, "="&amp;$A68)</f>
        <v>0</v>
      </c>
      <c r="DS68" s="116">
        <f>(SUMIFS('Bucket Counts'!$P:$P, 'Bucket Counts'!$B:$B, DS$2, 'Bucket Counts'!$A:$A, "="&amp;$A68,  'Bucket Counts'!$F:$F, "&lt;&gt;100 Morts",  'Bucket Counts'!$F:$F, "&lt;&gt;224"))</f>
        <v>0</v>
      </c>
      <c r="DT68" s="116">
        <f>(SUMIFS('Bucket Counts'!$P:$P, 'Bucket Counts'!$B:$B, DT$2, 'Bucket Counts'!$A:$A, "="&amp;$A68,  'Bucket Counts'!$F:$F, "100 Morts"))</f>
        <v>0</v>
      </c>
      <c r="DU68" s="116">
        <f>(SUMIFS('Bucket Counts'!$P:$P, 'Bucket Counts'!$B:$B, DU$2, 'Bucket Counts'!$A:$A, "="&amp;$A68,  'Bucket Counts'!$F:$F, "224"))</f>
        <v>0</v>
      </c>
      <c r="DV68" s="116"/>
      <c r="DW68" s="426" t="e">
        <f>(DU68+DS68)/DX67</f>
        <v>#DIV/0!</v>
      </c>
      <c r="DX68" s="370">
        <f>DS67+SUM(DR67:DR68)</f>
        <v>0</v>
      </c>
      <c r="DY68" s="369">
        <f>SUMIFS(Collection!$O:$O, Collection!$K:$K, DY$2, Collection!$A:$A, "="&amp;$A68)</f>
        <v>0</v>
      </c>
      <c r="DZ68" s="116">
        <f>(SUMIFS('Bucket Counts'!$P:$P, 'Bucket Counts'!$B:$B, DZ$2, 'Bucket Counts'!$A:$A, "="&amp;$A68,  'Bucket Counts'!$F:$F, "&lt;&gt;100 Morts",  'Bucket Counts'!$F:$F, "&lt;&gt;224"))</f>
        <v>0</v>
      </c>
      <c r="EA68" s="116">
        <f>(SUMIFS('Bucket Counts'!$P:$P, 'Bucket Counts'!$B:$B, EA$2, 'Bucket Counts'!$A:$A, "="&amp;$A68,  'Bucket Counts'!$F:$F, "100 Morts"))</f>
        <v>0</v>
      </c>
      <c r="EB68" s="116">
        <f>(SUMIFS('Bucket Counts'!$P:$P, 'Bucket Counts'!$B:$B, EB$2, 'Bucket Counts'!$A:$A, "="&amp;$A68,  'Bucket Counts'!$F:$F, "224"))</f>
        <v>0</v>
      </c>
      <c r="EC68" s="116"/>
      <c r="ED68" s="426" t="e">
        <f>(EB68+DZ68)/EE67</f>
        <v>#DIV/0!</v>
      </c>
      <c r="EE68" s="370">
        <f>DZ67+SUM(DY67:DY68)</f>
        <v>0</v>
      </c>
      <c r="EF68" s="369">
        <f>SUMIFS(Collection!$O:$O, Collection!$K:$K, EF$2, Collection!$A:$A, "="&amp;$A68)</f>
        <v>0</v>
      </c>
      <c r="EG68" s="116">
        <f>(SUMIFS('Bucket Counts'!$P:$P, 'Bucket Counts'!$B:$B, EG$2, 'Bucket Counts'!$A:$A, "="&amp;$A68,  'Bucket Counts'!$F:$F, "&lt;&gt;100 Morts",  'Bucket Counts'!$F:$F, "&lt;&gt;224"))</f>
        <v>0</v>
      </c>
      <c r="EH68" s="116">
        <f>(SUMIFS('Bucket Counts'!$P:$P, 'Bucket Counts'!$B:$B, EH$2, 'Bucket Counts'!$A:$A, "="&amp;$A68,  'Bucket Counts'!$F:$F, "100 Morts"))</f>
        <v>0</v>
      </c>
      <c r="EI68" s="116">
        <f>(SUMIFS('Bucket Counts'!$P:$P, 'Bucket Counts'!$B:$B, EI$2, 'Bucket Counts'!$A:$A, "="&amp;$A68,  'Bucket Counts'!$F:$F, "224"))</f>
        <v>0</v>
      </c>
      <c r="EJ68" s="116"/>
      <c r="EK68" s="426" t="e">
        <f>(EI68+EG68)/EL67</f>
        <v>#DIV/0!</v>
      </c>
      <c r="EL68" s="370">
        <f>EG67+SUM(EF67:EF68)</f>
        <v>0</v>
      </c>
    </row>
    <row r="69" spans="1:142" x14ac:dyDescent="0.2">
      <c r="A69" s="16">
        <f t="shared" si="0"/>
        <v>42938</v>
      </c>
      <c r="B69" s="16" t="s">
        <v>487</v>
      </c>
      <c r="C69" s="369">
        <f>SUMIFS(Collection!$O:$O, Collection!$K:$K, C$2, Collection!$A:$A, "="&amp;$A69)</f>
        <v>0</v>
      </c>
      <c r="D69" s="116">
        <f>(SUMIFS('Bucket Counts'!$P:$P, 'Bucket Counts'!$B:$B, D$2, 'Bucket Counts'!$A:$A, "="&amp;$A69,  'Bucket Counts'!$F:$F, "&lt;&gt;100 Morts",  'Bucket Counts'!$F:$F, "&lt;&gt;224"))</f>
        <v>0</v>
      </c>
      <c r="E69" s="116">
        <f>(SUMIFS('Bucket Counts'!$P:$P, 'Bucket Counts'!$B:$B, E$2, 'Bucket Counts'!$A:$A, "="&amp;$A69,  'Bucket Counts'!$F:$F, "100 Morts"))</f>
        <v>0</v>
      </c>
      <c r="F69" s="116">
        <f>(SUMIFS('Bucket Counts'!$P:$P, 'Bucket Counts'!$B:$B, F$2, 'Bucket Counts'!$A:$A, "="&amp;$A69,  'Bucket Counts'!$F:$F, "224"))</f>
        <v>0</v>
      </c>
      <c r="G69" s="116"/>
      <c r="H69" s="426">
        <f>(F69+D69)/I68</f>
        <v>0</v>
      </c>
      <c r="I69" s="370">
        <f>D67+SUM(C67:C69)</f>
        <v>25</v>
      </c>
      <c r="J69" s="369">
        <f>SUMIFS(Collection!$O:$O, Collection!$K:$K, J$2, Collection!$A:$A, "="&amp;$A69)</f>
        <v>0</v>
      </c>
      <c r="K69" s="116">
        <f>(SUMIFS('Bucket Counts'!$P:$P, 'Bucket Counts'!$B:$B, K$2, 'Bucket Counts'!$A:$A, "="&amp;$A69,  'Bucket Counts'!$F:$F, "&lt;&gt;100 Morts",  'Bucket Counts'!$F:$F, "&lt;&gt;224"))</f>
        <v>0</v>
      </c>
      <c r="L69" s="116">
        <f>(SUMIFS('Bucket Counts'!$P:$P, 'Bucket Counts'!$B:$B, L$2, 'Bucket Counts'!$A:$A, "="&amp;$A69,  'Bucket Counts'!$F:$F, "100 Morts"))</f>
        <v>0</v>
      </c>
      <c r="M69" s="116">
        <f>(SUMIFS('Bucket Counts'!$P:$P, 'Bucket Counts'!$B:$B, M$2, 'Bucket Counts'!$A:$A, "="&amp;$A69,  'Bucket Counts'!$F:$F, "224"))</f>
        <v>0</v>
      </c>
      <c r="N69" s="116"/>
      <c r="O69" s="426">
        <f>(M69+K69)/P68</f>
        <v>0</v>
      </c>
      <c r="P69" s="370">
        <f>K67+SUM(J67:J69)</f>
        <v>275</v>
      </c>
      <c r="Q69" s="369">
        <f>SUMIFS(Collection!$O:$O, Collection!$K:$K, Q$2, Collection!$A:$A, "="&amp;$A69)</f>
        <v>0</v>
      </c>
      <c r="R69" s="116">
        <f>(SUMIFS('Bucket Counts'!$P:$P, 'Bucket Counts'!$B:$B, R$2, 'Bucket Counts'!$A:$A, "="&amp;$A69,  'Bucket Counts'!$F:$F, "&lt;&gt;100 Morts",  'Bucket Counts'!$F:$F, "&lt;&gt;224"))</f>
        <v>0</v>
      </c>
      <c r="S69" s="116">
        <f>(SUMIFS('Bucket Counts'!$P:$P, 'Bucket Counts'!$B:$B, S$2, 'Bucket Counts'!$A:$A, "="&amp;$A69,  'Bucket Counts'!$F:$F, "100 Morts"))</f>
        <v>0</v>
      </c>
      <c r="T69" s="116">
        <f>(SUMIFS('Bucket Counts'!$P:$P, 'Bucket Counts'!$B:$B, T$2, 'Bucket Counts'!$A:$A, "="&amp;$A69,  'Bucket Counts'!$F:$F, "224"))</f>
        <v>0</v>
      </c>
      <c r="U69" s="116"/>
      <c r="V69" s="426" t="e">
        <f>(T69+R69)/W68</f>
        <v>#DIV/0!</v>
      </c>
      <c r="W69" s="370">
        <f>R67+SUM(Q67:Q69)</f>
        <v>0</v>
      </c>
      <c r="X69" s="369">
        <f>SUMIFS(Collection!$O:$O, Collection!$K:$K, X$2, Collection!$A:$A, "="&amp;$A69)</f>
        <v>0</v>
      </c>
      <c r="Y69" s="116">
        <f>(SUMIFS('Bucket Counts'!$P:$P, 'Bucket Counts'!$B:$B, Y$2, 'Bucket Counts'!$A:$A, "="&amp;$A69,  'Bucket Counts'!$F:$F, "&lt;&gt;100 Morts",  'Bucket Counts'!$F:$F, "&lt;&gt;224"))</f>
        <v>0</v>
      </c>
      <c r="Z69" s="116">
        <f>(SUMIFS('Bucket Counts'!$P:$P, 'Bucket Counts'!$B:$B, Z$2, 'Bucket Counts'!$A:$A, "="&amp;$A69,  'Bucket Counts'!$F:$F, "100 Morts"))</f>
        <v>0</v>
      </c>
      <c r="AA69" s="116">
        <f>(SUMIFS('Bucket Counts'!$P:$P, 'Bucket Counts'!$B:$B, AA$2, 'Bucket Counts'!$A:$A, "="&amp;$A69,  'Bucket Counts'!$F:$F, "224"))</f>
        <v>0</v>
      </c>
      <c r="AB69" s="116"/>
      <c r="AC69" s="426" t="e">
        <f>(AA69+Y69)/AD68</f>
        <v>#DIV/0!</v>
      </c>
      <c r="AD69" s="370">
        <f>Y67+SUM(X67:X69)</f>
        <v>0</v>
      </c>
      <c r="AE69" s="369">
        <f>SUMIFS(Collection!$O:$O, Collection!$K:$K, AE$2, Collection!$A:$A, "="&amp;$A69)</f>
        <v>0</v>
      </c>
      <c r="AF69" s="116">
        <f>(SUMIFS('Bucket Counts'!$P:$P, 'Bucket Counts'!$B:$B, AF$2, 'Bucket Counts'!$A:$A, "="&amp;$A69,  'Bucket Counts'!$F:$F, "&lt;&gt;100 Morts",  'Bucket Counts'!$F:$F, "&lt;&gt;224"))</f>
        <v>0</v>
      </c>
      <c r="AG69" s="116">
        <f>(SUMIFS('Bucket Counts'!$P:$P, 'Bucket Counts'!$B:$B, AG$2, 'Bucket Counts'!$A:$A, "="&amp;$A69,  'Bucket Counts'!$F:$F, "100 Morts"))</f>
        <v>0</v>
      </c>
      <c r="AH69" s="116">
        <f>(SUMIFS('Bucket Counts'!$P:$P, 'Bucket Counts'!$B:$B, AH$2, 'Bucket Counts'!$A:$A, "="&amp;$A69,  'Bucket Counts'!$F:$F, "224"))</f>
        <v>0</v>
      </c>
      <c r="AI69" s="116"/>
      <c r="AJ69" s="426">
        <f>(AH69+AF69)/AK68</f>
        <v>0</v>
      </c>
      <c r="AK69" s="370">
        <f>AF67+SUM(AE67:AE69)</f>
        <v>7626.6666666666661</v>
      </c>
      <c r="AL69" s="369">
        <f>SUMIFS(Collection!$O:$O, Collection!$K:$K, AL$2, Collection!$A:$A, "="&amp;$A69)</f>
        <v>0</v>
      </c>
      <c r="AM69" s="116">
        <f>(SUMIFS('Bucket Counts'!$P:$P, 'Bucket Counts'!$B:$B, AM$2, 'Bucket Counts'!$A:$A, "="&amp;$A69,  'Bucket Counts'!$F:$F, "&lt;&gt;100 Morts",  'Bucket Counts'!$F:$F, "&lt;&gt;224"))</f>
        <v>0</v>
      </c>
      <c r="AN69" s="116">
        <f>(SUMIFS('Bucket Counts'!$P:$P, 'Bucket Counts'!$B:$B, AN$2, 'Bucket Counts'!$A:$A, "="&amp;$A69,  'Bucket Counts'!$F:$F, "100 Morts"))</f>
        <v>0</v>
      </c>
      <c r="AO69" s="116">
        <f>(SUMIFS('Bucket Counts'!$P:$P, 'Bucket Counts'!$B:$B, AO$2, 'Bucket Counts'!$A:$A, "="&amp;$A69,  'Bucket Counts'!$F:$F, "224"))</f>
        <v>0</v>
      </c>
      <c r="AP69" s="116"/>
      <c r="AQ69" s="426" t="e">
        <f>(AO69+AM69)/AR68</f>
        <v>#DIV/0!</v>
      </c>
      <c r="AR69" s="370">
        <f>AM67+SUM(AL67:AL69)</f>
        <v>0</v>
      </c>
      <c r="AS69" s="369">
        <f>SUMIFS(Collection!$O:$O, Collection!$K:$K, AS$2, Collection!$A:$A, "="&amp;$A69)</f>
        <v>0</v>
      </c>
      <c r="AT69" s="116">
        <f>(SUMIFS('Bucket Counts'!$P:$P, 'Bucket Counts'!$B:$B, AT$2, 'Bucket Counts'!$A:$A, "="&amp;$A69,  'Bucket Counts'!$F:$F, "&lt;&gt;100 Morts",  'Bucket Counts'!$F:$F, "&lt;&gt;224"))</f>
        <v>0</v>
      </c>
      <c r="AU69" s="116">
        <f>(SUMIFS('Bucket Counts'!$P:$P, 'Bucket Counts'!$B:$B, AU$2, 'Bucket Counts'!$A:$A, "="&amp;$A69,  'Bucket Counts'!$F:$F, "100 Morts"))</f>
        <v>0</v>
      </c>
      <c r="AV69" s="116">
        <f>(SUMIFS('Bucket Counts'!$P:$P, 'Bucket Counts'!$B:$B, AV$2, 'Bucket Counts'!$A:$A, "="&amp;$A69,  'Bucket Counts'!$F:$F, "224"))</f>
        <v>0</v>
      </c>
      <c r="AW69" s="116"/>
      <c r="AX69" s="426" t="e">
        <f>(AV69+AT69)/AY68</f>
        <v>#DIV/0!</v>
      </c>
      <c r="AY69" s="370">
        <f>AT67+SUM(AS67:AS69)</f>
        <v>0</v>
      </c>
      <c r="AZ69" s="369">
        <f>SUMIFS(Collection!$O:$O, Collection!$K:$K, AZ$2, Collection!$A:$A, "="&amp;$A69)</f>
        <v>0</v>
      </c>
      <c r="BA69" s="116">
        <f>(SUMIFS('Bucket Counts'!$P:$P, 'Bucket Counts'!$B:$B, BA$2, 'Bucket Counts'!$A:$A, "="&amp;$A69,  'Bucket Counts'!$F:$F, "&lt;&gt;100 Morts",  'Bucket Counts'!$F:$F, "&lt;&gt;224"))</f>
        <v>0</v>
      </c>
      <c r="BB69" s="116">
        <f>(SUMIFS('Bucket Counts'!$P:$P, 'Bucket Counts'!$B:$B, BB$2, 'Bucket Counts'!$A:$A, "="&amp;$A69,  'Bucket Counts'!$F:$F, "100 Morts"))</f>
        <v>0</v>
      </c>
      <c r="BC69" s="116">
        <f>(SUMIFS('Bucket Counts'!$P:$P, 'Bucket Counts'!$B:$B, BC$2, 'Bucket Counts'!$A:$A, "="&amp;$A69,  'Bucket Counts'!$F:$F, "224"))</f>
        <v>0</v>
      </c>
      <c r="BD69" s="116"/>
      <c r="BE69" s="426" t="e">
        <f>(BC69+BA69)/BF68</f>
        <v>#DIV/0!</v>
      </c>
      <c r="BF69" s="370">
        <f>BA67+SUM(AZ67:AZ69)</f>
        <v>0</v>
      </c>
      <c r="BG69" s="369">
        <f>SUMIFS(Collection!$O:$O, Collection!$K:$K, BG$2, Collection!$A:$A, "="&amp;$A69)</f>
        <v>0</v>
      </c>
      <c r="BH69" s="116">
        <f>(SUMIFS('Bucket Counts'!$P:$P, 'Bucket Counts'!$B:$B, BH$2, 'Bucket Counts'!$A:$A, "="&amp;$A69,  'Bucket Counts'!$F:$F, "&lt;&gt;100 Morts",  'Bucket Counts'!$F:$F, "&lt;&gt;224"))</f>
        <v>0</v>
      </c>
      <c r="BI69" s="116">
        <f>(SUMIFS('Bucket Counts'!$P:$P, 'Bucket Counts'!$B:$B, BI$2, 'Bucket Counts'!$A:$A, "="&amp;$A69,  'Bucket Counts'!$F:$F, "100 Morts"))</f>
        <v>0</v>
      </c>
      <c r="BJ69" s="116">
        <f>(SUMIFS('Bucket Counts'!$P:$P, 'Bucket Counts'!$B:$B, BJ$2, 'Bucket Counts'!$A:$A, "="&amp;$A69,  'Bucket Counts'!$F:$F, "224"))</f>
        <v>0</v>
      </c>
      <c r="BK69" s="116"/>
      <c r="BL69" s="426">
        <f>(BJ69+BH69)/BM68</f>
        <v>0</v>
      </c>
      <c r="BM69" s="370">
        <f>BH67+SUM(BG67:BG69)</f>
        <v>311.11111111111109</v>
      </c>
      <c r="BN69" s="369">
        <f>SUMIFS(Collection!$O:$O, Collection!$K:$K, BN$2, Collection!$A:$A, "="&amp;$A69)</f>
        <v>0</v>
      </c>
      <c r="BO69" s="116">
        <f>(SUMIFS('Bucket Counts'!$P:$P, 'Bucket Counts'!$B:$B, BO$2, 'Bucket Counts'!$A:$A, "="&amp;$A69,  'Bucket Counts'!$F:$F, "&lt;&gt;100 Morts",  'Bucket Counts'!$F:$F, "&lt;&gt;224"))</f>
        <v>0</v>
      </c>
      <c r="BP69" s="116">
        <f>(SUMIFS('Bucket Counts'!$P:$P, 'Bucket Counts'!$B:$B, BP$2, 'Bucket Counts'!$A:$A, "="&amp;$A69,  'Bucket Counts'!$F:$F, "100 Morts"))</f>
        <v>0</v>
      </c>
      <c r="BQ69" s="116">
        <f>(SUMIFS('Bucket Counts'!$P:$P, 'Bucket Counts'!$B:$B, BQ$2, 'Bucket Counts'!$A:$A, "="&amp;$A69,  'Bucket Counts'!$F:$F, "224"))</f>
        <v>0</v>
      </c>
      <c r="BR69" s="116"/>
      <c r="BS69" s="426">
        <f>(BQ69+BO69)/BT68</f>
        <v>0</v>
      </c>
      <c r="BT69" s="370">
        <f>BO67+SUM(BN67:BN69)</f>
        <v>1125</v>
      </c>
      <c r="BU69" s="369">
        <f>SUMIFS(Collection!$O:$O, Collection!$K:$K, BU$2, Collection!$A:$A, "="&amp;$A69)</f>
        <v>0</v>
      </c>
      <c r="BV69" s="116">
        <f>(SUMIFS('Bucket Counts'!$P:$P, 'Bucket Counts'!$B:$B, BV$2, 'Bucket Counts'!$A:$A, "="&amp;$A69,  'Bucket Counts'!$F:$F, "&lt;&gt;100 Morts",  'Bucket Counts'!$F:$F, "&lt;&gt;224"))</f>
        <v>0</v>
      </c>
      <c r="BW69" s="116">
        <f>(SUMIFS('Bucket Counts'!$P:$P, 'Bucket Counts'!$B:$B, BW$2, 'Bucket Counts'!$A:$A, "="&amp;$A69,  'Bucket Counts'!$F:$F, "100 Morts"))</f>
        <v>0</v>
      </c>
      <c r="BX69" s="116">
        <f>(SUMIFS('Bucket Counts'!$P:$P, 'Bucket Counts'!$B:$B, BX$2, 'Bucket Counts'!$A:$A, "="&amp;$A69,  'Bucket Counts'!$F:$F, "224"))</f>
        <v>0</v>
      </c>
      <c r="BY69" s="116"/>
      <c r="BZ69" s="426" t="e">
        <f>(BX69+BV69)/CA68</f>
        <v>#DIV/0!</v>
      </c>
      <c r="CA69" s="370">
        <f>BV67+SUM(BU67:BU69)</f>
        <v>0</v>
      </c>
      <c r="CB69" s="369">
        <f>SUMIFS(Collection!$O:$O, Collection!$K:$K, CB$2, Collection!$A:$A, "="&amp;$A69)</f>
        <v>0</v>
      </c>
      <c r="CC69" s="116">
        <f>(SUMIFS('Bucket Counts'!$P:$P, 'Bucket Counts'!$B:$B, CC$2, 'Bucket Counts'!$A:$A, "="&amp;$A69,  'Bucket Counts'!$F:$F, "&lt;&gt;100 Morts",  'Bucket Counts'!$F:$F, "&lt;&gt;224"))</f>
        <v>0</v>
      </c>
      <c r="CD69" s="116">
        <f>(SUMIFS('Bucket Counts'!$P:$P, 'Bucket Counts'!$B:$B, CD$2, 'Bucket Counts'!$A:$A, "="&amp;$A69,  'Bucket Counts'!$F:$F, "100 Morts"))</f>
        <v>0</v>
      </c>
      <c r="CE69" s="116">
        <f>(SUMIFS('Bucket Counts'!$P:$P, 'Bucket Counts'!$B:$B, CE$2, 'Bucket Counts'!$A:$A, "="&amp;$A69,  'Bucket Counts'!$F:$F, "224"))</f>
        <v>0</v>
      </c>
      <c r="CF69" s="116"/>
      <c r="CG69" s="426">
        <f>(CE69+CC69)/CH68</f>
        <v>0</v>
      </c>
      <c r="CH69" s="370">
        <f>CC67+SUM(CB67:CB69)</f>
        <v>133.33333333333331</v>
      </c>
      <c r="CI69" s="369">
        <f>SUMIFS(Collection!$O:$O, Collection!$K:$K, CI$2, Collection!$A:$A, "="&amp;$A69)</f>
        <v>0</v>
      </c>
      <c r="CJ69" s="116">
        <f>(SUMIFS('Bucket Counts'!$P:$P, 'Bucket Counts'!$B:$B, CJ$2, 'Bucket Counts'!$A:$A, "="&amp;$A69,  'Bucket Counts'!$F:$F, "&lt;&gt;100 Morts",  'Bucket Counts'!$F:$F, "&lt;&gt;224"))</f>
        <v>0</v>
      </c>
      <c r="CK69" s="116">
        <f>(SUMIFS('Bucket Counts'!$P:$P, 'Bucket Counts'!$B:$B, CK$2, 'Bucket Counts'!$A:$A, "="&amp;$A69,  'Bucket Counts'!$F:$F, "100 Morts"))</f>
        <v>0</v>
      </c>
      <c r="CL69" s="116">
        <f>(SUMIFS('Bucket Counts'!$P:$P, 'Bucket Counts'!$B:$B, CL$2, 'Bucket Counts'!$A:$A, "="&amp;$A69,  'Bucket Counts'!$F:$F, "224"))</f>
        <v>0</v>
      </c>
      <c r="CM69" s="116"/>
      <c r="CN69" s="426" t="e">
        <f>(CL69+CJ69)/CO68</f>
        <v>#DIV/0!</v>
      </c>
      <c r="CO69" s="370">
        <f>CJ67+SUM(CI67:CI69)</f>
        <v>0</v>
      </c>
      <c r="CP69" s="369">
        <f>SUMIFS(Collection!$O:$O, Collection!$K:$K, CP$2, Collection!$A:$A, "="&amp;$A69)</f>
        <v>0</v>
      </c>
      <c r="CQ69" s="116">
        <f>(SUMIFS('Bucket Counts'!$P:$P, 'Bucket Counts'!$B:$B, CQ$2, 'Bucket Counts'!$A:$A, "="&amp;$A69,  'Bucket Counts'!$F:$F, "&lt;&gt;100 Morts",  'Bucket Counts'!$F:$F, "&lt;&gt;224"))</f>
        <v>0</v>
      </c>
      <c r="CR69" s="116">
        <f>(SUMIFS('Bucket Counts'!$P:$P, 'Bucket Counts'!$B:$B, CR$2, 'Bucket Counts'!$A:$A, "="&amp;$A69,  'Bucket Counts'!$F:$F, "100 Morts"))</f>
        <v>0</v>
      </c>
      <c r="CS69" s="116">
        <f>(SUMIFS('Bucket Counts'!$P:$P, 'Bucket Counts'!$B:$B, CS$2, 'Bucket Counts'!$A:$A, "="&amp;$A69,  'Bucket Counts'!$F:$F, "224"))</f>
        <v>0</v>
      </c>
      <c r="CT69" s="116"/>
      <c r="CU69" s="426" t="e">
        <f>(CS69+CQ69)/CV68</f>
        <v>#DIV/0!</v>
      </c>
      <c r="CV69" s="370">
        <f>CQ67+SUM(CP67:CP69)</f>
        <v>0</v>
      </c>
      <c r="CW69" s="369">
        <f>SUMIFS(Collection!$O:$O, Collection!$K:$K, CW$2, Collection!$A:$A, "="&amp;$A69)</f>
        <v>0</v>
      </c>
      <c r="CX69" s="116">
        <f>(SUMIFS('Bucket Counts'!$P:$P, 'Bucket Counts'!$B:$B, CX$2, 'Bucket Counts'!$A:$A, "="&amp;$A69,  'Bucket Counts'!$F:$F, "&lt;&gt;100 Morts",  'Bucket Counts'!$F:$F, "&lt;&gt;224"))</f>
        <v>0</v>
      </c>
      <c r="CY69" s="116">
        <f>(SUMIFS('Bucket Counts'!$P:$P, 'Bucket Counts'!$B:$B, CY$2, 'Bucket Counts'!$A:$A, "="&amp;$A69,  'Bucket Counts'!$F:$F, "100 Morts"))</f>
        <v>0</v>
      </c>
      <c r="CZ69" s="116">
        <f>(SUMIFS('Bucket Counts'!$P:$P, 'Bucket Counts'!$B:$B, CZ$2, 'Bucket Counts'!$A:$A, "="&amp;$A69,  'Bucket Counts'!$F:$F, "224"))</f>
        <v>0</v>
      </c>
      <c r="DA69" s="116"/>
      <c r="DB69" s="426">
        <f>(CZ69+CX69)/DC68</f>
        <v>0</v>
      </c>
      <c r="DC69" s="370">
        <f>CX67+SUM(CW67:CW69)</f>
        <v>26.666666666666664</v>
      </c>
      <c r="DD69" s="369">
        <f>SUMIFS(Collection!$O:$O, Collection!$K:$K, DD$2, Collection!$A:$A, "="&amp;$A69)</f>
        <v>0</v>
      </c>
      <c r="DE69" s="116">
        <f>(SUMIFS('Bucket Counts'!$P:$P, 'Bucket Counts'!$B:$B, DE$2, 'Bucket Counts'!$A:$A, "="&amp;$A69,  'Bucket Counts'!$F:$F, "&lt;&gt;100 Morts",  'Bucket Counts'!$F:$F, "&lt;&gt;224"))</f>
        <v>0</v>
      </c>
      <c r="DF69" s="116">
        <f>(SUMIFS('Bucket Counts'!$P:$P, 'Bucket Counts'!$B:$B, DF$2, 'Bucket Counts'!$A:$A, "="&amp;$A69,  'Bucket Counts'!$F:$F, "100 Morts"))</f>
        <v>0</v>
      </c>
      <c r="DG69" s="116">
        <f>(SUMIFS('Bucket Counts'!$P:$P, 'Bucket Counts'!$B:$B, DG$2, 'Bucket Counts'!$A:$A, "="&amp;$A69,  'Bucket Counts'!$F:$F, "224"))</f>
        <v>0</v>
      </c>
      <c r="DH69" s="116"/>
      <c r="DI69" s="426" t="e">
        <f>(DG69+DE69)/DJ68</f>
        <v>#DIV/0!</v>
      </c>
      <c r="DJ69" s="370">
        <f>DE67+SUM(DD67:DD69)</f>
        <v>0</v>
      </c>
      <c r="DK69" s="369">
        <f>SUMIFS(Collection!$O:$O, Collection!$K:$K, DK$2, Collection!$A:$A, "="&amp;$A69)</f>
        <v>0</v>
      </c>
      <c r="DL69" s="116">
        <f>(SUMIFS('Bucket Counts'!$P:$P, 'Bucket Counts'!$B:$B, DL$2, 'Bucket Counts'!$A:$A, "="&amp;$A69,  'Bucket Counts'!$F:$F, "&lt;&gt;100 Morts",  'Bucket Counts'!$F:$F, "&lt;&gt;224"))</f>
        <v>0</v>
      </c>
      <c r="DM69" s="116">
        <f>(SUMIFS('Bucket Counts'!$P:$P, 'Bucket Counts'!$B:$B, DM$2, 'Bucket Counts'!$A:$A, "="&amp;$A69,  'Bucket Counts'!$F:$F, "100 Morts"))</f>
        <v>0</v>
      </c>
      <c r="DN69" s="116">
        <f>(SUMIFS('Bucket Counts'!$P:$P, 'Bucket Counts'!$B:$B, DN$2, 'Bucket Counts'!$A:$A, "="&amp;$A69,  'Bucket Counts'!$F:$F, "224"))</f>
        <v>0</v>
      </c>
      <c r="DO69" s="116"/>
      <c r="DP69" s="426" t="e">
        <f>(DN69+DL69)/DQ68</f>
        <v>#DIV/0!</v>
      </c>
      <c r="DQ69" s="370">
        <f>DL67+SUM(DK67:DK69)</f>
        <v>0</v>
      </c>
      <c r="DR69" s="369">
        <f>SUMIFS(Collection!$O:$O, Collection!$K:$K, DR$2, Collection!$A:$A, "="&amp;$A69)</f>
        <v>0</v>
      </c>
      <c r="DS69" s="116">
        <f>(SUMIFS('Bucket Counts'!$P:$P, 'Bucket Counts'!$B:$B, DS$2, 'Bucket Counts'!$A:$A, "="&amp;$A69,  'Bucket Counts'!$F:$F, "&lt;&gt;100 Morts",  'Bucket Counts'!$F:$F, "&lt;&gt;224"))</f>
        <v>0</v>
      </c>
      <c r="DT69" s="116">
        <f>(SUMIFS('Bucket Counts'!$P:$P, 'Bucket Counts'!$B:$B, DT$2, 'Bucket Counts'!$A:$A, "="&amp;$A69,  'Bucket Counts'!$F:$F, "100 Morts"))</f>
        <v>0</v>
      </c>
      <c r="DU69" s="116">
        <f>(SUMIFS('Bucket Counts'!$P:$P, 'Bucket Counts'!$B:$B, DU$2, 'Bucket Counts'!$A:$A, "="&amp;$A69,  'Bucket Counts'!$F:$F, "224"))</f>
        <v>0</v>
      </c>
      <c r="DV69" s="116"/>
      <c r="DW69" s="426" t="e">
        <f>(DU69+DS69)/DX68</f>
        <v>#DIV/0!</v>
      </c>
      <c r="DX69" s="370">
        <f>DS67+SUM(DR67:DR69)</f>
        <v>0</v>
      </c>
      <c r="DY69" s="369">
        <f>SUMIFS(Collection!$O:$O, Collection!$K:$K, DY$2, Collection!$A:$A, "="&amp;$A69)</f>
        <v>0</v>
      </c>
      <c r="DZ69" s="116">
        <f>(SUMIFS('Bucket Counts'!$P:$P, 'Bucket Counts'!$B:$B, DZ$2, 'Bucket Counts'!$A:$A, "="&amp;$A69,  'Bucket Counts'!$F:$F, "&lt;&gt;100 Morts",  'Bucket Counts'!$F:$F, "&lt;&gt;224"))</f>
        <v>0</v>
      </c>
      <c r="EA69" s="116">
        <f>(SUMIFS('Bucket Counts'!$P:$P, 'Bucket Counts'!$B:$B, EA$2, 'Bucket Counts'!$A:$A, "="&amp;$A69,  'Bucket Counts'!$F:$F, "100 Morts"))</f>
        <v>0</v>
      </c>
      <c r="EB69" s="116">
        <f>(SUMIFS('Bucket Counts'!$P:$P, 'Bucket Counts'!$B:$B, EB$2, 'Bucket Counts'!$A:$A, "="&amp;$A69,  'Bucket Counts'!$F:$F, "224"))</f>
        <v>0</v>
      </c>
      <c r="EC69" s="116"/>
      <c r="ED69" s="426" t="e">
        <f>(EB69+DZ69)/EE68</f>
        <v>#DIV/0!</v>
      </c>
      <c r="EE69" s="370">
        <f>DZ67+SUM(DY67:DY69)</f>
        <v>0</v>
      </c>
      <c r="EF69" s="369">
        <f>SUMIFS(Collection!$O:$O, Collection!$K:$K, EF$2, Collection!$A:$A, "="&amp;$A69)</f>
        <v>0</v>
      </c>
      <c r="EG69" s="116">
        <f>(SUMIFS('Bucket Counts'!$P:$P, 'Bucket Counts'!$B:$B, EG$2, 'Bucket Counts'!$A:$A, "="&amp;$A69,  'Bucket Counts'!$F:$F, "&lt;&gt;100 Morts",  'Bucket Counts'!$F:$F, "&lt;&gt;224"))</f>
        <v>0</v>
      </c>
      <c r="EH69" s="116">
        <f>(SUMIFS('Bucket Counts'!$P:$P, 'Bucket Counts'!$B:$B, EH$2, 'Bucket Counts'!$A:$A, "="&amp;$A69,  'Bucket Counts'!$F:$F, "100 Morts"))</f>
        <v>0</v>
      </c>
      <c r="EI69" s="116">
        <f>(SUMIFS('Bucket Counts'!$P:$P, 'Bucket Counts'!$B:$B, EI$2, 'Bucket Counts'!$A:$A, "="&amp;$A69,  'Bucket Counts'!$F:$F, "224"))</f>
        <v>0</v>
      </c>
      <c r="EJ69" s="116"/>
      <c r="EK69" s="426" t="e">
        <f>(EI69+EG69)/EL68</f>
        <v>#DIV/0!</v>
      </c>
      <c r="EL69" s="370">
        <f>EG67+SUM(EF67:EF69)</f>
        <v>0</v>
      </c>
    </row>
    <row r="70" spans="1:142" x14ac:dyDescent="0.2">
      <c r="A70" s="16">
        <f t="shared" si="0"/>
        <v>42939</v>
      </c>
      <c r="B70" s="16" t="s">
        <v>487</v>
      </c>
      <c r="C70" s="369">
        <f>SUMIFS(Collection!$O:$O, Collection!$K:$K, C$2, Collection!$A:$A, "="&amp;$A70)</f>
        <v>0</v>
      </c>
      <c r="D70" s="116">
        <f>(SUMIFS('Bucket Counts'!$P:$P, 'Bucket Counts'!$B:$B, D$2, 'Bucket Counts'!$A:$A, "="&amp;$A70,  'Bucket Counts'!$F:$F, "&lt;&gt;100 Morts",  'Bucket Counts'!$F:$F, "&lt;&gt;224"))</f>
        <v>0</v>
      </c>
      <c r="E70" s="116">
        <f>(SUMIFS('Bucket Counts'!$P:$P, 'Bucket Counts'!$B:$B, E$2, 'Bucket Counts'!$A:$A, "="&amp;$A70,  'Bucket Counts'!$F:$F, "100 Morts"))</f>
        <v>0</v>
      </c>
      <c r="F70" s="116">
        <f>(SUMIFS('Bucket Counts'!$P:$P, 'Bucket Counts'!$B:$B, F$2, 'Bucket Counts'!$A:$A, "="&amp;$A70,  'Bucket Counts'!$F:$F, "224"))</f>
        <v>0</v>
      </c>
      <c r="G70" s="116"/>
      <c r="H70" s="426">
        <f>(F70+D70)/I69</f>
        <v>0</v>
      </c>
      <c r="I70" s="370">
        <f>D67+SUM(C67:C70)</f>
        <v>25</v>
      </c>
      <c r="J70" s="369">
        <f>SUMIFS(Collection!$O:$O, Collection!$K:$K, J$2, Collection!$A:$A, "="&amp;$A70)</f>
        <v>0</v>
      </c>
      <c r="K70" s="116">
        <f>(SUMIFS('Bucket Counts'!$P:$P, 'Bucket Counts'!$B:$B, K$2, 'Bucket Counts'!$A:$A, "="&amp;$A70,  'Bucket Counts'!$F:$F, "&lt;&gt;100 Morts",  'Bucket Counts'!$F:$F, "&lt;&gt;224"))</f>
        <v>0</v>
      </c>
      <c r="L70" s="116">
        <f>(SUMIFS('Bucket Counts'!$P:$P, 'Bucket Counts'!$B:$B, L$2, 'Bucket Counts'!$A:$A, "="&amp;$A70,  'Bucket Counts'!$F:$F, "100 Morts"))</f>
        <v>0</v>
      </c>
      <c r="M70" s="116">
        <f>(SUMIFS('Bucket Counts'!$P:$P, 'Bucket Counts'!$B:$B, M$2, 'Bucket Counts'!$A:$A, "="&amp;$A70,  'Bucket Counts'!$F:$F, "224"))</f>
        <v>0</v>
      </c>
      <c r="N70" s="116"/>
      <c r="O70" s="426">
        <f>(M70+K70)/P69</f>
        <v>0</v>
      </c>
      <c r="P70" s="370">
        <f>K67+SUM(J67:J70)</f>
        <v>275</v>
      </c>
      <c r="Q70" s="369">
        <f>SUMIFS(Collection!$O:$O, Collection!$K:$K, Q$2, Collection!$A:$A, "="&amp;$A70)</f>
        <v>0</v>
      </c>
      <c r="R70" s="116">
        <f>(SUMIFS('Bucket Counts'!$P:$P, 'Bucket Counts'!$B:$B, R$2, 'Bucket Counts'!$A:$A, "="&amp;$A70,  'Bucket Counts'!$F:$F, "&lt;&gt;100 Morts",  'Bucket Counts'!$F:$F, "&lt;&gt;224"))</f>
        <v>0</v>
      </c>
      <c r="S70" s="116">
        <f>(SUMIFS('Bucket Counts'!$P:$P, 'Bucket Counts'!$B:$B, S$2, 'Bucket Counts'!$A:$A, "="&amp;$A70,  'Bucket Counts'!$F:$F, "100 Morts"))</f>
        <v>0</v>
      </c>
      <c r="T70" s="116">
        <f>(SUMIFS('Bucket Counts'!$P:$P, 'Bucket Counts'!$B:$B, T$2, 'Bucket Counts'!$A:$A, "="&amp;$A70,  'Bucket Counts'!$F:$F, "224"))</f>
        <v>0</v>
      </c>
      <c r="U70" s="116"/>
      <c r="V70" s="426" t="e">
        <f>(T70+R70)/W69</f>
        <v>#DIV/0!</v>
      </c>
      <c r="W70" s="370">
        <f>R67+SUM(Q67:Q70)</f>
        <v>0</v>
      </c>
      <c r="X70" s="369">
        <f>SUMIFS(Collection!$O:$O, Collection!$K:$K, X$2, Collection!$A:$A, "="&amp;$A70)</f>
        <v>0</v>
      </c>
      <c r="Y70" s="116">
        <f>(SUMIFS('Bucket Counts'!$P:$P, 'Bucket Counts'!$B:$B, Y$2, 'Bucket Counts'!$A:$A, "="&amp;$A70,  'Bucket Counts'!$F:$F, "&lt;&gt;100 Morts",  'Bucket Counts'!$F:$F, "&lt;&gt;224"))</f>
        <v>0</v>
      </c>
      <c r="Z70" s="116">
        <f>(SUMIFS('Bucket Counts'!$P:$P, 'Bucket Counts'!$B:$B, Z$2, 'Bucket Counts'!$A:$A, "="&amp;$A70,  'Bucket Counts'!$F:$F, "100 Morts"))</f>
        <v>0</v>
      </c>
      <c r="AA70" s="116">
        <f>(SUMIFS('Bucket Counts'!$P:$P, 'Bucket Counts'!$B:$B, AA$2, 'Bucket Counts'!$A:$A, "="&amp;$A70,  'Bucket Counts'!$F:$F, "224"))</f>
        <v>0</v>
      </c>
      <c r="AB70" s="116"/>
      <c r="AC70" s="426" t="e">
        <f>(AA70+Y70)/AD69</f>
        <v>#DIV/0!</v>
      </c>
      <c r="AD70" s="370">
        <f>Y67+SUM(X67:X70)</f>
        <v>0</v>
      </c>
      <c r="AE70" s="369">
        <f>SUMIFS(Collection!$O:$O, Collection!$K:$K, AE$2, Collection!$A:$A, "="&amp;$A70)</f>
        <v>0</v>
      </c>
      <c r="AF70" s="116">
        <f>(SUMIFS('Bucket Counts'!$P:$P, 'Bucket Counts'!$B:$B, AF$2, 'Bucket Counts'!$A:$A, "="&amp;$A70,  'Bucket Counts'!$F:$F, "&lt;&gt;100 Morts",  'Bucket Counts'!$F:$F, "&lt;&gt;224"))</f>
        <v>0</v>
      </c>
      <c r="AG70" s="116">
        <f>(SUMIFS('Bucket Counts'!$P:$P, 'Bucket Counts'!$B:$B, AG$2, 'Bucket Counts'!$A:$A, "="&amp;$A70,  'Bucket Counts'!$F:$F, "100 Morts"))</f>
        <v>0</v>
      </c>
      <c r="AH70" s="116">
        <f>(SUMIFS('Bucket Counts'!$P:$P, 'Bucket Counts'!$B:$B, AH$2, 'Bucket Counts'!$A:$A, "="&amp;$A70,  'Bucket Counts'!$F:$F, "224"))</f>
        <v>0</v>
      </c>
      <c r="AI70" s="116"/>
      <c r="AJ70" s="426">
        <f>(AH70+AF70)/AK69</f>
        <v>0</v>
      </c>
      <c r="AK70" s="370">
        <f>AF67+SUM(AE67:AE70)</f>
        <v>7626.6666666666661</v>
      </c>
      <c r="AL70" s="369">
        <f>SUMIFS(Collection!$O:$O, Collection!$K:$K, AL$2, Collection!$A:$A, "="&amp;$A70)</f>
        <v>0</v>
      </c>
      <c r="AM70" s="116">
        <f>(SUMIFS('Bucket Counts'!$P:$P, 'Bucket Counts'!$B:$B, AM$2, 'Bucket Counts'!$A:$A, "="&amp;$A70,  'Bucket Counts'!$F:$F, "&lt;&gt;100 Morts",  'Bucket Counts'!$F:$F, "&lt;&gt;224"))</f>
        <v>0</v>
      </c>
      <c r="AN70" s="116">
        <f>(SUMIFS('Bucket Counts'!$P:$P, 'Bucket Counts'!$B:$B, AN$2, 'Bucket Counts'!$A:$A, "="&amp;$A70,  'Bucket Counts'!$F:$F, "100 Morts"))</f>
        <v>0</v>
      </c>
      <c r="AO70" s="116">
        <f>(SUMIFS('Bucket Counts'!$P:$P, 'Bucket Counts'!$B:$B, AO$2, 'Bucket Counts'!$A:$A, "="&amp;$A70,  'Bucket Counts'!$F:$F, "224"))</f>
        <v>0</v>
      </c>
      <c r="AP70" s="116"/>
      <c r="AQ70" s="426" t="e">
        <f>(AO70+AM70)/AR69</f>
        <v>#DIV/0!</v>
      </c>
      <c r="AR70" s="370">
        <f>AM67+SUM(AL67:AL70)</f>
        <v>0</v>
      </c>
      <c r="AS70" s="369">
        <f>SUMIFS(Collection!$O:$O, Collection!$K:$K, AS$2, Collection!$A:$A, "="&amp;$A70)</f>
        <v>0</v>
      </c>
      <c r="AT70" s="116">
        <f>(SUMIFS('Bucket Counts'!$P:$P, 'Bucket Counts'!$B:$B, AT$2, 'Bucket Counts'!$A:$A, "="&amp;$A70,  'Bucket Counts'!$F:$F, "&lt;&gt;100 Morts",  'Bucket Counts'!$F:$F, "&lt;&gt;224"))</f>
        <v>0</v>
      </c>
      <c r="AU70" s="116">
        <f>(SUMIFS('Bucket Counts'!$P:$P, 'Bucket Counts'!$B:$B, AU$2, 'Bucket Counts'!$A:$A, "="&amp;$A70,  'Bucket Counts'!$F:$F, "100 Morts"))</f>
        <v>0</v>
      </c>
      <c r="AV70" s="116">
        <f>(SUMIFS('Bucket Counts'!$P:$P, 'Bucket Counts'!$B:$B, AV$2, 'Bucket Counts'!$A:$A, "="&amp;$A70,  'Bucket Counts'!$F:$F, "224"))</f>
        <v>0</v>
      </c>
      <c r="AW70" s="116"/>
      <c r="AX70" s="426" t="e">
        <f>(AV70+AT70)/AY69</f>
        <v>#DIV/0!</v>
      </c>
      <c r="AY70" s="370">
        <f>AT67+SUM(AS67:AS70)</f>
        <v>0</v>
      </c>
      <c r="AZ70" s="369">
        <f>SUMIFS(Collection!$O:$O, Collection!$K:$K, AZ$2, Collection!$A:$A, "="&amp;$A70)</f>
        <v>0</v>
      </c>
      <c r="BA70" s="116">
        <f>(SUMIFS('Bucket Counts'!$P:$P, 'Bucket Counts'!$B:$B, BA$2, 'Bucket Counts'!$A:$A, "="&amp;$A70,  'Bucket Counts'!$F:$F, "&lt;&gt;100 Morts",  'Bucket Counts'!$F:$F, "&lt;&gt;224"))</f>
        <v>0</v>
      </c>
      <c r="BB70" s="116">
        <f>(SUMIFS('Bucket Counts'!$P:$P, 'Bucket Counts'!$B:$B, BB$2, 'Bucket Counts'!$A:$A, "="&amp;$A70,  'Bucket Counts'!$F:$F, "100 Morts"))</f>
        <v>0</v>
      </c>
      <c r="BC70" s="116">
        <f>(SUMIFS('Bucket Counts'!$P:$P, 'Bucket Counts'!$B:$B, BC$2, 'Bucket Counts'!$A:$A, "="&amp;$A70,  'Bucket Counts'!$F:$F, "224"))</f>
        <v>0</v>
      </c>
      <c r="BD70" s="116"/>
      <c r="BE70" s="426" t="e">
        <f>(BC70+BA70)/BF69</f>
        <v>#DIV/0!</v>
      </c>
      <c r="BF70" s="370">
        <f>BA67+SUM(AZ67:AZ70)</f>
        <v>0</v>
      </c>
      <c r="BG70" s="369">
        <f>SUMIFS(Collection!$O:$O, Collection!$K:$K, BG$2, Collection!$A:$A, "="&amp;$A70)</f>
        <v>0</v>
      </c>
      <c r="BH70" s="116">
        <f>(SUMIFS('Bucket Counts'!$P:$P, 'Bucket Counts'!$B:$B, BH$2, 'Bucket Counts'!$A:$A, "="&amp;$A70,  'Bucket Counts'!$F:$F, "&lt;&gt;100 Morts",  'Bucket Counts'!$F:$F, "&lt;&gt;224"))</f>
        <v>0</v>
      </c>
      <c r="BI70" s="116">
        <f>(SUMIFS('Bucket Counts'!$P:$P, 'Bucket Counts'!$B:$B, BI$2, 'Bucket Counts'!$A:$A, "="&amp;$A70,  'Bucket Counts'!$F:$F, "100 Morts"))</f>
        <v>0</v>
      </c>
      <c r="BJ70" s="116">
        <f>(SUMIFS('Bucket Counts'!$P:$P, 'Bucket Counts'!$B:$B, BJ$2, 'Bucket Counts'!$A:$A, "="&amp;$A70,  'Bucket Counts'!$F:$F, "224"))</f>
        <v>0</v>
      </c>
      <c r="BK70" s="116"/>
      <c r="BL70" s="426">
        <f>(BJ70+BH70)/BM69</f>
        <v>0</v>
      </c>
      <c r="BM70" s="370">
        <f>BH67+SUM(BG67:BG70)</f>
        <v>311.11111111111109</v>
      </c>
      <c r="BN70" s="369">
        <f>SUMIFS(Collection!$O:$O, Collection!$K:$K, BN$2, Collection!$A:$A, "="&amp;$A70)</f>
        <v>0</v>
      </c>
      <c r="BO70" s="116">
        <f>(SUMIFS('Bucket Counts'!$P:$P, 'Bucket Counts'!$B:$B, BO$2, 'Bucket Counts'!$A:$A, "="&amp;$A70,  'Bucket Counts'!$F:$F, "&lt;&gt;100 Morts",  'Bucket Counts'!$F:$F, "&lt;&gt;224"))</f>
        <v>0</v>
      </c>
      <c r="BP70" s="116">
        <f>(SUMIFS('Bucket Counts'!$P:$P, 'Bucket Counts'!$B:$B, BP$2, 'Bucket Counts'!$A:$A, "="&amp;$A70,  'Bucket Counts'!$F:$F, "100 Morts"))</f>
        <v>0</v>
      </c>
      <c r="BQ70" s="116">
        <f>(SUMIFS('Bucket Counts'!$P:$P, 'Bucket Counts'!$B:$B, BQ$2, 'Bucket Counts'!$A:$A, "="&amp;$A70,  'Bucket Counts'!$F:$F, "224"))</f>
        <v>0</v>
      </c>
      <c r="BR70" s="116"/>
      <c r="BS70" s="426">
        <f>(BQ70+BO70)/BT69</f>
        <v>0</v>
      </c>
      <c r="BT70" s="370">
        <f>BO67+SUM(BN67:BN70)</f>
        <v>1125</v>
      </c>
      <c r="BU70" s="369">
        <f>SUMIFS(Collection!$O:$O, Collection!$K:$K, BU$2, Collection!$A:$A, "="&amp;$A70)</f>
        <v>0</v>
      </c>
      <c r="BV70" s="116">
        <f>(SUMIFS('Bucket Counts'!$P:$P, 'Bucket Counts'!$B:$B, BV$2, 'Bucket Counts'!$A:$A, "="&amp;$A70,  'Bucket Counts'!$F:$F, "&lt;&gt;100 Morts",  'Bucket Counts'!$F:$F, "&lt;&gt;224"))</f>
        <v>0</v>
      </c>
      <c r="BW70" s="116">
        <f>(SUMIFS('Bucket Counts'!$P:$P, 'Bucket Counts'!$B:$B, BW$2, 'Bucket Counts'!$A:$A, "="&amp;$A70,  'Bucket Counts'!$F:$F, "100 Morts"))</f>
        <v>0</v>
      </c>
      <c r="BX70" s="116">
        <f>(SUMIFS('Bucket Counts'!$P:$P, 'Bucket Counts'!$B:$B, BX$2, 'Bucket Counts'!$A:$A, "="&amp;$A70,  'Bucket Counts'!$F:$F, "224"))</f>
        <v>0</v>
      </c>
      <c r="BY70" s="116"/>
      <c r="BZ70" s="426" t="e">
        <f>(BX70+BV70)/CA69</f>
        <v>#DIV/0!</v>
      </c>
      <c r="CA70" s="370">
        <f>BV67+SUM(BU67:BU70)</f>
        <v>0</v>
      </c>
      <c r="CB70" s="369">
        <f>SUMIFS(Collection!$O:$O, Collection!$K:$K, CB$2, Collection!$A:$A, "="&amp;$A70)</f>
        <v>0</v>
      </c>
      <c r="CC70" s="116">
        <f>(SUMIFS('Bucket Counts'!$P:$P, 'Bucket Counts'!$B:$B, CC$2, 'Bucket Counts'!$A:$A, "="&amp;$A70,  'Bucket Counts'!$F:$F, "&lt;&gt;100 Morts",  'Bucket Counts'!$F:$F, "&lt;&gt;224"))</f>
        <v>0</v>
      </c>
      <c r="CD70" s="116">
        <f>(SUMIFS('Bucket Counts'!$P:$P, 'Bucket Counts'!$B:$B, CD$2, 'Bucket Counts'!$A:$A, "="&amp;$A70,  'Bucket Counts'!$F:$F, "100 Morts"))</f>
        <v>0</v>
      </c>
      <c r="CE70" s="116">
        <f>(SUMIFS('Bucket Counts'!$P:$P, 'Bucket Counts'!$B:$B, CE$2, 'Bucket Counts'!$A:$A, "="&amp;$A70,  'Bucket Counts'!$F:$F, "224"))</f>
        <v>0</v>
      </c>
      <c r="CF70" s="116"/>
      <c r="CG70" s="426">
        <f>(CE70+CC70)/CH69</f>
        <v>0</v>
      </c>
      <c r="CH70" s="370">
        <f>CC67+SUM(CB67:CB70)</f>
        <v>133.33333333333331</v>
      </c>
      <c r="CI70" s="369">
        <f>SUMIFS(Collection!$O:$O, Collection!$K:$K, CI$2, Collection!$A:$A, "="&amp;$A70)</f>
        <v>0</v>
      </c>
      <c r="CJ70" s="116">
        <f>(SUMIFS('Bucket Counts'!$P:$P, 'Bucket Counts'!$B:$B, CJ$2, 'Bucket Counts'!$A:$A, "="&amp;$A70,  'Bucket Counts'!$F:$F, "&lt;&gt;100 Morts",  'Bucket Counts'!$F:$F, "&lt;&gt;224"))</f>
        <v>0</v>
      </c>
      <c r="CK70" s="116">
        <f>(SUMIFS('Bucket Counts'!$P:$P, 'Bucket Counts'!$B:$B, CK$2, 'Bucket Counts'!$A:$A, "="&amp;$A70,  'Bucket Counts'!$F:$F, "100 Morts"))</f>
        <v>0</v>
      </c>
      <c r="CL70" s="116">
        <f>(SUMIFS('Bucket Counts'!$P:$P, 'Bucket Counts'!$B:$B, CL$2, 'Bucket Counts'!$A:$A, "="&amp;$A70,  'Bucket Counts'!$F:$F, "224"))</f>
        <v>0</v>
      </c>
      <c r="CM70" s="116"/>
      <c r="CN70" s="426" t="e">
        <f>(CL70+CJ70)/CO69</f>
        <v>#DIV/0!</v>
      </c>
      <c r="CO70" s="370">
        <f>CJ67+SUM(CI67:CI70)</f>
        <v>0</v>
      </c>
      <c r="CP70" s="369">
        <f>SUMIFS(Collection!$O:$O, Collection!$K:$K, CP$2, Collection!$A:$A, "="&amp;$A70)</f>
        <v>0</v>
      </c>
      <c r="CQ70" s="116">
        <f>(SUMIFS('Bucket Counts'!$P:$P, 'Bucket Counts'!$B:$B, CQ$2, 'Bucket Counts'!$A:$A, "="&amp;$A70,  'Bucket Counts'!$F:$F, "&lt;&gt;100 Morts",  'Bucket Counts'!$F:$F, "&lt;&gt;224"))</f>
        <v>0</v>
      </c>
      <c r="CR70" s="116">
        <f>(SUMIFS('Bucket Counts'!$P:$P, 'Bucket Counts'!$B:$B, CR$2, 'Bucket Counts'!$A:$A, "="&amp;$A70,  'Bucket Counts'!$F:$F, "100 Morts"))</f>
        <v>0</v>
      </c>
      <c r="CS70" s="116">
        <f>(SUMIFS('Bucket Counts'!$P:$P, 'Bucket Counts'!$B:$B, CS$2, 'Bucket Counts'!$A:$A, "="&amp;$A70,  'Bucket Counts'!$F:$F, "224"))</f>
        <v>0</v>
      </c>
      <c r="CT70" s="116"/>
      <c r="CU70" s="426" t="e">
        <f>(CS70+CQ70)/CV69</f>
        <v>#DIV/0!</v>
      </c>
      <c r="CV70" s="370">
        <f>CQ67+SUM(CP67:CP70)</f>
        <v>0</v>
      </c>
      <c r="CW70" s="369">
        <f>SUMIFS(Collection!$O:$O, Collection!$K:$K, CW$2, Collection!$A:$A, "="&amp;$A70)</f>
        <v>0</v>
      </c>
      <c r="CX70" s="116">
        <f>(SUMIFS('Bucket Counts'!$P:$P, 'Bucket Counts'!$B:$B, CX$2, 'Bucket Counts'!$A:$A, "="&amp;$A70,  'Bucket Counts'!$F:$F, "&lt;&gt;100 Morts",  'Bucket Counts'!$F:$F, "&lt;&gt;224"))</f>
        <v>0</v>
      </c>
      <c r="CY70" s="116">
        <f>(SUMIFS('Bucket Counts'!$P:$P, 'Bucket Counts'!$B:$B, CY$2, 'Bucket Counts'!$A:$A, "="&amp;$A70,  'Bucket Counts'!$F:$F, "100 Morts"))</f>
        <v>0</v>
      </c>
      <c r="CZ70" s="116">
        <f>(SUMIFS('Bucket Counts'!$P:$P, 'Bucket Counts'!$B:$B, CZ$2, 'Bucket Counts'!$A:$A, "="&amp;$A70,  'Bucket Counts'!$F:$F, "224"))</f>
        <v>0</v>
      </c>
      <c r="DA70" s="116"/>
      <c r="DB70" s="426">
        <f>(CZ70+CX70)/DC69</f>
        <v>0</v>
      </c>
      <c r="DC70" s="370">
        <f>CX67+SUM(CW67:CW70)</f>
        <v>26.666666666666664</v>
      </c>
      <c r="DD70" s="369">
        <f>SUMIFS(Collection!$O:$O, Collection!$K:$K, DD$2, Collection!$A:$A, "="&amp;$A70)</f>
        <v>0</v>
      </c>
      <c r="DE70" s="116">
        <f>(SUMIFS('Bucket Counts'!$P:$P, 'Bucket Counts'!$B:$B, DE$2, 'Bucket Counts'!$A:$A, "="&amp;$A70,  'Bucket Counts'!$F:$F, "&lt;&gt;100 Morts",  'Bucket Counts'!$F:$F, "&lt;&gt;224"))</f>
        <v>0</v>
      </c>
      <c r="DF70" s="116">
        <f>(SUMIFS('Bucket Counts'!$P:$P, 'Bucket Counts'!$B:$B, DF$2, 'Bucket Counts'!$A:$A, "="&amp;$A70,  'Bucket Counts'!$F:$F, "100 Morts"))</f>
        <v>0</v>
      </c>
      <c r="DG70" s="116">
        <f>(SUMIFS('Bucket Counts'!$P:$P, 'Bucket Counts'!$B:$B, DG$2, 'Bucket Counts'!$A:$A, "="&amp;$A70,  'Bucket Counts'!$F:$F, "224"))</f>
        <v>0</v>
      </c>
      <c r="DH70" s="116"/>
      <c r="DI70" s="426" t="e">
        <f>(DG70+DE70)/DJ69</f>
        <v>#DIV/0!</v>
      </c>
      <c r="DJ70" s="370">
        <f>DE67+SUM(DD67:DD70)</f>
        <v>0</v>
      </c>
      <c r="DK70" s="369">
        <f>SUMIFS(Collection!$O:$O, Collection!$K:$K, DK$2, Collection!$A:$A, "="&amp;$A70)</f>
        <v>0</v>
      </c>
      <c r="DL70" s="116">
        <f>(SUMIFS('Bucket Counts'!$P:$P, 'Bucket Counts'!$B:$B, DL$2, 'Bucket Counts'!$A:$A, "="&amp;$A70,  'Bucket Counts'!$F:$F, "&lt;&gt;100 Morts",  'Bucket Counts'!$F:$F, "&lt;&gt;224"))</f>
        <v>0</v>
      </c>
      <c r="DM70" s="116">
        <f>(SUMIFS('Bucket Counts'!$P:$P, 'Bucket Counts'!$B:$B, DM$2, 'Bucket Counts'!$A:$A, "="&amp;$A70,  'Bucket Counts'!$F:$F, "100 Morts"))</f>
        <v>0</v>
      </c>
      <c r="DN70" s="116">
        <f>(SUMIFS('Bucket Counts'!$P:$P, 'Bucket Counts'!$B:$B, DN$2, 'Bucket Counts'!$A:$A, "="&amp;$A70,  'Bucket Counts'!$F:$F, "224"))</f>
        <v>0</v>
      </c>
      <c r="DO70" s="116"/>
      <c r="DP70" s="426" t="e">
        <f>(DN70+DL70)/DQ69</f>
        <v>#DIV/0!</v>
      </c>
      <c r="DQ70" s="370">
        <f>DL67+SUM(DK67:DK70)</f>
        <v>0</v>
      </c>
      <c r="DR70" s="369">
        <f>SUMIFS(Collection!$O:$O, Collection!$K:$K, DR$2, Collection!$A:$A, "="&amp;$A70)</f>
        <v>0</v>
      </c>
      <c r="DS70" s="116">
        <f>(SUMIFS('Bucket Counts'!$P:$P, 'Bucket Counts'!$B:$B, DS$2, 'Bucket Counts'!$A:$A, "="&amp;$A70,  'Bucket Counts'!$F:$F, "&lt;&gt;100 Morts",  'Bucket Counts'!$F:$F, "&lt;&gt;224"))</f>
        <v>0</v>
      </c>
      <c r="DT70" s="116">
        <f>(SUMIFS('Bucket Counts'!$P:$P, 'Bucket Counts'!$B:$B, DT$2, 'Bucket Counts'!$A:$A, "="&amp;$A70,  'Bucket Counts'!$F:$F, "100 Morts"))</f>
        <v>0</v>
      </c>
      <c r="DU70" s="116">
        <f>(SUMIFS('Bucket Counts'!$P:$P, 'Bucket Counts'!$B:$B, DU$2, 'Bucket Counts'!$A:$A, "="&amp;$A70,  'Bucket Counts'!$F:$F, "224"))</f>
        <v>0</v>
      </c>
      <c r="DV70" s="116"/>
      <c r="DW70" s="426" t="e">
        <f>(DU70+DS70)/DX69</f>
        <v>#DIV/0!</v>
      </c>
      <c r="DX70" s="370">
        <f>DS67+SUM(DR67:DR70)</f>
        <v>0</v>
      </c>
      <c r="DY70" s="369">
        <f>SUMIFS(Collection!$O:$O, Collection!$K:$K, DY$2, Collection!$A:$A, "="&amp;$A70)</f>
        <v>0</v>
      </c>
      <c r="DZ70" s="116">
        <f>(SUMIFS('Bucket Counts'!$P:$P, 'Bucket Counts'!$B:$B, DZ$2, 'Bucket Counts'!$A:$A, "="&amp;$A70,  'Bucket Counts'!$F:$F, "&lt;&gt;100 Morts",  'Bucket Counts'!$F:$F, "&lt;&gt;224"))</f>
        <v>0</v>
      </c>
      <c r="EA70" s="116">
        <f>(SUMIFS('Bucket Counts'!$P:$P, 'Bucket Counts'!$B:$B, EA$2, 'Bucket Counts'!$A:$A, "="&amp;$A70,  'Bucket Counts'!$F:$F, "100 Morts"))</f>
        <v>0</v>
      </c>
      <c r="EB70" s="116">
        <f>(SUMIFS('Bucket Counts'!$P:$P, 'Bucket Counts'!$B:$B, EB$2, 'Bucket Counts'!$A:$A, "="&amp;$A70,  'Bucket Counts'!$F:$F, "224"))</f>
        <v>0</v>
      </c>
      <c r="EC70" s="116"/>
      <c r="ED70" s="426" t="e">
        <f>(EB70+DZ70)/EE69</f>
        <v>#DIV/0!</v>
      </c>
      <c r="EE70" s="370">
        <f>DZ67+SUM(DY67:DY70)</f>
        <v>0</v>
      </c>
      <c r="EF70" s="369">
        <f>SUMIFS(Collection!$O:$O, Collection!$K:$K, EF$2, Collection!$A:$A, "="&amp;$A70)</f>
        <v>0</v>
      </c>
      <c r="EG70" s="116">
        <f>(SUMIFS('Bucket Counts'!$P:$P, 'Bucket Counts'!$B:$B, EG$2, 'Bucket Counts'!$A:$A, "="&amp;$A70,  'Bucket Counts'!$F:$F, "&lt;&gt;100 Morts",  'Bucket Counts'!$F:$F, "&lt;&gt;224"))</f>
        <v>0</v>
      </c>
      <c r="EH70" s="116">
        <f>(SUMIFS('Bucket Counts'!$P:$P, 'Bucket Counts'!$B:$B, EH$2, 'Bucket Counts'!$A:$A, "="&amp;$A70,  'Bucket Counts'!$F:$F, "100 Morts"))</f>
        <v>0</v>
      </c>
      <c r="EI70" s="116">
        <f>(SUMIFS('Bucket Counts'!$P:$P, 'Bucket Counts'!$B:$B, EI$2, 'Bucket Counts'!$A:$A, "="&amp;$A70,  'Bucket Counts'!$F:$F, "224"))</f>
        <v>0</v>
      </c>
      <c r="EJ70" s="116"/>
      <c r="EK70" s="426" t="e">
        <f>(EI70+EG70)/EL69</f>
        <v>#DIV/0!</v>
      </c>
      <c r="EL70" s="370">
        <f>EG67+SUM(EF67:EF70)</f>
        <v>0</v>
      </c>
    </row>
    <row r="71" spans="1:142" x14ac:dyDescent="0.2">
      <c r="A71" s="16">
        <f t="shared" si="0"/>
        <v>42940</v>
      </c>
      <c r="B71" s="16" t="s">
        <v>487</v>
      </c>
      <c r="C71" s="369">
        <f>SUMIFS(Collection!$O:$O, Collection!$K:$K, C$2, Collection!$A:$A, "="&amp;$A71)</f>
        <v>0</v>
      </c>
      <c r="D71" s="116">
        <f>(SUMIFS('Bucket Counts'!$P:$P, 'Bucket Counts'!$B:$B, D$2, 'Bucket Counts'!$A:$A, "="&amp;$A71,  'Bucket Counts'!$F:$F, "&lt;&gt;100 Morts",  'Bucket Counts'!$F:$F, "&lt;&gt;224"))</f>
        <v>0</v>
      </c>
      <c r="E71" s="116">
        <f>(SUMIFS('Bucket Counts'!$P:$P, 'Bucket Counts'!$B:$B, E$2, 'Bucket Counts'!$A:$A, "="&amp;$A71,  'Bucket Counts'!$F:$F, "100 Morts"))</f>
        <v>0</v>
      </c>
      <c r="F71" s="116">
        <f>(SUMIFS('Bucket Counts'!$P:$P, 'Bucket Counts'!$B:$B, F$2, 'Bucket Counts'!$A:$A, "="&amp;$A71,  'Bucket Counts'!$F:$F, "224"))</f>
        <v>0</v>
      </c>
      <c r="G71" s="116"/>
      <c r="H71" s="426">
        <f>(F71+D71)/I70</f>
        <v>0</v>
      </c>
      <c r="I71" s="370">
        <f>D67+SUM(C67:C71)</f>
        <v>25</v>
      </c>
      <c r="J71" s="369">
        <f>SUMIFS(Collection!$O:$O, Collection!$K:$K, J$2, Collection!$A:$A, "="&amp;$A71)</f>
        <v>0</v>
      </c>
      <c r="K71" s="116">
        <f>(SUMIFS('Bucket Counts'!$P:$P, 'Bucket Counts'!$B:$B, K$2, 'Bucket Counts'!$A:$A, "="&amp;$A71,  'Bucket Counts'!$F:$F, "&lt;&gt;100 Morts",  'Bucket Counts'!$F:$F, "&lt;&gt;224"))</f>
        <v>0</v>
      </c>
      <c r="L71" s="116">
        <f>(SUMIFS('Bucket Counts'!$P:$P, 'Bucket Counts'!$B:$B, L$2, 'Bucket Counts'!$A:$A, "="&amp;$A71,  'Bucket Counts'!$F:$F, "100 Morts"))</f>
        <v>0</v>
      </c>
      <c r="M71" s="116">
        <f>(SUMIFS('Bucket Counts'!$P:$P, 'Bucket Counts'!$B:$B, M$2, 'Bucket Counts'!$A:$A, "="&amp;$A71,  'Bucket Counts'!$F:$F, "224"))</f>
        <v>0</v>
      </c>
      <c r="N71" s="116"/>
      <c r="O71" s="426">
        <f>(M71+K71)/P70</f>
        <v>0</v>
      </c>
      <c r="P71" s="370">
        <f>K67+SUM(J67:J71)</f>
        <v>275</v>
      </c>
      <c r="Q71" s="369">
        <f>SUMIFS(Collection!$O:$O, Collection!$K:$K, Q$2, Collection!$A:$A, "="&amp;$A71)</f>
        <v>0</v>
      </c>
      <c r="R71" s="116">
        <f>(SUMIFS('Bucket Counts'!$P:$P, 'Bucket Counts'!$B:$B, R$2, 'Bucket Counts'!$A:$A, "="&amp;$A71,  'Bucket Counts'!$F:$F, "&lt;&gt;100 Morts",  'Bucket Counts'!$F:$F, "&lt;&gt;224"))</f>
        <v>0</v>
      </c>
      <c r="S71" s="116">
        <f>(SUMIFS('Bucket Counts'!$P:$P, 'Bucket Counts'!$B:$B, S$2, 'Bucket Counts'!$A:$A, "="&amp;$A71,  'Bucket Counts'!$F:$F, "100 Morts"))</f>
        <v>0</v>
      </c>
      <c r="T71" s="116">
        <f>(SUMIFS('Bucket Counts'!$P:$P, 'Bucket Counts'!$B:$B, T$2, 'Bucket Counts'!$A:$A, "="&amp;$A71,  'Bucket Counts'!$F:$F, "224"))</f>
        <v>0</v>
      </c>
      <c r="U71" s="116"/>
      <c r="V71" s="426" t="e">
        <f>(T71+R71)/W70</f>
        <v>#DIV/0!</v>
      </c>
      <c r="W71" s="370">
        <f>R67+SUM(Q67:Q71)</f>
        <v>0</v>
      </c>
      <c r="X71" s="369">
        <f>SUMIFS(Collection!$O:$O, Collection!$K:$K, X$2, Collection!$A:$A, "="&amp;$A71)</f>
        <v>0</v>
      </c>
      <c r="Y71" s="116">
        <f>(SUMIFS('Bucket Counts'!$P:$P, 'Bucket Counts'!$B:$B, Y$2, 'Bucket Counts'!$A:$A, "="&amp;$A71,  'Bucket Counts'!$F:$F, "&lt;&gt;100 Morts",  'Bucket Counts'!$F:$F, "&lt;&gt;224"))</f>
        <v>0</v>
      </c>
      <c r="Z71" s="116">
        <f>(SUMIFS('Bucket Counts'!$P:$P, 'Bucket Counts'!$B:$B, Z$2, 'Bucket Counts'!$A:$A, "="&amp;$A71,  'Bucket Counts'!$F:$F, "100 Morts"))</f>
        <v>0</v>
      </c>
      <c r="AA71" s="116">
        <f>(SUMIFS('Bucket Counts'!$P:$P, 'Bucket Counts'!$B:$B, AA$2, 'Bucket Counts'!$A:$A, "="&amp;$A71,  'Bucket Counts'!$F:$F, "224"))</f>
        <v>0</v>
      </c>
      <c r="AB71" s="116"/>
      <c r="AC71" s="426" t="e">
        <f>(AA71+Y71)/AD70</f>
        <v>#DIV/0!</v>
      </c>
      <c r="AD71" s="370">
        <f>Y67+SUM(X67:X71)</f>
        <v>0</v>
      </c>
      <c r="AE71" s="369">
        <f>SUMIFS(Collection!$O:$O, Collection!$K:$K, AE$2, Collection!$A:$A, "="&amp;$A71)</f>
        <v>0</v>
      </c>
      <c r="AF71" s="116">
        <f>(SUMIFS('Bucket Counts'!$P:$P, 'Bucket Counts'!$B:$B, AF$2, 'Bucket Counts'!$A:$A, "="&amp;$A71,  'Bucket Counts'!$F:$F, "&lt;&gt;100 Morts",  'Bucket Counts'!$F:$F, "&lt;&gt;224"))</f>
        <v>0</v>
      </c>
      <c r="AG71" s="116">
        <f>(SUMIFS('Bucket Counts'!$P:$P, 'Bucket Counts'!$B:$B, AG$2, 'Bucket Counts'!$A:$A, "="&amp;$A71,  'Bucket Counts'!$F:$F, "100 Morts"))</f>
        <v>0</v>
      </c>
      <c r="AH71" s="116">
        <f>(SUMIFS('Bucket Counts'!$P:$P, 'Bucket Counts'!$B:$B, AH$2, 'Bucket Counts'!$A:$A, "="&amp;$A71,  'Bucket Counts'!$F:$F, "224"))</f>
        <v>0</v>
      </c>
      <c r="AI71" s="116"/>
      <c r="AJ71" s="426">
        <f>(AH71+AF71)/AK70</f>
        <v>0</v>
      </c>
      <c r="AK71" s="370">
        <f>AF67+SUM(AE67:AE71)</f>
        <v>7626.6666666666661</v>
      </c>
      <c r="AL71" s="369">
        <f>SUMIFS(Collection!$O:$O, Collection!$K:$K, AL$2, Collection!$A:$A, "="&amp;$A71)</f>
        <v>0</v>
      </c>
      <c r="AM71" s="116">
        <f>(SUMIFS('Bucket Counts'!$P:$P, 'Bucket Counts'!$B:$B, AM$2, 'Bucket Counts'!$A:$A, "="&amp;$A71,  'Bucket Counts'!$F:$F, "&lt;&gt;100 Morts",  'Bucket Counts'!$F:$F, "&lt;&gt;224"))</f>
        <v>0</v>
      </c>
      <c r="AN71" s="116">
        <f>(SUMIFS('Bucket Counts'!$P:$P, 'Bucket Counts'!$B:$B, AN$2, 'Bucket Counts'!$A:$A, "="&amp;$A71,  'Bucket Counts'!$F:$F, "100 Morts"))</f>
        <v>0</v>
      </c>
      <c r="AO71" s="116">
        <f>(SUMIFS('Bucket Counts'!$P:$P, 'Bucket Counts'!$B:$B, AO$2, 'Bucket Counts'!$A:$A, "="&amp;$A71,  'Bucket Counts'!$F:$F, "224"))</f>
        <v>0</v>
      </c>
      <c r="AP71" s="116"/>
      <c r="AQ71" s="426" t="e">
        <f>(AO71+AM71)/AR70</f>
        <v>#DIV/0!</v>
      </c>
      <c r="AR71" s="370">
        <f>AM67+SUM(AL67:AL71)</f>
        <v>0</v>
      </c>
      <c r="AS71" s="369">
        <f>SUMIFS(Collection!$O:$O, Collection!$K:$K, AS$2, Collection!$A:$A, "="&amp;$A71)</f>
        <v>0</v>
      </c>
      <c r="AT71" s="116">
        <f>(SUMIFS('Bucket Counts'!$P:$P, 'Bucket Counts'!$B:$B, AT$2, 'Bucket Counts'!$A:$A, "="&amp;$A71,  'Bucket Counts'!$F:$F, "&lt;&gt;100 Morts",  'Bucket Counts'!$F:$F, "&lt;&gt;224"))</f>
        <v>0</v>
      </c>
      <c r="AU71" s="116">
        <f>(SUMIFS('Bucket Counts'!$P:$P, 'Bucket Counts'!$B:$B, AU$2, 'Bucket Counts'!$A:$A, "="&amp;$A71,  'Bucket Counts'!$F:$F, "100 Morts"))</f>
        <v>0</v>
      </c>
      <c r="AV71" s="116">
        <f>(SUMIFS('Bucket Counts'!$P:$P, 'Bucket Counts'!$B:$B, AV$2, 'Bucket Counts'!$A:$A, "="&amp;$A71,  'Bucket Counts'!$F:$F, "224"))</f>
        <v>0</v>
      </c>
      <c r="AW71" s="116"/>
      <c r="AX71" s="426" t="e">
        <f>(AV71+AT71)/AY70</f>
        <v>#DIV/0!</v>
      </c>
      <c r="AY71" s="370">
        <f>AT67+SUM(AS67:AS71)</f>
        <v>0</v>
      </c>
      <c r="AZ71" s="369">
        <f>SUMIFS(Collection!$O:$O, Collection!$K:$K, AZ$2, Collection!$A:$A, "="&amp;$A71)</f>
        <v>0</v>
      </c>
      <c r="BA71" s="116">
        <f>(SUMIFS('Bucket Counts'!$P:$P, 'Bucket Counts'!$B:$B, BA$2, 'Bucket Counts'!$A:$A, "="&amp;$A71,  'Bucket Counts'!$F:$F, "&lt;&gt;100 Morts",  'Bucket Counts'!$F:$F, "&lt;&gt;224"))</f>
        <v>0</v>
      </c>
      <c r="BB71" s="116">
        <f>(SUMIFS('Bucket Counts'!$P:$P, 'Bucket Counts'!$B:$B, BB$2, 'Bucket Counts'!$A:$A, "="&amp;$A71,  'Bucket Counts'!$F:$F, "100 Morts"))</f>
        <v>0</v>
      </c>
      <c r="BC71" s="116">
        <f>(SUMIFS('Bucket Counts'!$P:$P, 'Bucket Counts'!$B:$B, BC$2, 'Bucket Counts'!$A:$A, "="&amp;$A71,  'Bucket Counts'!$F:$F, "224"))</f>
        <v>0</v>
      </c>
      <c r="BD71" s="116"/>
      <c r="BE71" s="426" t="e">
        <f>(BC71+BA71)/BF70</f>
        <v>#DIV/0!</v>
      </c>
      <c r="BF71" s="370">
        <f>BA67+SUM(AZ67:AZ71)</f>
        <v>0</v>
      </c>
      <c r="BG71" s="369">
        <f>SUMIFS(Collection!$O:$O, Collection!$K:$K, BG$2, Collection!$A:$A, "="&amp;$A71)</f>
        <v>0</v>
      </c>
      <c r="BH71" s="116">
        <f>(SUMIFS('Bucket Counts'!$P:$P, 'Bucket Counts'!$B:$B, BH$2, 'Bucket Counts'!$A:$A, "="&amp;$A71,  'Bucket Counts'!$F:$F, "&lt;&gt;100 Morts",  'Bucket Counts'!$F:$F, "&lt;&gt;224"))</f>
        <v>0</v>
      </c>
      <c r="BI71" s="116">
        <f>(SUMIFS('Bucket Counts'!$P:$P, 'Bucket Counts'!$B:$B, BI$2, 'Bucket Counts'!$A:$A, "="&amp;$A71,  'Bucket Counts'!$F:$F, "100 Morts"))</f>
        <v>0</v>
      </c>
      <c r="BJ71" s="116">
        <f>(SUMIFS('Bucket Counts'!$P:$P, 'Bucket Counts'!$B:$B, BJ$2, 'Bucket Counts'!$A:$A, "="&amp;$A71,  'Bucket Counts'!$F:$F, "224"))</f>
        <v>0</v>
      </c>
      <c r="BK71" s="116"/>
      <c r="BL71" s="426">
        <f>(BJ71+BH71)/BM70</f>
        <v>0</v>
      </c>
      <c r="BM71" s="370">
        <f>BH67+SUM(BG67:BG71)</f>
        <v>311.11111111111109</v>
      </c>
      <c r="BN71" s="369">
        <f>SUMIFS(Collection!$O:$O, Collection!$K:$K, BN$2, Collection!$A:$A, "="&amp;$A71)</f>
        <v>0</v>
      </c>
      <c r="BO71" s="116">
        <f>(SUMIFS('Bucket Counts'!$P:$P, 'Bucket Counts'!$B:$B, BO$2, 'Bucket Counts'!$A:$A, "="&amp;$A71,  'Bucket Counts'!$F:$F, "&lt;&gt;100 Morts",  'Bucket Counts'!$F:$F, "&lt;&gt;224"))</f>
        <v>0</v>
      </c>
      <c r="BP71" s="116">
        <f>(SUMIFS('Bucket Counts'!$P:$P, 'Bucket Counts'!$B:$B, BP$2, 'Bucket Counts'!$A:$A, "="&amp;$A71,  'Bucket Counts'!$F:$F, "100 Morts"))</f>
        <v>0</v>
      </c>
      <c r="BQ71" s="116">
        <f>(SUMIFS('Bucket Counts'!$P:$P, 'Bucket Counts'!$B:$B, BQ$2, 'Bucket Counts'!$A:$A, "="&amp;$A71,  'Bucket Counts'!$F:$F, "224"))</f>
        <v>0</v>
      </c>
      <c r="BR71" s="116"/>
      <c r="BS71" s="426">
        <f>(BQ71+BO71)/BT70</f>
        <v>0</v>
      </c>
      <c r="BT71" s="370">
        <f>BO67+SUM(BN67:BN71)</f>
        <v>1125</v>
      </c>
      <c r="BU71" s="369">
        <f>SUMIFS(Collection!$O:$O, Collection!$K:$K, BU$2, Collection!$A:$A, "="&amp;$A71)</f>
        <v>0</v>
      </c>
      <c r="BV71" s="116">
        <f>(SUMIFS('Bucket Counts'!$P:$P, 'Bucket Counts'!$B:$B, BV$2, 'Bucket Counts'!$A:$A, "="&amp;$A71,  'Bucket Counts'!$F:$F, "&lt;&gt;100 Morts",  'Bucket Counts'!$F:$F, "&lt;&gt;224"))</f>
        <v>0</v>
      </c>
      <c r="BW71" s="116">
        <f>(SUMIFS('Bucket Counts'!$P:$P, 'Bucket Counts'!$B:$B, BW$2, 'Bucket Counts'!$A:$A, "="&amp;$A71,  'Bucket Counts'!$F:$F, "100 Morts"))</f>
        <v>0</v>
      </c>
      <c r="BX71" s="116">
        <f>(SUMIFS('Bucket Counts'!$P:$P, 'Bucket Counts'!$B:$B, BX$2, 'Bucket Counts'!$A:$A, "="&amp;$A71,  'Bucket Counts'!$F:$F, "224"))</f>
        <v>0</v>
      </c>
      <c r="BY71" s="116"/>
      <c r="BZ71" s="426" t="e">
        <f>(BX71+BV71)/CA70</f>
        <v>#DIV/0!</v>
      </c>
      <c r="CA71" s="370">
        <f>BV67+SUM(BU67:BU71)</f>
        <v>0</v>
      </c>
      <c r="CB71" s="369">
        <f>SUMIFS(Collection!$O:$O, Collection!$K:$K, CB$2, Collection!$A:$A, "="&amp;$A71)</f>
        <v>0</v>
      </c>
      <c r="CC71" s="116">
        <f>(SUMIFS('Bucket Counts'!$P:$P, 'Bucket Counts'!$B:$B, CC$2, 'Bucket Counts'!$A:$A, "="&amp;$A71,  'Bucket Counts'!$F:$F, "&lt;&gt;100 Morts",  'Bucket Counts'!$F:$F, "&lt;&gt;224"))</f>
        <v>0</v>
      </c>
      <c r="CD71" s="116">
        <f>(SUMIFS('Bucket Counts'!$P:$P, 'Bucket Counts'!$B:$B, CD$2, 'Bucket Counts'!$A:$A, "="&amp;$A71,  'Bucket Counts'!$F:$F, "100 Morts"))</f>
        <v>0</v>
      </c>
      <c r="CE71" s="116">
        <f>(SUMIFS('Bucket Counts'!$P:$P, 'Bucket Counts'!$B:$B, CE$2, 'Bucket Counts'!$A:$A, "="&amp;$A71,  'Bucket Counts'!$F:$F, "224"))</f>
        <v>0</v>
      </c>
      <c r="CF71" s="116"/>
      <c r="CG71" s="426">
        <f>(CE71+CC71)/CH70</f>
        <v>0</v>
      </c>
      <c r="CH71" s="370">
        <f>CC67+SUM(CB67:CB71)</f>
        <v>133.33333333333331</v>
      </c>
      <c r="CI71" s="369">
        <f>SUMIFS(Collection!$O:$O, Collection!$K:$K, CI$2, Collection!$A:$A, "="&amp;$A71)</f>
        <v>0</v>
      </c>
      <c r="CJ71" s="116">
        <f>(SUMIFS('Bucket Counts'!$P:$P, 'Bucket Counts'!$B:$B, CJ$2, 'Bucket Counts'!$A:$A, "="&amp;$A71,  'Bucket Counts'!$F:$F, "&lt;&gt;100 Morts",  'Bucket Counts'!$F:$F, "&lt;&gt;224"))</f>
        <v>0</v>
      </c>
      <c r="CK71" s="116">
        <f>(SUMIFS('Bucket Counts'!$P:$P, 'Bucket Counts'!$B:$B, CK$2, 'Bucket Counts'!$A:$A, "="&amp;$A71,  'Bucket Counts'!$F:$F, "100 Morts"))</f>
        <v>0</v>
      </c>
      <c r="CL71" s="116">
        <f>(SUMIFS('Bucket Counts'!$P:$P, 'Bucket Counts'!$B:$B, CL$2, 'Bucket Counts'!$A:$A, "="&amp;$A71,  'Bucket Counts'!$F:$F, "224"))</f>
        <v>0</v>
      </c>
      <c r="CM71" s="116"/>
      <c r="CN71" s="426" t="e">
        <f>(CL71+CJ71)/CO70</f>
        <v>#DIV/0!</v>
      </c>
      <c r="CO71" s="370">
        <f>CJ67+SUM(CI67:CI71)</f>
        <v>0</v>
      </c>
      <c r="CP71" s="369">
        <f>SUMIFS(Collection!$O:$O, Collection!$K:$K, CP$2, Collection!$A:$A, "="&amp;$A71)</f>
        <v>0</v>
      </c>
      <c r="CQ71" s="116">
        <f>(SUMIFS('Bucket Counts'!$P:$P, 'Bucket Counts'!$B:$B, CQ$2, 'Bucket Counts'!$A:$A, "="&amp;$A71,  'Bucket Counts'!$F:$F, "&lt;&gt;100 Morts",  'Bucket Counts'!$F:$F, "&lt;&gt;224"))</f>
        <v>0</v>
      </c>
      <c r="CR71" s="116">
        <f>(SUMIFS('Bucket Counts'!$P:$P, 'Bucket Counts'!$B:$B, CR$2, 'Bucket Counts'!$A:$A, "="&amp;$A71,  'Bucket Counts'!$F:$F, "100 Morts"))</f>
        <v>0</v>
      </c>
      <c r="CS71" s="116">
        <f>(SUMIFS('Bucket Counts'!$P:$P, 'Bucket Counts'!$B:$B, CS$2, 'Bucket Counts'!$A:$A, "="&amp;$A71,  'Bucket Counts'!$F:$F, "224"))</f>
        <v>0</v>
      </c>
      <c r="CT71" s="116"/>
      <c r="CU71" s="426" t="e">
        <f>(CS71+CQ71)/CV70</f>
        <v>#DIV/0!</v>
      </c>
      <c r="CV71" s="370">
        <f>CQ67+SUM(CP67:CP71)</f>
        <v>0</v>
      </c>
      <c r="CW71" s="369">
        <f>SUMIFS(Collection!$O:$O, Collection!$K:$K, CW$2, Collection!$A:$A, "="&amp;$A71)</f>
        <v>0</v>
      </c>
      <c r="CX71" s="116">
        <f>(SUMIFS('Bucket Counts'!$P:$P, 'Bucket Counts'!$B:$B, CX$2, 'Bucket Counts'!$A:$A, "="&amp;$A71,  'Bucket Counts'!$F:$F, "&lt;&gt;100 Morts",  'Bucket Counts'!$F:$F, "&lt;&gt;224"))</f>
        <v>0</v>
      </c>
      <c r="CY71" s="116">
        <f>(SUMIFS('Bucket Counts'!$P:$P, 'Bucket Counts'!$B:$B, CY$2, 'Bucket Counts'!$A:$A, "="&amp;$A71,  'Bucket Counts'!$F:$F, "100 Morts"))</f>
        <v>0</v>
      </c>
      <c r="CZ71" s="116">
        <f>(SUMIFS('Bucket Counts'!$P:$P, 'Bucket Counts'!$B:$B, CZ$2, 'Bucket Counts'!$A:$A, "="&amp;$A71,  'Bucket Counts'!$F:$F, "224"))</f>
        <v>0</v>
      </c>
      <c r="DA71" s="116"/>
      <c r="DB71" s="426">
        <f>(CZ71+CX71)/DC70</f>
        <v>0</v>
      </c>
      <c r="DC71" s="370">
        <f>CX67+SUM(CW67:CW71)</f>
        <v>26.666666666666664</v>
      </c>
      <c r="DD71" s="369">
        <f>SUMIFS(Collection!$O:$O, Collection!$K:$K, DD$2, Collection!$A:$A, "="&amp;$A71)</f>
        <v>0</v>
      </c>
      <c r="DE71" s="116">
        <f>(SUMIFS('Bucket Counts'!$P:$P, 'Bucket Counts'!$B:$B, DE$2, 'Bucket Counts'!$A:$A, "="&amp;$A71,  'Bucket Counts'!$F:$F, "&lt;&gt;100 Morts",  'Bucket Counts'!$F:$F, "&lt;&gt;224"))</f>
        <v>0</v>
      </c>
      <c r="DF71" s="116">
        <f>(SUMIFS('Bucket Counts'!$P:$P, 'Bucket Counts'!$B:$B, DF$2, 'Bucket Counts'!$A:$A, "="&amp;$A71,  'Bucket Counts'!$F:$F, "100 Morts"))</f>
        <v>0</v>
      </c>
      <c r="DG71" s="116">
        <f>(SUMIFS('Bucket Counts'!$P:$P, 'Bucket Counts'!$B:$B, DG$2, 'Bucket Counts'!$A:$A, "="&amp;$A71,  'Bucket Counts'!$F:$F, "224"))</f>
        <v>0</v>
      </c>
      <c r="DH71" s="116"/>
      <c r="DI71" s="426" t="e">
        <f>(DG71+DE71)/DJ70</f>
        <v>#DIV/0!</v>
      </c>
      <c r="DJ71" s="370">
        <f>DE67+SUM(DD67:DD71)</f>
        <v>0</v>
      </c>
      <c r="DK71" s="369">
        <f>SUMIFS(Collection!$O:$O, Collection!$K:$K, DK$2, Collection!$A:$A, "="&amp;$A71)</f>
        <v>0</v>
      </c>
      <c r="DL71" s="116">
        <f>(SUMIFS('Bucket Counts'!$P:$P, 'Bucket Counts'!$B:$B, DL$2, 'Bucket Counts'!$A:$A, "="&amp;$A71,  'Bucket Counts'!$F:$F, "&lt;&gt;100 Morts",  'Bucket Counts'!$F:$F, "&lt;&gt;224"))</f>
        <v>0</v>
      </c>
      <c r="DM71" s="116">
        <f>(SUMIFS('Bucket Counts'!$P:$P, 'Bucket Counts'!$B:$B, DM$2, 'Bucket Counts'!$A:$A, "="&amp;$A71,  'Bucket Counts'!$F:$F, "100 Morts"))</f>
        <v>0</v>
      </c>
      <c r="DN71" s="116">
        <f>(SUMIFS('Bucket Counts'!$P:$P, 'Bucket Counts'!$B:$B, DN$2, 'Bucket Counts'!$A:$A, "="&amp;$A71,  'Bucket Counts'!$F:$F, "224"))</f>
        <v>0</v>
      </c>
      <c r="DO71" s="116"/>
      <c r="DP71" s="426" t="e">
        <f>(DN71+DL71)/DQ70</f>
        <v>#DIV/0!</v>
      </c>
      <c r="DQ71" s="370">
        <f>DL67+SUM(DK67:DK71)</f>
        <v>0</v>
      </c>
      <c r="DR71" s="369">
        <f>SUMIFS(Collection!$O:$O, Collection!$K:$K, DR$2, Collection!$A:$A, "="&amp;$A71)</f>
        <v>0</v>
      </c>
      <c r="DS71" s="116">
        <f>(SUMIFS('Bucket Counts'!$P:$P, 'Bucket Counts'!$B:$B, DS$2, 'Bucket Counts'!$A:$A, "="&amp;$A71,  'Bucket Counts'!$F:$F, "&lt;&gt;100 Morts",  'Bucket Counts'!$F:$F, "&lt;&gt;224"))</f>
        <v>0</v>
      </c>
      <c r="DT71" s="116">
        <f>(SUMIFS('Bucket Counts'!$P:$P, 'Bucket Counts'!$B:$B, DT$2, 'Bucket Counts'!$A:$A, "="&amp;$A71,  'Bucket Counts'!$F:$F, "100 Morts"))</f>
        <v>0</v>
      </c>
      <c r="DU71" s="116">
        <f>(SUMIFS('Bucket Counts'!$P:$P, 'Bucket Counts'!$B:$B, DU$2, 'Bucket Counts'!$A:$A, "="&amp;$A71,  'Bucket Counts'!$F:$F, "224"))</f>
        <v>0</v>
      </c>
      <c r="DV71" s="116"/>
      <c r="DW71" s="426" t="e">
        <f>(DU71+DS71)/DX70</f>
        <v>#DIV/0!</v>
      </c>
      <c r="DX71" s="370">
        <f>DS67+SUM(DR67:DR71)</f>
        <v>0</v>
      </c>
      <c r="DY71" s="369">
        <f>SUMIFS(Collection!$O:$O, Collection!$K:$K, DY$2, Collection!$A:$A, "="&amp;$A71)</f>
        <v>0</v>
      </c>
      <c r="DZ71" s="116">
        <f>(SUMIFS('Bucket Counts'!$P:$P, 'Bucket Counts'!$B:$B, DZ$2, 'Bucket Counts'!$A:$A, "="&amp;$A71,  'Bucket Counts'!$F:$F, "&lt;&gt;100 Morts",  'Bucket Counts'!$F:$F, "&lt;&gt;224"))</f>
        <v>0</v>
      </c>
      <c r="EA71" s="116">
        <f>(SUMIFS('Bucket Counts'!$P:$P, 'Bucket Counts'!$B:$B, EA$2, 'Bucket Counts'!$A:$A, "="&amp;$A71,  'Bucket Counts'!$F:$F, "100 Morts"))</f>
        <v>0</v>
      </c>
      <c r="EB71" s="116">
        <f>(SUMIFS('Bucket Counts'!$P:$P, 'Bucket Counts'!$B:$B, EB$2, 'Bucket Counts'!$A:$A, "="&amp;$A71,  'Bucket Counts'!$F:$F, "224"))</f>
        <v>0</v>
      </c>
      <c r="EC71" s="116"/>
      <c r="ED71" s="426" t="e">
        <f>(EB71+DZ71)/EE70</f>
        <v>#DIV/0!</v>
      </c>
      <c r="EE71" s="370">
        <f>DZ67+SUM(DY67:DY71)</f>
        <v>0</v>
      </c>
      <c r="EF71" s="369">
        <f>SUMIFS(Collection!$O:$O, Collection!$K:$K, EF$2, Collection!$A:$A, "="&amp;$A71)</f>
        <v>0</v>
      </c>
      <c r="EG71" s="116">
        <f>(SUMIFS('Bucket Counts'!$P:$P, 'Bucket Counts'!$B:$B, EG$2, 'Bucket Counts'!$A:$A, "="&amp;$A71,  'Bucket Counts'!$F:$F, "&lt;&gt;100 Morts",  'Bucket Counts'!$F:$F, "&lt;&gt;224"))</f>
        <v>0</v>
      </c>
      <c r="EH71" s="116">
        <f>(SUMIFS('Bucket Counts'!$P:$P, 'Bucket Counts'!$B:$B, EH$2, 'Bucket Counts'!$A:$A, "="&amp;$A71,  'Bucket Counts'!$F:$F, "100 Morts"))</f>
        <v>0</v>
      </c>
      <c r="EI71" s="116">
        <f>(SUMIFS('Bucket Counts'!$P:$P, 'Bucket Counts'!$B:$B, EI$2, 'Bucket Counts'!$A:$A, "="&amp;$A71,  'Bucket Counts'!$F:$F, "224"))</f>
        <v>0</v>
      </c>
      <c r="EJ71" s="116"/>
      <c r="EK71" s="426" t="e">
        <f>(EI71+EG71)/EL70</f>
        <v>#DIV/0!</v>
      </c>
      <c r="EL71" s="370">
        <f>EG67+SUM(EF67:EF71)</f>
        <v>0</v>
      </c>
    </row>
    <row r="72" spans="1:142" s="434" customFormat="1" x14ac:dyDescent="0.2">
      <c r="A72" s="428">
        <f t="shared" si="0"/>
        <v>42941</v>
      </c>
      <c r="B72" s="428" t="s">
        <v>486</v>
      </c>
      <c r="C72" s="429">
        <f>SUMIFS(Collection!$O:$O, Collection!$K:$K, C$2, Collection!$A:$A, "="&amp;$A72)</f>
        <v>0</v>
      </c>
      <c r="D72" s="430">
        <f>(SUMIFS('Bucket Counts'!$P:$P, 'Bucket Counts'!$B:$B, D$2, 'Bucket Counts'!$A:$A, "="&amp;$A72,  'Bucket Counts'!$F:$F, "&lt;&gt;100 Morts",  'Bucket Counts'!$F:$F, "&lt;&gt;224"))</f>
        <v>0</v>
      </c>
      <c r="E72" s="430">
        <f>(SUMIFS('Bucket Counts'!$P:$P, 'Bucket Counts'!$B:$B, E$2, 'Bucket Counts'!$A:$A, "="&amp;$A72,  'Bucket Counts'!$F:$F, "100 Morts"))</f>
        <v>0</v>
      </c>
      <c r="F72" s="430">
        <f>(SUMIFS('Bucket Counts'!$P:$P, 'Bucket Counts'!$B:$B, F$2, 'Bucket Counts'!$A:$A, "="&amp;$A72,  'Bucket Counts'!$F:$F, "224"))</f>
        <v>0</v>
      </c>
      <c r="G72" s="430"/>
      <c r="H72" s="431">
        <f>SUM(D72+F72)</f>
        <v>0</v>
      </c>
      <c r="I72" s="432">
        <f>D72+C72</f>
        <v>0</v>
      </c>
      <c r="J72" s="429">
        <f>SUMIFS(Collection!$O:$O, Collection!$K:$K, J$2, Collection!$A:$A, "="&amp;$A72)</f>
        <v>0</v>
      </c>
      <c r="K72" s="430">
        <f>(SUMIFS('Bucket Counts'!$P:$P, 'Bucket Counts'!$B:$B, K$2, 'Bucket Counts'!$A:$A, "="&amp;$A72,  'Bucket Counts'!$F:$F, "&lt;&gt;100 Morts",  'Bucket Counts'!$F:$F, "&lt;&gt;224"))</f>
        <v>0</v>
      </c>
      <c r="L72" s="430">
        <f>(SUMIFS('Bucket Counts'!$P:$P, 'Bucket Counts'!$B:$B, L$2, 'Bucket Counts'!$A:$A, "="&amp;$A72,  'Bucket Counts'!$F:$F, "100 Morts"))</f>
        <v>0</v>
      </c>
      <c r="M72" s="430">
        <f>(SUMIFS('Bucket Counts'!$P:$P, 'Bucket Counts'!$B:$B, M$2, 'Bucket Counts'!$A:$A, "="&amp;$A72,  'Bucket Counts'!$F:$F, "224"))</f>
        <v>0</v>
      </c>
      <c r="N72" s="430"/>
      <c r="O72" s="431">
        <f>SUM(K72+M72)</f>
        <v>0</v>
      </c>
      <c r="P72" s="432">
        <f>K72+J72</f>
        <v>0</v>
      </c>
      <c r="Q72" s="429">
        <f>SUMIFS(Collection!$O:$O, Collection!$K:$K, Q$2, Collection!$A:$A, "="&amp;$A72)</f>
        <v>0</v>
      </c>
      <c r="R72" s="430">
        <f>(SUMIFS('Bucket Counts'!$P:$P, 'Bucket Counts'!$B:$B, R$2, 'Bucket Counts'!$A:$A, "="&amp;$A72,  'Bucket Counts'!$F:$F, "&lt;&gt;100 Morts",  'Bucket Counts'!$F:$F, "&lt;&gt;224"))</f>
        <v>0</v>
      </c>
      <c r="S72" s="430">
        <f>(SUMIFS('Bucket Counts'!$P:$P, 'Bucket Counts'!$B:$B, S$2, 'Bucket Counts'!$A:$A, "="&amp;$A72,  'Bucket Counts'!$F:$F, "100 Morts"))</f>
        <v>0</v>
      </c>
      <c r="T72" s="430">
        <f>(SUMIFS('Bucket Counts'!$P:$P, 'Bucket Counts'!$B:$B, T$2, 'Bucket Counts'!$A:$A, "="&amp;$A72,  'Bucket Counts'!$F:$F, "224"))</f>
        <v>0</v>
      </c>
      <c r="U72" s="430"/>
      <c r="V72" s="431">
        <f>SUM(R72+T72)</f>
        <v>0</v>
      </c>
      <c r="W72" s="432">
        <f>R72+Q72</f>
        <v>0</v>
      </c>
      <c r="X72" s="429">
        <f>SUMIFS(Collection!$O:$O, Collection!$K:$K, X$2, Collection!$A:$A, "="&amp;$A72)</f>
        <v>0</v>
      </c>
      <c r="Y72" s="430">
        <f>(SUMIFS('Bucket Counts'!$P:$P, 'Bucket Counts'!$B:$B, Y$2, 'Bucket Counts'!$A:$A, "="&amp;$A72,  'Bucket Counts'!$F:$F, "&lt;&gt;100 Morts",  'Bucket Counts'!$F:$F, "&lt;&gt;224"))</f>
        <v>0</v>
      </c>
      <c r="Z72" s="430">
        <f>(SUMIFS('Bucket Counts'!$P:$P, 'Bucket Counts'!$B:$B, Z$2, 'Bucket Counts'!$A:$A, "="&amp;$A72,  'Bucket Counts'!$F:$F, "100 Morts"))</f>
        <v>0</v>
      </c>
      <c r="AA72" s="430">
        <f>(SUMIFS('Bucket Counts'!$P:$P, 'Bucket Counts'!$B:$B, AA$2, 'Bucket Counts'!$A:$A, "="&amp;$A72,  'Bucket Counts'!$F:$F, "224"))</f>
        <v>0</v>
      </c>
      <c r="AB72" s="430"/>
      <c r="AC72" s="431">
        <f>SUM(Y72+AA72)</f>
        <v>0</v>
      </c>
      <c r="AD72" s="432">
        <f>Y72+X72</f>
        <v>0</v>
      </c>
      <c r="AE72" s="429">
        <f>SUMIFS(Collection!$O:$O, Collection!$K:$K, AE$2, Collection!$A:$A, "="&amp;$A72)</f>
        <v>0</v>
      </c>
      <c r="AF72" s="430">
        <f>(SUMIFS('Bucket Counts'!$P:$P, 'Bucket Counts'!$B:$B, AF$2, 'Bucket Counts'!$A:$A, "="&amp;$A72,  'Bucket Counts'!$F:$F, "&lt;&gt;100 Morts",  'Bucket Counts'!$F:$F, "&lt;&gt;224"))</f>
        <v>0</v>
      </c>
      <c r="AG72" s="430">
        <f>(SUMIFS('Bucket Counts'!$P:$P, 'Bucket Counts'!$B:$B, AG$2, 'Bucket Counts'!$A:$A, "="&amp;$A72,  'Bucket Counts'!$F:$F, "100 Morts"))</f>
        <v>0</v>
      </c>
      <c r="AH72" s="430">
        <f>(SUMIFS('Bucket Counts'!$P:$P, 'Bucket Counts'!$B:$B, AH$2, 'Bucket Counts'!$A:$A, "="&amp;$A72,  'Bucket Counts'!$F:$F, "224"))</f>
        <v>0</v>
      </c>
      <c r="AI72" s="430"/>
      <c r="AJ72" s="431">
        <f>SUM(AF72+AH72)</f>
        <v>0</v>
      </c>
      <c r="AK72" s="432">
        <f>AF72+AE72</f>
        <v>0</v>
      </c>
      <c r="AL72" s="429">
        <f>SUMIFS(Collection!$O:$O, Collection!$K:$K, AL$2, Collection!$A:$A, "="&amp;$A72)</f>
        <v>0</v>
      </c>
      <c r="AM72" s="430">
        <f>(SUMIFS('Bucket Counts'!$P:$P, 'Bucket Counts'!$B:$B, AM$2, 'Bucket Counts'!$A:$A, "="&amp;$A72,  'Bucket Counts'!$F:$F, "&lt;&gt;100 Morts",  'Bucket Counts'!$F:$F, "&lt;&gt;224"))</f>
        <v>0</v>
      </c>
      <c r="AN72" s="430">
        <f>(SUMIFS('Bucket Counts'!$P:$P, 'Bucket Counts'!$B:$B, AN$2, 'Bucket Counts'!$A:$A, "="&amp;$A72,  'Bucket Counts'!$F:$F, "100 Morts"))</f>
        <v>0</v>
      </c>
      <c r="AO72" s="430">
        <f>(SUMIFS('Bucket Counts'!$P:$P, 'Bucket Counts'!$B:$B, AO$2, 'Bucket Counts'!$A:$A, "="&amp;$A72,  'Bucket Counts'!$F:$F, "224"))</f>
        <v>0</v>
      </c>
      <c r="AP72" s="430"/>
      <c r="AQ72" s="431">
        <f>SUM(AM72+AO72)</f>
        <v>0</v>
      </c>
      <c r="AR72" s="432">
        <f>AM72+AL72</f>
        <v>0</v>
      </c>
      <c r="AS72" s="429">
        <f>SUMIFS(Collection!$O:$O, Collection!$K:$K, AS$2, Collection!$A:$A, "="&amp;$A72)</f>
        <v>0</v>
      </c>
      <c r="AT72" s="430">
        <f>(SUMIFS('Bucket Counts'!$P:$P, 'Bucket Counts'!$B:$B, AT$2, 'Bucket Counts'!$A:$A, "="&amp;$A72,  'Bucket Counts'!$F:$F, "&lt;&gt;100 Morts",  'Bucket Counts'!$F:$F, "&lt;&gt;224"))</f>
        <v>0</v>
      </c>
      <c r="AU72" s="430">
        <f>(SUMIFS('Bucket Counts'!$P:$P, 'Bucket Counts'!$B:$B, AU$2, 'Bucket Counts'!$A:$A, "="&amp;$A72,  'Bucket Counts'!$F:$F, "100 Morts"))</f>
        <v>0</v>
      </c>
      <c r="AV72" s="430">
        <f>(SUMIFS('Bucket Counts'!$P:$P, 'Bucket Counts'!$B:$B, AV$2, 'Bucket Counts'!$A:$A, "="&amp;$A72,  'Bucket Counts'!$F:$F, "224"))</f>
        <v>0</v>
      </c>
      <c r="AW72" s="430"/>
      <c r="AX72" s="431">
        <f>SUM(AT72+AV72)</f>
        <v>0</v>
      </c>
      <c r="AY72" s="432">
        <f>AT72+AS72</f>
        <v>0</v>
      </c>
      <c r="AZ72" s="429">
        <f>SUMIFS(Collection!$O:$O, Collection!$K:$K, AZ$2, Collection!$A:$A, "="&amp;$A72)</f>
        <v>0</v>
      </c>
      <c r="BA72" s="430">
        <f>(SUMIFS('Bucket Counts'!$P:$P, 'Bucket Counts'!$B:$B, BA$2, 'Bucket Counts'!$A:$A, "="&amp;$A72,  'Bucket Counts'!$F:$F, "&lt;&gt;100 Morts",  'Bucket Counts'!$F:$F, "&lt;&gt;224"))</f>
        <v>0</v>
      </c>
      <c r="BB72" s="430">
        <f>(SUMIFS('Bucket Counts'!$P:$P, 'Bucket Counts'!$B:$B, BB$2, 'Bucket Counts'!$A:$A, "="&amp;$A72,  'Bucket Counts'!$F:$F, "100 Morts"))</f>
        <v>0</v>
      </c>
      <c r="BC72" s="430">
        <f>(SUMIFS('Bucket Counts'!$P:$P, 'Bucket Counts'!$B:$B, BC$2, 'Bucket Counts'!$A:$A, "="&amp;$A72,  'Bucket Counts'!$F:$F, "224"))</f>
        <v>0</v>
      </c>
      <c r="BD72" s="430"/>
      <c r="BE72" s="431">
        <f>SUM(BA72+BC72)</f>
        <v>0</v>
      </c>
      <c r="BF72" s="432">
        <f>BA72+AZ72</f>
        <v>0</v>
      </c>
      <c r="BG72" s="429">
        <f>SUMIFS(Collection!$O:$O, Collection!$K:$K, BG$2, Collection!$A:$A, "="&amp;$A72)</f>
        <v>0</v>
      </c>
      <c r="BH72" s="430">
        <f>(SUMIFS('Bucket Counts'!$P:$P, 'Bucket Counts'!$B:$B, BH$2, 'Bucket Counts'!$A:$A, "="&amp;$A72,  'Bucket Counts'!$F:$F, "&lt;&gt;100 Morts",  'Bucket Counts'!$F:$F, "&lt;&gt;224"))</f>
        <v>83.333333333333329</v>
      </c>
      <c r="BI72" s="430">
        <f>(SUMIFS('Bucket Counts'!$P:$P, 'Bucket Counts'!$B:$B, BI$2, 'Bucket Counts'!$A:$A, "="&amp;$A72,  'Bucket Counts'!$F:$F, "100 Morts"))</f>
        <v>0</v>
      </c>
      <c r="BJ72" s="430">
        <f>(SUMIFS('Bucket Counts'!$P:$P, 'Bucket Counts'!$B:$B, BJ$2, 'Bucket Counts'!$A:$A, "="&amp;$A72,  'Bucket Counts'!$F:$F, "224"))</f>
        <v>27.777777777777775</v>
      </c>
      <c r="BK72" s="430"/>
      <c r="BL72" s="431">
        <f>SUM(BH72+BJ72)</f>
        <v>111.1111111111111</v>
      </c>
      <c r="BM72" s="432">
        <f>BH72+BG72</f>
        <v>83.333333333333329</v>
      </c>
      <c r="BN72" s="429">
        <f>SUMIFS(Collection!$O:$O, Collection!$K:$K, BN$2, Collection!$A:$A, "="&amp;$A72)</f>
        <v>0</v>
      </c>
      <c r="BO72" s="430">
        <f>(SUMIFS('Bucket Counts'!$P:$P, 'Bucket Counts'!$B:$B, BO$2, 'Bucket Counts'!$A:$A, "="&amp;$A72,  'Bucket Counts'!$F:$F, "&lt;&gt;100 Morts",  'Bucket Counts'!$F:$F, "&lt;&gt;224"))</f>
        <v>188.88888888888889</v>
      </c>
      <c r="BP72" s="430">
        <f>(SUMIFS('Bucket Counts'!$P:$P, 'Bucket Counts'!$B:$B, BP$2, 'Bucket Counts'!$A:$A, "="&amp;$A72,  'Bucket Counts'!$F:$F, "100 Morts"))</f>
        <v>0</v>
      </c>
      <c r="BQ72" s="430">
        <f>(SUMIFS('Bucket Counts'!$P:$P, 'Bucket Counts'!$B:$B, BQ$2, 'Bucket Counts'!$A:$A, "="&amp;$A72,  'Bucket Counts'!$F:$F, "224"))</f>
        <v>125</v>
      </c>
      <c r="BR72" s="430"/>
      <c r="BS72" s="431">
        <f>SUM(BO72+BQ72)</f>
        <v>313.88888888888891</v>
      </c>
      <c r="BT72" s="432">
        <f>BO72+BN72</f>
        <v>188.88888888888889</v>
      </c>
      <c r="BU72" s="429">
        <f>SUMIFS(Collection!$O:$O, Collection!$K:$K, BU$2, Collection!$A:$A, "="&amp;$A72)</f>
        <v>0</v>
      </c>
      <c r="BV72" s="430">
        <f>(SUMIFS('Bucket Counts'!$P:$P, 'Bucket Counts'!$B:$B, BV$2, 'Bucket Counts'!$A:$A, "="&amp;$A72,  'Bucket Counts'!$F:$F, "&lt;&gt;100 Morts",  'Bucket Counts'!$F:$F, "&lt;&gt;224"))</f>
        <v>0</v>
      </c>
      <c r="BW72" s="430">
        <f>(SUMIFS('Bucket Counts'!$P:$P, 'Bucket Counts'!$B:$B, BW$2, 'Bucket Counts'!$A:$A, "="&amp;$A72,  'Bucket Counts'!$F:$F, "100 Morts"))</f>
        <v>0</v>
      </c>
      <c r="BX72" s="430">
        <f>(SUMIFS('Bucket Counts'!$P:$P, 'Bucket Counts'!$B:$B, BX$2, 'Bucket Counts'!$A:$A, "="&amp;$A72,  'Bucket Counts'!$F:$F, "224"))</f>
        <v>0</v>
      </c>
      <c r="BY72" s="430"/>
      <c r="BZ72" s="431">
        <f>SUM(BV72+BX72)</f>
        <v>0</v>
      </c>
      <c r="CA72" s="432">
        <f>BV72+BU72</f>
        <v>0</v>
      </c>
      <c r="CB72" s="429">
        <f>SUMIFS(Collection!$O:$O, Collection!$K:$K, CB$2, Collection!$A:$A, "="&amp;$A72)</f>
        <v>0</v>
      </c>
      <c r="CC72" s="430">
        <f>(SUMIFS('Bucket Counts'!$P:$P, 'Bucket Counts'!$B:$B, CC$2, 'Bucket Counts'!$A:$A, "="&amp;$A72,  'Bucket Counts'!$F:$F, "&lt;&gt;100 Morts",  'Bucket Counts'!$F:$F, "&lt;&gt;224"))</f>
        <v>0</v>
      </c>
      <c r="CD72" s="430">
        <f>(SUMIFS('Bucket Counts'!$P:$P, 'Bucket Counts'!$B:$B, CD$2, 'Bucket Counts'!$A:$A, "="&amp;$A72,  'Bucket Counts'!$F:$F, "100 Morts"))</f>
        <v>0</v>
      </c>
      <c r="CE72" s="430">
        <f>(SUMIFS('Bucket Counts'!$P:$P, 'Bucket Counts'!$B:$B, CE$2, 'Bucket Counts'!$A:$A, "="&amp;$A72,  'Bucket Counts'!$F:$F, "224"))</f>
        <v>0</v>
      </c>
      <c r="CF72" s="430"/>
      <c r="CG72" s="431">
        <f>SUM(CC72+CE72)</f>
        <v>0</v>
      </c>
      <c r="CH72" s="432">
        <f>CC72+CB72</f>
        <v>0</v>
      </c>
      <c r="CI72" s="429">
        <f>SUMIFS(Collection!$O:$O, Collection!$K:$K, CI$2, Collection!$A:$A, "="&amp;$A72)</f>
        <v>0</v>
      </c>
      <c r="CJ72" s="430">
        <f>(SUMIFS('Bucket Counts'!$P:$P, 'Bucket Counts'!$B:$B, CJ$2, 'Bucket Counts'!$A:$A, "="&amp;$A72,  'Bucket Counts'!$F:$F, "&lt;&gt;100 Morts",  'Bucket Counts'!$F:$F, "&lt;&gt;224"))</f>
        <v>0</v>
      </c>
      <c r="CK72" s="430">
        <f>(SUMIFS('Bucket Counts'!$P:$P, 'Bucket Counts'!$B:$B, CK$2, 'Bucket Counts'!$A:$A, "="&amp;$A72,  'Bucket Counts'!$F:$F, "100 Morts"))</f>
        <v>0</v>
      </c>
      <c r="CL72" s="430">
        <f>(SUMIFS('Bucket Counts'!$P:$P, 'Bucket Counts'!$B:$B, CL$2, 'Bucket Counts'!$A:$A, "="&amp;$A72,  'Bucket Counts'!$F:$F, "224"))</f>
        <v>0</v>
      </c>
      <c r="CM72" s="430"/>
      <c r="CN72" s="431">
        <f>SUM(CJ72+CL72)</f>
        <v>0</v>
      </c>
      <c r="CO72" s="432">
        <f>CJ72+CI72</f>
        <v>0</v>
      </c>
      <c r="CP72" s="429">
        <f>SUMIFS(Collection!$O:$O, Collection!$K:$K, CP$2, Collection!$A:$A, "="&amp;$A72)</f>
        <v>0</v>
      </c>
      <c r="CQ72" s="430">
        <f>(SUMIFS('Bucket Counts'!$P:$P, 'Bucket Counts'!$B:$B, CQ$2, 'Bucket Counts'!$A:$A, "="&amp;$A72,  'Bucket Counts'!$F:$F, "&lt;&gt;100 Morts",  'Bucket Counts'!$F:$F, "&lt;&gt;224"))</f>
        <v>0</v>
      </c>
      <c r="CR72" s="430">
        <f>(SUMIFS('Bucket Counts'!$P:$P, 'Bucket Counts'!$B:$B, CR$2, 'Bucket Counts'!$A:$A, "="&amp;$A72,  'Bucket Counts'!$F:$F, "100 Morts"))</f>
        <v>0</v>
      </c>
      <c r="CS72" s="430">
        <f>(SUMIFS('Bucket Counts'!$P:$P, 'Bucket Counts'!$B:$B, CS$2, 'Bucket Counts'!$A:$A, "="&amp;$A72,  'Bucket Counts'!$F:$F, "224"))</f>
        <v>0</v>
      </c>
      <c r="CT72" s="430"/>
      <c r="CU72" s="431">
        <f>SUM(CQ72+CS72)</f>
        <v>0</v>
      </c>
      <c r="CV72" s="432">
        <f>CQ72+CP72</f>
        <v>0</v>
      </c>
      <c r="CW72" s="429">
        <f>SUMIFS(Collection!$O:$O, Collection!$K:$K, CW$2, Collection!$A:$A, "="&amp;$A72)</f>
        <v>0</v>
      </c>
      <c r="CX72" s="430">
        <f>(SUMIFS('Bucket Counts'!$P:$P, 'Bucket Counts'!$B:$B, CX$2, 'Bucket Counts'!$A:$A, "="&amp;$A72,  'Bucket Counts'!$F:$F, "&lt;&gt;100 Morts",  'Bucket Counts'!$F:$F, "&lt;&gt;224"))</f>
        <v>0</v>
      </c>
      <c r="CY72" s="430">
        <f>(SUMIFS('Bucket Counts'!$P:$P, 'Bucket Counts'!$B:$B, CY$2, 'Bucket Counts'!$A:$A, "="&amp;$A72,  'Bucket Counts'!$F:$F, "100 Morts"))</f>
        <v>0</v>
      </c>
      <c r="CZ72" s="430">
        <f>(SUMIFS('Bucket Counts'!$P:$P, 'Bucket Counts'!$B:$B, CZ$2, 'Bucket Counts'!$A:$A, "="&amp;$A72,  'Bucket Counts'!$F:$F, "224"))</f>
        <v>0</v>
      </c>
      <c r="DA72" s="430"/>
      <c r="DB72" s="431">
        <f>SUM(CX72+CZ72)</f>
        <v>0</v>
      </c>
      <c r="DC72" s="432">
        <f>CX72+CW72</f>
        <v>0</v>
      </c>
      <c r="DD72" s="429">
        <f>SUMIFS(Collection!$O:$O, Collection!$K:$K, DD$2, Collection!$A:$A, "="&amp;$A72)</f>
        <v>0</v>
      </c>
      <c r="DE72" s="430">
        <f>(SUMIFS('Bucket Counts'!$P:$P, 'Bucket Counts'!$B:$B, DE$2, 'Bucket Counts'!$A:$A, "="&amp;$A72,  'Bucket Counts'!$F:$F, "&lt;&gt;100 Morts",  'Bucket Counts'!$F:$F, "&lt;&gt;224"))</f>
        <v>0</v>
      </c>
      <c r="DF72" s="430">
        <f>(SUMIFS('Bucket Counts'!$P:$P, 'Bucket Counts'!$B:$B, DF$2, 'Bucket Counts'!$A:$A, "="&amp;$A72,  'Bucket Counts'!$F:$F, "100 Morts"))</f>
        <v>0</v>
      </c>
      <c r="DG72" s="430">
        <f>(SUMIFS('Bucket Counts'!$P:$P, 'Bucket Counts'!$B:$B, DG$2, 'Bucket Counts'!$A:$A, "="&amp;$A72,  'Bucket Counts'!$F:$F, "224"))</f>
        <v>0</v>
      </c>
      <c r="DH72" s="430"/>
      <c r="DI72" s="431">
        <f>SUM(DE72+DG72)</f>
        <v>0</v>
      </c>
      <c r="DJ72" s="432">
        <f>DE72+DD72</f>
        <v>0</v>
      </c>
      <c r="DK72" s="429">
        <f>SUMIFS(Collection!$O:$O, Collection!$K:$K, DK$2, Collection!$A:$A, "="&amp;$A72)</f>
        <v>0</v>
      </c>
      <c r="DL72" s="430">
        <f>(SUMIFS('Bucket Counts'!$P:$P, 'Bucket Counts'!$B:$B, DL$2, 'Bucket Counts'!$A:$A, "="&amp;$A72,  'Bucket Counts'!$F:$F, "&lt;&gt;100 Morts",  'Bucket Counts'!$F:$F, "&lt;&gt;224"))</f>
        <v>0</v>
      </c>
      <c r="DM72" s="430">
        <f>(SUMIFS('Bucket Counts'!$P:$P, 'Bucket Counts'!$B:$B, DM$2, 'Bucket Counts'!$A:$A, "="&amp;$A72,  'Bucket Counts'!$F:$F, "100 Morts"))</f>
        <v>0</v>
      </c>
      <c r="DN72" s="430">
        <f>(SUMIFS('Bucket Counts'!$P:$P, 'Bucket Counts'!$B:$B, DN$2, 'Bucket Counts'!$A:$A, "="&amp;$A72,  'Bucket Counts'!$F:$F, "224"))</f>
        <v>0</v>
      </c>
      <c r="DO72" s="430"/>
      <c r="DP72" s="431">
        <f>SUM(DL72+DN72)</f>
        <v>0</v>
      </c>
      <c r="DQ72" s="432">
        <f>DL72+DK72</f>
        <v>0</v>
      </c>
      <c r="DR72" s="429">
        <f>SUMIFS(Collection!$O:$O, Collection!$K:$K, DR$2, Collection!$A:$A, "="&amp;$A72)</f>
        <v>0</v>
      </c>
      <c r="DS72" s="430">
        <f>(SUMIFS('Bucket Counts'!$P:$P, 'Bucket Counts'!$B:$B, DS$2, 'Bucket Counts'!$A:$A, "="&amp;$A72,  'Bucket Counts'!$F:$F, "&lt;&gt;100 Morts",  'Bucket Counts'!$F:$F, "&lt;&gt;224"))</f>
        <v>0</v>
      </c>
      <c r="DT72" s="430">
        <f>(SUMIFS('Bucket Counts'!$P:$P, 'Bucket Counts'!$B:$B, DT$2, 'Bucket Counts'!$A:$A, "="&amp;$A72,  'Bucket Counts'!$F:$F, "100 Morts"))</f>
        <v>0</v>
      </c>
      <c r="DU72" s="430">
        <f>(SUMIFS('Bucket Counts'!$P:$P, 'Bucket Counts'!$B:$B, DU$2, 'Bucket Counts'!$A:$A, "="&amp;$A72,  'Bucket Counts'!$F:$F, "224"))</f>
        <v>0</v>
      </c>
      <c r="DV72" s="430"/>
      <c r="DW72" s="431">
        <f>SUM(DS72+DU72)</f>
        <v>0</v>
      </c>
      <c r="DX72" s="432">
        <f>DS72+DR72</f>
        <v>0</v>
      </c>
      <c r="DY72" s="429">
        <f>SUMIFS(Collection!$O:$O, Collection!$K:$K, DY$2, Collection!$A:$A, "="&amp;$A72)</f>
        <v>0</v>
      </c>
      <c r="DZ72" s="430">
        <f>(SUMIFS('Bucket Counts'!$P:$P, 'Bucket Counts'!$B:$B, DZ$2, 'Bucket Counts'!$A:$A, "="&amp;$A72,  'Bucket Counts'!$F:$F, "&lt;&gt;100 Morts",  'Bucket Counts'!$F:$F, "&lt;&gt;224"))</f>
        <v>0</v>
      </c>
      <c r="EA72" s="430">
        <f>(SUMIFS('Bucket Counts'!$P:$P, 'Bucket Counts'!$B:$B, EA$2, 'Bucket Counts'!$A:$A, "="&amp;$A72,  'Bucket Counts'!$F:$F, "100 Morts"))</f>
        <v>0</v>
      </c>
      <c r="EB72" s="430">
        <f>(SUMIFS('Bucket Counts'!$P:$P, 'Bucket Counts'!$B:$B, EB$2, 'Bucket Counts'!$A:$A, "="&amp;$A72,  'Bucket Counts'!$F:$F, "224"))</f>
        <v>0</v>
      </c>
      <c r="EC72" s="430"/>
      <c r="ED72" s="431">
        <f>SUM(DZ72+EB72)</f>
        <v>0</v>
      </c>
      <c r="EE72" s="432">
        <f>DZ72+DY72</f>
        <v>0</v>
      </c>
      <c r="EF72" s="429">
        <f>SUMIFS(Collection!$O:$O, Collection!$K:$K, EF$2, Collection!$A:$A, "="&amp;$A72)</f>
        <v>0</v>
      </c>
      <c r="EG72" s="430">
        <f>(SUMIFS('Bucket Counts'!$P:$P, 'Bucket Counts'!$B:$B, EG$2, 'Bucket Counts'!$A:$A, "="&amp;$A72,  'Bucket Counts'!$F:$F, "&lt;&gt;100 Morts",  'Bucket Counts'!$F:$F, "&lt;&gt;224"))</f>
        <v>0</v>
      </c>
      <c r="EH72" s="430">
        <f>(SUMIFS('Bucket Counts'!$P:$P, 'Bucket Counts'!$B:$B, EH$2, 'Bucket Counts'!$A:$A, "="&amp;$A72,  'Bucket Counts'!$F:$F, "100 Morts"))</f>
        <v>0</v>
      </c>
      <c r="EI72" s="430">
        <f>(SUMIFS('Bucket Counts'!$P:$P, 'Bucket Counts'!$B:$B, EI$2, 'Bucket Counts'!$A:$A, "="&amp;$A72,  'Bucket Counts'!$F:$F, "224"))</f>
        <v>0</v>
      </c>
      <c r="EJ72" s="430"/>
      <c r="EK72" s="431">
        <f>SUM(EG72+EI72)</f>
        <v>0</v>
      </c>
      <c r="EL72" s="432">
        <f>EG72+EF72</f>
        <v>0</v>
      </c>
    </row>
    <row r="73" spans="1:142" x14ac:dyDescent="0.2">
      <c r="A73" s="16">
        <f t="shared" si="0"/>
        <v>42942</v>
      </c>
      <c r="B73" s="16" t="s">
        <v>487</v>
      </c>
      <c r="C73" s="369">
        <f>SUMIFS(Collection!$O:$O, Collection!$K:$K, C$2, Collection!$A:$A, "="&amp;$A73)</f>
        <v>0</v>
      </c>
      <c r="D73" s="116">
        <f>(SUMIFS('Bucket Counts'!$P:$P, 'Bucket Counts'!$B:$B, D$2, 'Bucket Counts'!$A:$A, "="&amp;$A73,  'Bucket Counts'!$F:$F, "&lt;&gt;100 Morts",  'Bucket Counts'!$F:$F, "&lt;&gt;224"))</f>
        <v>0</v>
      </c>
      <c r="E73" s="116">
        <f>(SUMIFS('Bucket Counts'!$P:$P, 'Bucket Counts'!$B:$B, E$2, 'Bucket Counts'!$A:$A, "="&amp;$A73,  'Bucket Counts'!$F:$F, "100 Morts"))</f>
        <v>0</v>
      </c>
      <c r="F73" s="116">
        <f>(SUMIFS('Bucket Counts'!$P:$P, 'Bucket Counts'!$B:$B, F$2, 'Bucket Counts'!$A:$A, "="&amp;$A73,  'Bucket Counts'!$F:$F, "224"))</f>
        <v>0</v>
      </c>
      <c r="G73" s="116"/>
      <c r="H73" s="426" t="e">
        <f>(F73+D73)/I72</f>
        <v>#DIV/0!</v>
      </c>
      <c r="I73" s="370">
        <f>D73+SUM(C72:C73)</f>
        <v>0</v>
      </c>
      <c r="J73" s="369">
        <f>SUMIFS(Collection!$O:$O, Collection!$K:$K, J$2, Collection!$A:$A, "="&amp;$A73)</f>
        <v>0</v>
      </c>
      <c r="K73" s="116">
        <f>(SUMIFS('Bucket Counts'!$P:$P, 'Bucket Counts'!$B:$B, K$2, 'Bucket Counts'!$A:$A, "="&amp;$A73,  'Bucket Counts'!$F:$F, "&lt;&gt;100 Morts",  'Bucket Counts'!$F:$F, "&lt;&gt;224"))</f>
        <v>0</v>
      </c>
      <c r="L73" s="116">
        <f>(SUMIFS('Bucket Counts'!$P:$P, 'Bucket Counts'!$B:$B, L$2, 'Bucket Counts'!$A:$A, "="&amp;$A73,  'Bucket Counts'!$F:$F, "100 Morts"))</f>
        <v>0</v>
      </c>
      <c r="M73" s="116">
        <f>(SUMIFS('Bucket Counts'!$P:$P, 'Bucket Counts'!$B:$B, M$2, 'Bucket Counts'!$A:$A, "="&amp;$A73,  'Bucket Counts'!$F:$F, "224"))</f>
        <v>0</v>
      </c>
      <c r="N73" s="116"/>
      <c r="O73" s="426" t="e">
        <f>(M73+K73)/P72</f>
        <v>#DIV/0!</v>
      </c>
      <c r="P73" s="370">
        <f>K73+SUM(J72:J73)</f>
        <v>0</v>
      </c>
      <c r="Q73" s="369">
        <f>SUMIFS(Collection!$O:$O, Collection!$K:$K, Q$2, Collection!$A:$A, "="&amp;$A73)</f>
        <v>0</v>
      </c>
      <c r="R73" s="116">
        <f>(SUMIFS('Bucket Counts'!$P:$P, 'Bucket Counts'!$B:$B, R$2, 'Bucket Counts'!$A:$A, "="&amp;$A73,  'Bucket Counts'!$F:$F, "&lt;&gt;100 Morts",  'Bucket Counts'!$F:$F, "&lt;&gt;224"))</f>
        <v>0</v>
      </c>
      <c r="S73" s="116">
        <f>(SUMIFS('Bucket Counts'!$P:$P, 'Bucket Counts'!$B:$B, S$2, 'Bucket Counts'!$A:$A, "="&amp;$A73,  'Bucket Counts'!$F:$F, "100 Morts"))</f>
        <v>0</v>
      </c>
      <c r="T73" s="116">
        <f>(SUMIFS('Bucket Counts'!$P:$P, 'Bucket Counts'!$B:$B, T$2, 'Bucket Counts'!$A:$A, "="&amp;$A73,  'Bucket Counts'!$F:$F, "224"))</f>
        <v>0</v>
      </c>
      <c r="U73" s="116"/>
      <c r="V73" s="426" t="e">
        <f>(T73+R73)/W72</f>
        <v>#DIV/0!</v>
      </c>
      <c r="W73" s="370">
        <f>R73+SUM(Q72:Q73)</f>
        <v>0</v>
      </c>
      <c r="X73" s="369">
        <f>SUMIFS(Collection!$O:$O, Collection!$K:$K, X$2, Collection!$A:$A, "="&amp;$A73)</f>
        <v>0</v>
      </c>
      <c r="Y73" s="116">
        <f>(SUMIFS('Bucket Counts'!$P:$P, 'Bucket Counts'!$B:$B, Y$2, 'Bucket Counts'!$A:$A, "="&amp;$A73,  'Bucket Counts'!$F:$F, "&lt;&gt;100 Morts",  'Bucket Counts'!$F:$F, "&lt;&gt;224"))</f>
        <v>0</v>
      </c>
      <c r="Z73" s="116">
        <f>(SUMIFS('Bucket Counts'!$P:$P, 'Bucket Counts'!$B:$B, Z$2, 'Bucket Counts'!$A:$A, "="&amp;$A73,  'Bucket Counts'!$F:$F, "100 Morts"))</f>
        <v>0</v>
      </c>
      <c r="AA73" s="116">
        <f>(SUMIFS('Bucket Counts'!$P:$P, 'Bucket Counts'!$B:$B, AA$2, 'Bucket Counts'!$A:$A, "="&amp;$A73,  'Bucket Counts'!$F:$F, "224"))</f>
        <v>0</v>
      </c>
      <c r="AB73" s="116"/>
      <c r="AC73" s="426" t="e">
        <f>(AA73+Y73)/AD72</f>
        <v>#DIV/0!</v>
      </c>
      <c r="AD73" s="370">
        <f>Y73+SUM(X72:X73)</f>
        <v>0</v>
      </c>
      <c r="AE73" s="369">
        <f>SUMIFS(Collection!$O:$O, Collection!$K:$K, AE$2, Collection!$A:$A, "="&amp;$A73)</f>
        <v>0</v>
      </c>
      <c r="AF73" s="116">
        <f>(SUMIFS('Bucket Counts'!$P:$P, 'Bucket Counts'!$B:$B, AF$2, 'Bucket Counts'!$A:$A, "="&amp;$A73,  'Bucket Counts'!$F:$F, "&lt;&gt;100 Morts",  'Bucket Counts'!$F:$F, "&lt;&gt;224"))</f>
        <v>0</v>
      </c>
      <c r="AG73" s="116">
        <f>(SUMIFS('Bucket Counts'!$P:$P, 'Bucket Counts'!$B:$B, AG$2, 'Bucket Counts'!$A:$A, "="&amp;$A73,  'Bucket Counts'!$F:$F, "100 Morts"))</f>
        <v>0</v>
      </c>
      <c r="AH73" s="116">
        <f>(SUMIFS('Bucket Counts'!$P:$P, 'Bucket Counts'!$B:$B, AH$2, 'Bucket Counts'!$A:$A, "="&amp;$A73,  'Bucket Counts'!$F:$F, "224"))</f>
        <v>0</v>
      </c>
      <c r="AI73" s="116"/>
      <c r="AJ73" s="426" t="e">
        <f>(AH73+AF73)/AK72</f>
        <v>#DIV/0!</v>
      </c>
      <c r="AK73" s="370">
        <f>AF73+SUM(AE72:AE73)</f>
        <v>0</v>
      </c>
      <c r="AL73" s="369">
        <f>SUMIFS(Collection!$O:$O, Collection!$K:$K, AL$2, Collection!$A:$A, "="&amp;$A73)</f>
        <v>0</v>
      </c>
      <c r="AM73" s="116">
        <f>(SUMIFS('Bucket Counts'!$P:$P, 'Bucket Counts'!$B:$B, AM$2, 'Bucket Counts'!$A:$A, "="&amp;$A73,  'Bucket Counts'!$F:$F, "&lt;&gt;100 Morts",  'Bucket Counts'!$F:$F, "&lt;&gt;224"))</f>
        <v>0</v>
      </c>
      <c r="AN73" s="116">
        <f>(SUMIFS('Bucket Counts'!$P:$P, 'Bucket Counts'!$B:$B, AN$2, 'Bucket Counts'!$A:$A, "="&amp;$A73,  'Bucket Counts'!$F:$F, "100 Morts"))</f>
        <v>0</v>
      </c>
      <c r="AO73" s="116">
        <f>(SUMIFS('Bucket Counts'!$P:$P, 'Bucket Counts'!$B:$B, AO$2, 'Bucket Counts'!$A:$A, "="&amp;$A73,  'Bucket Counts'!$F:$F, "224"))</f>
        <v>0</v>
      </c>
      <c r="AP73" s="116"/>
      <c r="AQ73" s="426" t="e">
        <f>(AO73+AM73)/AR72</f>
        <v>#DIV/0!</v>
      </c>
      <c r="AR73" s="370">
        <f>AM73+SUM(AL72:AL73)</f>
        <v>0</v>
      </c>
      <c r="AS73" s="369">
        <f>SUMIFS(Collection!$O:$O, Collection!$K:$K, AS$2, Collection!$A:$A, "="&amp;$A73)</f>
        <v>0</v>
      </c>
      <c r="AT73" s="116">
        <f>(SUMIFS('Bucket Counts'!$P:$P, 'Bucket Counts'!$B:$B, AT$2, 'Bucket Counts'!$A:$A, "="&amp;$A73,  'Bucket Counts'!$F:$F, "&lt;&gt;100 Morts",  'Bucket Counts'!$F:$F, "&lt;&gt;224"))</f>
        <v>0</v>
      </c>
      <c r="AU73" s="116">
        <f>(SUMIFS('Bucket Counts'!$P:$P, 'Bucket Counts'!$B:$B, AU$2, 'Bucket Counts'!$A:$A, "="&amp;$A73,  'Bucket Counts'!$F:$F, "100 Morts"))</f>
        <v>0</v>
      </c>
      <c r="AV73" s="116">
        <f>(SUMIFS('Bucket Counts'!$P:$P, 'Bucket Counts'!$B:$B, AV$2, 'Bucket Counts'!$A:$A, "="&amp;$A73,  'Bucket Counts'!$F:$F, "224"))</f>
        <v>0</v>
      </c>
      <c r="AW73" s="116"/>
      <c r="AX73" s="426" t="e">
        <f>(AV73+AT73)/AY72</f>
        <v>#DIV/0!</v>
      </c>
      <c r="AY73" s="370">
        <f>AT73+SUM(AS72:AS73)</f>
        <v>0</v>
      </c>
      <c r="AZ73" s="369">
        <f>SUMIFS(Collection!$O:$O, Collection!$K:$K, AZ$2, Collection!$A:$A, "="&amp;$A73)</f>
        <v>0</v>
      </c>
      <c r="BA73" s="116">
        <f>(SUMIFS('Bucket Counts'!$P:$P, 'Bucket Counts'!$B:$B, BA$2, 'Bucket Counts'!$A:$A, "="&amp;$A73,  'Bucket Counts'!$F:$F, "&lt;&gt;100 Morts",  'Bucket Counts'!$F:$F, "&lt;&gt;224"))</f>
        <v>0</v>
      </c>
      <c r="BB73" s="116">
        <f>(SUMIFS('Bucket Counts'!$P:$P, 'Bucket Counts'!$B:$B, BB$2, 'Bucket Counts'!$A:$A, "="&amp;$A73,  'Bucket Counts'!$F:$F, "100 Morts"))</f>
        <v>0</v>
      </c>
      <c r="BC73" s="116">
        <f>(SUMIFS('Bucket Counts'!$P:$P, 'Bucket Counts'!$B:$B, BC$2, 'Bucket Counts'!$A:$A, "="&amp;$A73,  'Bucket Counts'!$F:$F, "224"))</f>
        <v>0</v>
      </c>
      <c r="BD73" s="116"/>
      <c r="BE73" s="426" t="e">
        <f>(BC73+BA73)/BF72</f>
        <v>#DIV/0!</v>
      </c>
      <c r="BF73" s="370">
        <f>BA73+SUM(AZ72:AZ73)</f>
        <v>0</v>
      </c>
      <c r="BG73" s="369">
        <f>SUMIFS(Collection!$O:$O, Collection!$K:$K, BG$2, Collection!$A:$A, "="&amp;$A73)</f>
        <v>0</v>
      </c>
      <c r="BH73" s="116">
        <f>(SUMIFS('Bucket Counts'!$P:$P, 'Bucket Counts'!$B:$B, BH$2, 'Bucket Counts'!$A:$A, "="&amp;$A73,  'Bucket Counts'!$F:$F, "&lt;&gt;100 Morts",  'Bucket Counts'!$F:$F, "&lt;&gt;224"))</f>
        <v>0</v>
      </c>
      <c r="BI73" s="116">
        <f>(SUMIFS('Bucket Counts'!$P:$P, 'Bucket Counts'!$B:$B, BI$2, 'Bucket Counts'!$A:$A, "="&amp;$A73,  'Bucket Counts'!$F:$F, "100 Morts"))</f>
        <v>0</v>
      </c>
      <c r="BJ73" s="116">
        <f>(SUMIFS('Bucket Counts'!$P:$P, 'Bucket Counts'!$B:$B, BJ$2, 'Bucket Counts'!$A:$A, "="&amp;$A73,  'Bucket Counts'!$F:$F, "224"))</f>
        <v>0</v>
      </c>
      <c r="BK73" s="116"/>
      <c r="BL73" s="426">
        <f>(BJ73+BH73)/BM72</f>
        <v>0</v>
      </c>
      <c r="BM73" s="370">
        <f>BH73+SUM(BG72:BG73)</f>
        <v>0</v>
      </c>
      <c r="BN73" s="369">
        <f>SUMIFS(Collection!$O:$O, Collection!$K:$K, BN$2, Collection!$A:$A, "="&amp;$A73)</f>
        <v>0</v>
      </c>
      <c r="BO73" s="116">
        <f>(SUMIFS('Bucket Counts'!$P:$P, 'Bucket Counts'!$B:$B, BO$2, 'Bucket Counts'!$A:$A, "="&amp;$A73,  'Bucket Counts'!$F:$F, "&lt;&gt;100 Morts",  'Bucket Counts'!$F:$F, "&lt;&gt;224"))</f>
        <v>0</v>
      </c>
      <c r="BP73" s="116">
        <f>(SUMIFS('Bucket Counts'!$P:$P, 'Bucket Counts'!$B:$B, BP$2, 'Bucket Counts'!$A:$A, "="&amp;$A73,  'Bucket Counts'!$F:$F, "100 Morts"))</f>
        <v>0</v>
      </c>
      <c r="BQ73" s="116">
        <f>(SUMIFS('Bucket Counts'!$P:$P, 'Bucket Counts'!$B:$B, BQ$2, 'Bucket Counts'!$A:$A, "="&amp;$A73,  'Bucket Counts'!$F:$F, "224"))</f>
        <v>0</v>
      </c>
      <c r="BR73" s="116"/>
      <c r="BS73" s="426">
        <f>(BQ73+BO73)/BT72</f>
        <v>0</v>
      </c>
      <c r="BT73" s="370">
        <f>BO73+SUM(BN72:BN73)</f>
        <v>0</v>
      </c>
      <c r="BU73" s="369">
        <f>SUMIFS(Collection!$O:$O, Collection!$K:$K, BU$2, Collection!$A:$A, "="&amp;$A73)</f>
        <v>0</v>
      </c>
      <c r="BV73" s="116">
        <f>(SUMIFS('Bucket Counts'!$P:$P, 'Bucket Counts'!$B:$B, BV$2, 'Bucket Counts'!$A:$A, "="&amp;$A73,  'Bucket Counts'!$F:$F, "&lt;&gt;100 Morts",  'Bucket Counts'!$F:$F, "&lt;&gt;224"))</f>
        <v>0</v>
      </c>
      <c r="BW73" s="116">
        <f>(SUMIFS('Bucket Counts'!$P:$P, 'Bucket Counts'!$B:$B, BW$2, 'Bucket Counts'!$A:$A, "="&amp;$A73,  'Bucket Counts'!$F:$F, "100 Morts"))</f>
        <v>0</v>
      </c>
      <c r="BX73" s="116">
        <f>(SUMIFS('Bucket Counts'!$P:$P, 'Bucket Counts'!$B:$B, BX$2, 'Bucket Counts'!$A:$A, "="&amp;$A73,  'Bucket Counts'!$F:$F, "224"))</f>
        <v>0</v>
      </c>
      <c r="BY73" s="116"/>
      <c r="BZ73" s="426" t="e">
        <f>(BX73+BV73)/CA72</f>
        <v>#DIV/0!</v>
      </c>
      <c r="CA73" s="370">
        <f>BV73+SUM(BU72:BU73)</f>
        <v>0</v>
      </c>
      <c r="CB73" s="369">
        <f>SUMIFS(Collection!$O:$O, Collection!$K:$K, CB$2, Collection!$A:$A, "="&amp;$A73)</f>
        <v>0</v>
      </c>
      <c r="CC73" s="116">
        <f>(SUMIFS('Bucket Counts'!$P:$P, 'Bucket Counts'!$B:$B, CC$2, 'Bucket Counts'!$A:$A, "="&amp;$A73,  'Bucket Counts'!$F:$F, "&lt;&gt;100 Morts",  'Bucket Counts'!$F:$F, "&lt;&gt;224"))</f>
        <v>0</v>
      </c>
      <c r="CD73" s="116">
        <f>(SUMIFS('Bucket Counts'!$P:$P, 'Bucket Counts'!$B:$B, CD$2, 'Bucket Counts'!$A:$A, "="&amp;$A73,  'Bucket Counts'!$F:$F, "100 Morts"))</f>
        <v>0</v>
      </c>
      <c r="CE73" s="116">
        <f>(SUMIFS('Bucket Counts'!$P:$P, 'Bucket Counts'!$B:$B, CE$2, 'Bucket Counts'!$A:$A, "="&amp;$A73,  'Bucket Counts'!$F:$F, "224"))</f>
        <v>0</v>
      </c>
      <c r="CF73" s="116"/>
      <c r="CG73" s="426" t="e">
        <f>(CE73+CC73)/CH72</f>
        <v>#DIV/0!</v>
      </c>
      <c r="CH73" s="370">
        <f>CC73+SUM(CB72:CB73)</f>
        <v>0</v>
      </c>
      <c r="CI73" s="369">
        <f>SUMIFS(Collection!$O:$O, Collection!$K:$K, CI$2, Collection!$A:$A, "="&amp;$A73)</f>
        <v>0</v>
      </c>
      <c r="CJ73" s="116">
        <f>(SUMIFS('Bucket Counts'!$P:$P, 'Bucket Counts'!$B:$B, CJ$2, 'Bucket Counts'!$A:$A, "="&amp;$A73,  'Bucket Counts'!$F:$F, "&lt;&gt;100 Morts",  'Bucket Counts'!$F:$F, "&lt;&gt;224"))</f>
        <v>0</v>
      </c>
      <c r="CK73" s="116">
        <f>(SUMIFS('Bucket Counts'!$P:$P, 'Bucket Counts'!$B:$B, CK$2, 'Bucket Counts'!$A:$A, "="&amp;$A73,  'Bucket Counts'!$F:$F, "100 Morts"))</f>
        <v>0</v>
      </c>
      <c r="CL73" s="116">
        <f>(SUMIFS('Bucket Counts'!$P:$P, 'Bucket Counts'!$B:$B, CL$2, 'Bucket Counts'!$A:$A, "="&amp;$A73,  'Bucket Counts'!$F:$F, "224"))</f>
        <v>0</v>
      </c>
      <c r="CM73" s="116"/>
      <c r="CN73" s="426" t="e">
        <f>(CL73+CJ73)/CO72</f>
        <v>#DIV/0!</v>
      </c>
      <c r="CO73" s="370">
        <f>CJ73+SUM(CI72:CI73)</f>
        <v>0</v>
      </c>
      <c r="CP73" s="369">
        <f>SUMIFS(Collection!$O:$O, Collection!$K:$K, CP$2, Collection!$A:$A, "="&amp;$A73)</f>
        <v>0</v>
      </c>
      <c r="CQ73" s="116">
        <f>(SUMIFS('Bucket Counts'!$P:$P, 'Bucket Counts'!$B:$B, CQ$2, 'Bucket Counts'!$A:$A, "="&amp;$A73,  'Bucket Counts'!$F:$F, "&lt;&gt;100 Morts",  'Bucket Counts'!$F:$F, "&lt;&gt;224"))</f>
        <v>0</v>
      </c>
      <c r="CR73" s="116">
        <f>(SUMIFS('Bucket Counts'!$P:$P, 'Bucket Counts'!$B:$B, CR$2, 'Bucket Counts'!$A:$A, "="&amp;$A73,  'Bucket Counts'!$F:$F, "100 Morts"))</f>
        <v>0</v>
      </c>
      <c r="CS73" s="116">
        <f>(SUMIFS('Bucket Counts'!$P:$P, 'Bucket Counts'!$B:$B, CS$2, 'Bucket Counts'!$A:$A, "="&amp;$A73,  'Bucket Counts'!$F:$F, "224"))</f>
        <v>0</v>
      </c>
      <c r="CT73" s="116"/>
      <c r="CU73" s="426" t="e">
        <f>(CS73+CQ73)/CV72</f>
        <v>#DIV/0!</v>
      </c>
      <c r="CV73" s="370">
        <f>CQ73+SUM(CP72:CP73)</f>
        <v>0</v>
      </c>
      <c r="CW73" s="369">
        <f>SUMIFS(Collection!$O:$O, Collection!$K:$K, CW$2, Collection!$A:$A, "="&amp;$A73)</f>
        <v>0</v>
      </c>
      <c r="CX73" s="116">
        <f>(SUMIFS('Bucket Counts'!$P:$P, 'Bucket Counts'!$B:$B, CX$2, 'Bucket Counts'!$A:$A, "="&amp;$A73,  'Bucket Counts'!$F:$F, "&lt;&gt;100 Morts",  'Bucket Counts'!$F:$F, "&lt;&gt;224"))</f>
        <v>0</v>
      </c>
      <c r="CY73" s="116">
        <f>(SUMIFS('Bucket Counts'!$P:$P, 'Bucket Counts'!$B:$B, CY$2, 'Bucket Counts'!$A:$A, "="&amp;$A73,  'Bucket Counts'!$F:$F, "100 Morts"))</f>
        <v>0</v>
      </c>
      <c r="CZ73" s="116">
        <f>(SUMIFS('Bucket Counts'!$P:$P, 'Bucket Counts'!$B:$B, CZ$2, 'Bucket Counts'!$A:$A, "="&amp;$A73,  'Bucket Counts'!$F:$F, "224"))</f>
        <v>0</v>
      </c>
      <c r="DA73" s="116"/>
      <c r="DB73" s="426" t="e">
        <f>(CZ73+CX73)/DC72</f>
        <v>#DIV/0!</v>
      </c>
      <c r="DC73" s="370">
        <f>CX73+SUM(CW72:CW73)</f>
        <v>0</v>
      </c>
      <c r="DD73" s="369">
        <f>SUMIFS(Collection!$O:$O, Collection!$K:$K, DD$2, Collection!$A:$A, "="&amp;$A73)</f>
        <v>0</v>
      </c>
      <c r="DE73" s="116">
        <f>(SUMIFS('Bucket Counts'!$P:$P, 'Bucket Counts'!$B:$B, DE$2, 'Bucket Counts'!$A:$A, "="&amp;$A73,  'Bucket Counts'!$F:$F, "&lt;&gt;100 Morts",  'Bucket Counts'!$F:$F, "&lt;&gt;224"))</f>
        <v>0</v>
      </c>
      <c r="DF73" s="116">
        <f>(SUMIFS('Bucket Counts'!$P:$P, 'Bucket Counts'!$B:$B, DF$2, 'Bucket Counts'!$A:$A, "="&amp;$A73,  'Bucket Counts'!$F:$F, "100 Morts"))</f>
        <v>0</v>
      </c>
      <c r="DG73" s="116">
        <f>(SUMIFS('Bucket Counts'!$P:$P, 'Bucket Counts'!$B:$B, DG$2, 'Bucket Counts'!$A:$A, "="&amp;$A73,  'Bucket Counts'!$F:$F, "224"))</f>
        <v>0</v>
      </c>
      <c r="DH73" s="116"/>
      <c r="DI73" s="426" t="e">
        <f>(DG73+DE73)/DJ72</f>
        <v>#DIV/0!</v>
      </c>
      <c r="DJ73" s="370">
        <f>DE73+SUM(DD72:DD73)</f>
        <v>0</v>
      </c>
      <c r="DK73" s="369">
        <f>SUMIFS(Collection!$O:$O, Collection!$K:$K, DK$2, Collection!$A:$A, "="&amp;$A73)</f>
        <v>0</v>
      </c>
      <c r="DL73" s="116">
        <f>(SUMIFS('Bucket Counts'!$P:$P, 'Bucket Counts'!$B:$B, DL$2, 'Bucket Counts'!$A:$A, "="&amp;$A73,  'Bucket Counts'!$F:$F, "&lt;&gt;100 Morts",  'Bucket Counts'!$F:$F, "&lt;&gt;224"))</f>
        <v>0</v>
      </c>
      <c r="DM73" s="116">
        <f>(SUMIFS('Bucket Counts'!$P:$P, 'Bucket Counts'!$B:$B, DM$2, 'Bucket Counts'!$A:$A, "="&amp;$A73,  'Bucket Counts'!$F:$F, "100 Morts"))</f>
        <v>0</v>
      </c>
      <c r="DN73" s="116">
        <f>(SUMIFS('Bucket Counts'!$P:$P, 'Bucket Counts'!$B:$B, DN$2, 'Bucket Counts'!$A:$A, "="&amp;$A73,  'Bucket Counts'!$F:$F, "224"))</f>
        <v>0</v>
      </c>
      <c r="DO73" s="116"/>
      <c r="DP73" s="426" t="e">
        <f>(DN73+DL73)/DQ72</f>
        <v>#DIV/0!</v>
      </c>
      <c r="DQ73" s="370">
        <f>DL73+SUM(DK72:DK73)</f>
        <v>0</v>
      </c>
      <c r="DR73" s="369">
        <f>SUMIFS(Collection!$O:$O, Collection!$K:$K, DR$2, Collection!$A:$A, "="&amp;$A73)</f>
        <v>0</v>
      </c>
      <c r="DS73" s="116">
        <f>(SUMIFS('Bucket Counts'!$P:$P, 'Bucket Counts'!$B:$B, DS$2, 'Bucket Counts'!$A:$A, "="&amp;$A73,  'Bucket Counts'!$F:$F, "&lt;&gt;100 Morts",  'Bucket Counts'!$F:$F, "&lt;&gt;224"))</f>
        <v>0</v>
      </c>
      <c r="DT73" s="116">
        <f>(SUMIFS('Bucket Counts'!$P:$P, 'Bucket Counts'!$B:$B, DT$2, 'Bucket Counts'!$A:$A, "="&amp;$A73,  'Bucket Counts'!$F:$F, "100 Morts"))</f>
        <v>0</v>
      </c>
      <c r="DU73" s="116">
        <f>(SUMIFS('Bucket Counts'!$P:$P, 'Bucket Counts'!$B:$B, DU$2, 'Bucket Counts'!$A:$A, "="&amp;$A73,  'Bucket Counts'!$F:$F, "224"))</f>
        <v>0</v>
      </c>
      <c r="DV73" s="116"/>
      <c r="DW73" s="426" t="e">
        <f>(DU73+DS73)/DX72</f>
        <v>#DIV/0!</v>
      </c>
      <c r="DX73" s="370">
        <f>DS73+SUM(DR72:DR73)</f>
        <v>0</v>
      </c>
      <c r="DY73" s="369">
        <f>SUMIFS(Collection!$O:$O, Collection!$K:$K, DY$2, Collection!$A:$A, "="&amp;$A73)</f>
        <v>0</v>
      </c>
      <c r="DZ73" s="116">
        <f>(SUMIFS('Bucket Counts'!$P:$P, 'Bucket Counts'!$B:$B, DZ$2, 'Bucket Counts'!$A:$A, "="&amp;$A73,  'Bucket Counts'!$F:$F, "&lt;&gt;100 Morts",  'Bucket Counts'!$F:$F, "&lt;&gt;224"))</f>
        <v>0</v>
      </c>
      <c r="EA73" s="116">
        <f>(SUMIFS('Bucket Counts'!$P:$P, 'Bucket Counts'!$B:$B, EA$2, 'Bucket Counts'!$A:$A, "="&amp;$A73,  'Bucket Counts'!$F:$F, "100 Morts"))</f>
        <v>0</v>
      </c>
      <c r="EB73" s="116">
        <f>(SUMIFS('Bucket Counts'!$P:$P, 'Bucket Counts'!$B:$B, EB$2, 'Bucket Counts'!$A:$A, "="&amp;$A73,  'Bucket Counts'!$F:$F, "224"))</f>
        <v>0</v>
      </c>
      <c r="EC73" s="116"/>
      <c r="ED73" s="426" t="e">
        <f>(EB73+DZ73)/EE72</f>
        <v>#DIV/0!</v>
      </c>
      <c r="EE73" s="370">
        <f>DZ73+SUM(DY72:DY73)</f>
        <v>0</v>
      </c>
      <c r="EF73" s="369">
        <f>SUMIFS(Collection!$O:$O, Collection!$K:$K, EF$2, Collection!$A:$A, "="&amp;$A73)</f>
        <v>0</v>
      </c>
      <c r="EG73" s="116">
        <f>(SUMIFS('Bucket Counts'!$P:$P, 'Bucket Counts'!$B:$B, EG$2, 'Bucket Counts'!$A:$A, "="&amp;$A73,  'Bucket Counts'!$F:$F, "&lt;&gt;100 Morts",  'Bucket Counts'!$F:$F, "&lt;&gt;224"))</f>
        <v>0</v>
      </c>
      <c r="EH73" s="116">
        <f>(SUMIFS('Bucket Counts'!$P:$P, 'Bucket Counts'!$B:$B, EH$2, 'Bucket Counts'!$A:$A, "="&amp;$A73,  'Bucket Counts'!$F:$F, "100 Morts"))</f>
        <v>0</v>
      </c>
      <c r="EI73" s="116">
        <f>(SUMIFS('Bucket Counts'!$P:$P, 'Bucket Counts'!$B:$B, EI$2, 'Bucket Counts'!$A:$A, "="&amp;$A73,  'Bucket Counts'!$F:$F, "224"))</f>
        <v>0</v>
      </c>
      <c r="EJ73" s="116"/>
      <c r="EK73" s="426" t="e">
        <f>(EI73+EG73)/EL72</f>
        <v>#DIV/0!</v>
      </c>
      <c r="EL73" s="370">
        <f>EG73+SUM(EF72:EF73)</f>
        <v>0</v>
      </c>
    </row>
    <row r="74" spans="1:142" x14ac:dyDescent="0.2">
      <c r="A74" s="16">
        <f t="shared" si="0"/>
        <v>42943</v>
      </c>
      <c r="B74" s="16" t="s">
        <v>487</v>
      </c>
      <c r="C74" s="369">
        <f>SUMIFS(Collection!$O:$O, Collection!$K:$K, C$2, Collection!$A:$A, "="&amp;$A74)</f>
        <v>0</v>
      </c>
      <c r="D74" s="116">
        <f>(SUMIFS('Bucket Counts'!$P:$P, 'Bucket Counts'!$B:$B, D$2, 'Bucket Counts'!$A:$A, "="&amp;$A74,  'Bucket Counts'!$F:$F, "&lt;&gt;100 Morts",  'Bucket Counts'!$F:$F, "&lt;&gt;224"))</f>
        <v>0</v>
      </c>
      <c r="E74" s="116">
        <f>(SUMIFS('Bucket Counts'!$P:$P, 'Bucket Counts'!$B:$B, E$2, 'Bucket Counts'!$A:$A, "="&amp;$A74,  'Bucket Counts'!$F:$F, "100 Morts"))</f>
        <v>0</v>
      </c>
      <c r="F74" s="116">
        <f>(SUMIFS('Bucket Counts'!$P:$P, 'Bucket Counts'!$B:$B, F$2, 'Bucket Counts'!$A:$A, "="&amp;$A74,  'Bucket Counts'!$F:$F, "224"))</f>
        <v>0</v>
      </c>
      <c r="G74" s="116"/>
      <c r="H74" s="426" t="e">
        <f>(F74+D74)/I73</f>
        <v>#DIV/0!</v>
      </c>
      <c r="I74" s="370">
        <f>D72+SUM(C72:C74)</f>
        <v>0</v>
      </c>
      <c r="J74" s="369">
        <f>SUMIFS(Collection!$O:$O, Collection!$K:$K, J$2, Collection!$A:$A, "="&amp;$A74)</f>
        <v>0</v>
      </c>
      <c r="K74" s="116">
        <f>(SUMIFS('Bucket Counts'!$P:$P, 'Bucket Counts'!$B:$B, K$2, 'Bucket Counts'!$A:$A, "="&amp;$A74,  'Bucket Counts'!$F:$F, "&lt;&gt;100 Morts",  'Bucket Counts'!$F:$F, "&lt;&gt;224"))</f>
        <v>0</v>
      </c>
      <c r="L74" s="116">
        <f>(SUMIFS('Bucket Counts'!$P:$P, 'Bucket Counts'!$B:$B, L$2, 'Bucket Counts'!$A:$A, "="&amp;$A74,  'Bucket Counts'!$F:$F, "100 Morts"))</f>
        <v>0</v>
      </c>
      <c r="M74" s="116">
        <f>(SUMIFS('Bucket Counts'!$P:$P, 'Bucket Counts'!$B:$B, M$2, 'Bucket Counts'!$A:$A, "="&amp;$A74,  'Bucket Counts'!$F:$F, "224"))</f>
        <v>0</v>
      </c>
      <c r="N74" s="116"/>
      <c r="O74" s="426" t="e">
        <f>(M74+K74)/P73</f>
        <v>#DIV/0!</v>
      </c>
      <c r="P74" s="370">
        <f>K72+SUM(J72:J74)</f>
        <v>0</v>
      </c>
      <c r="Q74" s="369">
        <f>SUMIFS(Collection!$O:$O, Collection!$K:$K, Q$2, Collection!$A:$A, "="&amp;$A74)</f>
        <v>0</v>
      </c>
      <c r="R74" s="116">
        <f>(SUMIFS('Bucket Counts'!$P:$P, 'Bucket Counts'!$B:$B, R$2, 'Bucket Counts'!$A:$A, "="&amp;$A74,  'Bucket Counts'!$F:$F, "&lt;&gt;100 Morts",  'Bucket Counts'!$F:$F, "&lt;&gt;224"))</f>
        <v>0</v>
      </c>
      <c r="S74" s="116">
        <f>(SUMIFS('Bucket Counts'!$P:$P, 'Bucket Counts'!$B:$B, S$2, 'Bucket Counts'!$A:$A, "="&amp;$A74,  'Bucket Counts'!$F:$F, "100 Morts"))</f>
        <v>0</v>
      </c>
      <c r="T74" s="116">
        <f>(SUMIFS('Bucket Counts'!$P:$P, 'Bucket Counts'!$B:$B, T$2, 'Bucket Counts'!$A:$A, "="&amp;$A74,  'Bucket Counts'!$F:$F, "224"))</f>
        <v>0</v>
      </c>
      <c r="U74" s="116"/>
      <c r="V74" s="426" t="e">
        <f>(T74+R74)/W73</f>
        <v>#DIV/0!</v>
      </c>
      <c r="W74" s="370">
        <f>R72+SUM(Q72:Q74)</f>
        <v>0</v>
      </c>
      <c r="X74" s="369">
        <f>SUMIFS(Collection!$O:$O, Collection!$K:$K, X$2, Collection!$A:$A, "="&amp;$A74)</f>
        <v>0</v>
      </c>
      <c r="Y74" s="116">
        <f>(SUMIFS('Bucket Counts'!$P:$P, 'Bucket Counts'!$B:$B, Y$2, 'Bucket Counts'!$A:$A, "="&amp;$A74,  'Bucket Counts'!$F:$F, "&lt;&gt;100 Morts",  'Bucket Counts'!$F:$F, "&lt;&gt;224"))</f>
        <v>0</v>
      </c>
      <c r="Z74" s="116">
        <f>(SUMIFS('Bucket Counts'!$P:$P, 'Bucket Counts'!$B:$B, Z$2, 'Bucket Counts'!$A:$A, "="&amp;$A74,  'Bucket Counts'!$F:$F, "100 Morts"))</f>
        <v>0</v>
      </c>
      <c r="AA74" s="116">
        <f>(SUMIFS('Bucket Counts'!$P:$P, 'Bucket Counts'!$B:$B, AA$2, 'Bucket Counts'!$A:$A, "="&amp;$A74,  'Bucket Counts'!$F:$F, "224"))</f>
        <v>0</v>
      </c>
      <c r="AB74" s="116"/>
      <c r="AC74" s="426" t="e">
        <f>(AA74+Y74)/AD73</f>
        <v>#DIV/0!</v>
      </c>
      <c r="AD74" s="370">
        <f>Y72+SUM(X72:X74)</f>
        <v>0</v>
      </c>
      <c r="AE74" s="369">
        <f>SUMIFS(Collection!$O:$O, Collection!$K:$K, AE$2, Collection!$A:$A, "="&amp;$A74)</f>
        <v>0</v>
      </c>
      <c r="AF74" s="116">
        <f>(SUMIFS('Bucket Counts'!$P:$P, 'Bucket Counts'!$B:$B, AF$2, 'Bucket Counts'!$A:$A, "="&amp;$A74,  'Bucket Counts'!$F:$F, "&lt;&gt;100 Morts",  'Bucket Counts'!$F:$F, "&lt;&gt;224"))</f>
        <v>0</v>
      </c>
      <c r="AG74" s="116">
        <f>(SUMIFS('Bucket Counts'!$P:$P, 'Bucket Counts'!$B:$B, AG$2, 'Bucket Counts'!$A:$A, "="&amp;$A74,  'Bucket Counts'!$F:$F, "100 Morts"))</f>
        <v>0</v>
      </c>
      <c r="AH74" s="116">
        <f>(SUMIFS('Bucket Counts'!$P:$P, 'Bucket Counts'!$B:$B, AH$2, 'Bucket Counts'!$A:$A, "="&amp;$A74,  'Bucket Counts'!$F:$F, "224"))</f>
        <v>0</v>
      </c>
      <c r="AI74" s="116"/>
      <c r="AJ74" s="426" t="e">
        <f>(AH74+AF74)/AK73</f>
        <v>#DIV/0!</v>
      </c>
      <c r="AK74" s="370">
        <f>AF72+SUM(AE72:AE74)</f>
        <v>0</v>
      </c>
      <c r="AL74" s="369">
        <f>SUMIFS(Collection!$O:$O, Collection!$K:$K, AL$2, Collection!$A:$A, "="&amp;$A74)</f>
        <v>0</v>
      </c>
      <c r="AM74" s="116">
        <f>(SUMIFS('Bucket Counts'!$P:$P, 'Bucket Counts'!$B:$B, AM$2, 'Bucket Counts'!$A:$A, "="&amp;$A74,  'Bucket Counts'!$F:$F, "&lt;&gt;100 Morts",  'Bucket Counts'!$F:$F, "&lt;&gt;224"))</f>
        <v>0</v>
      </c>
      <c r="AN74" s="116">
        <f>(SUMIFS('Bucket Counts'!$P:$P, 'Bucket Counts'!$B:$B, AN$2, 'Bucket Counts'!$A:$A, "="&amp;$A74,  'Bucket Counts'!$F:$F, "100 Morts"))</f>
        <v>0</v>
      </c>
      <c r="AO74" s="116">
        <f>(SUMIFS('Bucket Counts'!$P:$P, 'Bucket Counts'!$B:$B, AO$2, 'Bucket Counts'!$A:$A, "="&amp;$A74,  'Bucket Counts'!$F:$F, "224"))</f>
        <v>0</v>
      </c>
      <c r="AP74" s="116"/>
      <c r="AQ74" s="426" t="e">
        <f>(AO74+AM74)/AR73</f>
        <v>#DIV/0!</v>
      </c>
      <c r="AR74" s="370">
        <f>AM72+SUM(AL72:AL74)</f>
        <v>0</v>
      </c>
      <c r="AS74" s="369">
        <f>SUMIFS(Collection!$O:$O, Collection!$K:$K, AS$2, Collection!$A:$A, "="&amp;$A74)</f>
        <v>0</v>
      </c>
      <c r="AT74" s="116">
        <f>(SUMIFS('Bucket Counts'!$P:$P, 'Bucket Counts'!$B:$B, AT$2, 'Bucket Counts'!$A:$A, "="&amp;$A74,  'Bucket Counts'!$F:$F, "&lt;&gt;100 Morts",  'Bucket Counts'!$F:$F, "&lt;&gt;224"))</f>
        <v>0</v>
      </c>
      <c r="AU74" s="116">
        <f>(SUMIFS('Bucket Counts'!$P:$P, 'Bucket Counts'!$B:$B, AU$2, 'Bucket Counts'!$A:$A, "="&amp;$A74,  'Bucket Counts'!$F:$F, "100 Morts"))</f>
        <v>0</v>
      </c>
      <c r="AV74" s="116">
        <f>(SUMIFS('Bucket Counts'!$P:$P, 'Bucket Counts'!$B:$B, AV$2, 'Bucket Counts'!$A:$A, "="&amp;$A74,  'Bucket Counts'!$F:$F, "224"))</f>
        <v>0</v>
      </c>
      <c r="AW74" s="116"/>
      <c r="AX74" s="426" t="e">
        <f>(AV74+AT74)/AY73</f>
        <v>#DIV/0!</v>
      </c>
      <c r="AY74" s="370">
        <f>AT72+SUM(AS72:AS74)</f>
        <v>0</v>
      </c>
      <c r="AZ74" s="369">
        <f>SUMIFS(Collection!$O:$O, Collection!$K:$K, AZ$2, Collection!$A:$A, "="&amp;$A74)</f>
        <v>0</v>
      </c>
      <c r="BA74" s="116">
        <f>(SUMIFS('Bucket Counts'!$P:$P, 'Bucket Counts'!$B:$B, BA$2, 'Bucket Counts'!$A:$A, "="&amp;$A74,  'Bucket Counts'!$F:$F, "&lt;&gt;100 Morts",  'Bucket Counts'!$F:$F, "&lt;&gt;224"))</f>
        <v>0</v>
      </c>
      <c r="BB74" s="116">
        <f>(SUMIFS('Bucket Counts'!$P:$P, 'Bucket Counts'!$B:$B, BB$2, 'Bucket Counts'!$A:$A, "="&amp;$A74,  'Bucket Counts'!$F:$F, "100 Morts"))</f>
        <v>0</v>
      </c>
      <c r="BC74" s="116">
        <f>(SUMIFS('Bucket Counts'!$P:$P, 'Bucket Counts'!$B:$B, BC$2, 'Bucket Counts'!$A:$A, "="&amp;$A74,  'Bucket Counts'!$F:$F, "224"))</f>
        <v>0</v>
      </c>
      <c r="BD74" s="116"/>
      <c r="BE74" s="426" t="e">
        <f>(BC74+BA74)/BF73</f>
        <v>#DIV/0!</v>
      </c>
      <c r="BF74" s="370">
        <f>BA72+SUM(AZ72:AZ74)</f>
        <v>0</v>
      </c>
      <c r="BG74" s="369">
        <f>SUMIFS(Collection!$O:$O, Collection!$K:$K, BG$2, Collection!$A:$A, "="&amp;$A74)</f>
        <v>0</v>
      </c>
      <c r="BH74" s="116">
        <f>(SUMIFS('Bucket Counts'!$P:$P, 'Bucket Counts'!$B:$B, BH$2, 'Bucket Counts'!$A:$A, "="&amp;$A74,  'Bucket Counts'!$F:$F, "&lt;&gt;100 Morts",  'Bucket Counts'!$F:$F, "&lt;&gt;224"))</f>
        <v>0</v>
      </c>
      <c r="BI74" s="116">
        <f>(SUMIFS('Bucket Counts'!$P:$P, 'Bucket Counts'!$B:$B, BI$2, 'Bucket Counts'!$A:$A, "="&amp;$A74,  'Bucket Counts'!$F:$F, "100 Morts"))</f>
        <v>0</v>
      </c>
      <c r="BJ74" s="116">
        <f>(SUMIFS('Bucket Counts'!$P:$P, 'Bucket Counts'!$B:$B, BJ$2, 'Bucket Counts'!$A:$A, "="&amp;$A74,  'Bucket Counts'!$F:$F, "224"))</f>
        <v>0</v>
      </c>
      <c r="BK74" s="116"/>
      <c r="BL74" s="426" t="e">
        <f>(BJ74+BH74)/BM73</f>
        <v>#DIV/0!</v>
      </c>
      <c r="BM74" s="370">
        <f>BH72+SUM(BG72:BG74)</f>
        <v>83.333333333333329</v>
      </c>
      <c r="BN74" s="369">
        <f>SUMIFS(Collection!$O:$O, Collection!$K:$K, BN$2, Collection!$A:$A, "="&amp;$A74)</f>
        <v>0</v>
      </c>
      <c r="BO74" s="116">
        <f>(SUMIFS('Bucket Counts'!$P:$P, 'Bucket Counts'!$B:$B, BO$2, 'Bucket Counts'!$A:$A, "="&amp;$A74,  'Bucket Counts'!$F:$F, "&lt;&gt;100 Morts",  'Bucket Counts'!$F:$F, "&lt;&gt;224"))</f>
        <v>0</v>
      </c>
      <c r="BP74" s="116">
        <f>(SUMIFS('Bucket Counts'!$P:$P, 'Bucket Counts'!$B:$B, BP$2, 'Bucket Counts'!$A:$A, "="&amp;$A74,  'Bucket Counts'!$F:$F, "100 Morts"))</f>
        <v>0</v>
      </c>
      <c r="BQ74" s="116">
        <f>(SUMIFS('Bucket Counts'!$P:$P, 'Bucket Counts'!$B:$B, BQ$2, 'Bucket Counts'!$A:$A, "="&amp;$A74,  'Bucket Counts'!$F:$F, "224"))</f>
        <v>0</v>
      </c>
      <c r="BR74" s="116"/>
      <c r="BS74" s="426" t="e">
        <f>(BQ74+BO74)/BT73</f>
        <v>#DIV/0!</v>
      </c>
      <c r="BT74" s="370">
        <f>BO72+SUM(BN72:BN74)</f>
        <v>188.88888888888889</v>
      </c>
      <c r="BU74" s="369">
        <f>SUMIFS(Collection!$O:$O, Collection!$K:$K, BU$2, Collection!$A:$A, "="&amp;$A74)</f>
        <v>0</v>
      </c>
      <c r="BV74" s="116">
        <f>(SUMIFS('Bucket Counts'!$P:$P, 'Bucket Counts'!$B:$B, BV$2, 'Bucket Counts'!$A:$A, "="&amp;$A74,  'Bucket Counts'!$F:$F, "&lt;&gt;100 Morts",  'Bucket Counts'!$F:$F, "&lt;&gt;224"))</f>
        <v>0</v>
      </c>
      <c r="BW74" s="116">
        <f>(SUMIFS('Bucket Counts'!$P:$P, 'Bucket Counts'!$B:$B, BW$2, 'Bucket Counts'!$A:$A, "="&amp;$A74,  'Bucket Counts'!$F:$F, "100 Morts"))</f>
        <v>0</v>
      </c>
      <c r="BX74" s="116">
        <f>(SUMIFS('Bucket Counts'!$P:$P, 'Bucket Counts'!$B:$B, BX$2, 'Bucket Counts'!$A:$A, "="&amp;$A74,  'Bucket Counts'!$F:$F, "224"))</f>
        <v>0</v>
      </c>
      <c r="BY74" s="116"/>
      <c r="BZ74" s="426" t="e">
        <f>(BX74+BV74)/CA73</f>
        <v>#DIV/0!</v>
      </c>
      <c r="CA74" s="370">
        <f>BV72+SUM(BU72:BU74)</f>
        <v>0</v>
      </c>
      <c r="CB74" s="369">
        <f>SUMIFS(Collection!$O:$O, Collection!$K:$K, CB$2, Collection!$A:$A, "="&amp;$A74)</f>
        <v>0</v>
      </c>
      <c r="CC74" s="116">
        <f>(SUMIFS('Bucket Counts'!$P:$P, 'Bucket Counts'!$B:$B, CC$2, 'Bucket Counts'!$A:$A, "="&amp;$A74,  'Bucket Counts'!$F:$F, "&lt;&gt;100 Morts",  'Bucket Counts'!$F:$F, "&lt;&gt;224"))</f>
        <v>0</v>
      </c>
      <c r="CD74" s="116">
        <f>(SUMIFS('Bucket Counts'!$P:$P, 'Bucket Counts'!$B:$B, CD$2, 'Bucket Counts'!$A:$A, "="&amp;$A74,  'Bucket Counts'!$F:$F, "100 Morts"))</f>
        <v>0</v>
      </c>
      <c r="CE74" s="116">
        <f>(SUMIFS('Bucket Counts'!$P:$P, 'Bucket Counts'!$B:$B, CE$2, 'Bucket Counts'!$A:$A, "="&amp;$A74,  'Bucket Counts'!$F:$F, "224"))</f>
        <v>0</v>
      </c>
      <c r="CF74" s="116"/>
      <c r="CG74" s="426" t="e">
        <f>(CE74+CC74)/CH73</f>
        <v>#DIV/0!</v>
      </c>
      <c r="CH74" s="370">
        <f>CC72+SUM(CB72:CB74)</f>
        <v>0</v>
      </c>
      <c r="CI74" s="369">
        <f>SUMIFS(Collection!$O:$O, Collection!$K:$K, CI$2, Collection!$A:$A, "="&amp;$A74)</f>
        <v>0</v>
      </c>
      <c r="CJ74" s="116">
        <f>(SUMIFS('Bucket Counts'!$P:$P, 'Bucket Counts'!$B:$B, CJ$2, 'Bucket Counts'!$A:$A, "="&amp;$A74,  'Bucket Counts'!$F:$F, "&lt;&gt;100 Morts",  'Bucket Counts'!$F:$F, "&lt;&gt;224"))</f>
        <v>0</v>
      </c>
      <c r="CK74" s="116">
        <f>(SUMIFS('Bucket Counts'!$P:$P, 'Bucket Counts'!$B:$B, CK$2, 'Bucket Counts'!$A:$A, "="&amp;$A74,  'Bucket Counts'!$F:$F, "100 Morts"))</f>
        <v>0</v>
      </c>
      <c r="CL74" s="116">
        <f>(SUMIFS('Bucket Counts'!$P:$P, 'Bucket Counts'!$B:$B, CL$2, 'Bucket Counts'!$A:$A, "="&amp;$A74,  'Bucket Counts'!$F:$F, "224"))</f>
        <v>0</v>
      </c>
      <c r="CM74" s="116"/>
      <c r="CN74" s="426" t="e">
        <f>(CL74+CJ74)/CO73</f>
        <v>#DIV/0!</v>
      </c>
      <c r="CO74" s="370">
        <f>CJ72+SUM(CI72:CI74)</f>
        <v>0</v>
      </c>
      <c r="CP74" s="369">
        <f>SUMIFS(Collection!$O:$O, Collection!$K:$K, CP$2, Collection!$A:$A, "="&amp;$A74)</f>
        <v>0</v>
      </c>
      <c r="CQ74" s="116">
        <f>(SUMIFS('Bucket Counts'!$P:$P, 'Bucket Counts'!$B:$B, CQ$2, 'Bucket Counts'!$A:$A, "="&amp;$A74,  'Bucket Counts'!$F:$F, "&lt;&gt;100 Morts",  'Bucket Counts'!$F:$F, "&lt;&gt;224"))</f>
        <v>0</v>
      </c>
      <c r="CR74" s="116">
        <f>(SUMIFS('Bucket Counts'!$P:$P, 'Bucket Counts'!$B:$B, CR$2, 'Bucket Counts'!$A:$A, "="&amp;$A74,  'Bucket Counts'!$F:$F, "100 Morts"))</f>
        <v>0</v>
      </c>
      <c r="CS74" s="116">
        <f>(SUMIFS('Bucket Counts'!$P:$P, 'Bucket Counts'!$B:$B, CS$2, 'Bucket Counts'!$A:$A, "="&amp;$A74,  'Bucket Counts'!$F:$F, "224"))</f>
        <v>0</v>
      </c>
      <c r="CT74" s="116"/>
      <c r="CU74" s="426" t="e">
        <f>(CS74+CQ74)/CV73</f>
        <v>#DIV/0!</v>
      </c>
      <c r="CV74" s="370">
        <f>CQ72+SUM(CP72:CP74)</f>
        <v>0</v>
      </c>
      <c r="CW74" s="369">
        <f>SUMIFS(Collection!$O:$O, Collection!$K:$K, CW$2, Collection!$A:$A, "="&amp;$A74)</f>
        <v>0</v>
      </c>
      <c r="CX74" s="116">
        <f>(SUMIFS('Bucket Counts'!$P:$P, 'Bucket Counts'!$B:$B, CX$2, 'Bucket Counts'!$A:$A, "="&amp;$A74,  'Bucket Counts'!$F:$F, "&lt;&gt;100 Morts",  'Bucket Counts'!$F:$F, "&lt;&gt;224"))</f>
        <v>0</v>
      </c>
      <c r="CY74" s="116">
        <f>(SUMIFS('Bucket Counts'!$P:$P, 'Bucket Counts'!$B:$B, CY$2, 'Bucket Counts'!$A:$A, "="&amp;$A74,  'Bucket Counts'!$F:$F, "100 Morts"))</f>
        <v>0</v>
      </c>
      <c r="CZ74" s="116">
        <f>(SUMIFS('Bucket Counts'!$P:$P, 'Bucket Counts'!$B:$B, CZ$2, 'Bucket Counts'!$A:$A, "="&amp;$A74,  'Bucket Counts'!$F:$F, "224"))</f>
        <v>0</v>
      </c>
      <c r="DA74" s="116"/>
      <c r="DB74" s="426" t="e">
        <f>(CZ74+CX74)/DC73</f>
        <v>#DIV/0!</v>
      </c>
      <c r="DC74" s="370">
        <f>CX72+SUM(CW72:CW74)</f>
        <v>0</v>
      </c>
      <c r="DD74" s="369">
        <f>SUMIFS(Collection!$O:$O, Collection!$K:$K, DD$2, Collection!$A:$A, "="&amp;$A74)</f>
        <v>0</v>
      </c>
      <c r="DE74" s="116">
        <f>(SUMIFS('Bucket Counts'!$P:$P, 'Bucket Counts'!$B:$B, DE$2, 'Bucket Counts'!$A:$A, "="&amp;$A74,  'Bucket Counts'!$F:$F, "&lt;&gt;100 Morts",  'Bucket Counts'!$F:$F, "&lt;&gt;224"))</f>
        <v>0</v>
      </c>
      <c r="DF74" s="116">
        <f>(SUMIFS('Bucket Counts'!$P:$P, 'Bucket Counts'!$B:$B, DF$2, 'Bucket Counts'!$A:$A, "="&amp;$A74,  'Bucket Counts'!$F:$F, "100 Morts"))</f>
        <v>0</v>
      </c>
      <c r="DG74" s="116">
        <f>(SUMIFS('Bucket Counts'!$P:$P, 'Bucket Counts'!$B:$B, DG$2, 'Bucket Counts'!$A:$A, "="&amp;$A74,  'Bucket Counts'!$F:$F, "224"))</f>
        <v>0</v>
      </c>
      <c r="DH74" s="116"/>
      <c r="DI74" s="426" t="e">
        <f>(DG74+DE74)/DJ73</f>
        <v>#DIV/0!</v>
      </c>
      <c r="DJ74" s="370">
        <f>DE72+SUM(DD72:DD74)</f>
        <v>0</v>
      </c>
      <c r="DK74" s="369">
        <f>SUMIFS(Collection!$O:$O, Collection!$K:$K, DK$2, Collection!$A:$A, "="&amp;$A74)</f>
        <v>0</v>
      </c>
      <c r="DL74" s="116">
        <f>(SUMIFS('Bucket Counts'!$P:$P, 'Bucket Counts'!$B:$B, DL$2, 'Bucket Counts'!$A:$A, "="&amp;$A74,  'Bucket Counts'!$F:$F, "&lt;&gt;100 Morts",  'Bucket Counts'!$F:$F, "&lt;&gt;224"))</f>
        <v>0</v>
      </c>
      <c r="DM74" s="116">
        <f>(SUMIFS('Bucket Counts'!$P:$P, 'Bucket Counts'!$B:$B, DM$2, 'Bucket Counts'!$A:$A, "="&amp;$A74,  'Bucket Counts'!$F:$F, "100 Morts"))</f>
        <v>0</v>
      </c>
      <c r="DN74" s="116">
        <f>(SUMIFS('Bucket Counts'!$P:$P, 'Bucket Counts'!$B:$B, DN$2, 'Bucket Counts'!$A:$A, "="&amp;$A74,  'Bucket Counts'!$F:$F, "224"))</f>
        <v>0</v>
      </c>
      <c r="DO74" s="116"/>
      <c r="DP74" s="426" t="e">
        <f>(DN74+DL74)/DQ73</f>
        <v>#DIV/0!</v>
      </c>
      <c r="DQ74" s="370">
        <f>DL72+SUM(DK72:DK74)</f>
        <v>0</v>
      </c>
      <c r="DR74" s="369">
        <f>SUMIFS(Collection!$O:$O, Collection!$K:$K, DR$2, Collection!$A:$A, "="&amp;$A74)</f>
        <v>0</v>
      </c>
      <c r="DS74" s="116">
        <f>(SUMIFS('Bucket Counts'!$P:$P, 'Bucket Counts'!$B:$B, DS$2, 'Bucket Counts'!$A:$A, "="&amp;$A74,  'Bucket Counts'!$F:$F, "&lt;&gt;100 Morts",  'Bucket Counts'!$F:$F, "&lt;&gt;224"))</f>
        <v>0</v>
      </c>
      <c r="DT74" s="116">
        <f>(SUMIFS('Bucket Counts'!$P:$P, 'Bucket Counts'!$B:$B, DT$2, 'Bucket Counts'!$A:$A, "="&amp;$A74,  'Bucket Counts'!$F:$F, "100 Morts"))</f>
        <v>0</v>
      </c>
      <c r="DU74" s="116">
        <f>(SUMIFS('Bucket Counts'!$P:$P, 'Bucket Counts'!$B:$B, DU$2, 'Bucket Counts'!$A:$A, "="&amp;$A74,  'Bucket Counts'!$F:$F, "224"))</f>
        <v>0</v>
      </c>
      <c r="DV74" s="116"/>
      <c r="DW74" s="426" t="e">
        <f>(DU74+DS74)/DX73</f>
        <v>#DIV/0!</v>
      </c>
      <c r="DX74" s="370">
        <f>DS72+SUM(DR72:DR74)</f>
        <v>0</v>
      </c>
      <c r="DY74" s="369">
        <f>SUMIFS(Collection!$O:$O, Collection!$K:$K, DY$2, Collection!$A:$A, "="&amp;$A74)</f>
        <v>0</v>
      </c>
      <c r="DZ74" s="116">
        <f>(SUMIFS('Bucket Counts'!$P:$P, 'Bucket Counts'!$B:$B, DZ$2, 'Bucket Counts'!$A:$A, "="&amp;$A74,  'Bucket Counts'!$F:$F, "&lt;&gt;100 Morts",  'Bucket Counts'!$F:$F, "&lt;&gt;224"))</f>
        <v>0</v>
      </c>
      <c r="EA74" s="116">
        <f>(SUMIFS('Bucket Counts'!$P:$P, 'Bucket Counts'!$B:$B, EA$2, 'Bucket Counts'!$A:$A, "="&amp;$A74,  'Bucket Counts'!$F:$F, "100 Morts"))</f>
        <v>0</v>
      </c>
      <c r="EB74" s="116">
        <f>(SUMIFS('Bucket Counts'!$P:$P, 'Bucket Counts'!$B:$B, EB$2, 'Bucket Counts'!$A:$A, "="&amp;$A74,  'Bucket Counts'!$F:$F, "224"))</f>
        <v>0</v>
      </c>
      <c r="EC74" s="116"/>
      <c r="ED74" s="426" t="e">
        <f>(EB74+DZ74)/EE73</f>
        <v>#DIV/0!</v>
      </c>
      <c r="EE74" s="370">
        <f>DZ72+SUM(DY72:DY74)</f>
        <v>0</v>
      </c>
      <c r="EF74" s="369">
        <f>SUMIFS(Collection!$O:$O, Collection!$K:$K, EF$2, Collection!$A:$A, "="&amp;$A74)</f>
        <v>0</v>
      </c>
      <c r="EG74" s="116">
        <f>(SUMIFS('Bucket Counts'!$P:$P, 'Bucket Counts'!$B:$B, EG$2, 'Bucket Counts'!$A:$A, "="&amp;$A74,  'Bucket Counts'!$F:$F, "&lt;&gt;100 Morts",  'Bucket Counts'!$F:$F, "&lt;&gt;224"))</f>
        <v>0</v>
      </c>
      <c r="EH74" s="116">
        <f>(SUMIFS('Bucket Counts'!$P:$P, 'Bucket Counts'!$B:$B, EH$2, 'Bucket Counts'!$A:$A, "="&amp;$A74,  'Bucket Counts'!$F:$F, "100 Morts"))</f>
        <v>0</v>
      </c>
      <c r="EI74" s="116">
        <f>(SUMIFS('Bucket Counts'!$P:$P, 'Bucket Counts'!$B:$B, EI$2, 'Bucket Counts'!$A:$A, "="&amp;$A74,  'Bucket Counts'!$F:$F, "224"))</f>
        <v>0</v>
      </c>
      <c r="EJ74" s="116"/>
      <c r="EK74" s="426" t="e">
        <f>(EI74+EG74)/EL73</f>
        <v>#DIV/0!</v>
      </c>
      <c r="EL74" s="370">
        <f>EG72+SUM(EF72:EF74)</f>
        <v>0</v>
      </c>
    </row>
    <row r="75" spans="1:142" x14ac:dyDescent="0.2">
      <c r="A75" s="16">
        <f t="shared" si="0"/>
        <v>42944</v>
      </c>
      <c r="B75" s="16" t="s">
        <v>487</v>
      </c>
      <c r="C75" s="369">
        <f>SUMIFS(Collection!$O:$O, Collection!$K:$K, C$2, Collection!$A:$A, "="&amp;$A75)</f>
        <v>0</v>
      </c>
      <c r="D75" s="116">
        <f>(SUMIFS('Bucket Counts'!$P:$P, 'Bucket Counts'!$B:$B, D$2, 'Bucket Counts'!$A:$A, "="&amp;$A75,  'Bucket Counts'!$F:$F, "&lt;&gt;100 Morts",  'Bucket Counts'!$F:$F, "&lt;&gt;224"))</f>
        <v>0</v>
      </c>
      <c r="E75" s="116">
        <f>(SUMIFS('Bucket Counts'!$P:$P, 'Bucket Counts'!$B:$B, E$2, 'Bucket Counts'!$A:$A, "="&amp;$A75,  'Bucket Counts'!$F:$F, "100 Morts"))</f>
        <v>0</v>
      </c>
      <c r="F75" s="116">
        <f>(SUMIFS('Bucket Counts'!$P:$P, 'Bucket Counts'!$B:$B, F$2, 'Bucket Counts'!$A:$A, "="&amp;$A75,  'Bucket Counts'!$F:$F, "224"))</f>
        <v>0</v>
      </c>
      <c r="G75" s="116"/>
      <c r="H75" s="426" t="e">
        <f>(F75+D75)/I74</f>
        <v>#DIV/0!</v>
      </c>
      <c r="I75" s="370">
        <f>D72+SUM(C72:C75)</f>
        <v>0</v>
      </c>
      <c r="J75" s="369">
        <f>SUMIFS(Collection!$O:$O, Collection!$K:$K, J$2, Collection!$A:$A, "="&amp;$A75)</f>
        <v>0</v>
      </c>
      <c r="K75" s="116">
        <f>(SUMIFS('Bucket Counts'!$P:$P, 'Bucket Counts'!$B:$B, K$2, 'Bucket Counts'!$A:$A, "="&amp;$A75,  'Bucket Counts'!$F:$F, "&lt;&gt;100 Morts",  'Bucket Counts'!$F:$F, "&lt;&gt;224"))</f>
        <v>0</v>
      </c>
      <c r="L75" s="116">
        <f>(SUMIFS('Bucket Counts'!$P:$P, 'Bucket Counts'!$B:$B, L$2, 'Bucket Counts'!$A:$A, "="&amp;$A75,  'Bucket Counts'!$F:$F, "100 Morts"))</f>
        <v>0</v>
      </c>
      <c r="M75" s="116">
        <f>(SUMIFS('Bucket Counts'!$P:$P, 'Bucket Counts'!$B:$B, M$2, 'Bucket Counts'!$A:$A, "="&amp;$A75,  'Bucket Counts'!$F:$F, "224"))</f>
        <v>0</v>
      </c>
      <c r="N75" s="116"/>
      <c r="O75" s="426" t="e">
        <f>(M75+K75)/P74</f>
        <v>#DIV/0!</v>
      </c>
      <c r="P75" s="370">
        <f>K72+SUM(J72:J75)</f>
        <v>0</v>
      </c>
      <c r="Q75" s="369">
        <f>SUMIFS(Collection!$O:$O, Collection!$K:$K, Q$2, Collection!$A:$A, "="&amp;$A75)</f>
        <v>0</v>
      </c>
      <c r="R75" s="116">
        <f>(SUMIFS('Bucket Counts'!$P:$P, 'Bucket Counts'!$B:$B, R$2, 'Bucket Counts'!$A:$A, "="&amp;$A75,  'Bucket Counts'!$F:$F, "&lt;&gt;100 Morts",  'Bucket Counts'!$F:$F, "&lt;&gt;224"))</f>
        <v>0</v>
      </c>
      <c r="S75" s="116">
        <f>(SUMIFS('Bucket Counts'!$P:$P, 'Bucket Counts'!$B:$B, S$2, 'Bucket Counts'!$A:$A, "="&amp;$A75,  'Bucket Counts'!$F:$F, "100 Morts"))</f>
        <v>0</v>
      </c>
      <c r="T75" s="116">
        <f>(SUMIFS('Bucket Counts'!$P:$P, 'Bucket Counts'!$B:$B, T$2, 'Bucket Counts'!$A:$A, "="&amp;$A75,  'Bucket Counts'!$F:$F, "224"))</f>
        <v>0</v>
      </c>
      <c r="U75" s="116"/>
      <c r="V75" s="426" t="e">
        <f>(T75+R75)/W74</f>
        <v>#DIV/0!</v>
      </c>
      <c r="W75" s="370">
        <f>R72+SUM(Q72:Q75)</f>
        <v>0</v>
      </c>
      <c r="X75" s="369">
        <f>SUMIFS(Collection!$O:$O, Collection!$K:$K, X$2, Collection!$A:$A, "="&amp;$A75)</f>
        <v>0</v>
      </c>
      <c r="Y75" s="116">
        <f>(SUMIFS('Bucket Counts'!$P:$P, 'Bucket Counts'!$B:$B, Y$2, 'Bucket Counts'!$A:$A, "="&amp;$A75,  'Bucket Counts'!$F:$F, "&lt;&gt;100 Morts",  'Bucket Counts'!$F:$F, "&lt;&gt;224"))</f>
        <v>0</v>
      </c>
      <c r="Z75" s="116">
        <f>(SUMIFS('Bucket Counts'!$P:$P, 'Bucket Counts'!$B:$B, Z$2, 'Bucket Counts'!$A:$A, "="&amp;$A75,  'Bucket Counts'!$F:$F, "100 Morts"))</f>
        <v>0</v>
      </c>
      <c r="AA75" s="116">
        <f>(SUMIFS('Bucket Counts'!$P:$P, 'Bucket Counts'!$B:$B, AA$2, 'Bucket Counts'!$A:$A, "="&amp;$A75,  'Bucket Counts'!$F:$F, "224"))</f>
        <v>0</v>
      </c>
      <c r="AB75" s="116"/>
      <c r="AC75" s="426" t="e">
        <f>(AA75+Y75)/AD74</f>
        <v>#DIV/0!</v>
      </c>
      <c r="AD75" s="370">
        <f>Y72+SUM(X72:X75)</f>
        <v>0</v>
      </c>
      <c r="AE75" s="369">
        <f>SUMIFS(Collection!$O:$O, Collection!$K:$K, AE$2, Collection!$A:$A, "="&amp;$A75)</f>
        <v>0</v>
      </c>
      <c r="AF75" s="116">
        <f>(SUMIFS('Bucket Counts'!$P:$P, 'Bucket Counts'!$B:$B, AF$2, 'Bucket Counts'!$A:$A, "="&amp;$A75,  'Bucket Counts'!$F:$F, "&lt;&gt;100 Morts",  'Bucket Counts'!$F:$F, "&lt;&gt;224"))</f>
        <v>0</v>
      </c>
      <c r="AG75" s="116">
        <f>(SUMIFS('Bucket Counts'!$P:$P, 'Bucket Counts'!$B:$B, AG$2, 'Bucket Counts'!$A:$A, "="&amp;$A75,  'Bucket Counts'!$F:$F, "100 Morts"))</f>
        <v>0</v>
      </c>
      <c r="AH75" s="116">
        <f>(SUMIFS('Bucket Counts'!$P:$P, 'Bucket Counts'!$B:$B, AH$2, 'Bucket Counts'!$A:$A, "="&amp;$A75,  'Bucket Counts'!$F:$F, "224"))</f>
        <v>0</v>
      </c>
      <c r="AI75" s="116"/>
      <c r="AJ75" s="426" t="e">
        <f>(AH75+AF75)/AK74</f>
        <v>#DIV/0!</v>
      </c>
      <c r="AK75" s="370">
        <f>AF72+SUM(AE72:AE75)</f>
        <v>0</v>
      </c>
      <c r="AL75" s="369">
        <f>SUMIFS(Collection!$O:$O, Collection!$K:$K, AL$2, Collection!$A:$A, "="&amp;$A75)</f>
        <v>0</v>
      </c>
      <c r="AM75" s="116">
        <f>(SUMIFS('Bucket Counts'!$P:$P, 'Bucket Counts'!$B:$B, AM$2, 'Bucket Counts'!$A:$A, "="&amp;$A75,  'Bucket Counts'!$F:$F, "&lt;&gt;100 Morts",  'Bucket Counts'!$F:$F, "&lt;&gt;224"))</f>
        <v>0</v>
      </c>
      <c r="AN75" s="116">
        <f>(SUMIFS('Bucket Counts'!$P:$P, 'Bucket Counts'!$B:$B, AN$2, 'Bucket Counts'!$A:$A, "="&amp;$A75,  'Bucket Counts'!$F:$F, "100 Morts"))</f>
        <v>0</v>
      </c>
      <c r="AO75" s="116">
        <f>(SUMIFS('Bucket Counts'!$P:$P, 'Bucket Counts'!$B:$B, AO$2, 'Bucket Counts'!$A:$A, "="&amp;$A75,  'Bucket Counts'!$F:$F, "224"))</f>
        <v>0</v>
      </c>
      <c r="AP75" s="116"/>
      <c r="AQ75" s="426" t="e">
        <f>(AO75+AM75)/AR74</f>
        <v>#DIV/0!</v>
      </c>
      <c r="AR75" s="370">
        <f>AM72+SUM(AL72:AL75)</f>
        <v>0</v>
      </c>
      <c r="AS75" s="369">
        <f>SUMIFS(Collection!$O:$O, Collection!$K:$K, AS$2, Collection!$A:$A, "="&amp;$A75)</f>
        <v>0</v>
      </c>
      <c r="AT75" s="116">
        <f>(SUMIFS('Bucket Counts'!$P:$P, 'Bucket Counts'!$B:$B, AT$2, 'Bucket Counts'!$A:$A, "="&amp;$A75,  'Bucket Counts'!$F:$F, "&lt;&gt;100 Morts",  'Bucket Counts'!$F:$F, "&lt;&gt;224"))</f>
        <v>0</v>
      </c>
      <c r="AU75" s="116">
        <f>(SUMIFS('Bucket Counts'!$P:$P, 'Bucket Counts'!$B:$B, AU$2, 'Bucket Counts'!$A:$A, "="&amp;$A75,  'Bucket Counts'!$F:$F, "100 Morts"))</f>
        <v>0</v>
      </c>
      <c r="AV75" s="116">
        <f>(SUMIFS('Bucket Counts'!$P:$P, 'Bucket Counts'!$B:$B, AV$2, 'Bucket Counts'!$A:$A, "="&amp;$A75,  'Bucket Counts'!$F:$F, "224"))</f>
        <v>0</v>
      </c>
      <c r="AW75" s="116"/>
      <c r="AX75" s="426" t="e">
        <f>(AV75+AT75)/AY74</f>
        <v>#DIV/0!</v>
      </c>
      <c r="AY75" s="370">
        <f>AT72+SUM(AS72:AS75)</f>
        <v>0</v>
      </c>
      <c r="AZ75" s="369">
        <f>SUMIFS(Collection!$O:$O, Collection!$K:$K, AZ$2, Collection!$A:$A, "="&amp;$A75)</f>
        <v>0</v>
      </c>
      <c r="BA75" s="116">
        <f>(SUMIFS('Bucket Counts'!$P:$P, 'Bucket Counts'!$B:$B, BA$2, 'Bucket Counts'!$A:$A, "="&amp;$A75,  'Bucket Counts'!$F:$F, "&lt;&gt;100 Morts",  'Bucket Counts'!$F:$F, "&lt;&gt;224"))</f>
        <v>0</v>
      </c>
      <c r="BB75" s="116">
        <f>(SUMIFS('Bucket Counts'!$P:$P, 'Bucket Counts'!$B:$B, BB$2, 'Bucket Counts'!$A:$A, "="&amp;$A75,  'Bucket Counts'!$F:$F, "100 Morts"))</f>
        <v>0</v>
      </c>
      <c r="BC75" s="116">
        <f>(SUMIFS('Bucket Counts'!$P:$P, 'Bucket Counts'!$B:$B, BC$2, 'Bucket Counts'!$A:$A, "="&amp;$A75,  'Bucket Counts'!$F:$F, "224"))</f>
        <v>0</v>
      </c>
      <c r="BD75" s="116"/>
      <c r="BE75" s="426" t="e">
        <f>(BC75+BA75)/BF74</f>
        <v>#DIV/0!</v>
      </c>
      <c r="BF75" s="370">
        <f>BA72+SUM(AZ72:AZ75)</f>
        <v>0</v>
      </c>
      <c r="BG75" s="369">
        <f>SUMIFS(Collection!$O:$O, Collection!$K:$K, BG$2, Collection!$A:$A, "="&amp;$A75)</f>
        <v>0</v>
      </c>
      <c r="BH75" s="116">
        <f>(SUMIFS('Bucket Counts'!$P:$P, 'Bucket Counts'!$B:$B, BH$2, 'Bucket Counts'!$A:$A, "="&amp;$A75,  'Bucket Counts'!$F:$F, "&lt;&gt;100 Morts",  'Bucket Counts'!$F:$F, "&lt;&gt;224"))</f>
        <v>0</v>
      </c>
      <c r="BI75" s="116">
        <f>(SUMIFS('Bucket Counts'!$P:$P, 'Bucket Counts'!$B:$B, BI$2, 'Bucket Counts'!$A:$A, "="&amp;$A75,  'Bucket Counts'!$F:$F, "100 Morts"))</f>
        <v>0</v>
      </c>
      <c r="BJ75" s="116">
        <f>(SUMIFS('Bucket Counts'!$P:$P, 'Bucket Counts'!$B:$B, BJ$2, 'Bucket Counts'!$A:$A, "="&amp;$A75,  'Bucket Counts'!$F:$F, "224"))</f>
        <v>0</v>
      </c>
      <c r="BK75" s="116"/>
      <c r="BL75" s="426">
        <f>(BJ75+BH75)/BM74</f>
        <v>0</v>
      </c>
      <c r="BM75" s="370">
        <f>BH72+SUM(BG72:BG75)</f>
        <v>83.333333333333329</v>
      </c>
      <c r="BN75" s="369">
        <f>SUMIFS(Collection!$O:$O, Collection!$K:$K, BN$2, Collection!$A:$A, "="&amp;$A75)</f>
        <v>0</v>
      </c>
      <c r="BO75" s="116">
        <f>(SUMIFS('Bucket Counts'!$P:$P, 'Bucket Counts'!$B:$B, BO$2, 'Bucket Counts'!$A:$A, "="&amp;$A75,  'Bucket Counts'!$F:$F, "&lt;&gt;100 Morts",  'Bucket Counts'!$F:$F, "&lt;&gt;224"))</f>
        <v>0</v>
      </c>
      <c r="BP75" s="116">
        <f>(SUMIFS('Bucket Counts'!$P:$P, 'Bucket Counts'!$B:$B, BP$2, 'Bucket Counts'!$A:$A, "="&amp;$A75,  'Bucket Counts'!$F:$F, "100 Morts"))</f>
        <v>0</v>
      </c>
      <c r="BQ75" s="116">
        <f>(SUMIFS('Bucket Counts'!$P:$P, 'Bucket Counts'!$B:$B, BQ$2, 'Bucket Counts'!$A:$A, "="&amp;$A75,  'Bucket Counts'!$F:$F, "224"))</f>
        <v>0</v>
      </c>
      <c r="BR75" s="116"/>
      <c r="BS75" s="426">
        <f>(BQ75+BO75)/BT74</f>
        <v>0</v>
      </c>
      <c r="BT75" s="370">
        <f>BO72+SUM(BN72:BN75)</f>
        <v>188.88888888888889</v>
      </c>
      <c r="BU75" s="369">
        <f>SUMIFS(Collection!$O:$O, Collection!$K:$K, BU$2, Collection!$A:$A, "="&amp;$A75)</f>
        <v>0</v>
      </c>
      <c r="BV75" s="116">
        <f>(SUMIFS('Bucket Counts'!$P:$P, 'Bucket Counts'!$B:$B, BV$2, 'Bucket Counts'!$A:$A, "="&amp;$A75,  'Bucket Counts'!$F:$F, "&lt;&gt;100 Morts",  'Bucket Counts'!$F:$F, "&lt;&gt;224"))</f>
        <v>0</v>
      </c>
      <c r="BW75" s="116">
        <f>(SUMIFS('Bucket Counts'!$P:$P, 'Bucket Counts'!$B:$B, BW$2, 'Bucket Counts'!$A:$A, "="&amp;$A75,  'Bucket Counts'!$F:$F, "100 Morts"))</f>
        <v>0</v>
      </c>
      <c r="BX75" s="116">
        <f>(SUMIFS('Bucket Counts'!$P:$P, 'Bucket Counts'!$B:$B, BX$2, 'Bucket Counts'!$A:$A, "="&amp;$A75,  'Bucket Counts'!$F:$F, "224"))</f>
        <v>0</v>
      </c>
      <c r="BY75" s="116"/>
      <c r="BZ75" s="426" t="e">
        <f>(BX75+BV75)/CA74</f>
        <v>#DIV/0!</v>
      </c>
      <c r="CA75" s="370">
        <f>BV72+SUM(BU72:BU75)</f>
        <v>0</v>
      </c>
      <c r="CB75" s="369">
        <f>SUMIFS(Collection!$O:$O, Collection!$K:$K, CB$2, Collection!$A:$A, "="&amp;$A75)</f>
        <v>0</v>
      </c>
      <c r="CC75" s="116">
        <f>(SUMIFS('Bucket Counts'!$P:$P, 'Bucket Counts'!$B:$B, CC$2, 'Bucket Counts'!$A:$A, "="&amp;$A75,  'Bucket Counts'!$F:$F, "&lt;&gt;100 Morts",  'Bucket Counts'!$F:$F, "&lt;&gt;224"))</f>
        <v>0</v>
      </c>
      <c r="CD75" s="116">
        <f>(SUMIFS('Bucket Counts'!$P:$P, 'Bucket Counts'!$B:$B, CD$2, 'Bucket Counts'!$A:$A, "="&amp;$A75,  'Bucket Counts'!$F:$F, "100 Morts"))</f>
        <v>0</v>
      </c>
      <c r="CE75" s="116">
        <f>(SUMIFS('Bucket Counts'!$P:$P, 'Bucket Counts'!$B:$B, CE$2, 'Bucket Counts'!$A:$A, "="&amp;$A75,  'Bucket Counts'!$F:$F, "224"))</f>
        <v>0</v>
      </c>
      <c r="CF75" s="116"/>
      <c r="CG75" s="426" t="e">
        <f>(CE75+CC75)/CH74</f>
        <v>#DIV/0!</v>
      </c>
      <c r="CH75" s="370">
        <f>CC72+SUM(CB72:CB75)</f>
        <v>0</v>
      </c>
      <c r="CI75" s="369">
        <f>SUMIFS(Collection!$O:$O, Collection!$K:$K, CI$2, Collection!$A:$A, "="&amp;$A75)</f>
        <v>0</v>
      </c>
      <c r="CJ75" s="116">
        <f>(SUMIFS('Bucket Counts'!$P:$P, 'Bucket Counts'!$B:$B, CJ$2, 'Bucket Counts'!$A:$A, "="&amp;$A75,  'Bucket Counts'!$F:$F, "&lt;&gt;100 Morts",  'Bucket Counts'!$F:$F, "&lt;&gt;224"))</f>
        <v>0</v>
      </c>
      <c r="CK75" s="116">
        <f>(SUMIFS('Bucket Counts'!$P:$P, 'Bucket Counts'!$B:$B, CK$2, 'Bucket Counts'!$A:$A, "="&amp;$A75,  'Bucket Counts'!$F:$F, "100 Morts"))</f>
        <v>0</v>
      </c>
      <c r="CL75" s="116">
        <f>(SUMIFS('Bucket Counts'!$P:$P, 'Bucket Counts'!$B:$B, CL$2, 'Bucket Counts'!$A:$A, "="&amp;$A75,  'Bucket Counts'!$F:$F, "224"))</f>
        <v>0</v>
      </c>
      <c r="CM75" s="116"/>
      <c r="CN75" s="426" t="e">
        <f>(CL75+CJ75)/CO74</f>
        <v>#DIV/0!</v>
      </c>
      <c r="CO75" s="370">
        <f>CJ72+SUM(CI72:CI75)</f>
        <v>0</v>
      </c>
      <c r="CP75" s="369">
        <f>SUMIFS(Collection!$O:$O, Collection!$K:$K, CP$2, Collection!$A:$A, "="&amp;$A75)</f>
        <v>0</v>
      </c>
      <c r="CQ75" s="116">
        <f>(SUMIFS('Bucket Counts'!$P:$P, 'Bucket Counts'!$B:$B, CQ$2, 'Bucket Counts'!$A:$A, "="&amp;$A75,  'Bucket Counts'!$F:$F, "&lt;&gt;100 Morts",  'Bucket Counts'!$F:$F, "&lt;&gt;224"))</f>
        <v>0</v>
      </c>
      <c r="CR75" s="116">
        <f>(SUMIFS('Bucket Counts'!$P:$P, 'Bucket Counts'!$B:$B, CR$2, 'Bucket Counts'!$A:$A, "="&amp;$A75,  'Bucket Counts'!$F:$F, "100 Morts"))</f>
        <v>0</v>
      </c>
      <c r="CS75" s="116">
        <f>(SUMIFS('Bucket Counts'!$P:$P, 'Bucket Counts'!$B:$B, CS$2, 'Bucket Counts'!$A:$A, "="&amp;$A75,  'Bucket Counts'!$F:$F, "224"))</f>
        <v>0</v>
      </c>
      <c r="CT75" s="116"/>
      <c r="CU75" s="426" t="e">
        <f>(CS75+CQ75)/CV74</f>
        <v>#DIV/0!</v>
      </c>
      <c r="CV75" s="370">
        <f>CQ72+SUM(CP72:CP75)</f>
        <v>0</v>
      </c>
      <c r="CW75" s="369">
        <f>SUMIFS(Collection!$O:$O, Collection!$K:$K, CW$2, Collection!$A:$A, "="&amp;$A75)</f>
        <v>0</v>
      </c>
      <c r="CX75" s="116">
        <f>(SUMIFS('Bucket Counts'!$P:$P, 'Bucket Counts'!$B:$B, CX$2, 'Bucket Counts'!$A:$A, "="&amp;$A75,  'Bucket Counts'!$F:$F, "&lt;&gt;100 Morts",  'Bucket Counts'!$F:$F, "&lt;&gt;224"))</f>
        <v>0</v>
      </c>
      <c r="CY75" s="116">
        <f>(SUMIFS('Bucket Counts'!$P:$P, 'Bucket Counts'!$B:$B, CY$2, 'Bucket Counts'!$A:$A, "="&amp;$A75,  'Bucket Counts'!$F:$F, "100 Morts"))</f>
        <v>0</v>
      </c>
      <c r="CZ75" s="116">
        <f>(SUMIFS('Bucket Counts'!$P:$P, 'Bucket Counts'!$B:$B, CZ$2, 'Bucket Counts'!$A:$A, "="&amp;$A75,  'Bucket Counts'!$F:$F, "224"))</f>
        <v>0</v>
      </c>
      <c r="DA75" s="116"/>
      <c r="DB75" s="426" t="e">
        <f>(CZ75+CX75)/DC74</f>
        <v>#DIV/0!</v>
      </c>
      <c r="DC75" s="370">
        <f>CX72+SUM(CW72:CW75)</f>
        <v>0</v>
      </c>
      <c r="DD75" s="369">
        <f>SUMIFS(Collection!$O:$O, Collection!$K:$K, DD$2, Collection!$A:$A, "="&amp;$A75)</f>
        <v>0</v>
      </c>
      <c r="DE75" s="116">
        <f>(SUMIFS('Bucket Counts'!$P:$P, 'Bucket Counts'!$B:$B, DE$2, 'Bucket Counts'!$A:$A, "="&amp;$A75,  'Bucket Counts'!$F:$F, "&lt;&gt;100 Morts",  'Bucket Counts'!$F:$F, "&lt;&gt;224"))</f>
        <v>0</v>
      </c>
      <c r="DF75" s="116">
        <f>(SUMIFS('Bucket Counts'!$P:$P, 'Bucket Counts'!$B:$B, DF$2, 'Bucket Counts'!$A:$A, "="&amp;$A75,  'Bucket Counts'!$F:$F, "100 Morts"))</f>
        <v>0</v>
      </c>
      <c r="DG75" s="116">
        <f>(SUMIFS('Bucket Counts'!$P:$P, 'Bucket Counts'!$B:$B, DG$2, 'Bucket Counts'!$A:$A, "="&amp;$A75,  'Bucket Counts'!$F:$F, "224"))</f>
        <v>0</v>
      </c>
      <c r="DH75" s="116"/>
      <c r="DI75" s="426" t="e">
        <f>(DG75+DE75)/DJ74</f>
        <v>#DIV/0!</v>
      </c>
      <c r="DJ75" s="370">
        <f>DE72+SUM(DD72:DD75)</f>
        <v>0</v>
      </c>
      <c r="DK75" s="369">
        <f>SUMIFS(Collection!$O:$O, Collection!$K:$K, DK$2, Collection!$A:$A, "="&amp;$A75)</f>
        <v>0</v>
      </c>
      <c r="DL75" s="116">
        <f>(SUMIFS('Bucket Counts'!$P:$P, 'Bucket Counts'!$B:$B, DL$2, 'Bucket Counts'!$A:$A, "="&amp;$A75,  'Bucket Counts'!$F:$F, "&lt;&gt;100 Morts",  'Bucket Counts'!$F:$F, "&lt;&gt;224"))</f>
        <v>0</v>
      </c>
      <c r="DM75" s="116">
        <f>(SUMIFS('Bucket Counts'!$P:$P, 'Bucket Counts'!$B:$B, DM$2, 'Bucket Counts'!$A:$A, "="&amp;$A75,  'Bucket Counts'!$F:$F, "100 Morts"))</f>
        <v>0</v>
      </c>
      <c r="DN75" s="116">
        <f>(SUMIFS('Bucket Counts'!$P:$P, 'Bucket Counts'!$B:$B, DN$2, 'Bucket Counts'!$A:$A, "="&amp;$A75,  'Bucket Counts'!$F:$F, "224"))</f>
        <v>0</v>
      </c>
      <c r="DO75" s="116"/>
      <c r="DP75" s="426" t="e">
        <f>(DN75+DL75)/DQ74</f>
        <v>#DIV/0!</v>
      </c>
      <c r="DQ75" s="370">
        <f>DL72+SUM(DK72:DK75)</f>
        <v>0</v>
      </c>
      <c r="DR75" s="369">
        <f>SUMIFS(Collection!$O:$O, Collection!$K:$K, DR$2, Collection!$A:$A, "="&amp;$A75)</f>
        <v>0</v>
      </c>
      <c r="DS75" s="116">
        <f>(SUMIFS('Bucket Counts'!$P:$P, 'Bucket Counts'!$B:$B, DS$2, 'Bucket Counts'!$A:$A, "="&amp;$A75,  'Bucket Counts'!$F:$F, "&lt;&gt;100 Morts",  'Bucket Counts'!$F:$F, "&lt;&gt;224"))</f>
        <v>0</v>
      </c>
      <c r="DT75" s="116">
        <f>(SUMIFS('Bucket Counts'!$P:$P, 'Bucket Counts'!$B:$B, DT$2, 'Bucket Counts'!$A:$A, "="&amp;$A75,  'Bucket Counts'!$F:$F, "100 Morts"))</f>
        <v>0</v>
      </c>
      <c r="DU75" s="116">
        <f>(SUMIFS('Bucket Counts'!$P:$P, 'Bucket Counts'!$B:$B, DU$2, 'Bucket Counts'!$A:$A, "="&amp;$A75,  'Bucket Counts'!$F:$F, "224"))</f>
        <v>0</v>
      </c>
      <c r="DV75" s="116"/>
      <c r="DW75" s="426" t="e">
        <f>(DU75+DS75)/DX74</f>
        <v>#DIV/0!</v>
      </c>
      <c r="DX75" s="370">
        <f>DS72+SUM(DR72:DR75)</f>
        <v>0</v>
      </c>
      <c r="DY75" s="369">
        <f>SUMIFS(Collection!$O:$O, Collection!$K:$K, DY$2, Collection!$A:$A, "="&amp;$A75)</f>
        <v>0</v>
      </c>
      <c r="DZ75" s="116">
        <f>(SUMIFS('Bucket Counts'!$P:$P, 'Bucket Counts'!$B:$B, DZ$2, 'Bucket Counts'!$A:$A, "="&amp;$A75,  'Bucket Counts'!$F:$F, "&lt;&gt;100 Morts",  'Bucket Counts'!$F:$F, "&lt;&gt;224"))</f>
        <v>0</v>
      </c>
      <c r="EA75" s="116">
        <f>(SUMIFS('Bucket Counts'!$P:$P, 'Bucket Counts'!$B:$B, EA$2, 'Bucket Counts'!$A:$A, "="&amp;$A75,  'Bucket Counts'!$F:$F, "100 Morts"))</f>
        <v>0</v>
      </c>
      <c r="EB75" s="116">
        <f>(SUMIFS('Bucket Counts'!$P:$P, 'Bucket Counts'!$B:$B, EB$2, 'Bucket Counts'!$A:$A, "="&amp;$A75,  'Bucket Counts'!$F:$F, "224"))</f>
        <v>0</v>
      </c>
      <c r="EC75" s="116"/>
      <c r="ED75" s="426" t="e">
        <f>(EB75+DZ75)/EE74</f>
        <v>#DIV/0!</v>
      </c>
      <c r="EE75" s="370">
        <f>DZ72+SUM(DY72:DY75)</f>
        <v>0</v>
      </c>
      <c r="EF75" s="369">
        <f>SUMIFS(Collection!$O:$O, Collection!$K:$K, EF$2, Collection!$A:$A, "="&amp;$A75)</f>
        <v>0</v>
      </c>
      <c r="EG75" s="116">
        <f>(SUMIFS('Bucket Counts'!$P:$P, 'Bucket Counts'!$B:$B, EG$2, 'Bucket Counts'!$A:$A, "="&amp;$A75,  'Bucket Counts'!$F:$F, "&lt;&gt;100 Morts",  'Bucket Counts'!$F:$F, "&lt;&gt;224"))</f>
        <v>0</v>
      </c>
      <c r="EH75" s="116">
        <f>(SUMIFS('Bucket Counts'!$P:$P, 'Bucket Counts'!$B:$B, EH$2, 'Bucket Counts'!$A:$A, "="&amp;$A75,  'Bucket Counts'!$F:$F, "100 Morts"))</f>
        <v>0</v>
      </c>
      <c r="EI75" s="116">
        <f>(SUMIFS('Bucket Counts'!$P:$P, 'Bucket Counts'!$B:$B, EI$2, 'Bucket Counts'!$A:$A, "="&amp;$A75,  'Bucket Counts'!$F:$F, "224"))</f>
        <v>0</v>
      </c>
      <c r="EJ75" s="116"/>
      <c r="EK75" s="426" t="e">
        <f>(EI75+EG75)/EL74</f>
        <v>#DIV/0!</v>
      </c>
      <c r="EL75" s="370">
        <f>EG72+SUM(EF72:EF75)</f>
        <v>0</v>
      </c>
    </row>
    <row r="76" spans="1:142" x14ac:dyDescent="0.2">
      <c r="A76" s="16">
        <f t="shared" si="0"/>
        <v>42945</v>
      </c>
      <c r="B76" s="16" t="s">
        <v>487</v>
      </c>
      <c r="C76" s="369">
        <f>SUMIFS(Collection!$O:$O, Collection!$K:$K, C$2, Collection!$A:$A, "="&amp;$A76)</f>
        <v>0</v>
      </c>
      <c r="D76" s="116">
        <f>(SUMIFS('Bucket Counts'!$P:$P, 'Bucket Counts'!$B:$B, D$2, 'Bucket Counts'!$A:$A, "="&amp;$A76,  'Bucket Counts'!$F:$F, "&lt;&gt;100 Morts",  'Bucket Counts'!$F:$F, "&lt;&gt;224"))</f>
        <v>0</v>
      </c>
      <c r="E76" s="116">
        <f>(SUMIFS('Bucket Counts'!$P:$P, 'Bucket Counts'!$B:$B, E$2, 'Bucket Counts'!$A:$A, "="&amp;$A76,  'Bucket Counts'!$F:$F, "100 Morts"))</f>
        <v>0</v>
      </c>
      <c r="F76" s="116">
        <f>(SUMIFS('Bucket Counts'!$P:$P, 'Bucket Counts'!$B:$B, F$2, 'Bucket Counts'!$A:$A, "="&amp;$A76,  'Bucket Counts'!$F:$F, "224"))</f>
        <v>0</v>
      </c>
      <c r="G76" s="116"/>
      <c r="H76" s="426" t="e">
        <f>(F76+D76)/I75</f>
        <v>#DIV/0!</v>
      </c>
      <c r="I76" s="370">
        <f>D72+SUM(C72:C76)</f>
        <v>0</v>
      </c>
      <c r="J76" s="369">
        <f>SUMIFS(Collection!$O:$O, Collection!$K:$K, J$2, Collection!$A:$A, "="&amp;$A76)</f>
        <v>0</v>
      </c>
      <c r="K76" s="116">
        <f>(SUMIFS('Bucket Counts'!$P:$P, 'Bucket Counts'!$B:$B, K$2, 'Bucket Counts'!$A:$A, "="&amp;$A76,  'Bucket Counts'!$F:$F, "&lt;&gt;100 Morts",  'Bucket Counts'!$F:$F, "&lt;&gt;224"))</f>
        <v>0</v>
      </c>
      <c r="L76" s="116">
        <f>(SUMIFS('Bucket Counts'!$P:$P, 'Bucket Counts'!$B:$B, L$2, 'Bucket Counts'!$A:$A, "="&amp;$A76,  'Bucket Counts'!$F:$F, "100 Morts"))</f>
        <v>0</v>
      </c>
      <c r="M76" s="116">
        <f>(SUMIFS('Bucket Counts'!$P:$P, 'Bucket Counts'!$B:$B, M$2, 'Bucket Counts'!$A:$A, "="&amp;$A76,  'Bucket Counts'!$F:$F, "224"))</f>
        <v>0</v>
      </c>
      <c r="N76" s="116"/>
      <c r="O76" s="426" t="e">
        <f>(M76+K76)/P75</f>
        <v>#DIV/0!</v>
      </c>
      <c r="P76" s="370">
        <f>K72+SUM(J72:J76)</f>
        <v>0</v>
      </c>
      <c r="Q76" s="369">
        <f>SUMIFS(Collection!$O:$O, Collection!$K:$K, Q$2, Collection!$A:$A, "="&amp;$A76)</f>
        <v>0</v>
      </c>
      <c r="R76" s="116">
        <f>(SUMIFS('Bucket Counts'!$P:$P, 'Bucket Counts'!$B:$B, R$2, 'Bucket Counts'!$A:$A, "="&amp;$A76,  'Bucket Counts'!$F:$F, "&lt;&gt;100 Morts",  'Bucket Counts'!$F:$F, "&lt;&gt;224"))</f>
        <v>0</v>
      </c>
      <c r="S76" s="116">
        <f>(SUMIFS('Bucket Counts'!$P:$P, 'Bucket Counts'!$B:$B, S$2, 'Bucket Counts'!$A:$A, "="&amp;$A76,  'Bucket Counts'!$F:$F, "100 Morts"))</f>
        <v>0</v>
      </c>
      <c r="T76" s="116">
        <f>(SUMIFS('Bucket Counts'!$P:$P, 'Bucket Counts'!$B:$B, T$2, 'Bucket Counts'!$A:$A, "="&amp;$A76,  'Bucket Counts'!$F:$F, "224"))</f>
        <v>0</v>
      </c>
      <c r="U76" s="116"/>
      <c r="V76" s="426" t="e">
        <f>(T76+R76)/W75</f>
        <v>#DIV/0!</v>
      </c>
      <c r="W76" s="370">
        <f>R72+SUM(Q72:Q76)</f>
        <v>0</v>
      </c>
      <c r="X76" s="369">
        <f>SUMIFS(Collection!$O:$O, Collection!$K:$K, X$2, Collection!$A:$A, "="&amp;$A76)</f>
        <v>0</v>
      </c>
      <c r="Y76" s="116">
        <f>(SUMIFS('Bucket Counts'!$P:$P, 'Bucket Counts'!$B:$B, Y$2, 'Bucket Counts'!$A:$A, "="&amp;$A76,  'Bucket Counts'!$F:$F, "&lt;&gt;100 Morts",  'Bucket Counts'!$F:$F, "&lt;&gt;224"))</f>
        <v>0</v>
      </c>
      <c r="Z76" s="116">
        <f>(SUMIFS('Bucket Counts'!$P:$P, 'Bucket Counts'!$B:$B, Z$2, 'Bucket Counts'!$A:$A, "="&amp;$A76,  'Bucket Counts'!$F:$F, "100 Morts"))</f>
        <v>0</v>
      </c>
      <c r="AA76" s="116">
        <f>(SUMIFS('Bucket Counts'!$P:$P, 'Bucket Counts'!$B:$B, AA$2, 'Bucket Counts'!$A:$A, "="&amp;$A76,  'Bucket Counts'!$F:$F, "224"))</f>
        <v>0</v>
      </c>
      <c r="AB76" s="116"/>
      <c r="AC76" s="426" t="e">
        <f>(AA76+Y76)/AD75</f>
        <v>#DIV/0!</v>
      </c>
      <c r="AD76" s="370">
        <f>Y72+SUM(X72:X76)</f>
        <v>0</v>
      </c>
      <c r="AE76" s="369">
        <f>SUMIFS(Collection!$O:$O, Collection!$K:$K, AE$2, Collection!$A:$A, "="&amp;$A76)</f>
        <v>0</v>
      </c>
      <c r="AF76" s="116">
        <f>(SUMIFS('Bucket Counts'!$P:$P, 'Bucket Counts'!$B:$B, AF$2, 'Bucket Counts'!$A:$A, "="&amp;$A76,  'Bucket Counts'!$F:$F, "&lt;&gt;100 Morts",  'Bucket Counts'!$F:$F, "&lt;&gt;224"))</f>
        <v>0</v>
      </c>
      <c r="AG76" s="116">
        <f>(SUMIFS('Bucket Counts'!$P:$P, 'Bucket Counts'!$B:$B, AG$2, 'Bucket Counts'!$A:$A, "="&amp;$A76,  'Bucket Counts'!$F:$F, "100 Morts"))</f>
        <v>0</v>
      </c>
      <c r="AH76" s="116">
        <f>(SUMIFS('Bucket Counts'!$P:$P, 'Bucket Counts'!$B:$B, AH$2, 'Bucket Counts'!$A:$A, "="&amp;$A76,  'Bucket Counts'!$F:$F, "224"))</f>
        <v>0</v>
      </c>
      <c r="AI76" s="116"/>
      <c r="AJ76" s="426" t="e">
        <f>(AH76+AF76)/AK75</f>
        <v>#DIV/0!</v>
      </c>
      <c r="AK76" s="370">
        <f>AF72+SUM(AE72:AE76)</f>
        <v>0</v>
      </c>
      <c r="AL76" s="369">
        <f>SUMIFS(Collection!$O:$O, Collection!$K:$K, AL$2, Collection!$A:$A, "="&amp;$A76)</f>
        <v>0</v>
      </c>
      <c r="AM76" s="116">
        <f>(SUMIFS('Bucket Counts'!$P:$P, 'Bucket Counts'!$B:$B, AM$2, 'Bucket Counts'!$A:$A, "="&amp;$A76,  'Bucket Counts'!$F:$F, "&lt;&gt;100 Morts",  'Bucket Counts'!$F:$F, "&lt;&gt;224"))</f>
        <v>0</v>
      </c>
      <c r="AN76" s="116">
        <f>(SUMIFS('Bucket Counts'!$P:$P, 'Bucket Counts'!$B:$B, AN$2, 'Bucket Counts'!$A:$A, "="&amp;$A76,  'Bucket Counts'!$F:$F, "100 Morts"))</f>
        <v>0</v>
      </c>
      <c r="AO76" s="116">
        <f>(SUMIFS('Bucket Counts'!$P:$P, 'Bucket Counts'!$B:$B, AO$2, 'Bucket Counts'!$A:$A, "="&amp;$A76,  'Bucket Counts'!$F:$F, "224"))</f>
        <v>0</v>
      </c>
      <c r="AP76" s="116"/>
      <c r="AQ76" s="426" t="e">
        <f>(AO76+AM76)/AR75</f>
        <v>#DIV/0!</v>
      </c>
      <c r="AR76" s="370">
        <f>AM72+SUM(AL72:AL76)</f>
        <v>0</v>
      </c>
      <c r="AS76" s="369">
        <f>SUMIFS(Collection!$O:$O, Collection!$K:$K, AS$2, Collection!$A:$A, "="&amp;$A76)</f>
        <v>0</v>
      </c>
      <c r="AT76" s="116">
        <f>(SUMIFS('Bucket Counts'!$P:$P, 'Bucket Counts'!$B:$B, AT$2, 'Bucket Counts'!$A:$A, "="&amp;$A76,  'Bucket Counts'!$F:$F, "&lt;&gt;100 Morts",  'Bucket Counts'!$F:$F, "&lt;&gt;224"))</f>
        <v>0</v>
      </c>
      <c r="AU76" s="116">
        <f>(SUMIFS('Bucket Counts'!$P:$P, 'Bucket Counts'!$B:$B, AU$2, 'Bucket Counts'!$A:$A, "="&amp;$A76,  'Bucket Counts'!$F:$F, "100 Morts"))</f>
        <v>0</v>
      </c>
      <c r="AV76" s="116">
        <f>(SUMIFS('Bucket Counts'!$P:$P, 'Bucket Counts'!$B:$B, AV$2, 'Bucket Counts'!$A:$A, "="&amp;$A76,  'Bucket Counts'!$F:$F, "224"))</f>
        <v>0</v>
      </c>
      <c r="AW76" s="116"/>
      <c r="AX76" s="426" t="e">
        <f>(AV76+AT76)/AY75</f>
        <v>#DIV/0!</v>
      </c>
      <c r="AY76" s="370">
        <f>AT72+SUM(AS72:AS76)</f>
        <v>0</v>
      </c>
      <c r="AZ76" s="369">
        <f>SUMIFS(Collection!$O:$O, Collection!$K:$K, AZ$2, Collection!$A:$A, "="&amp;$A76)</f>
        <v>0</v>
      </c>
      <c r="BA76" s="116">
        <f>(SUMIFS('Bucket Counts'!$P:$P, 'Bucket Counts'!$B:$B, BA$2, 'Bucket Counts'!$A:$A, "="&amp;$A76,  'Bucket Counts'!$F:$F, "&lt;&gt;100 Morts",  'Bucket Counts'!$F:$F, "&lt;&gt;224"))</f>
        <v>0</v>
      </c>
      <c r="BB76" s="116">
        <f>(SUMIFS('Bucket Counts'!$P:$P, 'Bucket Counts'!$B:$B, BB$2, 'Bucket Counts'!$A:$A, "="&amp;$A76,  'Bucket Counts'!$F:$F, "100 Morts"))</f>
        <v>0</v>
      </c>
      <c r="BC76" s="116">
        <f>(SUMIFS('Bucket Counts'!$P:$P, 'Bucket Counts'!$B:$B, BC$2, 'Bucket Counts'!$A:$A, "="&amp;$A76,  'Bucket Counts'!$F:$F, "224"))</f>
        <v>0</v>
      </c>
      <c r="BD76" s="116"/>
      <c r="BE76" s="426" t="e">
        <f>(BC76+BA76)/BF75</f>
        <v>#DIV/0!</v>
      </c>
      <c r="BF76" s="370">
        <f>BA72+SUM(AZ72:AZ76)</f>
        <v>0</v>
      </c>
      <c r="BG76" s="369">
        <f>SUMIFS(Collection!$O:$O, Collection!$K:$K, BG$2, Collection!$A:$A, "="&amp;$A76)</f>
        <v>0</v>
      </c>
      <c r="BH76" s="116">
        <f>(SUMIFS('Bucket Counts'!$P:$P, 'Bucket Counts'!$B:$B, BH$2, 'Bucket Counts'!$A:$A, "="&amp;$A76,  'Bucket Counts'!$F:$F, "&lt;&gt;100 Morts",  'Bucket Counts'!$F:$F, "&lt;&gt;224"))</f>
        <v>0</v>
      </c>
      <c r="BI76" s="116">
        <f>(SUMIFS('Bucket Counts'!$P:$P, 'Bucket Counts'!$B:$B, BI$2, 'Bucket Counts'!$A:$A, "="&amp;$A76,  'Bucket Counts'!$F:$F, "100 Morts"))</f>
        <v>0</v>
      </c>
      <c r="BJ76" s="116">
        <f>(SUMIFS('Bucket Counts'!$P:$P, 'Bucket Counts'!$B:$B, BJ$2, 'Bucket Counts'!$A:$A, "="&amp;$A76,  'Bucket Counts'!$F:$F, "224"))</f>
        <v>0</v>
      </c>
      <c r="BK76" s="116"/>
      <c r="BL76" s="426">
        <f>(BJ76+BH76)/BM75</f>
        <v>0</v>
      </c>
      <c r="BM76" s="370">
        <f>BH72+SUM(BG72:BG76)</f>
        <v>83.333333333333329</v>
      </c>
      <c r="BN76" s="369">
        <f>SUMIFS(Collection!$O:$O, Collection!$K:$K, BN$2, Collection!$A:$A, "="&amp;$A76)</f>
        <v>0</v>
      </c>
      <c r="BO76" s="116">
        <f>(SUMIFS('Bucket Counts'!$P:$P, 'Bucket Counts'!$B:$B, BO$2, 'Bucket Counts'!$A:$A, "="&amp;$A76,  'Bucket Counts'!$F:$F, "&lt;&gt;100 Morts",  'Bucket Counts'!$F:$F, "&lt;&gt;224"))</f>
        <v>0</v>
      </c>
      <c r="BP76" s="116">
        <f>(SUMIFS('Bucket Counts'!$P:$P, 'Bucket Counts'!$B:$B, BP$2, 'Bucket Counts'!$A:$A, "="&amp;$A76,  'Bucket Counts'!$F:$F, "100 Morts"))</f>
        <v>0</v>
      </c>
      <c r="BQ76" s="116">
        <f>(SUMIFS('Bucket Counts'!$P:$P, 'Bucket Counts'!$B:$B, BQ$2, 'Bucket Counts'!$A:$A, "="&amp;$A76,  'Bucket Counts'!$F:$F, "224"))</f>
        <v>0</v>
      </c>
      <c r="BR76" s="116"/>
      <c r="BS76" s="426">
        <f>(BQ76+BO76)/BT75</f>
        <v>0</v>
      </c>
      <c r="BT76" s="370">
        <f>BO72+SUM(BN72:BN76)</f>
        <v>188.88888888888889</v>
      </c>
      <c r="BU76" s="369">
        <f>SUMIFS(Collection!$O:$O, Collection!$K:$K, BU$2, Collection!$A:$A, "="&amp;$A76)</f>
        <v>0</v>
      </c>
      <c r="BV76" s="116">
        <f>(SUMIFS('Bucket Counts'!$P:$P, 'Bucket Counts'!$B:$B, BV$2, 'Bucket Counts'!$A:$A, "="&amp;$A76,  'Bucket Counts'!$F:$F, "&lt;&gt;100 Morts",  'Bucket Counts'!$F:$F, "&lt;&gt;224"))</f>
        <v>0</v>
      </c>
      <c r="BW76" s="116">
        <f>(SUMIFS('Bucket Counts'!$P:$P, 'Bucket Counts'!$B:$B, BW$2, 'Bucket Counts'!$A:$A, "="&amp;$A76,  'Bucket Counts'!$F:$F, "100 Morts"))</f>
        <v>0</v>
      </c>
      <c r="BX76" s="116">
        <f>(SUMIFS('Bucket Counts'!$P:$P, 'Bucket Counts'!$B:$B, BX$2, 'Bucket Counts'!$A:$A, "="&amp;$A76,  'Bucket Counts'!$F:$F, "224"))</f>
        <v>0</v>
      </c>
      <c r="BY76" s="116"/>
      <c r="BZ76" s="426" t="e">
        <f>(BX76+BV76)/CA75</f>
        <v>#DIV/0!</v>
      </c>
      <c r="CA76" s="370">
        <f>BV72+SUM(BU72:BU76)</f>
        <v>0</v>
      </c>
      <c r="CB76" s="369">
        <f>SUMIFS(Collection!$O:$O, Collection!$K:$K, CB$2, Collection!$A:$A, "="&amp;$A76)</f>
        <v>0</v>
      </c>
      <c r="CC76" s="116">
        <f>(SUMIFS('Bucket Counts'!$P:$P, 'Bucket Counts'!$B:$B, CC$2, 'Bucket Counts'!$A:$A, "="&amp;$A76,  'Bucket Counts'!$F:$F, "&lt;&gt;100 Morts",  'Bucket Counts'!$F:$F, "&lt;&gt;224"))</f>
        <v>0</v>
      </c>
      <c r="CD76" s="116">
        <f>(SUMIFS('Bucket Counts'!$P:$P, 'Bucket Counts'!$B:$B, CD$2, 'Bucket Counts'!$A:$A, "="&amp;$A76,  'Bucket Counts'!$F:$F, "100 Morts"))</f>
        <v>0</v>
      </c>
      <c r="CE76" s="116">
        <f>(SUMIFS('Bucket Counts'!$P:$P, 'Bucket Counts'!$B:$B, CE$2, 'Bucket Counts'!$A:$A, "="&amp;$A76,  'Bucket Counts'!$F:$F, "224"))</f>
        <v>0</v>
      </c>
      <c r="CF76" s="116"/>
      <c r="CG76" s="426" t="e">
        <f>(CE76+CC76)/CH75</f>
        <v>#DIV/0!</v>
      </c>
      <c r="CH76" s="370">
        <f>CC72+SUM(CB72:CB76)</f>
        <v>0</v>
      </c>
      <c r="CI76" s="369">
        <f>SUMIFS(Collection!$O:$O, Collection!$K:$K, CI$2, Collection!$A:$A, "="&amp;$A76)</f>
        <v>0</v>
      </c>
      <c r="CJ76" s="116">
        <f>(SUMIFS('Bucket Counts'!$P:$P, 'Bucket Counts'!$B:$B, CJ$2, 'Bucket Counts'!$A:$A, "="&amp;$A76,  'Bucket Counts'!$F:$F, "&lt;&gt;100 Morts",  'Bucket Counts'!$F:$F, "&lt;&gt;224"))</f>
        <v>0</v>
      </c>
      <c r="CK76" s="116">
        <f>(SUMIFS('Bucket Counts'!$P:$P, 'Bucket Counts'!$B:$B, CK$2, 'Bucket Counts'!$A:$A, "="&amp;$A76,  'Bucket Counts'!$F:$F, "100 Morts"))</f>
        <v>0</v>
      </c>
      <c r="CL76" s="116">
        <f>(SUMIFS('Bucket Counts'!$P:$P, 'Bucket Counts'!$B:$B, CL$2, 'Bucket Counts'!$A:$A, "="&amp;$A76,  'Bucket Counts'!$F:$F, "224"))</f>
        <v>0</v>
      </c>
      <c r="CM76" s="116"/>
      <c r="CN76" s="426" t="e">
        <f>(CL76+CJ76)/CO75</f>
        <v>#DIV/0!</v>
      </c>
      <c r="CO76" s="370">
        <f>CJ72+SUM(CI72:CI76)</f>
        <v>0</v>
      </c>
      <c r="CP76" s="369">
        <f>SUMIFS(Collection!$O:$O, Collection!$K:$K, CP$2, Collection!$A:$A, "="&amp;$A76)</f>
        <v>0</v>
      </c>
      <c r="CQ76" s="116">
        <f>(SUMIFS('Bucket Counts'!$P:$P, 'Bucket Counts'!$B:$B, CQ$2, 'Bucket Counts'!$A:$A, "="&amp;$A76,  'Bucket Counts'!$F:$F, "&lt;&gt;100 Morts",  'Bucket Counts'!$F:$F, "&lt;&gt;224"))</f>
        <v>0</v>
      </c>
      <c r="CR76" s="116">
        <f>(SUMIFS('Bucket Counts'!$P:$P, 'Bucket Counts'!$B:$B, CR$2, 'Bucket Counts'!$A:$A, "="&amp;$A76,  'Bucket Counts'!$F:$F, "100 Morts"))</f>
        <v>0</v>
      </c>
      <c r="CS76" s="116">
        <f>(SUMIFS('Bucket Counts'!$P:$P, 'Bucket Counts'!$B:$B, CS$2, 'Bucket Counts'!$A:$A, "="&amp;$A76,  'Bucket Counts'!$F:$F, "224"))</f>
        <v>0</v>
      </c>
      <c r="CT76" s="116"/>
      <c r="CU76" s="426" t="e">
        <f>(CS76+CQ76)/CV75</f>
        <v>#DIV/0!</v>
      </c>
      <c r="CV76" s="370">
        <f>CQ72+SUM(CP72:CP76)</f>
        <v>0</v>
      </c>
      <c r="CW76" s="369">
        <f>SUMIFS(Collection!$O:$O, Collection!$K:$K, CW$2, Collection!$A:$A, "="&amp;$A76)</f>
        <v>0</v>
      </c>
      <c r="CX76" s="116">
        <f>(SUMIFS('Bucket Counts'!$P:$P, 'Bucket Counts'!$B:$B, CX$2, 'Bucket Counts'!$A:$A, "="&amp;$A76,  'Bucket Counts'!$F:$F, "&lt;&gt;100 Morts",  'Bucket Counts'!$F:$F, "&lt;&gt;224"))</f>
        <v>0</v>
      </c>
      <c r="CY76" s="116">
        <f>(SUMIFS('Bucket Counts'!$P:$P, 'Bucket Counts'!$B:$B, CY$2, 'Bucket Counts'!$A:$A, "="&amp;$A76,  'Bucket Counts'!$F:$F, "100 Morts"))</f>
        <v>0</v>
      </c>
      <c r="CZ76" s="116">
        <f>(SUMIFS('Bucket Counts'!$P:$P, 'Bucket Counts'!$B:$B, CZ$2, 'Bucket Counts'!$A:$A, "="&amp;$A76,  'Bucket Counts'!$F:$F, "224"))</f>
        <v>0</v>
      </c>
      <c r="DA76" s="116"/>
      <c r="DB76" s="426" t="e">
        <f>(CZ76+CX76)/DC75</f>
        <v>#DIV/0!</v>
      </c>
      <c r="DC76" s="370">
        <f>CX72+SUM(CW72:CW76)</f>
        <v>0</v>
      </c>
      <c r="DD76" s="369">
        <f>SUMIFS(Collection!$O:$O, Collection!$K:$K, DD$2, Collection!$A:$A, "="&amp;$A76)</f>
        <v>0</v>
      </c>
      <c r="DE76" s="116">
        <f>(SUMIFS('Bucket Counts'!$P:$P, 'Bucket Counts'!$B:$B, DE$2, 'Bucket Counts'!$A:$A, "="&amp;$A76,  'Bucket Counts'!$F:$F, "&lt;&gt;100 Morts",  'Bucket Counts'!$F:$F, "&lt;&gt;224"))</f>
        <v>0</v>
      </c>
      <c r="DF76" s="116">
        <f>(SUMIFS('Bucket Counts'!$P:$P, 'Bucket Counts'!$B:$B, DF$2, 'Bucket Counts'!$A:$A, "="&amp;$A76,  'Bucket Counts'!$F:$F, "100 Morts"))</f>
        <v>0</v>
      </c>
      <c r="DG76" s="116">
        <f>(SUMIFS('Bucket Counts'!$P:$P, 'Bucket Counts'!$B:$B, DG$2, 'Bucket Counts'!$A:$A, "="&amp;$A76,  'Bucket Counts'!$F:$F, "224"))</f>
        <v>0</v>
      </c>
      <c r="DH76" s="116"/>
      <c r="DI76" s="426" t="e">
        <f>(DG76+DE76)/DJ75</f>
        <v>#DIV/0!</v>
      </c>
      <c r="DJ76" s="370">
        <f>DE72+SUM(DD72:DD76)</f>
        <v>0</v>
      </c>
      <c r="DK76" s="369">
        <f>SUMIFS(Collection!$O:$O, Collection!$K:$K, DK$2, Collection!$A:$A, "="&amp;$A76)</f>
        <v>0</v>
      </c>
      <c r="DL76" s="116">
        <f>(SUMIFS('Bucket Counts'!$P:$P, 'Bucket Counts'!$B:$B, DL$2, 'Bucket Counts'!$A:$A, "="&amp;$A76,  'Bucket Counts'!$F:$F, "&lt;&gt;100 Morts",  'Bucket Counts'!$F:$F, "&lt;&gt;224"))</f>
        <v>0</v>
      </c>
      <c r="DM76" s="116">
        <f>(SUMIFS('Bucket Counts'!$P:$P, 'Bucket Counts'!$B:$B, DM$2, 'Bucket Counts'!$A:$A, "="&amp;$A76,  'Bucket Counts'!$F:$F, "100 Morts"))</f>
        <v>0</v>
      </c>
      <c r="DN76" s="116">
        <f>(SUMIFS('Bucket Counts'!$P:$P, 'Bucket Counts'!$B:$B, DN$2, 'Bucket Counts'!$A:$A, "="&amp;$A76,  'Bucket Counts'!$F:$F, "224"))</f>
        <v>0</v>
      </c>
      <c r="DO76" s="116"/>
      <c r="DP76" s="426" t="e">
        <f>(DN76+DL76)/DQ75</f>
        <v>#DIV/0!</v>
      </c>
      <c r="DQ76" s="370">
        <f>DL72+SUM(DK72:DK76)</f>
        <v>0</v>
      </c>
      <c r="DR76" s="369">
        <f>SUMIFS(Collection!$O:$O, Collection!$K:$K, DR$2, Collection!$A:$A, "="&amp;$A76)</f>
        <v>0</v>
      </c>
      <c r="DS76" s="116">
        <f>(SUMIFS('Bucket Counts'!$P:$P, 'Bucket Counts'!$B:$B, DS$2, 'Bucket Counts'!$A:$A, "="&amp;$A76,  'Bucket Counts'!$F:$F, "&lt;&gt;100 Morts",  'Bucket Counts'!$F:$F, "&lt;&gt;224"))</f>
        <v>0</v>
      </c>
      <c r="DT76" s="116">
        <f>(SUMIFS('Bucket Counts'!$P:$P, 'Bucket Counts'!$B:$B, DT$2, 'Bucket Counts'!$A:$A, "="&amp;$A76,  'Bucket Counts'!$F:$F, "100 Morts"))</f>
        <v>0</v>
      </c>
      <c r="DU76" s="116">
        <f>(SUMIFS('Bucket Counts'!$P:$P, 'Bucket Counts'!$B:$B, DU$2, 'Bucket Counts'!$A:$A, "="&amp;$A76,  'Bucket Counts'!$F:$F, "224"))</f>
        <v>0</v>
      </c>
      <c r="DV76" s="116"/>
      <c r="DW76" s="426" t="e">
        <f>(DU76+DS76)/DX75</f>
        <v>#DIV/0!</v>
      </c>
      <c r="DX76" s="370">
        <f>DS72+SUM(DR72:DR76)</f>
        <v>0</v>
      </c>
      <c r="DY76" s="369">
        <f>SUMIFS(Collection!$O:$O, Collection!$K:$K, DY$2, Collection!$A:$A, "="&amp;$A76)</f>
        <v>0</v>
      </c>
      <c r="DZ76" s="116">
        <f>(SUMIFS('Bucket Counts'!$P:$P, 'Bucket Counts'!$B:$B, DZ$2, 'Bucket Counts'!$A:$A, "="&amp;$A76,  'Bucket Counts'!$F:$F, "&lt;&gt;100 Morts",  'Bucket Counts'!$F:$F, "&lt;&gt;224"))</f>
        <v>0</v>
      </c>
      <c r="EA76" s="116">
        <f>(SUMIFS('Bucket Counts'!$P:$P, 'Bucket Counts'!$B:$B, EA$2, 'Bucket Counts'!$A:$A, "="&amp;$A76,  'Bucket Counts'!$F:$F, "100 Morts"))</f>
        <v>0</v>
      </c>
      <c r="EB76" s="116">
        <f>(SUMIFS('Bucket Counts'!$P:$P, 'Bucket Counts'!$B:$B, EB$2, 'Bucket Counts'!$A:$A, "="&amp;$A76,  'Bucket Counts'!$F:$F, "224"))</f>
        <v>0</v>
      </c>
      <c r="EC76" s="116"/>
      <c r="ED76" s="426" t="e">
        <f>(EB76+DZ76)/EE75</f>
        <v>#DIV/0!</v>
      </c>
      <c r="EE76" s="370">
        <f>DZ72+SUM(DY72:DY76)</f>
        <v>0</v>
      </c>
      <c r="EF76" s="369">
        <f>SUMIFS(Collection!$O:$O, Collection!$K:$K, EF$2, Collection!$A:$A, "="&amp;$A76)</f>
        <v>0</v>
      </c>
      <c r="EG76" s="116">
        <f>(SUMIFS('Bucket Counts'!$P:$P, 'Bucket Counts'!$B:$B, EG$2, 'Bucket Counts'!$A:$A, "="&amp;$A76,  'Bucket Counts'!$F:$F, "&lt;&gt;100 Morts",  'Bucket Counts'!$F:$F, "&lt;&gt;224"))</f>
        <v>0</v>
      </c>
      <c r="EH76" s="116">
        <f>(SUMIFS('Bucket Counts'!$P:$P, 'Bucket Counts'!$B:$B, EH$2, 'Bucket Counts'!$A:$A, "="&amp;$A76,  'Bucket Counts'!$F:$F, "100 Morts"))</f>
        <v>0</v>
      </c>
      <c r="EI76" s="116">
        <f>(SUMIFS('Bucket Counts'!$P:$P, 'Bucket Counts'!$B:$B, EI$2, 'Bucket Counts'!$A:$A, "="&amp;$A76,  'Bucket Counts'!$F:$F, "224"))</f>
        <v>0</v>
      </c>
      <c r="EJ76" s="116"/>
      <c r="EK76" s="426" t="e">
        <f>(EI76+EG76)/EL75</f>
        <v>#DIV/0!</v>
      </c>
      <c r="EL76" s="370">
        <f>EG72+SUM(EF72:EF76)</f>
        <v>0</v>
      </c>
    </row>
    <row r="77" spans="1:142" x14ac:dyDescent="0.2">
      <c r="A77" s="16">
        <f t="shared" si="0"/>
        <v>42946</v>
      </c>
      <c r="B77" s="16" t="s">
        <v>487</v>
      </c>
      <c r="C77" s="369">
        <f>SUMIFS(Collection!$O:$O, Collection!$K:$K, C$2, Collection!$A:$A, "="&amp;$A77)</f>
        <v>0</v>
      </c>
      <c r="D77" s="116">
        <f>(SUMIFS('Bucket Counts'!$P:$P, 'Bucket Counts'!$B:$B, D$2, 'Bucket Counts'!$A:$A, "="&amp;$A77,  'Bucket Counts'!$F:$F, "&lt;&gt;100 Morts",  'Bucket Counts'!$F:$F, "&lt;&gt;224"))</f>
        <v>0</v>
      </c>
      <c r="E77" s="116">
        <f>(SUMIFS('Bucket Counts'!$P:$P, 'Bucket Counts'!$B:$B, E$2, 'Bucket Counts'!$A:$A, "="&amp;$A77,  'Bucket Counts'!$F:$F, "100 Morts"))</f>
        <v>0</v>
      </c>
      <c r="F77" s="116">
        <f>(SUMIFS('Bucket Counts'!$P:$P, 'Bucket Counts'!$B:$B, F$2, 'Bucket Counts'!$A:$A, "="&amp;$A77,  'Bucket Counts'!$F:$F, "224"))</f>
        <v>0</v>
      </c>
      <c r="G77" s="116"/>
      <c r="H77" s="426" t="e">
        <f>(F77+D77)/I76</f>
        <v>#DIV/0!</v>
      </c>
      <c r="I77" s="370">
        <f>D72+SUM(C72:C77)</f>
        <v>0</v>
      </c>
      <c r="J77" s="369">
        <f>SUMIFS(Collection!$O:$O, Collection!$K:$K, J$2, Collection!$A:$A, "="&amp;$A77)</f>
        <v>0</v>
      </c>
      <c r="K77" s="116">
        <f>(SUMIFS('Bucket Counts'!$P:$P, 'Bucket Counts'!$B:$B, K$2, 'Bucket Counts'!$A:$A, "="&amp;$A77,  'Bucket Counts'!$F:$F, "&lt;&gt;100 Morts",  'Bucket Counts'!$F:$F, "&lt;&gt;224"))</f>
        <v>0</v>
      </c>
      <c r="L77" s="116">
        <f>(SUMIFS('Bucket Counts'!$P:$P, 'Bucket Counts'!$B:$B, L$2, 'Bucket Counts'!$A:$A, "="&amp;$A77,  'Bucket Counts'!$F:$F, "100 Morts"))</f>
        <v>0</v>
      </c>
      <c r="M77" s="116">
        <f>(SUMIFS('Bucket Counts'!$P:$P, 'Bucket Counts'!$B:$B, M$2, 'Bucket Counts'!$A:$A, "="&amp;$A77,  'Bucket Counts'!$F:$F, "224"))</f>
        <v>0</v>
      </c>
      <c r="N77" s="116"/>
      <c r="O77" s="426" t="e">
        <f>(M77+K77)/P76</f>
        <v>#DIV/0!</v>
      </c>
      <c r="P77" s="370">
        <f>K72+SUM(J72:J77)</f>
        <v>0</v>
      </c>
      <c r="Q77" s="369">
        <f>SUMIFS(Collection!$O:$O, Collection!$K:$K, Q$2, Collection!$A:$A, "="&amp;$A77)</f>
        <v>0</v>
      </c>
      <c r="R77" s="116">
        <f>(SUMIFS('Bucket Counts'!$P:$P, 'Bucket Counts'!$B:$B, R$2, 'Bucket Counts'!$A:$A, "="&amp;$A77,  'Bucket Counts'!$F:$F, "&lt;&gt;100 Morts",  'Bucket Counts'!$F:$F, "&lt;&gt;224"))</f>
        <v>0</v>
      </c>
      <c r="S77" s="116">
        <f>(SUMIFS('Bucket Counts'!$P:$P, 'Bucket Counts'!$B:$B, S$2, 'Bucket Counts'!$A:$A, "="&amp;$A77,  'Bucket Counts'!$F:$F, "100 Morts"))</f>
        <v>0</v>
      </c>
      <c r="T77" s="116">
        <f>(SUMIFS('Bucket Counts'!$P:$P, 'Bucket Counts'!$B:$B, T$2, 'Bucket Counts'!$A:$A, "="&amp;$A77,  'Bucket Counts'!$F:$F, "224"))</f>
        <v>0</v>
      </c>
      <c r="U77" s="116"/>
      <c r="V77" s="426" t="e">
        <f>(T77+R77)/W76</f>
        <v>#DIV/0!</v>
      </c>
      <c r="W77" s="370">
        <f>R72+SUM(Q72:Q77)</f>
        <v>0</v>
      </c>
      <c r="X77" s="369">
        <f>SUMIFS(Collection!$O:$O, Collection!$K:$K, X$2, Collection!$A:$A, "="&amp;$A77)</f>
        <v>0</v>
      </c>
      <c r="Y77" s="116">
        <f>(SUMIFS('Bucket Counts'!$P:$P, 'Bucket Counts'!$B:$B, Y$2, 'Bucket Counts'!$A:$A, "="&amp;$A77,  'Bucket Counts'!$F:$F, "&lt;&gt;100 Morts",  'Bucket Counts'!$F:$F, "&lt;&gt;224"))</f>
        <v>0</v>
      </c>
      <c r="Z77" s="116">
        <f>(SUMIFS('Bucket Counts'!$P:$P, 'Bucket Counts'!$B:$B, Z$2, 'Bucket Counts'!$A:$A, "="&amp;$A77,  'Bucket Counts'!$F:$F, "100 Morts"))</f>
        <v>0</v>
      </c>
      <c r="AA77" s="116">
        <f>(SUMIFS('Bucket Counts'!$P:$P, 'Bucket Counts'!$B:$B, AA$2, 'Bucket Counts'!$A:$A, "="&amp;$A77,  'Bucket Counts'!$F:$F, "224"))</f>
        <v>0</v>
      </c>
      <c r="AB77" s="116"/>
      <c r="AC77" s="426" t="e">
        <f>(AA77+Y77)/AD76</f>
        <v>#DIV/0!</v>
      </c>
      <c r="AD77" s="370">
        <f>Y72+SUM(X72:X77)</f>
        <v>0</v>
      </c>
      <c r="AE77" s="369">
        <f>SUMIFS(Collection!$O:$O, Collection!$K:$K, AE$2, Collection!$A:$A, "="&amp;$A77)</f>
        <v>0</v>
      </c>
      <c r="AF77" s="116">
        <f>(SUMIFS('Bucket Counts'!$P:$P, 'Bucket Counts'!$B:$B, AF$2, 'Bucket Counts'!$A:$A, "="&amp;$A77,  'Bucket Counts'!$F:$F, "&lt;&gt;100 Morts",  'Bucket Counts'!$F:$F, "&lt;&gt;224"))</f>
        <v>0</v>
      </c>
      <c r="AG77" s="116">
        <f>(SUMIFS('Bucket Counts'!$P:$P, 'Bucket Counts'!$B:$B, AG$2, 'Bucket Counts'!$A:$A, "="&amp;$A77,  'Bucket Counts'!$F:$F, "100 Morts"))</f>
        <v>0</v>
      </c>
      <c r="AH77" s="116">
        <f>(SUMIFS('Bucket Counts'!$P:$P, 'Bucket Counts'!$B:$B, AH$2, 'Bucket Counts'!$A:$A, "="&amp;$A77,  'Bucket Counts'!$F:$F, "224"))</f>
        <v>0</v>
      </c>
      <c r="AI77" s="116"/>
      <c r="AJ77" s="426" t="e">
        <f>(AH77+AF77)/AK76</f>
        <v>#DIV/0!</v>
      </c>
      <c r="AK77" s="370">
        <f>AF72+SUM(AE72:AE77)</f>
        <v>0</v>
      </c>
      <c r="AL77" s="369">
        <f>SUMIFS(Collection!$O:$O, Collection!$K:$K, AL$2, Collection!$A:$A, "="&amp;$A77)</f>
        <v>0</v>
      </c>
      <c r="AM77" s="116">
        <f>(SUMIFS('Bucket Counts'!$P:$P, 'Bucket Counts'!$B:$B, AM$2, 'Bucket Counts'!$A:$A, "="&amp;$A77,  'Bucket Counts'!$F:$F, "&lt;&gt;100 Morts",  'Bucket Counts'!$F:$F, "&lt;&gt;224"))</f>
        <v>0</v>
      </c>
      <c r="AN77" s="116">
        <f>(SUMIFS('Bucket Counts'!$P:$P, 'Bucket Counts'!$B:$B, AN$2, 'Bucket Counts'!$A:$A, "="&amp;$A77,  'Bucket Counts'!$F:$F, "100 Morts"))</f>
        <v>0</v>
      </c>
      <c r="AO77" s="116">
        <f>(SUMIFS('Bucket Counts'!$P:$P, 'Bucket Counts'!$B:$B, AO$2, 'Bucket Counts'!$A:$A, "="&amp;$A77,  'Bucket Counts'!$F:$F, "224"))</f>
        <v>0</v>
      </c>
      <c r="AP77" s="116"/>
      <c r="AQ77" s="426" t="e">
        <f>(AO77+AM77)/AR76</f>
        <v>#DIV/0!</v>
      </c>
      <c r="AR77" s="370">
        <f>AM72+SUM(AL72:AL77)</f>
        <v>0</v>
      </c>
      <c r="AS77" s="369">
        <f>SUMIFS(Collection!$O:$O, Collection!$K:$K, AS$2, Collection!$A:$A, "="&amp;$A77)</f>
        <v>0</v>
      </c>
      <c r="AT77" s="116">
        <f>(SUMIFS('Bucket Counts'!$P:$P, 'Bucket Counts'!$B:$B, AT$2, 'Bucket Counts'!$A:$A, "="&amp;$A77,  'Bucket Counts'!$F:$F, "&lt;&gt;100 Morts",  'Bucket Counts'!$F:$F, "&lt;&gt;224"))</f>
        <v>0</v>
      </c>
      <c r="AU77" s="116">
        <f>(SUMIFS('Bucket Counts'!$P:$P, 'Bucket Counts'!$B:$B, AU$2, 'Bucket Counts'!$A:$A, "="&amp;$A77,  'Bucket Counts'!$F:$F, "100 Morts"))</f>
        <v>0</v>
      </c>
      <c r="AV77" s="116">
        <f>(SUMIFS('Bucket Counts'!$P:$P, 'Bucket Counts'!$B:$B, AV$2, 'Bucket Counts'!$A:$A, "="&amp;$A77,  'Bucket Counts'!$F:$F, "224"))</f>
        <v>0</v>
      </c>
      <c r="AW77" s="116"/>
      <c r="AX77" s="426" t="e">
        <f>(AV77+AT77)/AY76</f>
        <v>#DIV/0!</v>
      </c>
      <c r="AY77" s="370">
        <f>AT72+SUM(AS72:AS77)</f>
        <v>0</v>
      </c>
      <c r="AZ77" s="369">
        <f>SUMIFS(Collection!$O:$O, Collection!$K:$K, AZ$2, Collection!$A:$A, "="&amp;$A77)</f>
        <v>0</v>
      </c>
      <c r="BA77" s="116">
        <f>(SUMIFS('Bucket Counts'!$P:$P, 'Bucket Counts'!$B:$B, BA$2, 'Bucket Counts'!$A:$A, "="&amp;$A77,  'Bucket Counts'!$F:$F, "&lt;&gt;100 Morts",  'Bucket Counts'!$F:$F, "&lt;&gt;224"))</f>
        <v>0</v>
      </c>
      <c r="BB77" s="116">
        <f>(SUMIFS('Bucket Counts'!$P:$P, 'Bucket Counts'!$B:$B, BB$2, 'Bucket Counts'!$A:$A, "="&amp;$A77,  'Bucket Counts'!$F:$F, "100 Morts"))</f>
        <v>0</v>
      </c>
      <c r="BC77" s="116">
        <f>(SUMIFS('Bucket Counts'!$P:$P, 'Bucket Counts'!$B:$B, BC$2, 'Bucket Counts'!$A:$A, "="&amp;$A77,  'Bucket Counts'!$F:$F, "224"))</f>
        <v>0</v>
      </c>
      <c r="BD77" s="116"/>
      <c r="BE77" s="426" t="e">
        <f>(BC77+BA77)/BF76</f>
        <v>#DIV/0!</v>
      </c>
      <c r="BF77" s="370">
        <f>BA72+SUM(AZ72:AZ77)</f>
        <v>0</v>
      </c>
      <c r="BG77" s="369">
        <f>SUMIFS(Collection!$O:$O, Collection!$K:$K, BG$2, Collection!$A:$A, "="&amp;$A77)</f>
        <v>0</v>
      </c>
      <c r="BH77" s="116">
        <f>(SUMIFS('Bucket Counts'!$P:$P, 'Bucket Counts'!$B:$B, BH$2, 'Bucket Counts'!$A:$A, "="&amp;$A77,  'Bucket Counts'!$F:$F, "&lt;&gt;100 Morts",  'Bucket Counts'!$F:$F, "&lt;&gt;224"))</f>
        <v>0</v>
      </c>
      <c r="BI77" s="116">
        <f>(SUMIFS('Bucket Counts'!$P:$P, 'Bucket Counts'!$B:$B, BI$2, 'Bucket Counts'!$A:$A, "="&amp;$A77,  'Bucket Counts'!$F:$F, "100 Morts"))</f>
        <v>0</v>
      </c>
      <c r="BJ77" s="116">
        <f>(SUMIFS('Bucket Counts'!$P:$P, 'Bucket Counts'!$B:$B, BJ$2, 'Bucket Counts'!$A:$A, "="&amp;$A77,  'Bucket Counts'!$F:$F, "224"))</f>
        <v>0</v>
      </c>
      <c r="BK77" s="116"/>
      <c r="BL77" s="426">
        <f>(BJ77+BH77)/BM76</f>
        <v>0</v>
      </c>
      <c r="BM77" s="370">
        <f>BH72+SUM(BG72:BG77)</f>
        <v>83.333333333333329</v>
      </c>
      <c r="BN77" s="369">
        <f>SUMIFS(Collection!$O:$O, Collection!$K:$K, BN$2, Collection!$A:$A, "="&amp;$A77)</f>
        <v>0</v>
      </c>
      <c r="BO77" s="116">
        <f>(SUMIFS('Bucket Counts'!$P:$P, 'Bucket Counts'!$B:$B, BO$2, 'Bucket Counts'!$A:$A, "="&amp;$A77,  'Bucket Counts'!$F:$F, "&lt;&gt;100 Morts",  'Bucket Counts'!$F:$F, "&lt;&gt;224"))</f>
        <v>0</v>
      </c>
      <c r="BP77" s="116">
        <f>(SUMIFS('Bucket Counts'!$P:$P, 'Bucket Counts'!$B:$B, BP$2, 'Bucket Counts'!$A:$A, "="&amp;$A77,  'Bucket Counts'!$F:$F, "100 Morts"))</f>
        <v>0</v>
      </c>
      <c r="BQ77" s="116">
        <f>(SUMIFS('Bucket Counts'!$P:$P, 'Bucket Counts'!$B:$B, BQ$2, 'Bucket Counts'!$A:$A, "="&amp;$A77,  'Bucket Counts'!$F:$F, "224"))</f>
        <v>0</v>
      </c>
      <c r="BR77" s="116"/>
      <c r="BS77" s="426">
        <f>(BQ77+BO77)/BT76</f>
        <v>0</v>
      </c>
      <c r="BT77" s="370">
        <f>BO72+SUM(BN72:BN77)</f>
        <v>188.88888888888889</v>
      </c>
      <c r="BU77" s="369">
        <f>SUMIFS(Collection!$O:$O, Collection!$K:$K, BU$2, Collection!$A:$A, "="&amp;$A77)</f>
        <v>0</v>
      </c>
      <c r="BV77" s="116">
        <f>(SUMIFS('Bucket Counts'!$P:$P, 'Bucket Counts'!$B:$B, BV$2, 'Bucket Counts'!$A:$A, "="&amp;$A77,  'Bucket Counts'!$F:$F, "&lt;&gt;100 Morts",  'Bucket Counts'!$F:$F, "&lt;&gt;224"))</f>
        <v>0</v>
      </c>
      <c r="BW77" s="116">
        <f>(SUMIFS('Bucket Counts'!$P:$P, 'Bucket Counts'!$B:$B, BW$2, 'Bucket Counts'!$A:$A, "="&amp;$A77,  'Bucket Counts'!$F:$F, "100 Morts"))</f>
        <v>0</v>
      </c>
      <c r="BX77" s="116">
        <f>(SUMIFS('Bucket Counts'!$P:$P, 'Bucket Counts'!$B:$B, BX$2, 'Bucket Counts'!$A:$A, "="&amp;$A77,  'Bucket Counts'!$F:$F, "224"))</f>
        <v>0</v>
      </c>
      <c r="BY77" s="116"/>
      <c r="BZ77" s="426" t="e">
        <f>(BX77+BV77)/CA76</f>
        <v>#DIV/0!</v>
      </c>
      <c r="CA77" s="370">
        <f>BV72+SUM(BU72:BU77)</f>
        <v>0</v>
      </c>
      <c r="CB77" s="369">
        <f>SUMIFS(Collection!$O:$O, Collection!$K:$K, CB$2, Collection!$A:$A, "="&amp;$A77)</f>
        <v>0</v>
      </c>
      <c r="CC77" s="116">
        <f>(SUMIFS('Bucket Counts'!$P:$P, 'Bucket Counts'!$B:$B, CC$2, 'Bucket Counts'!$A:$A, "="&amp;$A77,  'Bucket Counts'!$F:$F, "&lt;&gt;100 Morts",  'Bucket Counts'!$F:$F, "&lt;&gt;224"))</f>
        <v>0</v>
      </c>
      <c r="CD77" s="116">
        <f>(SUMIFS('Bucket Counts'!$P:$P, 'Bucket Counts'!$B:$B, CD$2, 'Bucket Counts'!$A:$A, "="&amp;$A77,  'Bucket Counts'!$F:$F, "100 Morts"))</f>
        <v>0</v>
      </c>
      <c r="CE77" s="116">
        <f>(SUMIFS('Bucket Counts'!$P:$P, 'Bucket Counts'!$B:$B, CE$2, 'Bucket Counts'!$A:$A, "="&amp;$A77,  'Bucket Counts'!$F:$F, "224"))</f>
        <v>0</v>
      </c>
      <c r="CF77" s="116"/>
      <c r="CG77" s="426" t="e">
        <f>(CE77+CC77)/CH76</f>
        <v>#DIV/0!</v>
      </c>
      <c r="CH77" s="370">
        <f>CC72+SUM(CB72:CB77)</f>
        <v>0</v>
      </c>
      <c r="CI77" s="369">
        <f>SUMIFS(Collection!$O:$O, Collection!$K:$K, CI$2, Collection!$A:$A, "="&amp;$A77)</f>
        <v>0</v>
      </c>
      <c r="CJ77" s="116">
        <f>(SUMIFS('Bucket Counts'!$P:$P, 'Bucket Counts'!$B:$B, CJ$2, 'Bucket Counts'!$A:$A, "="&amp;$A77,  'Bucket Counts'!$F:$F, "&lt;&gt;100 Morts",  'Bucket Counts'!$F:$F, "&lt;&gt;224"))</f>
        <v>0</v>
      </c>
      <c r="CK77" s="116">
        <f>(SUMIFS('Bucket Counts'!$P:$P, 'Bucket Counts'!$B:$B, CK$2, 'Bucket Counts'!$A:$A, "="&amp;$A77,  'Bucket Counts'!$F:$F, "100 Morts"))</f>
        <v>0</v>
      </c>
      <c r="CL77" s="116">
        <f>(SUMIFS('Bucket Counts'!$P:$P, 'Bucket Counts'!$B:$B, CL$2, 'Bucket Counts'!$A:$A, "="&amp;$A77,  'Bucket Counts'!$F:$F, "224"))</f>
        <v>0</v>
      </c>
      <c r="CM77" s="116"/>
      <c r="CN77" s="426" t="e">
        <f>(CL77+CJ77)/CO76</f>
        <v>#DIV/0!</v>
      </c>
      <c r="CO77" s="370">
        <f>CJ72+SUM(CI72:CI77)</f>
        <v>0</v>
      </c>
      <c r="CP77" s="369">
        <f>SUMIFS(Collection!$O:$O, Collection!$K:$K, CP$2, Collection!$A:$A, "="&amp;$A77)</f>
        <v>0</v>
      </c>
      <c r="CQ77" s="116">
        <f>(SUMIFS('Bucket Counts'!$P:$P, 'Bucket Counts'!$B:$B, CQ$2, 'Bucket Counts'!$A:$A, "="&amp;$A77,  'Bucket Counts'!$F:$F, "&lt;&gt;100 Morts",  'Bucket Counts'!$F:$F, "&lt;&gt;224"))</f>
        <v>0</v>
      </c>
      <c r="CR77" s="116">
        <f>(SUMIFS('Bucket Counts'!$P:$P, 'Bucket Counts'!$B:$B, CR$2, 'Bucket Counts'!$A:$A, "="&amp;$A77,  'Bucket Counts'!$F:$F, "100 Morts"))</f>
        <v>0</v>
      </c>
      <c r="CS77" s="116">
        <f>(SUMIFS('Bucket Counts'!$P:$P, 'Bucket Counts'!$B:$B, CS$2, 'Bucket Counts'!$A:$A, "="&amp;$A77,  'Bucket Counts'!$F:$F, "224"))</f>
        <v>0</v>
      </c>
      <c r="CT77" s="116"/>
      <c r="CU77" s="426" t="e">
        <f>(CS77+CQ77)/CV76</f>
        <v>#DIV/0!</v>
      </c>
      <c r="CV77" s="370">
        <f>CQ72+SUM(CP72:CP77)</f>
        <v>0</v>
      </c>
      <c r="CW77" s="369">
        <f>SUMIFS(Collection!$O:$O, Collection!$K:$K, CW$2, Collection!$A:$A, "="&amp;$A77)</f>
        <v>0</v>
      </c>
      <c r="CX77" s="116">
        <f>(SUMIFS('Bucket Counts'!$P:$P, 'Bucket Counts'!$B:$B, CX$2, 'Bucket Counts'!$A:$A, "="&amp;$A77,  'Bucket Counts'!$F:$F, "&lt;&gt;100 Morts",  'Bucket Counts'!$F:$F, "&lt;&gt;224"))</f>
        <v>0</v>
      </c>
      <c r="CY77" s="116">
        <f>(SUMIFS('Bucket Counts'!$P:$P, 'Bucket Counts'!$B:$B, CY$2, 'Bucket Counts'!$A:$A, "="&amp;$A77,  'Bucket Counts'!$F:$F, "100 Morts"))</f>
        <v>0</v>
      </c>
      <c r="CZ77" s="116">
        <f>(SUMIFS('Bucket Counts'!$P:$P, 'Bucket Counts'!$B:$B, CZ$2, 'Bucket Counts'!$A:$A, "="&amp;$A77,  'Bucket Counts'!$F:$F, "224"))</f>
        <v>0</v>
      </c>
      <c r="DA77" s="116"/>
      <c r="DB77" s="426" t="e">
        <f>(CZ77+CX77)/DC76</f>
        <v>#DIV/0!</v>
      </c>
      <c r="DC77" s="370">
        <f>CX72+SUM(CW72:CW77)</f>
        <v>0</v>
      </c>
      <c r="DD77" s="369">
        <f>SUMIFS(Collection!$O:$O, Collection!$K:$K, DD$2, Collection!$A:$A, "="&amp;$A77)</f>
        <v>0</v>
      </c>
      <c r="DE77" s="116">
        <f>(SUMIFS('Bucket Counts'!$P:$P, 'Bucket Counts'!$B:$B, DE$2, 'Bucket Counts'!$A:$A, "="&amp;$A77,  'Bucket Counts'!$F:$F, "&lt;&gt;100 Morts",  'Bucket Counts'!$F:$F, "&lt;&gt;224"))</f>
        <v>0</v>
      </c>
      <c r="DF77" s="116">
        <f>(SUMIFS('Bucket Counts'!$P:$P, 'Bucket Counts'!$B:$B, DF$2, 'Bucket Counts'!$A:$A, "="&amp;$A77,  'Bucket Counts'!$F:$F, "100 Morts"))</f>
        <v>0</v>
      </c>
      <c r="DG77" s="116">
        <f>(SUMIFS('Bucket Counts'!$P:$P, 'Bucket Counts'!$B:$B, DG$2, 'Bucket Counts'!$A:$A, "="&amp;$A77,  'Bucket Counts'!$F:$F, "224"))</f>
        <v>0</v>
      </c>
      <c r="DH77" s="116"/>
      <c r="DI77" s="426" t="e">
        <f>(DG77+DE77)/DJ76</f>
        <v>#DIV/0!</v>
      </c>
      <c r="DJ77" s="370">
        <f>DE72+SUM(DD72:DD77)</f>
        <v>0</v>
      </c>
      <c r="DK77" s="369">
        <f>SUMIFS(Collection!$O:$O, Collection!$K:$K, DK$2, Collection!$A:$A, "="&amp;$A77)</f>
        <v>0</v>
      </c>
      <c r="DL77" s="116">
        <f>(SUMIFS('Bucket Counts'!$P:$P, 'Bucket Counts'!$B:$B, DL$2, 'Bucket Counts'!$A:$A, "="&amp;$A77,  'Bucket Counts'!$F:$F, "&lt;&gt;100 Morts",  'Bucket Counts'!$F:$F, "&lt;&gt;224"))</f>
        <v>0</v>
      </c>
      <c r="DM77" s="116">
        <f>(SUMIFS('Bucket Counts'!$P:$P, 'Bucket Counts'!$B:$B, DM$2, 'Bucket Counts'!$A:$A, "="&amp;$A77,  'Bucket Counts'!$F:$F, "100 Morts"))</f>
        <v>0</v>
      </c>
      <c r="DN77" s="116">
        <f>(SUMIFS('Bucket Counts'!$P:$P, 'Bucket Counts'!$B:$B, DN$2, 'Bucket Counts'!$A:$A, "="&amp;$A77,  'Bucket Counts'!$F:$F, "224"))</f>
        <v>0</v>
      </c>
      <c r="DO77" s="116"/>
      <c r="DP77" s="426" t="e">
        <f>(DN77+DL77)/DQ76</f>
        <v>#DIV/0!</v>
      </c>
      <c r="DQ77" s="370">
        <f>DL72+SUM(DK72:DK77)</f>
        <v>0</v>
      </c>
      <c r="DR77" s="369">
        <f>SUMIFS(Collection!$O:$O, Collection!$K:$K, DR$2, Collection!$A:$A, "="&amp;$A77)</f>
        <v>0</v>
      </c>
      <c r="DS77" s="116">
        <f>(SUMIFS('Bucket Counts'!$P:$P, 'Bucket Counts'!$B:$B, DS$2, 'Bucket Counts'!$A:$A, "="&amp;$A77,  'Bucket Counts'!$F:$F, "&lt;&gt;100 Morts",  'Bucket Counts'!$F:$F, "&lt;&gt;224"))</f>
        <v>0</v>
      </c>
      <c r="DT77" s="116">
        <f>(SUMIFS('Bucket Counts'!$P:$P, 'Bucket Counts'!$B:$B, DT$2, 'Bucket Counts'!$A:$A, "="&amp;$A77,  'Bucket Counts'!$F:$F, "100 Morts"))</f>
        <v>0</v>
      </c>
      <c r="DU77" s="116">
        <f>(SUMIFS('Bucket Counts'!$P:$P, 'Bucket Counts'!$B:$B, DU$2, 'Bucket Counts'!$A:$A, "="&amp;$A77,  'Bucket Counts'!$F:$F, "224"))</f>
        <v>0</v>
      </c>
      <c r="DV77" s="116"/>
      <c r="DW77" s="426" t="e">
        <f>(DU77+DS77)/DX76</f>
        <v>#DIV/0!</v>
      </c>
      <c r="DX77" s="370">
        <f>DS72+SUM(DR72:DR77)</f>
        <v>0</v>
      </c>
      <c r="DY77" s="369">
        <f>SUMIFS(Collection!$O:$O, Collection!$K:$K, DY$2, Collection!$A:$A, "="&amp;$A77)</f>
        <v>0</v>
      </c>
      <c r="DZ77" s="116">
        <f>(SUMIFS('Bucket Counts'!$P:$P, 'Bucket Counts'!$B:$B, DZ$2, 'Bucket Counts'!$A:$A, "="&amp;$A77,  'Bucket Counts'!$F:$F, "&lt;&gt;100 Morts",  'Bucket Counts'!$F:$F, "&lt;&gt;224"))</f>
        <v>0</v>
      </c>
      <c r="EA77" s="116">
        <f>(SUMIFS('Bucket Counts'!$P:$P, 'Bucket Counts'!$B:$B, EA$2, 'Bucket Counts'!$A:$A, "="&amp;$A77,  'Bucket Counts'!$F:$F, "100 Morts"))</f>
        <v>0</v>
      </c>
      <c r="EB77" s="116">
        <f>(SUMIFS('Bucket Counts'!$P:$P, 'Bucket Counts'!$B:$B, EB$2, 'Bucket Counts'!$A:$A, "="&amp;$A77,  'Bucket Counts'!$F:$F, "224"))</f>
        <v>0</v>
      </c>
      <c r="EC77" s="116"/>
      <c r="ED77" s="426" t="e">
        <f>(EB77+DZ77)/EE76</f>
        <v>#DIV/0!</v>
      </c>
      <c r="EE77" s="370">
        <f>DZ72+SUM(DY72:DY77)</f>
        <v>0</v>
      </c>
      <c r="EF77" s="369">
        <f>SUMIFS(Collection!$O:$O, Collection!$K:$K, EF$2, Collection!$A:$A, "="&amp;$A77)</f>
        <v>0</v>
      </c>
      <c r="EG77" s="116">
        <f>(SUMIFS('Bucket Counts'!$P:$P, 'Bucket Counts'!$B:$B, EG$2, 'Bucket Counts'!$A:$A, "="&amp;$A77,  'Bucket Counts'!$F:$F, "&lt;&gt;100 Morts",  'Bucket Counts'!$F:$F, "&lt;&gt;224"))</f>
        <v>0</v>
      </c>
      <c r="EH77" s="116">
        <f>(SUMIFS('Bucket Counts'!$P:$P, 'Bucket Counts'!$B:$B, EH$2, 'Bucket Counts'!$A:$A, "="&amp;$A77,  'Bucket Counts'!$F:$F, "100 Morts"))</f>
        <v>0</v>
      </c>
      <c r="EI77" s="116">
        <f>(SUMIFS('Bucket Counts'!$P:$P, 'Bucket Counts'!$B:$B, EI$2, 'Bucket Counts'!$A:$A, "="&amp;$A77,  'Bucket Counts'!$F:$F, "224"))</f>
        <v>0</v>
      </c>
      <c r="EJ77" s="116"/>
      <c r="EK77" s="426" t="e">
        <f>(EI77+EG77)/EL76</f>
        <v>#DIV/0!</v>
      </c>
      <c r="EL77" s="370">
        <f>EG72+SUM(EF72:EF77)</f>
        <v>0</v>
      </c>
    </row>
    <row r="78" spans="1:142" x14ac:dyDescent="0.2">
      <c r="D78" s="366"/>
      <c r="E78" s="116"/>
      <c r="F78" s="366"/>
      <c r="G78" s="366"/>
      <c r="H78" s="366"/>
      <c r="I78" s="372"/>
      <c r="K78" s="366"/>
      <c r="L78" s="366"/>
      <c r="M78" s="366"/>
      <c r="N78" s="366"/>
      <c r="O78" s="366"/>
      <c r="P78" s="372"/>
      <c r="R78" s="366"/>
      <c r="S78" s="366"/>
      <c r="T78" s="366"/>
      <c r="U78" s="366"/>
      <c r="V78" s="366"/>
      <c r="W78" s="372"/>
      <c r="Y78" s="365"/>
      <c r="Z78" s="365"/>
      <c r="AA78" s="365"/>
      <c r="AB78" s="365"/>
      <c r="AC78" s="365"/>
      <c r="AD78" s="372"/>
      <c r="AF78" s="365"/>
      <c r="AG78" s="365"/>
      <c r="AH78" s="365"/>
      <c r="AI78" s="365"/>
      <c r="AJ78" s="365"/>
      <c r="AK78" s="372"/>
      <c r="AM78" s="365"/>
      <c r="AN78" s="365"/>
      <c r="AO78" s="365"/>
      <c r="AP78" s="365"/>
      <c r="AQ78" s="365"/>
      <c r="AR78" s="372"/>
      <c r="AT78" s="365"/>
      <c r="AU78" s="365"/>
      <c r="AV78" s="365"/>
      <c r="AW78" s="365"/>
      <c r="AX78" s="365"/>
      <c r="AY78" s="372"/>
      <c r="BA78" s="365"/>
      <c r="BB78" s="365"/>
      <c r="BC78" s="365"/>
      <c r="BD78" s="365"/>
      <c r="BE78" s="365"/>
      <c r="BF78" s="372"/>
      <c r="BH78" s="365"/>
      <c r="BI78" s="365"/>
      <c r="BJ78" s="365"/>
      <c r="BK78" s="365"/>
      <c r="BL78" s="365"/>
      <c r="BM78" s="372"/>
      <c r="BO78" s="365"/>
      <c r="BP78" s="365"/>
      <c r="BQ78" s="365"/>
      <c r="BR78" s="365"/>
      <c r="BS78" s="365"/>
      <c r="BT78" s="372"/>
      <c r="BV78" s="365"/>
      <c r="BW78" s="365"/>
      <c r="BX78" s="365"/>
      <c r="BY78" s="365"/>
      <c r="BZ78" s="365"/>
      <c r="CA78" s="372"/>
      <c r="CC78" s="365"/>
      <c r="CD78" s="365"/>
      <c r="CE78" s="365"/>
      <c r="CF78" s="365"/>
      <c r="CG78" s="365"/>
      <c r="CH78" s="372"/>
      <c r="CJ78" s="365"/>
      <c r="CK78" s="365"/>
      <c r="CL78" s="365"/>
      <c r="CM78" s="365"/>
      <c r="CN78" s="365"/>
      <c r="CO78" s="372"/>
      <c r="CQ78" s="365"/>
      <c r="CR78" s="365"/>
      <c r="CS78" s="365"/>
      <c r="CT78" s="365"/>
      <c r="CU78" s="365"/>
      <c r="CV78" s="372"/>
      <c r="CX78" s="365"/>
      <c r="CY78" s="365"/>
      <c r="CZ78" s="365"/>
      <c r="DA78" s="365"/>
      <c r="DB78" s="365"/>
      <c r="DC78" s="372"/>
      <c r="DE78" s="365"/>
      <c r="DF78" s="365"/>
      <c r="DG78" s="365"/>
      <c r="DH78" s="365"/>
      <c r="DI78" s="365"/>
      <c r="DJ78" s="372"/>
      <c r="DL78" s="365"/>
      <c r="DM78" s="365"/>
      <c r="DN78" s="365"/>
      <c r="DO78" s="365"/>
      <c r="DP78" s="365"/>
      <c r="DQ78" s="372"/>
      <c r="DS78" s="365"/>
      <c r="DT78" s="365"/>
      <c r="DU78" s="365"/>
      <c r="DV78" s="365"/>
      <c r="DW78" s="365"/>
      <c r="DX78" s="372"/>
      <c r="DZ78" s="365"/>
      <c r="EA78" s="365"/>
      <c r="EB78" s="365"/>
      <c r="EC78" s="365"/>
      <c r="ED78" s="365"/>
      <c r="EE78" s="372"/>
      <c r="EG78" s="365"/>
      <c r="EH78" s="365"/>
      <c r="EI78" s="365"/>
      <c r="EJ78" s="365"/>
      <c r="EK78" s="365"/>
      <c r="EL78" s="372"/>
    </row>
    <row r="79" spans="1:142" x14ac:dyDescent="0.2">
      <c r="A79" t="s">
        <v>392</v>
      </c>
      <c r="C79" s="373">
        <f>SUM(C5:C77)</f>
        <v>319276.66666666669</v>
      </c>
      <c r="D79" s="366"/>
      <c r="E79" s="116"/>
      <c r="F79" s="366"/>
      <c r="G79" s="366"/>
      <c r="H79" s="366"/>
      <c r="I79" s="372"/>
      <c r="J79" s="373">
        <f>SUM(J5:J77)</f>
        <v>211416.66666666663</v>
      </c>
      <c r="K79" s="366"/>
      <c r="L79" s="366"/>
      <c r="M79" s="366"/>
      <c r="N79" s="366"/>
      <c r="O79" s="366"/>
      <c r="P79" s="372"/>
      <c r="Q79" s="373">
        <f>SUM(Q5:Q77)</f>
        <v>169475.00000000003</v>
      </c>
      <c r="R79" s="366"/>
      <c r="S79" s="366"/>
      <c r="T79" s="366"/>
      <c r="U79" s="366"/>
      <c r="V79" s="366"/>
      <c r="W79" s="372"/>
      <c r="X79" s="51">
        <f>SUM(X5:X77)</f>
        <v>353915.55555555556</v>
      </c>
      <c r="Y79" s="365"/>
      <c r="Z79" s="365"/>
      <c r="AA79" s="365"/>
      <c r="AB79" s="365"/>
      <c r="AC79" s="365"/>
      <c r="AD79" s="372"/>
      <c r="AE79" s="51">
        <f>SUM(AE5:AE77)</f>
        <v>767920</v>
      </c>
      <c r="AF79" s="365"/>
      <c r="AG79" s="365"/>
      <c r="AH79" s="365"/>
      <c r="AI79" s="365"/>
      <c r="AJ79" s="365"/>
      <c r="AK79" s="372"/>
      <c r="AL79" s="51">
        <f>SUM(AL5:AL77)</f>
        <v>545833.33333333337</v>
      </c>
      <c r="AM79" s="365"/>
      <c r="AN79" s="365"/>
      <c r="AO79" s="365"/>
      <c r="AP79" s="365"/>
      <c r="AQ79" s="365"/>
      <c r="AR79" s="372"/>
      <c r="AS79" s="51">
        <f>SUM(AS5:AS77)</f>
        <v>477403.33333333331</v>
      </c>
      <c r="AT79" s="365"/>
      <c r="AU79" s="365"/>
      <c r="AV79" s="365"/>
      <c r="AW79" s="365"/>
      <c r="AX79" s="365"/>
      <c r="AY79" s="372"/>
      <c r="AZ79" s="51">
        <f>SUM(AZ5:AZ77)</f>
        <v>520550</v>
      </c>
      <c r="BA79" s="365"/>
      <c r="BB79" s="365"/>
      <c r="BC79" s="365"/>
      <c r="BD79" s="365"/>
      <c r="BE79" s="365"/>
      <c r="BF79" s="372"/>
      <c r="BG79" s="51">
        <f>SUM(BG5:BG77)</f>
        <v>283857.77777777775</v>
      </c>
      <c r="BH79" s="365"/>
      <c r="BI79" s="365"/>
      <c r="BJ79" s="365"/>
      <c r="BK79" s="365"/>
      <c r="BL79" s="365"/>
      <c r="BM79" s="372"/>
      <c r="BN79" s="51">
        <f>SUM(BN5:BN77)</f>
        <v>310875</v>
      </c>
      <c r="BO79" s="365"/>
      <c r="BP79" s="365"/>
      <c r="BQ79" s="365"/>
      <c r="BR79" s="365"/>
      <c r="BS79" s="365"/>
      <c r="BT79" s="372"/>
      <c r="BU79" s="51">
        <f>SUM(BU5:BU77)</f>
        <v>65666.666666666672</v>
      </c>
      <c r="BV79" s="365"/>
      <c r="BW79" s="365"/>
      <c r="BX79" s="365"/>
      <c r="BY79" s="365"/>
      <c r="BZ79" s="365"/>
      <c r="CA79" s="372"/>
      <c r="CB79" s="51">
        <f>SUM(CB5:CB77)</f>
        <v>255370.55555555556</v>
      </c>
      <c r="CC79" s="365"/>
      <c r="CD79" s="365"/>
      <c r="CE79" s="365"/>
      <c r="CF79" s="365"/>
      <c r="CG79" s="365"/>
      <c r="CH79" s="372"/>
      <c r="CI79" s="51">
        <f>SUM(CI5:CI77)</f>
        <v>324165.00000000006</v>
      </c>
      <c r="CJ79" s="365"/>
      <c r="CK79" s="365"/>
      <c r="CL79" s="365"/>
      <c r="CM79" s="365"/>
      <c r="CN79" s="365"/>
      <c r="CO79" s="372"/>
      <c r="CP79" s="51">
        <f>SUM(CP5:CP77)</f>
        <v>237790</v>
      </c>
      <c r="CQ79" s="365"/>
      <c r="CR79" s="365"/>
      <c r="CS79" s="365"/>
      <c r="CT79" s="365"/>
      <c r="CU79" s="365"/>
      <c r="CV79" s="372"/>
      <c r="CW79" s="51">
        <f>SUM(CW5:CW77)</f>
        <v>353768.33333333326</v>
      </c>
      <c r="CX79" s="365"/>
      <c r="CY79" s="365"/>
      <c r="CZ79" s="365"/>
      <c r="DA79" s="365"/>
      <c r="DB79" s="365"/>
      <c r="DC79" s="372"/>
      <c r="DD79" s="51">
        <f>SUM(DD5:DD77)</f>
        <v>179716.66666666666</v>
      </c>
      <c r="DE79" s="365"/>
      <c r="DF79" s="365"/>
      <c r="DG79" s="365"/>
      <c r="DH79" s="365"/>
      <c r="DI79" s="365"/>
      <c r="DJ79" s="372"/>
      <c r="DK79" s="51">
        <f>SUM(DK5:DK77)</f>
        <v>11866.666666666668</v>
      </c>
      <c r="DL79" s="365"/>
      <c r="DM79" s="365"/>
      <c r="DN79" s="365"/>
      <c r="DO79" s="365"/>
      <c r="DP79" s="365"/>
      <c r="DQ79" s="372"/>
      <c r="DR79" s="51">
        <f>SUM(DR5:DR77)</f>
        <v>114616.66666666666</v>
      </c>
      <c r="DS79" s="365"/>
      <c r="DT79" s="365"/>
      <c r="DU79" s="365"/>
      <c r="DV79" s="365"/>
      <c r="DW79" s="365"/>
      <c r="DX79" s="372"/>
      <c r="DY79" s="51">
        <f>SUM(DY5:DY77)</f>
        <v>170000</v>
      </c>
      <c r="DZ79" s="365"/>
      <c r="EA79" s="365"/>
      <c r="EB79" s="365"/>
      <c r="EC79" s="365"/>
      <c r="ED79" s="365"/>
      <c r="EE79" s="372"/>
      <c r="EF79" s="51">
        <f>SUM(EF5:EF77)</f>
        <v>59600</v>
      </c>
      <c r="EG79" s="365"/>
      <c r="EH79" s="365"/>
      <c r="EI79" s="365"/>
      <c r="EJ79" s="365"/>
      <c r="EK79" s="365"/>
      <c r="EL79" s="372"/>
    </row>
    <row r="80" spans="1:142" x14ac:dyDescent="0.2">
      <c r="D80" s="366"/>
      <c r="E80" s="116"/>
      <c r="F80" s="366"/>
      <c r="G80" s="366"/>
      <c r="H80" s="366"/>
      <c r="I80" s="372"/>
      <c r="J80" s="375"/>
      <c r="K80" s="366"/>
      <c r="L80" s="366"/>
      <c r="M80" s="366"/>
      <c r="N80" s="366"/>
      <c r="O80" s="366"/>
      <c r="P80" s="372"/>
      <c r="Q80" s="375"/>
      <c r="R80" s="366"/>
      <c r="S80" s="366"/>
      <c r="T80" s="366"/>
      <c r="U80" s="366"/>
      <c r="V80" s="366"/>
      <c r="W80" s="372"/>
      <c r="Y80" s="365"/>
      <c r="Z80" s="365"/>
      <c r="AA80" s="365"/>
      <c r="AB80" s="365"/>
      <c r="AC80" s="365"/>
      <c r="AD80" s="372"/>
      <c r="AF80" s="365"/>
      <c r="AG80" s="365"/>
      <c r="AH80" s="365"/>
      <c r="AI80" s="365"/>
      <c r="AJ80" s="365"/>
      <c r="AK80" s="372"/>
      <c r="AM80" s="365"/>
      <c r="AN80" s="365"/>
      <c r="AO80" s="365"/>
      <c r="AP80" s="365"/>
      <c r="AQ80" s="365"/>
      <c r="AR80" s="372"/>
      <c r="AT80" s="365"/>
      <c r="AU80" s="365"/>
      <c r="AV80" s="365"/>
      <c r="AW80" s="365"/>
      <c r="AX80" s="365"/>
      <c r="AY80" s="372"/>
      <c r="BA80" s="365"/>
      <c r="BB80" s="365"/>
      <c r="BC80" s="365"/>
      <c r="BD80" s="365"/>
      <c r="BE80" s="365"/>
      <c r="BF80" s="372"/>
      <c r="BG80" s="24"/>
      <c r="BH80" s="365"/>
      <c r="BI80" s="365"/>
      <c r="BJ80" s="365"/>
      <c r="BK80" s="365"/>
      <c r="BL80" s="365"/>
      <c r="BM80" s="372"/>
      <c r="BO80" s="365"/>
      <c r="BP80" s="365"/>
      <c r="BQ80" s="365"/>
      <c r="BR80" s="365"/>
      <c r="BS80" s="365"/>
      <c r="BT80" s="372"/>
      <c r="BV80" s="365"/>
      <c r="BW80" s="365"/>
      <c r="BX80" s="365"/>
      <c r="BY80" s="365"/>
      <c r="BZ80" s="365"/>
      <c r="CA80" s="372"/>
      <c r="CC80" s="365"/>
      <c r="CD80" s="365"/>
      <c r="CE80" s="365"/>
      <c r="CF80" s="365"/>
      <c r="CG80" s="365"/>
      <c r="CH80" s="372"/>
      <c r="CJ80" s="365"/>
      <c r="CK80" s="365"/>
      <c r="CL80" s="365"/>
      <c r="CM80" s="365"/>
      <c r="CN80" s="365"/>
      <c r="CO80" s="372"/>
      <c r="CQ80" s="365"/>
      <c r="CR80" s="365"/>
      <c r="CS80" s="365"/>
      <c r="CT80" s="365"/>
      <c r="CU80" s="365"/>
      <c r="CV80" s="372"/>
      <c r="CX80" s="365"/>
      <c r="CY80" s="365"/>
      <c r="CZ80" s="365"/>
      <c r="DA80" s="365"/>
      <c r="DB80" s="365"/>
      <c r="DC80" s="372"/>
      <c r="DE80" s="365"/>
      <c r="DF80" s="365"/>
      <c r="DG80" s="365"/>
      <c r="DH80" s="365"/>
      <c r="DI80" s="365"/>
      <c r="DJ80" s="372"/>
      <c r="DL80" s="365"/>
      <c r="DM80" s="365"/>
      <c r="DN80" s="365"/>
      <c r="DO80" s="365"/>
      <c r="DP80" s="365"/>
      <c r="DQ80" s="372"/>
      <c r="DS80" s="365"/>
      <c r="DT80" s="365"/>
      <c r="DU80" s="365"/>
      <c r="DV80" s="365"/>
      <c r="DW80" s="365"/>
      <c r="DX80" s="372"/>
      <c r="DZ80" s="365"/>
      <c r="EA80" s="365"/>
      <c r="EB80" s="365"/>
      <c r="EC80" s="365"/>
      <c r="ED80" s="365"/>
      <c r="EE80" s="372"/>
      <c r="EG80" s="365"/>
      <c r="EH80" s="365"/>
      <c r="EI80" s="365"/>
      <c r="EJ80" s="365"/>
      <c r="EK80" s="365"/>
      <c r="EL80" s="372"/>
    </row>
    <row r="81" spans="4:142" x14ac:dyDescent="0.2">
      <c r="D81" s="366"/>
      <c r="E81" s="366"/>
      <c r="F81" s="366"/>
      <c r="G81" s="366"/>
      <c r="H81" s="366"/>
      <c r="I81" s="372"/>
      <c r="J81" s="375"/>
      <c r="K81" s="366"/>
      <c r="L81" s="366"/>
      <c r="M81" s="366"/>
      <c r="N81" s="366"/>
      <c r="O81" s="366"/>
      <c r="P81" s="372"/>
      <c r="Q81" s="375"/>
      <c r="R81" s="366"/>
      <c r="S81" s="366"/>
      <c r="T81" s="366"/>
      <c r="U81" s="366"/>
      <c r="V81" s="366"/>
      <c r="W81" s="372"/>
      <c r="Y81" s="365"/>
      <c r="Z81" s="365"/>
      <c r="AA81" s="365"/>
      <c r="AB81" s="365"/>
      <c r="AC81" s="365"/>
      <c r="AD81" s="372"/>
      <c r="AF81" s="365"/>
      <c r="AG81" s="365"/>
      <c r="AH81" s="365"/>
      <c r="AI81" s="365"/>
      <c r="AJ81" s="365"/>
      <c r="AK81" s="372"/>
      <c r="AM81" s="365"/>
      <c r="AN81" s="365"/>
      <c r="AO81" s="365"/>
      <c r="AP81" s="365"/>
      <c r="AQ81" s="365"/>
      <c r="AR81" s="372"/>
      <c r="AT81" s="365"/>
      <c r="AU81" s="365"/>
      <c r="AV81" s="365"/>
      <c r="AW81" s="365"/>
      <c r="AX81" s="365"/>
      <c r="AY81" s="372"/>
      <c r="BA81" s="365"/>
      <c r="BB81" s="365"/>
      <c r="BC81" s="365"/>
      <c r="BD81" s="365"/>
      <c r="BE81" s="365"/>
      <c r="BF81" s="372"/>
      <c r="BG81" s="24"/>
      <c r="BH81" s="365"/>
      <c r="BI81" s="365"/>
      <c r="BJ81" s="365"/>
      <c r="BK81" s="365"/>
      <c r="BL81" s="365"/>
      <c r="BM81" s="372"/>
      <c r="BO81" s="365"/>
      <c r="BP81" s="365"/>
      <c r="BQ81" s="365"/>
      <c r="BR81" s="365"/>
      <c r="BS81" s="365"/>
      <c r="BT81" s="372"/>
      <c r="BV81" s="365"/>
      <c r="BW81" s="365"/>
      <c r="BX81" s="365"/>
      <c r="BY81" s="365"/>
      <c r="BZ81" s="365"/>
      <c r="CA81" s="372"/>
      <c r="CC81" s="365"/>
      <c r="CD81" s="365"/>
      <c r="CE81" s="365"/>
      <c r="CF81" s="365"/>
      <c r="CG81" s="365"/>
      <c r="CH81" s="372"/>
      <c r="CJ81" s="365"/>
      <c r="CK81" s="365"/>
      <c r="CL81" s="365"/>
      <c r="CM81" s="365"/>
      <c r="CN81" s="365"/>
      <c r="CO81" s="372"/>
      <c r="CQ81" s="365"/>
      <c r="CR81" s="365"/>
      <c r="CS81" s="365"/>
      <c r="CT81" s="365"/>
      <c r="CU81" s="365"/>
      <c r="CV81" s="372"/>
      <c r="CX81" s="365"/>
      <c r="CY81" s="365"/>
      <c r="CZ81" s="365"/>
      <c r="DA81" s="365"/>
      <c r="DB81" s="365"/>
      <c r="DC81" s="372"/>
      <c r="DE81" s="365"/>
      <c r="DF81" s="365"/>
      <c r="DG81" s="365"/>
      <c r="DH81" s="365"/>
      <c r="DI81" s="365"/>
      <c r="DJ81" s="372"/>
      <c r="DL81" s="365"/>
      <c r="DM81" s="365"/>
      <c r="DN81" s="365"/>
      <c r="DO81" s="365"/>
      <c r="DP81" s="365"/>
      <c r="DQ81" s="372"/>
      <c r="DS81" s="365"/>
      <c r="DT81" s="365"/>
      <c r="DU81" s="365"/>
      <c r="DV81" s="365"/>
      <c r="DW81" s="365"/>
      <c r="DX81" s="372"/>
      <c r="DZ81" s="365"/>
      <c r="EA81" s="365"/>
      <c r="EB81" s="365"/>
      <c r="EC81" s="365"/>
      <c r="ED81" s="365"/>
      <c r="EE81" s="372"/>
      <c r="EG81" s="365"/>
      <c r="EH81" s="365"/>
      <c r="EI81" s="365"/>
      <c r="EJ81" s="365"/>
      <c r="EK81" s="365"/>
      <c r="EL81" s="37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343"/>
  <sheetViews>
    <sheetView showRuler="0" topLeftCell="A345" zoomScale="90" zoomScaleNormal="90" zoomScalePageLayoutView="90" workbookViewId="0">
      <selection activeCell="T315" sqref="T315"/>
    </sheetView>
  </sheetViews>
  <sheetFormatPr baseColWidth="10" defaultRowHeight="16" x14ac:dyDescent="0.2"/>
  <cols>
    <col min="1" max="1" width="10.83203125" customWidth="1"/>
    <col min="2" max="2" width="13.83203125" customWidth="1"/>
    <col min="3" max="6" width="10.83203125" customWidth="1"/>
    <col min="8" max="8" width="19" customWidth="1"/>
  </cols>
  <sheetData>
    <row r="1" spans="2:11" x14ac:dyDescent="0.2">
      <c r="B1" s="52" t="s">
        <v>393</v>
      </c>
      <c r="C1" s="52" t="s">
        <v>469</v>
      </c>
      <c r="D1" s="52" t="s">
        <v>395</v>
      </c>
      <c r="E1" s="52" t="s">
        <v>401</v>
      </c>
      <c r="F1" s="52" t="s">
        <v>465</v>
      </c>
      <c r="G1" s="52" t="s">
        <v>466</v>
      </c>
      <c r="H1" s="52" t="s">
        <v>467</v>
      </c>
      <c r="I1" s="52"/>
      <c r="J1" s="52" t="s">
        <v>436</v>
      </c>
      <c r="K1" s="52" t="s">
        <v>403</v>
      </c>
    </row>
    <row r="2" spans="2:11" s="380" customFormat="1" x14ac:dyDescent="0.2">
      <c r="B2" s="380" t="s">
        <v>458</v>
      </c>
      <c r="C2" s="380">
        <f>COUNTA(G20:Z29,G287:Z293)</f>
        <v>330</v>
      </c>
      <c r="D2" s="386">
        <f>AVERAGE(G20:Z29,G287:Z293)</f>
        <v>6.9606060606060636</v>
      </c>
      <c r="E2" s="388">
        <f>STDEV(G20:Z29,G287:Z293)</f>
        <v>2.3239927901602697</v>
      </c>
      <c r="F2" s="380">
        <v>1311</v>
      </c>
      <c r="G2" s="387">
        <f>C2/F2</f>
        <v>0.25171624713958812</v>
      </c>
      <c r="H2" s="388">
        <f>0.25*F2</f>
        <v>327.75</v>
      </c>
      <c r="I2" s="389"/>
      <c r="K2" s="391" t="s">
        <v>404</v>
      </c>
    </row>
    <row r="3" spans="2:11" s="380" customFormat="1" x14ac:dyDescent="0.2">
      <c r="B3" s="380" t="s">
        <v>461</v>
      </c>
      <c r="C3" s="380">
        <f>COUNTA(G294:Z307)</f>
        <v>280</v>
      </c>
      <c r="D3" s="386">
        <f>AVERAGE(G294:Z307)</f>
        <v>6.5542857142857196</v>
      </c>
      <c r="E3" s="388">
        <f>STDEV(G294:Z307)</f>
        <v>2.8994643289368516</v>
      </c>
      <c r="F3" s="380">
        <v>1091</v>
      </c>
      <c r="G3" s="387">
        <f t="shared" ref="G3:G17" si="0">C3/F3</f>
        <v>0.25664527956003669</v>
      </c>
      <c r="H3" s="388">
        <f>0.25*F3</f>
        <v>272.75</v>
      </c>
      <c r="I3" s="389"/>
    </row>
    <row r="4" spans="2:11" x14ac:dyDescent="0.2">
      <c r="B4" t="s">
        <v>402</v>
      </c>
      <c r="C4">
        <f>COUNTA(G31:Z59)</f>
        <v>461</v>
      </c>
      <c r="D4" s="382">
        <f>AVERAGE(G31:Z59)</f>
        <v>6.6475869565217396</v>
      </c>
      <c r="E4" s="365">
        <f>STDEV(G31:Z59)</f>
        <v>1.7942989003007168</v>
      </c>
      <c r="F4">
        <v>501</v>
      </c>
      <c r="G4" s="384">
        <f t="shared" si="0"/>
        <v>0.92015968063872255</v>
      </c>
      <c r="H4" s="365">
        <f t="shared" ref="H4:H17" si="1">0.25*F4</f>
        <v>125.25</v>
      </c>
      <c r="I4" s="376"/>
    </row>
    <row r="5" spans="2:11" x14ac:dyDescent="0.2">
      <c r="B5" t="s">
        <v>405</v>
      </c>
      <c r="C5">
        <f>COUNTA(G62:Z90)</f>
        <v>460</v>
      </c>
      <c r="D5" s="382">
        <f>AVERAGE(G62:Z90)</f>
        <v>5.89886710239651</v>
      </c>
      <c r="E5" s="365">
        <f>STDEV(G62:Z90)</f>
        <v>1.7462427606844853</v>
      </c>
      <c r="F5">
        <v>834</v>
      </c>
      <c r="G5" s="383">
        <f t="shared" si="0"/>
        <v>0.55155875299760193</v>
      </c>
      <c r="H5" s="365">
        <f t="shared" si="1"/>
        <v>208.5</v>
      </c>
      <c r="I5" s="376"/>
    </row>
    <row r="6" spans="2:11" s="380" customFormat="1" x14ac:dyDescent="0.2">
      <c r="B6" s="380" t="s">
        <v>462</v>
      </c>
      <c r="C6" s="380">
        <f>COUNTA(G281:Z285)</f>
        <v>100</v>
      </c>
      <c r="D6" s="386">
        <f>AVERAGE(G281:Z285)</f>
        <v>10.712000000000005</v>
      </c>
      <c r="E6" s="388">
        <f>STDEV(G281:Z285)</f>
        <v>3.6714764596738592</v>
      </c>
      <c r="F6" s="380">
        <v>259</v>
      </c>
      <c r="G6" s="387">
        <f t="shared" si="0"/>
        <v>0.38610038610038611</v>
      </c>
      <c r="H6" s="388">
        <f t="shared" si="1"/>
        <v>64.75</v>
      </c>
      <c r="I6" s="389"/>
    </row>
    <row r="7" spans="2:11" s="380" customFormat="1" x14ac:dyDescent="0.2">
      <c r="B7" s="380" t="s">
        <v>463</v>
      </c>
      <c r="C7" s="380">
        <f>COUNTA(G275:Z280)</f>
        <v>103</v>
      </c>
      <c r="D7" s="386">
        <f>AVERAGE(G275:Z280)</f>
        <v>13.299902912621357</v>
      </c>
      <c r="E7" s="388">
        <f>STDEV(G275:Z280)</f>
        <v>4.518564212169756</v>
      </c>
      <c r="F7" s="380">
        <v>122</v>
      </c>
      <c r="G7" s="387">
        <f t="shared" si="0"/>
        <v>0.84426229508196726</v>
      </c>
      <c r="H7" s="388">
        <f t="shared" si="1"/>
        <v>30.5</v>
      </c>
      <c r="I7" s="389"/>
    </row>
    <row r="8" spans="2:11" x14ac:dyDescent="0.2">
      <c r="B8" t="s">
        <v>464</v>
      </c>
      <c r="C8">
        <f>COUNTA(G92:S115)</f>
        <v>312</v>
      </c>
      <c r="D8" s="382">
        <f>AVERAGE(G92:S115)</f>
        <v>10.956089743589736</v>
      </c>
      <c r="E8" s="365">
        <f>STDEV(G92:S115)</f>
        <v>3.7231112000580202</v>
      </c>
      <c r="F8">
        <v>372</v>
      </c>
      <c r="G8" s="383">
        <f t="shared" si="0"/>
        <v>0.83870967741935487</v>
      </c>
      <c r="H8" s="365">
        <f t="shared" si="1"/>
        <v>93</v>
      </c>
      <c r="I8" s="376"/>
    </row>
    <row r="9" spans="2:11" x14ac:dyDescent="0.2">
      <c r="B9" t="s">
        <v>448</v>
      </c>
      <c r="C9">
        <f>COUNTA(G117:S140)</f>
        <v>312</v>
      </c>
      <c r="D9" s="382">
        <f>AVERAGE(G117:S140)</f>
        <v>7.6397435897435884</v>
      </c>
      <c r="E9" s="365">
        <f>STDEV(G117:S140)</f>
        <v>4.0368108371195159</v>
      </c>
      <c r="F9">
        <v>341</v>
      </c>
      <c r="G9" s="383">
        <f t="shared" si="0"/>
        <v>0.91495601173020524</v>
      </c>
      <c r="H9" s="365">
        <f t="shared" si="1"/>
        <v>85.25</v>
      </c>
      <c r="I9" s="376"/>
    </row>
    <row r="10" spans="2:11" x14ac:dyDescent="0.2">
      <c r="B10" t="s">
        <v>457</v>
      </c>
      <c r="C10">
        <f>COUNTA(G141:Z150)</f>
        <v>200</v>
      </c>
      <c r="D10" s="382">
        <f>AVERAGE(G141:Z150)</f>
        <v>9.7396499999999993</v>
      </c>
      <c r="E10" s="365">
        <f>STDEV(G141:Z150)</f>
        <v>3.0462258348132067</v>
      </c>
      <c r="F10">
        <v>661</v>
      </c>
      <c r="G10" s="383">
        <f t="shared" si="0"/>
        <v>0.30257186081694404</v>
      </c>
      <c r="H10" s="365">
        <f t="shared" si="1"/>
        <v>165.25</v>
      </c>
      <c r="I10" s="376"/>
    </row>
    <row r="11" spans="2:11" x14ac:dyDescent="0.2">
      <c r="B11" t="s">
        <v>454</v>
      </c>
      <c r="C11">
        <f>COUNTA(G151:Z154)</f>
        <v>74</v>
      </c>
      <c r="D11" s="382">
        <f>AVERAGE(G151:Z154)</f>
        <v>12.310270270270275</v>
      </c>
      <c r="E11" s="365">
        <f>STDEV(G151:Z154)</f>
        <v>5.3883491697613977</v>
      </c>
      <c r="F11">
        <v>77</v>
      </c>
      <c r="G11" s="383">
        <f t="shared" si="0"/>
        <v>0.96103896103896103</v>
      </c>
      <c r="H11" s="365">
        <f t="shared" si="1"/>
        <v>19.25</v>
      </c>
      <c r="I11" s="376"/>
    </row>
    <row r="12" spans="2:11" s="380" customFormat="1" x14ac:dyDescent="0.2">
      <c r="B12" s="380" t="s">
        <v>394</v>
      </c>
      <c r="C12" s="380">
        <f>COUNTA(G156:U179,G286:Z286)</f>
        <v>380</v>
      </c>
      <c r="D12" s="386">
        <f>AVERAGE(G156:U179,G286:Z286)</f>
        <v>9.0154473684210554</v>
      </c>
      <c r="E12" s="388">
        <f>STDEV(G156:U179,G286:Z286)</f>
        <v>2.7293909088605064</v>
      </c>
      <c r="F12" s="380">
        <v>1508</v>
      </c>
      <c r="G12" s="387">
        <f>C12/F12</f>
        <v>0.25198938992042441</v>
      </c>
      <c r="H12" s="388">
        <f t="shared" si="1"/>
        <v>377</v>
      </c>
      <c r="I12" s="389"/>
    </row>
    <row r="13" spans="2:11" x14ac:dyDescent="0.2">
      <c r="B13" t="s">
        <v>397</v>
      </c>
      <c r="C13">
        <f>COUNTA(G181:W204)</f>
        <v>363</v>
      </c>
      <c r="D13" s="382">
        <f>AVERAGE(G181:W204)</f>
        <v>8.4038016528925539</v>
      </c>
      <c r="E13" s="365">
        <f>STDEV(G181:W204)</f>
        <v>3.5228136331988318</v>
      </c>
      <c r="F13">
        <v>684</v>
      </c>
      <c r="G13" s="383">
        <f t="shared" si="0"/>
        <v>0.5307017543859649</v>
      </c>
      <c r="H13" s="365">
        <f t="shared" si="1"/>
        <v>171</v>
      </c>
      <c r="I13" s="376"/>
    </row>
    <row r="14" spans="2:11" x14ac:dyDescent="0.2">
      <c r="B14" t="s">
        <v>455</v>
      </c>
      <c r="C14">
        <f>COUNTA(G205:Z207)</f>
        <v>47</v>
      </c>
      <c r="D14" s="382">
        <f>AVERAGE(G205:Z207)</f>
        <v>11.01595744680851</v>
      </c>
      <c r="E14" s="365">
        <f>STDEV(G205:Z207)</f>
        <v>3.7849126459246389</v>
      </c>
      <c r="F14" s="52">
        <v>54</v>
      </c>
      <c r="G14" s="385">
        <f t="shared" si="0"/>
        <v>0.87037037037037035</v>
      </c>
      <c r="H14" s="365">
        <f t="shared" si="1"/>
        <v>13.5</v>
      </c>
      <c r="I14" s="376"/>
    </row>
    <row r="15" spans="2:11" x14ac:dyDescent="0.2">
      <c r="B15" t="s">
        <v>456</v>
      </c>
      <c r="C15">
        <f>COUNTA(G208:Z209)</f>
        <v>27</v>
      </c>
      <c r="D15" s="382">
        <f>AVERAGE(G208:Z209)</f>
        <v>12.218148148148149</v>
      </c>
      <c r="E15" s="365">
        <f>STDEV(G208:Z209)</f>
        <v>4.205674771650826</v>
      </c>
      <c r="F15" s="52">
        <v>35</v>
      </c>
      <c r="G15" s="385">
        <f t="shared" si="0"/>
        <v>0.77142857142857146</v>
      </c>
      <c r="H15" s="365">
        <f t="shared" si="1"/>
        <v>8.75</v>
      </c>
      <c r="I15" s="376"/>
    </row>
    <row r="16" spans="2:11" x14ac:dyDescent="0.2">
      <c r="B16" t="s">
        <v>437</v>
      </c>
      <c r="C16">
        <f>COUNTA(G211:K234)</f>
        <v>120</v>
      </c>
      <c r="D16" s="382">
        <f>AVERAGE(G211:K234)</f>
        <v>11.187749999999994</v>
      </c>
      <c r="E16" s="365">
        <f>STDEV(G211:K234)</f>
        <v>3.4789145082140638</v>
      </c>
      <c r="F16" s="52">
        <v>128</v>
      </c>
      <c r="G16" s="385">
        <f t="shared" si="0"/>
        <v>0.9375</v>
      </c>
      <c r="H16" s="365">
        <f t="shared" si="1"/>
        <v>32</v>
      </c>
      <c r="I16" s="376"/>
    </row>
    <row r="17" spans="1:36" x14ac:dyDescent="0.2">
      <c r="B17" t="s">
        <v>439</v>
      </c>
      <c r="C17">
        <f>COUNTA(G236:K273)</f>
        <v>190</v>
      </c>
      <c r="D17" s="382">
        <f>AVERAGE(G236:K273)</f>
        <v>11.018578947368422</v>
      </c>
      <c r="E17" s="365">
        <f>STDEV(G236:K273)</f>
        <v>3.4102738616120902</v>
      </c>
      <c r="F17" s="52">
        <v>211</v>
      </c>
      <c r="G17" s="385">
        <f t="shared" si="0"/>
        <v>0.90047393364928907</v>
      </c>
      <c r="H17" s="365">
        <f t="shared" si="1"/>
        <v>52.75</v>
      </c>
      <c r="I17" s="376"/>
    </row>
    <row r="19" spans="1:36" x14ac:dyDescent="0.2">
      <c r="A19" s="52" t="s">
        <v>435</v>
      </c>
      <c r="B19" s="52" t="s">
        <v>393</v>
      </c>
      <c r="C19" s="52" t="s">
        <v>441</v>
      </c>
      <c r="D19" s="52" t="s">
        <v>442</v>
      </c>
      <c r="E19" s="52" t="s">
        <v>434</v>
      </c>
      <c r="F19" s="52" t="s">
        <v>406</v>
      </c>
      <c r="G19" s="52" t="s">
        <v>407</v>
      </c>
      <c r="H19" s="52" t="s">
        <v>408</v>
      </c>
      <c r="I19" t="s">
        <v>409</v>
      </c>
      <c r="J19" t="s">
        <v>410</v>
      </c>
      <c r="K19" s="52" t="s">
        <v>411</v>
      </c>
      <c r="L19" s="52" t="s">
        <v>412</v>
      </c>
      <c r="M19" s="52" t="s">
        <v>413</v>
      </c>
      <c r="N19" s="52" t="s">
        <v>414</v>
      </c>
      <c r="O19" s="52" t="s">
        <v>415</v>
      </c>
      <c r="P19" s="52" t="s">
        <v>416</v>
      </c>
      <c r="Q19" s="52" t="s">
        <v>417</v>
      </c>
      <c r="R19" s="52" t="s">
        <v>419</v>
      </c>
      <c r="S19" s="52" t="s">
        <v>418</v>
      </c>
      <c r="T19" s="52" t="s">
        <v>420</v>
      </c>
      <c r="U19" s="52" t="s">
        <v>421</v>
      </c>
      <c r="V19" s="52" t="s">
        <v>422</v>
      </c>
      <c r="W19" s="52" t="s">
        <v>423</v>
      </c>
      <c r="X19" s="52" t="s">
        <v>424</v>
      </c>
      <c r="Y19" s="52" t="s">
        <v>425</v>
      </c>
      <c r="Z19" s="52" t="s">
        <v>426</v>
      </c>
      <c r="AA19" s="52" t="s">
        <v>427</v>
      </c>
      <c r="AB19" s="52" t="s">
        <v>428</v>
      </c>
      <c r="AC19" s="52" t="s">
        <v>429</v>
      </c>
      <c r="AD19" s="52" t="s">
        <v>430</v>
      </c>
      <c r="AE19" s="52" t="s">
        <v>431</v>
      </c>
      <c r="AF19" s="52" t="s">
        <v>432</v>
      </c>
      <c r="AG19" s="52" t="s">
        <v>433</v>
      </c>
    </row>
    <row r="20" spans="1:36" x14ac:dyDescent="0.2">
      <c r="A20" t="s">
        <v>453</v>
      </c>
      <c r="B20" t="s">
        <v>458</v>
      </c>
      <c r="C20" t="s">
        <v>444</v>
      </c>
      <c r="D20" t="s">
        <v>460</v>
      </c>
      <c r="E20" t="s">
        <v>453</v>
      </c>
      <c r="F20" t="s">
        <v>453</v>
      </c>
      <c r="G20">
        <v>9.67</v>
      </c>
      <c r="H20">
        <v>7.25</v>
      </c>
      <c r="I20">
        <v>7.27</v>
      </c>
      <c r="J20">
        <v>7.63</v>
      </c>
      <c r="K20">
        <v>12.46</v>
      </c>
      <c r="L20">
        <v>6.52</v>
      </c>
      <c r="M20">
        <v>9.6</v>
      </c>
      <c r="N20">
        <v>5.75</v>
      </c>
      <c r="O20">
        <v>10.81</v>
      </c>
      <c r="P20">
        <v>8.76</v>
      </c>
      <c r="Q20">
        <v>8.49</v>
      </c>
      <c r="R20">
        <v>6.36</v>
      </c>
      <c r="S20">
        <v>7.29</v>
      </c>
      <c r="T20">
        <v>8.89</v>
      </c>
      <c r="U20">
        <v>8.82</v>
      </c>
      <c r="V20">
        <v>10.86</v>
      </c>
      <c r="W20">
        <v>7.56</v>
      </c>
      <c r="X20">
        <v>9.1999999999999993</v>
      </c>
      <c r="Y20">
        <v>4.92</v>
      </c>
      <c r="Z20">
        <v>4.07</v>
      </c>
    </row>
    <row r="21" spans="1:36" x14ac:dyDescent="0.2">
      <c r="A21" t="s">
        <v>453</v>
      </c>
      <c r="B21" t="s">
        <v>458</v>
      </c>
      <c r="C21" t="s">
        <v>444</v>
      </c>
      <c r="D21" t="s">
        <v>460</v>
      </c>
      <c r="E21" t="s">
        <v>453</v>
      </c>
      <c r="F21" t="s">
        <v>453</v>
      </c>
      <c r="G21">
        <v>5.8</v>
      </c>
      <c r="H21">
        <v>4.92</v>
      </c>
      <c r="I21">
        <v>8.57</v>
      </c>
      <c r="J21">
        <v>8.98</v>
      </c>
      <c r="K21">
        <v>7.21</v>
      </c>
      <c r="L21">
        <v>9.92</v>
      </c>
      <c r="M21">
        <v>7.68</v>
      </c>
      <c r="N21">
        <v>4.24</v>
      </c>
      <c r="O21">
        <v>10.09</v>
      </c>
      <c r="P21">
        <v>7.67</v>
      </c>
      <c r="Q21">
        <v>5.23</v>
      </c>
      <c r="R21">
        <v>8.92</v>
      </c>
      <c r="S21">
        <v>6.63</v>
      </c>
      <c r="T21">
        <v>7.07</v>
      </c>
      <c r="U21">
        <v>6.94</v>
      </c>
      <c r="V21">
        <v>7.05</v>
      </c>
      <c r="W21">
        <v>8.5399999999999991</v>
      </c>
      <c r="X21">
        <v>8.24</v>
      </c>
      <c r="Y21">
        <v>10.55</v>
      </c>
      <c r="Z21">
        <v>3.27</v>
      </c>
    </row>
    <row r="22" spans="1:36" x14ac:dyDescent="0.2">
      <c r="A22" t="s">
        <v>453</v>
      </c>
      <c r="B22" t="s">
        <v>458</v>
      </c>
      <c r="C22" t="s">
        <v>444</v>
      </c>
      <c r="D22" t="s">
        <v>460</v>
      </c>
      <c r="E22" t="s">
        <v>453</v>
      </c>
      <c r="F22" t="s">
        <v>453</v>
      </c>
      <c r="G22">
        <v>7.9</v>
      </c>
      <c r="H22">
        <v>9.16</v>
      </c>
      <c r="I22">
        <v>6.63</v>
      </c>
      <c r="J22">
        <v>6.76</v>
      </c>
      <c r="K22">
        <v>4.5199999999999996</v>
      </c>
      <c r="L22">
        <v>5.4</v>
      </c>
      <c r="M22">
        <v>10.050000000000001</v>
      </c>
      <c r="N22">
        <v>9.59</v>
      </c>
      <c r="O22">
        <v>5.57</v>
      </c>
      <c r="P22">
        <v>6.69</v>
      </c>
      <c r="Q22">
        <v>7.06</v>
      </c>
      <c r="R22">
        <v>9.99</v>
      </c>
      <c r="S22">
        <v>7.93</v>
      </c>
      <c r="T22">
        <v>7.26</v>
      </c>
      <c r="U22">
        <v>7.87</v>
      </c>
      <c r="V22">
        <v>5.7</v>
      </c>
      <c r="W22">
        <v>7.59</v>
      </c>
      <c r="X22">
        <v>6.65</v>
      </c>
      <c r="Y22">
        <v>9.1999999999999993</v>
      </c>
      <c r="Z22">
        <v>7.76</v>
      </c>
    </row>
    <row r="23" spans="1:36" x14ac:dyDescent="0.2">
      <c r="A23" t="s">
        <v>453</v>
      </c>
      <c r="B23" t="s">
        <v>458</v>
      </c>
      <c r="C23" t="s">
        <v>444</v>
      </c>
      <c r="D23" t="s">
        <v>460</v>
      </c>
      <c r="E23" t="s">
        <v>453</v>
      </c>
      <c r="F23" t="s">
        <v>453</v>
      </c>
      <c r="G23">
        <v>5.85</v>
      </c>
      <c r="H23">
        <v>7.93</v>
      </c>
      <c r="I23">
        <v>5.21</v>
      </c>
      <c r="J23">
        <v>8.15</v>
      </c>
      <c r="K23">
        <v>7.49</v>
      </c>
      <c r="L23">
        <v>6.11</v>
      </c>
      <c r="M23">
        <v>10.58</v>
      </c>
      <c r="N23">
        <v>6.76</v>
      </c>
      <c r="O23">
        <v>8.56</v>
      </c>
      <c r="P23">
        <v>10.52</v>
      </c>
      <c r="Q23">
        <v>8.8800000000000008</v>
      </c>
      <c r="R23">
        <v>7.34</v>
      </c>
      <c r="S23">
        <v>6.85</v>
      </c>
      <c r="T23">
        <v>5.14</v>
      </c>
      <c r="U23">
        <v>4.99</v>
      </c>
      <c r="V23">
        <v>6.01</v>
      </c>
      <c r="W23">
        <v>4.6399999999999997</v>
      </c>
      <c r="X23">
        <v>4.5599999999999996</v>
      </c>
      <c r="Y23">
        <v>8.07</v>
      </c>
      <c r="Z23">
        <v>2.58</v>
      </c>
    </row>
    <row r="24" spans="1:36" x14ac:dyDescent="0.2">
      <c r="A24" t="s">
        <v>453</v>
      </c>
      <c r="B24" t="s">
        <v>458</v>
      </c>
      <c r="C24" t="s">
        <v>444</v>
      </c>
      <c r="D24" t="s">
        <v>460</v>
      </c>
      <c r="E24" t="s">
        <v>453</v>
      </c>
      <c r="F24" t="s">
        <v>453</v>
      </c>
      <c r="G24">
        <v>5.07</v>
      </c>
      <c r="H24">
        <v>4.84</v>
      </c>
      <c r="I24">
        <v>2.5</v>
      </c>
      <c r="J24">
        <v>8.02</v>
      </c>
      <c r="K24">
        <v>5.73</v>
      </c>
      <c r="L24">
        <v>3.46</v>
      </c>
      <c r="M24">
        <v>8.48</v>
      </c>
      <c r="N24">
        <v>9.07</v>
      </c>
      <c r="O24">
        <v>7.68</v>
      </c>
      <c r="P24">
        <v>5.67</v>
      </c>
      <c r="Q24">
        <v>6.23</v>
      </c>
      <c r="R24">
        <v>3.77</v>
      </c>
      <c r="S24">
        <v>5.75</v>
      </c>
      <c r="T24">
        <v>4.05</v>
      </c>
      <c r="U24">
        <v>6.88</v>
      </c>
      <c r="V24">
        <v>16.37</v>
      </c>
      <c r="W24">
        <v>15.09</v>
      </c>
      <c r="X24">
        <v>8.27</v>
      </c>
      <c r="Y24">
        <v>9.8000000000000007</v>
      </c>
      <c r="Z24">
        <v>5.53</v>
      </c>
    </row>
    <row r="25" spans="1:36" x14ac:dyDescent="0.2">
      <c r="A25" t="s">
        <v>453</v>
      </c>
      <c r="B25" t="s">
        <v>458</v>
      </c>
      <c r="C25" t="s">
        <v>444</v>
      </c>
      <c r="D25" t="s">
        <v>460</v>
      </c>
      <c r="E25" t="s">
        <v>453</v>
      </c>
      <c r="F25" t="s">
        <v>453</v>
      </c>
      <c r="G25">
        <v>6.38</v>
      </c>
      <c r="H25">
        <v>4.33</v>
      </c>
      <c r="I25">
        <v>6.94</v>
      </c>
      <c r="J25">
        <v>5.86</v>
      </c>
      <c r="K25">
        <v>3.35</v>
      </c>
      <c r="L25">
        <v>9.7899999999999991</v>
      </c>
      <c r="M25">
        <v>7.63</v>
      </c>
      <c r="N25">
        <v>7.37</v>
      </c>
      <c r="O25">
        <v>8.81</v>
      </c>
      <c r="P25">
        <v>5.65</v>
      </c>
      <c r="Q25">
        <v>9.25</v>
      </c>
      <c r="R25">
        <v>6.83</v>
      </c>
      <c r="S25">
        <v>7.94</v>
      </c>
      <c r="T25">
        <v>5.55</v>
      </c>
      <c r="U25">
        <v>12.84</v>
      </c>
      <c r="V25">
        <v>3.52</v>
      </c>
      <c r="W25">
        <v>10.38</v>
      </c>
      <c r="X25">
        <v>10.06</v>
      </c>
      <c r="Y25">
        <v>3.87</v>
      </c>
      <c r="Z25">
        <v>11.33</v>
      </c>
    </row>
    <row r="26" spans="1:36" x14ac:dyDescent="0.2">
      <c r="A26" t="s">
        <v>453</v>
      </c>
      <c r="B26" t="s">
        <v>458</v>
      </c>
      <c r="C26" t="s">
        <v>444</v>
      </c>
      <c r="D26" t="s">
        <v>460</v>
      </c>
      <c r="E26" t="s">
        <v>453</v>
      </c>
      <c r="F26" t="s">
        <v>453</v>
      </c>
      <c r="G26">
        <v>5.47</v>
      </c>
      <c r="H26">
        <v>11.92</v>
      </c>
      <c r="I26">
        <v>5.88</v>
      </c>
      <c r="J26">
        <v>8.15</v>
      </c>
      <c r="K26">
        <v>8.3000000000000007</v>
      </c>
      <c r="L26">
        <v>5.59</v>
      </c>
      <c r="M26">
        <v>9.42</v>
      </c>
      <c r="N26">
        <v>9.24</v>
      </c>
      <c r="O26">
        <v>6.52</v>
      </c>
      <c r="P26">
        <v>8.02</v>
      </c>
      <c r="Q26">
        <v>6.57</v>
      </c>
      <c r="R26">
        <v>4.5</v>
      </c>
      <c r="S26">
        <v>6.87</v>
      </c>
      <c r="T26">
        <v>6.7</v>
      </c>
      <c r="U26">
        <v>6.36</v>
      </c>
      <c r="V26">
        <v>6.09</v>
      </c>
      <c r="W26">
        <v>6.47</v>
      </c>
      <c r="X26">
        <v>12.26</v>
      </c>
      <c r="Y26">
        <v>8.66</v>
      </c>
      <c r="Z26">
        <v>5.62</v>
      </c>
    </row>
    <row r="27" spans="1:36" x14ac:dyDescent="0.2">
      <c r="A27" t="s">
        <v>453</v>
      </c>
      <c r="B27" t="s">
        <v>458</v>
      </c>
      <c r="C27" t="s">
        <v>444</v>
      </c>
      <c r="D27" t="s">
        <v>460</v>
      </c>
      <c r="E27" t="s">
        <v>453</v>
      </c>
      <c r="F27" t="s">
        <v>453</v>
      </c>
      <c r="G27">
        <v>5.45</v>
      </c>
      <c r="H27">
        <v>10.26</v>
      </c>
      <c r="I27">
        <v>5.47</v>
      </c>
      <c r="J27">
        <v>8.3699999999999992</v>
      </c>
      <c r="K27">
        <v>5.28</v>
      </c>
      <c r="L27">
        <v>5.49</v>
      </c>
      <c r="M27">
        <v>10.61</v>
      </c>
      <c r="N27">
        <v>6.45</v>
      </c>
      <c r="O27">
        <v>9.1</v>
      </c>
      <c r="P27">
        <v>8.98</v>
      </c>
      <c r="Q27">
        <v>6.2</v>
      </c>
      <c r="R27">
        <v>4.72</v>
      </c>
      <c r="S27">
        <v>7.2</v>
      </c>
      <c r="T27">
        <v>4.95</v>
      </c>
      <c r="U27">
        <v>3.57</v>
      </c>
      <c r="V27">
        <v>9.39</v>
      </c>
      <c r="W27">
        <v>8.24</v>
      </c>
      <c r="X27">
        <v>10.26</v>
      </c>
      <c r="Y27">
        <v>4.58</v>
      </c>
      <c r="Z27">
        <v>4.76</v>
      </c>
    </row>
    <row r="28" spans="1:36" x14ac:dyDescent="0.2">
      <c r="A28" t="s">
        <v>453</v>
      </c>
      <c r="B28" t="s">
        <v>458</v>
      </c>
      <c r="C28" t="s">
        <v>444</v>
      </c>
      <c r="D28" t="s">
        <v>460</v>
      </c>
      <c r="E28" t="s">
        <v>453</v>
      </c>
      <c r="F28" t="s">
        <v>453</v>
      </c>
      <c r="G28">
        <v>7.51</v>
      </c>
      <c r="H28">
        <v>10.31</v>
      </c>
      <c r="I28">
        <v>6.68</v>
      </c>
      <c r="J28">
        <v>5.71</v>
      </c>
      <c r="K28">
        <v>8</v>
      </c>
      <c r="L28">
        <v>6.75</v>
      </c>
      <c r="M28">
        <v>4.95</v>
      </c>
      <c r="N28">
        <v>7.38</v>
      </c>
      <c r="O28">
        <v>7.49</v>
      </c>
      <c r="P28">
        <v>6.64</v>
      </c>
      <c r="Q28">
        <v>8.86</v>
      </c>
      <c r="R28">
        <v>5.16</v>
      </c>
      <c r="S28">
        <v>10.14</v>
      </c>
      <c r="T28">
        <v>8.33</v>
      </c>
      <c r="U28">
        <v>4.5</v>
      </c>
      <c r="V28">
        <v>6.19</v>
      </c>
      <c r="W28">
        <v>6.3</v>
      </c>
      <c r="X28">
        <v>3.44</v>
      </c>
      <c r="Y28">
        <v>5.29</v>
      </c>
      <c r="Z28">
        <v>7.08</v>
      </c>
    </row>
    <row r="29" spans="1:36" x14ac:dyDescent="0.2">
      <c r="A29" t="s">
        <v>453</v>
      </c>
      <c r="B29" t="s">
        <v>458</v>
      </c>
      <c r="C29" t="s">
        <v>444</v>
      </c>
      <c r="D29" t="s">
        <v>460</v>
      </c>
      <c r="E29" t="s">
        <v>453</v>
      </c>
      <c r="F29" t="s">
        <v>453</v>
      </c>
      <c r="G29">
        <v>5.34</v>
      </c>
      <c r="H29">
        <v>4.92</v>
      </c>
      <c r="I29">
        <v>11.23</v>
      </c>
      <c r="J29">
        <v>5.53</v>
      </c>
      <c r="K29">
        <v>7.01</v>
      </c>
      <c r="L29">
        <v>5.08</v>
      </c>
      <c r="M29">
        <v>5.64</v>
      </c>
      <c r="N29">
        <v>8.16</v>
      </c>
      <c r="O29">
        <v>9.4600000000000009</v>
      </c>
      <c r="P29">
        <v>8.08</v>
      </c>
      <c r="Q29">
        <v>10.199999999999999</v>
      </c>
      <c r="R29">
        <v>4.88</v>
      </c>
      <c r="S29">
        <v>6.87</v>
      </c>
      <c r="T29">
        <v>5.2</v>
      </c>
      <c r="U29">
        <v>5.19</v>
      </c>
      <c r="V29">
        <v>8.6999999999999993</v>
      </c>
      <c r="W29">
        <v>8.39</v>
      </c>
      <c r="X29">
        <v>4.3099999999999996</v>
      </c>
      <c r="Y29">
        <v>6.79</v>
      </c>
      <c r="Z29">
        <v>5.37</v>
      </c>
    </row>
    <row r="30" spans="1:36" x14ac:dyDescent="0.2">
      <c r="A30" t="s">
        <v>395</v>
      </c>
      <c r="B30" t="s">
        <v>402</v>
      </c>
      <c r="C30" t="s">
        <v>444</v>
      </c>
      <c r="D30" t="s">
        <v>446</v>
      </c>
      <c r="E30" t="s">
        <v>395</v>
      </c>
      <c r="G30" s="365">
        <v>10.69</v>
      </c>
      <c r="H30" s="365">
        <v>9.33</v>
      </c>
      <c r="I30" s="365">
        <v>7.94</v>
      </c>
      <c r="J30" s="365">
        <v>7.04</v>
      </c>
      <c r="K30" s="365">
        <v>7.35</v>
      </c>
      <c r="L30" s="365">
        <v>5.52</v>
      </c>
      <c r="M30" s="365">
        <v>9.77</v>
      </c>
      <c r="N30" s="365">
        <v>7.49</v>
      </c>
      <c r="O30" s="365">
        <v>5.69</v>
      </c>
      <c r="P30" s="365">
        <v>8.52</v>
      </c>
      <c r="Q30" s="365">
        <v>4.0199999999999996</v>
      </c>
      <c r="R30" s="365">
        <v>7.5</v>
      </c>
      <c r="S30" s="365">
        <v>5.9</v>
      </c>
      <c r="T30" s="365">
        <v>5.82</v>
      </c>
      <c r="U30" s="365">
        <v>8.18</v>
      </c>
      <c r="V30" s="365">
        <v>6.16</v>
      </c>
      <c r="W30" s="365">
        <v>4.6100000000000003</v>
      </c>
      <c r="X30" s="365">
        <v>4.07</v>
      </c>
      <c r="Y30" s="365">
        <v>7.73</v>
      </c>
      <c r="Z30" s="365">
        <v>9.5</v>
      </c>
      <c r="AA30" s="365">
        <v>6.54</v>
      </c>
      <c r="AB30" s="365">
        <v>7.89</v>
      </c>
      <c r="AC30" s="365">
        <v>4</v>
      </c>
      <c r="AD30" s="365">
        <v>4.3</v>
      </c>
      <c r="AE30" s="365">
        <v>7.69</v>
      </c>
      <c r="AF30" s="150">
        <f>AVERAGE(G30:AE30)</f>
        <v>6.9299999999999988</v>
      </c>
    </row>
    <row r="31" spans="1:36" x14ac:dyDescent="0.2">
      <c r="A31" s="52">
        <v>49</v>
      </c>
      <c r="B31" t="s">
        <v>402</v>
      </c>
      <c r="C31" t="s">
        <v>444</v>
      </c>
      <c r="D31" t="s">
        <v>446</v>
      </c>
      <c r="E31" s="52" t="s">
        <v>399</v>
      </c>
      <c r="F31" s="52">
        <v>0.4</v>
      </c>
      <c r="G31" s="52">
        <v>6.37</v>
      </c>
      <c r="H31" s="52">
        <v>6.59</v>
      </c>
      <c r="I31" s="52">
        <v>3.9</v>
      </c>
      <c r="J31" s="52">
        <v>4.74</v>
      </c>
      <c r="K31" s="52">
        <v>3.56</v>
      </c>
      <c r="L31" s="52">
        <v>5.58</v>
      </c>
      <c r="M31" s="52">
        <v>6.69</v>
      </c>
      <c r="N31" s="52">
        <v>5.7</v>
      </c>
      <c r="O31" s="52">
        <v>6.52</v>
      </c>
      <c r="P31" s="52">
        <v>5.41</v>
      </c>
      <c r="Q31" s="52">
        <v>6.6</v>
      </c>
      <c r="R31" s="52">
        <v>6.16</v>
      </c>
      <c r="S31" s="52">
        <v>4.96</v>
      </c>
      <c r="T31" s="52">
        <v>6.84</v>
      </c>
      <c r="U31" s="52">
        <v>4.6100000000000003</v>
      </c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36" x14ac:dyDescent="0.2">
      <c r="A32">
        <v>50</v>
      </c>
      <c r="B32" t="s">
        <v>402</v>
      </c>
      <c r="C32" t="s">
        <v>444</v>
      </c>
      <c r="D32" t="s">
        <v>446</v>
      </c>
      <c r="E32" t="s">
        <v>399</v>
      </c>
      <c r="F32">
        <v>0.4</v>
      </c>
      <c r="G32" s="365">
        <v>4.95</v>
      </c>
      <c r="H32" s="365">
        <v>6.93</v>
      </c>
      <c r="I32" s="365">
        <v>5.58</v>
      </c>
      <c r="J32" s="365">
        <v>6.63</v>
      </c>
      <c r="K32" s="365">
        <v>5.59</v>
      </c>
      <c r="L32" s="365">
        <v>4.09</v>
      </c>
      <c r="M32" s="365">
        <v>5.3</v>
      </c>
      <c r="N32" s="365">
        <v>4.88</v>
      </c>
      <c r="O32" s="365">
        <v>5.53</v>
      </c>
      <c r="P32" s="365">
        <v>4.72</v>
      </c>
      <c r="Q32" s="365">
        <v>5.0999999999999996</v>
      </c>
      <c r="R32" s="365">
        <v>6.03</v>
      </c>
      <c r="S32" s="365">
        <v>6.56</v>
      </c>
      <c r="T32" s="365">
        <v>5.0199999999999996</v>
      </c>
      <c r="U32" s="365">
        <v>6.77</v>
      </c>
    </row>
    <row r="33" spans="1:36" x14ac:dyDescent="0.2">
      <c r="A33">
        <v>51</v>
      </c>
      <c r="B33" t="s">
        <v>402</v>
      </c>
      <c r="C33" t="s">
        <v>444</v>
      </c>
      <c r="D33" t="s">
        <v>446</v>
      </c>
      <c r="E33" t="s">
        <v>399</v>
      </c>
      <c r="F33">
        <v>0.4</v>
      </c>
      <c r="G33" s="365">
        <v>6.22</v>
      </c>
      <c r="H33" s="365">
        <v>5.22</v>
      </c>
      <c r="I33" s="365">
        <v>6.3</v>
      </c>
      <c r="J33" s="365">
        <v>6.61</v>
      </c>
      <c r="K33" s="365">
        <v>6.13</v>
      </c>
      <c r="L33" s="365">
        <v>6.9</v>
      </c>
      <c r="M33" s="365">
        <v>4.63</v>
      </c>
      <c r="N33" s="365">
        <v>6.21</v>
      </c>
      <c r="O33" s="365">
        <v>6.72</v>
      </c>
      <c r="P33" s="365">
        <v>6.8</v>
      </c>
      <c r="Q33" s="365">
        <v>5.56</v>
      </c>
      <c r="R33" s="365">
        <v>6.92</v>
      </c>
      <c r="S33" s="365">
        <v>6.55</v>
      </c>
      <c r="T33" s="365">
        <v>6</v>
      </c>
      <c r="U33" s="365">
        <v>4.26</v>
      </c>
    </row>
    <row r="34" spans="1:36" x14ac:dyDescent="0.2">
      <c r="A34">
        <v>52</v>
      </c>
      <c r="B34" t="s">
        <v>402</v>
      </c>
      <c r="C34" t="s">
        <v>444</v>
      </c>
      <c r="D34" t="s">
        <v>446</v>
      </c>
      <c r="E34" t="s">
        <v>399</v>
      </c>
      <c r="F34">
        <v>0.3</v>
      </c>
      <c r="G34" s="365">
        <v>5.91</v>
      </c>
      <c r="H34" s="365">
        <v>6.05</v>
      </c>
      <c r="I34" s="365">
        <v>4.37</v>
      </c>
      <c r="J34" s="365">
        <v>4.68</v>
      </c>
      <c r="K34" s="365">
        <v>6.9</v>
      </c>
      <c r="L34" s="365">
        <v>6.88</v>
      </c>
      <c r="M34" s="365">
        <v>5.45</v>
      </c>
      <c r="N34" s="365">
        <v>4.58</v>
      </c>
      <c r="O34" s="365">
        <v>5.0199999999999996</v>
      </c>
      <c r="P34" s="365">
        <v>4.75</v>
      </c>
      <c r="Q34" s="365">
        <v>6.04</v>
      </c>
      <c r="R34" s="365">
        <v>5.09</v>
      </c>
      <c r="S34" s="365">
        <v>4.8899999999999997</v>
      </c>
      <c r="T34" s="365">
        <v>4.6500000000000004</v>
      </c>
      <c r="U34" s="365">
        <v>6.59</v>
      </c>
    </row>
    <row r="35" spans="1:36" x14ac:dyDescent="0.2">
      <c r="A35">
        <v>53</v>
      </c>
      <c r="B35" t="s">
        <v>402</v>
      </c>
      <c r="C35" t="s">
        <v>444</v>
      </c>
      <c r="D35" t="s">
        <v>446</v>
      </c>
      <c r="E35" t="s">
        <v>399</v>
      </c>
      <c r="F35">
        <v>0.4</v>
      </c>
      <c r="G35" s="365">
        <v>6.54</v>
      </c>
      <c r="H35" s="365">
        <v>4.46</v>
      </c>
      <c r="I35" s="365">
        <v>6.76</v>
      </c>
      <c r="J35" s="365">
        <v>6.36</v>
      </c>
      <c r="K35" s="365">
        <v>3.82</v>
      </c>
      <c r="L35" s="365">
        <v>5.81</v>
      </c>
      <c r="M35" s="365">
        <v>6.85</v>
      </c>
      <c r="N35" s="365">
        <v>6.67</v>
      </c>
      <c r="O35" s="365">
        <v>5.31</v>
      </c>
      <c r="P35" s="365">
        <v>3.86</v>
      </c>
      <c r="Q35" s="365">
        <v>5.55</v>
      </c>
      <c r="R35" s="365">
        <v>5.9</v>
      </c>
      <c r="S35" s="365">
        <v>5.45</v>
      </c>
      <c r="T35" s="365">
        <v>5.74</v>
      </c>
      <c r="U35" s="365">
        <v>4.8</v>
      </c>
    </row>
    <row r="36" spans="1:36" x14ac:dyDescent="0.2">
      <c r="A36">
        <v>54</v>
      </c>
      <c r="B36" t="s">
        <v>402</v>
      </c>
      <c r="C36" t="s">
        <v>444</v>
      </c>
      <c r="D36" t="s">
        <v>446</v>
      </c>
      <c r="E36" t="s">
        <v>399</v>
      </c>
      <c r="F36">
        <v>0.4</v>
      </c>
      <c r="G36" s="365">
        <v>5.55</v>
      </c>
      <c r="H36" s="365">
        <v>6.46</v>
      </c>
      <c r="I36" s="365">
        <v>4.1500000000000004</v>
      </c>
      <c r="J36" s="365">
        <v>4.59</v>
      </c>
      <c r="K36" s="365">
        <v>6.66</v>
      </c>
      <c r="L36" s="365">
        <v>3.76</v>
      </c>
      <c r="M36" s="365">
        <v>4.5599999999999996</v>
      </c>
      <c r="N36" s="365">
        <v>5.23</v>
      </c>
      <c r="O36" s="365">
        <v>5.82</v>
      </c>
      <c r="P36" s="365">
        <v>5.81</v>
      </c>
      <c r="Q36" s="365">
        <v>5.45</v>
      </c>
      <c r="R36" s="365">
        <v>6.32</v>
      </c>
      <c r="S36" s="365">
        <v>6.34</v>
      </c>
      <c r="T36" s="365">
        <v>4.66</v>
      </c>
      <c r="U36" s="365">
        <v>6.87</v>
      </c>
    </row>
    <row r="37" spans="1:36" x14ac:dyDescent="0.2">
      <c r="A37">
        <v>55</v>
      </c>
      <c r="B37" t="s">
        <v>402</v>
      </c>
      <c r="C37" t="s">
        <v>444</v>
      </c>
      <c r="D37" t="s">
        <v>446</v>
      </c>
      <c r="E37" t="s">
        <v>399</v>
      </c>
      <c r="F37">
        <v>0.4</v>
      </c>
      <c r="G37" s="365">
        <v>5.49</v>
      </c>
      <c r="H37" s="365">
        <v>5.86</v>
      </c>
      <c r="I37" s="365">
        <v>5.13</v>
      </c>
      <c r="J37" s="365">
        <v>5.87</v>
      </c>
      <c r="K37" s="365">
        <v>4.6100000000000003</v>
      </c>
      <c r="L37" s="365">
        <v>6.59</v>
      </c>
      <c r="M37" s="365">
        <v>6.63</v>
      </c>
      <c r="N37" s="365">
        <v>3.85</v>
      </c>
      <c r="O37" s="365">
        <v>6.31</v>
      </c>
      <c r="P37" s="365">
        <v>6.55</v>
      </c>
      <c r="Q37" s="365">
        <v>5.1100000000000003</v>
      </c>
      <c r="R37" s="365">
        <v>6.69</v>
      </c>
      <c r="S37" s="365">
        <v>5.24</v>
      </c>
      <c r="T37" s="365">
        <v>6.88</v>
      </c>
      <c r="U37" s="365">
        <v>5.26</v>
      </c>
    </row>
    <row r="38" spans="1:36" x14ac:dyDescent="0.2">
      <c r="A38">
        <v>56</v>
      </c>
      <c r="B38" t="s">
        <v>402</v>
      </c>
      <c r="C38" t="s">
        <v>444</v>
      </c>
      <c r="D38" t="s">
        <v>446</v>
      </c>
      <c r="E38" t="s">
        <v>399</v>
      </c>
      <c r="F38">
        <v>0.3</v>
      </c>
      <c r="G38" s="365">
        <v>5.0199999999999996</v>
      </c>
      <c r="H38" s="365">
        <v>6.33</v>
      </c>
      <c r="I38" s="365">
        <v>5.26</v>
      </c>
      <c r="J38" s="365">
        <v>5.86</v>
      </c>
      <c r="K38" s="365">
        <v>6.9</v>
      </c>
      <c r="L38" s="365">
        <v>6.51</v>
      </c>
      <c r="M38" s="365">
        <v>5.34</v>
      </c>
      <c r="N38" s="365">
        <v>5.18</v>
      </c>
      <c r="O38" s="365">
        <v>5.37</v>
      </c>
      <c r="P38" s="365">
        <v>5.12</v>
      </c>
      <c r="Q38" s="365">
        <v>5.98</v>
      </c>
      <c r="R38" s="365">
        <v>4.37</v>
      </c>
      <c r="S38" s="365">
        <v>4.57</v>
      </c>
      <c r="T38" s="365">
        <v>4.84</v>
      </c>
      <c r="U38" s="365">
        <v>6.05</v>
      </c>
    </row>
    <row r="39" spans="1:36" x14ac:dyDescent="0.2">
      <c r="A39">
        <v>57</v>
      </c>
      <c r="B39" t="s">
        <v>402</v>
      </c>
      <c r="C39" t="s">
        <v>444</v>
      </c>
      <c r="D39" t="s">
        <v>446</v>
      </c>
      <c r="E39" t="s">
        <v>399</v>
      </c>
      <c r="F39">
        <v>0.4</v>
      </c>
      <c r="G39" s="365">
        <v>6.46</v>
      </c>
      <c r="H39" s="365">
        <v>4.58</v>
      </c>
      <c r="I39" s="365">
        <v>5.0599999999999996</v>
      </c>
      <c r="J39" s="365">
        <v>6.26</v>
      </c>
      <c r="K39" s="365">
        <v>6.93</v>
      </c>
      <c r="L39" s="365">
        <v>5.49</v>
      </c>
      <c r="M39" s="365">
        <v>6.51</v>
      </c>
      <c r="N39" s="365">
        <v>5.94</v>
      </c>
      <c r="O39" s="365">
        <v>6.8</v>
      </c>
      <c r="P39" s="365">
        <v>5.5</v>
      </c>
      <c r="Q39" s="365">
        <v>5.69</v>
      </c>
      <c r="R39" s="365">
        <v>5.3</v>
      </c>
      <c r="S39" s="365">
        <v>5.31</v>
      </c>
      <c r="T39" s="365">
        <v>6.86</v>
      </c>
      <c r="U39" s="365">
        <v>6.48</v>
      </c>
    </row>
    <row r="40" spans="1:36" x14ac:dyDescent="0.2">
      <c r="A40">
        <v>58</v>
      </c>
      <c r="B40" t="s">
        <v>402</v>
      </c>
      <c r="C40" t="s">
        <v>444</v>
      </c>
      <c r="D40" t="s">
        <v>446</v>
      </c>
      <c r="E40" t="s">
        <v>399</v>
      </c>
      <c r="F40">
        <v>0.4</v>
      </c>
      <c r="G40" s="365">
        <v>5.16</v>
      </c>
      <c r="H40" s="365">
        <v>4.97</v>
      </c>
      <c r="I40" s="365">
        <v>6.82</v>
      </c>
      <c r="J40" s="365">
        <v>4.3</v>
      </c>
      <c r="K40" s="365">
        <v>4.7</v>
      </c>
      <c r="L40" s="365">
        <v>5.34</v>
      </c>
      <c r="M40" s="365">
        <v>5.85</v>
      </c>
      <c r="N40" s="365">
        <v>6.56</v>
      </c>
      <c r="O40" s="365">
        <v>6.67</v>
      </c>
      <c r="P40" s="365">
        <v>6.83</v>
      </c>
      <c r="Q40" s="365">
        <v>5.47</v>
      </c>
      <c r="R40" s="365">
        <v>6.53</v>
      </c>
      <c r="S40" s="365">
        <v>6.63</v>
      </c>
      <c r="T40" s="365">
        <v>5.03</v>
      </c>
      <c r="U40" s="365">
        <v>5.48</v>
      </c>
    </row>
    <row r="41" spans="1:36" x14ac:dyDescent="0.2">
      <c r="A41">
        <v>59</v>
      </c>
      <c r="B41" t="s">
        <v>402</v>
      </c>
      <c r="C41" t="s">
        <v>444</v>
      </c>
      <c r="D41" t="s">
        <v>446</v>
      </c>
      <c r="E41" t="s">
        <v>399</v>
      </c>
      <c r="F41">
        <v>0.4</v>
      </c>
      <c r="G41" s="365">
        <v>5.89</v>
      </c>
      <c r="H41" s="365">
        <v>4.66</v>
      </c>
      <c r="I41" s="365">
        <v>6.31</v>
      </c>
      <c r="J41" s="365">
        <v>5.49</v>
      </c>
      <c r="K41" s="365">
        <v>6.54</v>
      </c>
      <c r="L41" s="365">
        <v>5.3</v>
      </c>
      <c r="M41" s="365">
        <v>6.01</v>
      </c>
      <c r="N41" s="365">
        <v>5.93</v>
      </c>
      <c r="O41" s="365">
        <v>5.96</v>
      </c>
      <c r="P41" s="365">
        <v>4.63</v>
      </c>
      <c r="Q41" s="365">
        <v>4.3099999999999996</v>
      </c>
      <c r="R41" s="365">
        <v>5.38</v>
      </c>
      <c r="S41" s="365">
        <v>6.79</v>
      </c>
      <c r="T41" s="365">
        <v>5.76</v>
      </c>
      <c r="U41" s="365">
        <v>6.26</v>
      </c>
    </row>
    <row r="42" spans="1:36" x14ac:dyDescent="0.2">
      <c r="A42">
        <v>60</v>
      </c>
      <c r="B42" t="s">
        <v>402</v>
      </c>
      <c r="C42" t="s">
        <v>444</v>
      </c>
      <c r="D42" t="s">
        <v>446</v>
      </c>
      <c r="E42" t="s">
        <v>399</v>
      </c>
      <c r="F42">
        <v>0.3</v>
      </c>
      <c r="G42" s="365">
        <v>5.0999999999999996</v>
      </c>
      <c r="H42" s="365">
        <v>5.2</v>
      </c>
      <c r="I42" s="365">
        <v>5.83</v>
      </c>
      <c r="J42" s="365">
        <v>4.72</v>
      </c>
      <c r="K42" s="365">
        <v>5.22</v>
      </c>
      <c r="L42" s="365">
        <v>4.32</v>
      </c>
      <c r="M42" s="365">
        <v>5.87</v>
      </c>
      <c r="N42" s="365">
        <v>6.53</v>
      </c>
      <c r="O42" s="365">
        <v>4.5</v>
      </c>
      <c r="P42" s="365">
        <v>6.15</v>
      </c>
      <c r="Q42" s="365">
        <v>5.98</v>
      </c>
      <c r="R42" s="365">
        <v>4.91</v>
      </c>
      <c r="S42" s="365">
        <v>5.2</v>
      </c>
      <c r="T42" s="365">
        <v>6.24</v>
      </c>
      <c r="U42" s="365">
        <v>6.51</v>
      </c>
    </row>
    <row r="43" spans="1:36" x14ac:dyDescent="0.2">
      <c r="A43">
        <v>61</v>
      </c>
      <c r="B43" t="s">
        <v>402</v>
      </c>
      <c r="C43" t="s">
        <v>444</v>
      </c>
      <c r="D43" t="s">
        <v>446</v>
      </c>
      <c r="E43" s="52" t="s">
        <v>398</v>
      </c>
      <c r="F43" s="52">
        <v>1</v>
      </c>
      <c r="G43" s="52">
        <v>10.72</v>
      </c>
      <c r="H43" s="52">
        <v>7.05</v>
      </c>
      <c r="I43" s="52">
        <v>9.66</v>
      </c>
      <c r="J43" s="52">
        <v>7.48</v>
      </c>
      <c r="K43" s="52">
        <v>7.99</v>
      </c>
      <c r="L43" s="52">
        <v>7.79</v>
      </c>
      <c r="M43" s="52">
        <v>8.02</v>
      </c>
      <c r="N43" s="52">
        <v>9.75</v>
      </c>
      <c r="O43" s="52">
        <v>7.67</v>
      </c>
      <c r="P43" s="52">
        <v>7.23</v>
      </c>
      <c r="Q43" s="52">
        <v>6.99</v>
      </c>
      <c r="R43" s="52">
        <v>10.66</v>
      </c>
      <c r="S43" s="52">
        <v>8.08</v>
      </c>
      <c r="T43" s="52">
        <v>8.39</v>
      </c>
      <c r="U43" s="52">
        <v>8.4499999999999993</v>
      </c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spans="1:36" x14ac:dyDescent="0.2">
      <c r="A44">
        <v>62</v>
      </c>
      <c r="B44" t="s">
        <v>402</v>
      </c>
      <c r="C44" t="s">
        <v>444</v>
      </c>
      <c r="D44" t="s">
        <v>446</v>
      </c>
      <c r="E44" t="s">
        <v>398</v>
      </c>
      <c r="F44">
        <v>1.1000000000000001</v>
      </c>
      <c r="G44">
        <v>8.3000000000000007</v>
      </c>
      <c r="H44">
        <v>8.98</v>
      </c>
      <c r="I44">
        <v>8</v>
      </c>
      <c r="J44">
        <v>9.25</v>
      </c>
      <c r="K44">
        <v>8.5500000000000007</v>
      </c>
      <c r="L44">
        <v>7.77</v>
      </c>
      <c r="M44">
        <v>8.15</v>
      </c>
      <c r="N44">
        <v>8.44</v>
      </c>
      <c r="O44">
        <v>8.0500000000000007</v>
      </c>
      <c r="P44">
        <v>7.45</v>
      </c>
      <c r="Q44">
        <v>7.61</v>
      </c>
      <c r="R44">
        <v>7.28</v>
      </c>
      <c r="S44">
        <v>8.7799999999999994</v>
      </c>
      <c r="T44">
        <v>9.83</v>
      </c>
      <c r="U44">
        <v>8.77</v>
      </c>
    </row>
    <row r="45" spans="1:36" x14ac:dyDescent="0.2">
      <c r="A45">
        <v>63</v>
      </c>
      <c r="B45" t="s">
        <v>402</v>
      </c>
      <c r="C45" t="s">
        <v>444</v>
      </c>
      <c r="D45" t="s">
        <v>446</v>
      </c>
      <c r="E45" t="s">
        <v>398</v>
      </c>
      <c r="F45">
        <v>1</v>
      </c>
      <c r="G45">
        <v>10.199999999999999</v>
      </c>
      <c r="H45">
        <v>7.85</v>
      </c>
      <c r="I45">
        <v>7.17</v>
      </c>
      <c r="J45">
        <v>9.86</v>
      </c>
      <c r="K45">
        <v>7.79</v>
      </c>
      <c r="L45">
        <v>13.6</v>
      </c>
      <c r="M45">
        <v>9.74</v>
      </c>
      <c r="N45">
        <v>8.1</v>
      </c>
      <c r="O45">
        <v>6.97</v>
      </c>
      <c r="P45">
        <v>7.67</v>
      </c>
      <c r="Q45">
        <v>7.54</v>
      </c>
      <c r="R45">
        <v>7.65</v>
      </c>
      <c r="S45">
        <v>7.59</v>
      </c>
      <c r="T45">
        <v>7.06</v>
      </c>
      <c r="U45">
        <v>8.7799999999999994</v>
      </c>
    </row>
    <row r="46" spans="1:36" x14ac:dyDescent="0.2">
      <c r="A46">
        <v>64</v>
      </c>
      <c r="B46" t="s">
        <v>402</v>
      </c>
      <c r="C46" t="s">
        <v>444</v>
      </c>
      <c r="D46" t="s">
        <v>446</v>
      </c>
      <c r="E46" t="s">
        <v>398</v>
      </c>
      <c r="F46">
        <v>1</v>
      </c>
      <c r="G46">
        <v>9.9499999999999993</v>
      </c>
      <c r="H46">
        <v>8.06</v>
      </c>
      <c r="I46">
        <v>9.59</v>
      </c>
      <c r="J46">
        <v>9.31</v>
      </c>
      <c r="K46">
        <v>7.5</v>
      </c>
      <c r="L46">
        <v>7.62</v>
      </c>
      <c r="M46">
        <v>8.34</v>
      </c>
      <c r="N46">
        <v>7.67</v>
      </c>
      <c r="O46">
        <v>7.07</v>
      </c>
      <c r="P46">
        <v>7.88</v>
      </c>
      <c r="Q46">
        <v>7.26</v>
      </c>
      <c r="R46">
        <v>7.98</v>
      </c>
      <c r="S46">
        <v>10.66</v>
      </c>
      <c r="T46">
        <v>7.21</v>
      </c>
      <c r="U46">
        <v>7.84</v>
      </c>
    </row>
    <row r="47" spans="1:36" x14ac:dyDescent="0.2">
      <c r="A47">
        <v>65</v>
      </c>
      <c r="B47" t="s">
        <v>402</v>
      </c>
      <c r="C47" t="s">
        <v>444</v>
      </c>
      <c r="D47" t="s">
        <v>446</v>
      </c>
      <c r="E47" t="s">
        <v>398</v>
      </c>
      <c r="F47">
        <v>1.1000000000000001</v>
      </c>
      <c r="G47">
        <v>8.73</v>
      </c>
      <c r="H47">
        <v>8.77</v>
      </c>
      <c r="I47">
        <v>7.71</v>
      </c>
      <c r="J47">
        <v>7.24</v>
      </c>
      <c r="K47">
        <v>7.61</v>
      </c>
      <c r="L47">
        <v>9.77</v>
      </c>
      <c r="M47">
        <v>7.53</v>
      </c>
      <c r="N47">
        <v>8.42</v>
      </c>
      <c r="O47">
        <v>8.85</v>
      </c>
      <c r="P47">
        <v>7</v>
      </c>
      <c r="Q47">
        <v>8.15</v>
      </c>
      <c r="R47">
        <v>9.4</v>
      </c>
      <c r="S47">
        <v>9.67</v>
      </c>
      <c r="T47">
        <v>8.25</v>
      </c>
      <c r="U47">
        <v>10.43</v>
      </c>
    </row>
    <row r="48" spans="1:36" x14ac:dyDescent="0.2">
      <c r="A48">
        <v>66</v>
      </c>
      <c r="B48" t="s">
        <v>402</v>
      </c>
      <c r="C48" t="s">
        <v>444</v>
      </c>
      <c r="D48" t="s">
        <v>446</v>
      </c>
      <c r="E48" t="s">
        <v>398</v>
      </c>
      <c r="F48">
        <v>1</v>
      </c>
      <c r="G48">
        <v>8.2100000000000009</v>
      </c>
      <c r="H48">
        <v>8.6199999999999992</v>
      </c>
      <c r="I48">
        <v>9.44</v>
      </c>
      <c r="J48">
        <v>8.31</v>
      </c>
      <c r="K48">
        <v>7.62</v>
      </c>
      <c r="L48">
        <v>7.25</v>
      </c>
      <c r="M48">
        <v>9.65</v>
      </c>
      <c r="N48" t="s">
        <v>160</v>
      </c>
      <c r="O48">
        <v>9.25</v>
      </c>
      <c r="P48">
        <v>7.49</v>
      </c>
      <c r="Q48">
        <v>8.2100000000000009</v>
      </c>
      <c r="R48">
        <v>8.1999999999999993</v>
      </c>
      <c r="S48">
        <v>7.33</v>
      </c>
      <c r="T48">
        <v>11.4</v>
      </c>
      <c r="U48">
        <v>7.02</v>
      </c>
      <c r="V48">
        <v>7.24</v>
      </c>
    </row>
    <row r="49" spans="1:36" x14ac:dyDescent="0.2">
      <c r="A49">
        <v>67</v>
      </c>
      <c r="B49" t="s">
        <v>402</v>
      </c>
      <c r="C49" t="s">
        <v>444</v>
      </c>
      <c r="D49" t="s">
        <v>446</v>
      </c>
      <c r="E49" t="s">
        <v>398</v>
      </c>
      <c r="F49">
        <v>1.2</v>
      </c>
      <c r="G49">
        <v>9.01</v>
      </c>
      <c r="H49">
        <v>8.06</v>
      </c>
      <c r="I49">
        <v>7.28</v>
      </c>
      <c r="J49">
        <v>7.25</v>
      </c>
      <c r="K49">
        <v>13.05</v>
      </c>
      <c r="L49">
        <v>7.3</v>
      </c>
      <c r="M49">
        <v>7.06</v>
      </c>
      <c r="N49">
        <v>10.14</v>
      </c>
      <c r="O49">
        <v>9.2200000000000006</v>
      </c>
      <c r="P49">
        <v>10.68</v>
      </c>
      <c r="Q49">
        <v>9.5399999999999991</v>
      </c>
      <c r="R49">
        <v>7.47</v>
      </c>
      <c r="S49">
        <v>7.23</v>
      </c>
      <c r="T49">
        <v>6.99</v>
      </c>
      <c r="U49">
        <v>7.07</v>
      </c>
    </row>
    <row r="50" spans="1:36" x14ac:dyDescent="0.2">
      <c r="A50">
        <v>68</v>
      </c>
      <c r="B50" t="s">
        <v>402</v>
      </c>
      <c r="C50" t="s">
        <v>444</v>
      </c>
      <c r="D50" t="s">
        <v>446</v>
      </c>
      <c r="E50" t="s">
        <v>398</v>
      </c>
      <c r="F50">
        <v>1</v>
      </c>
      <c r="G50">
        <v>7.41</v>
      </c>
      <c r="H50">
        <v>7.5</v>
      </c>
      <c r="I50">
        <v>7.33</v>
      </c>
      <c r="J50">
        <v>6.98</v>
      </c>
      <c r="K50">
        <v>7.26</v>
      </c>
      <c r="L50">
        <v>7.28</v>
      </c>
      <c r="M50">
        <v>8.2100000000000009</v>
      </c>
      <c r="N50">
        <v>9.9</v>
      </c>
      <c r="O50">
        <v>9.61</v>
      </c>
      <c r="P50">
        <v>8</v>
      </c>
      <c r="Q50">
        <v>7.13</v>
      </c>
      <c r="R50">
        <v>8.01</v>
      </c>
      <c r="S50">
        <v>8.1300000000000008</v>
      </c>
      <c r="T50">
        <v>7.15</v>
      </c>
      <c r="U50">
        <v>9.6199999999999992</v>
      </c>
    </row>
    <row r="51" spans="1:36" x14ac:dyDescent="0.2">
      <c r="A51">
        <v>69</v>
      </c>
      <c r="B51" t="s">
        <v>402</v>
      </c>
      <c r="C51" t="s">
        <v>444</v>
      </c>
      <c r="D51" t="s">
        <v>446</v>
      </c>
      <c r="E51" t="s">
        <v>398</v>
      </c>
      <c r="F51">
        <v>1.3</v>
      </c>
      <c r="G51">
        <v>10.029999999999999</v>
      </c>
      <c r="H51">
        <v>10.11</v>
      </c>
      <c r="I51">
        <v>10.65</v>
      </c>
      <c r="J51">
        <v>8.1</v>
      </c>
      <c r="K51">
        <v>8.43</v>
      </c>
      <c r="L51">
        <v>7.13</v>
      </c>
      <c r="M51">
        <v>10.28</v>
      </c>
      <c r="N51">
        <v>7.02</v>
      </c>
      <c r="O51">
        <v>6.99</v>
      </c>
      <c r="P51">
        <v>7.44</v>
      </c>
      <c r="Q51">
        <v>8.43</v>
      </c>
      <c r="R51">
        <v>7.51</v>
      </c>
      <c r="S51">
        <v>7.94</v>
      </c>
      <c r="T51">
        <v>10.199999999999999</v>
      </c>
      <c r="U51">
        <v>7.82</v>
      </c>
    </row>
    <row r="52" spans="1:36" x14ac:dyDescent="0.2">
      <c r="A52">
        <v>70</v>
      </c>
      <c r="B52" t="s">
        <v>402</v>
      </c>
      <c r="C52" t="s">
        <v>444</v>
      </c>
      <c r="D52" t="s">
        <v>446</v>
      </c>
      <c r="E52" t="s">
        <v>398</v>
      </c>
      <c r="F52">
        <v>1.3</v>
      </c>
      <c r="G52">
        <v>7.36</v>
      </c>
      <c r="H52">
        <v>8.49</v>
      </c>
      <c r="I52">
        <v>10.98</v>
      </c>
      <c r="J52">
        <v>8.33</v>
      </c>
      <c r="K52">
        <v>11.94</v>
      </c>
      <c r="L52">
        <v>10.97</v>
      </c>
      <c r="M52">
        <v>7.37</v>
      </c>
      <c r="N52">
        <v>7.75</v>
      </c>
      <c r="O52">
        <v>7.98</v>
      </c>
      <c r="P52">
        <v>8.1999999999999993</v>
      </c>
      <c r="Q52">
        <v>7.54</v>
      </c>
      <c r="R52">
        <v>8.3000000000000007</v>
      </c>
      <c r="S52">
        <v>8.92</v>
      </c>
      <c r="T52">
        <v>8.4499999999999993</v>
      </c>
      <c r="U52">
        <v>7.97</v>
      </c>
    </row>
    <row r="53" spans="1:36" x14ac:dyDescent="0.2">
      <c r="A53">
        <v>71</v>
      </c>
      <c r="B53" t="s">
        <v>402</v>
      </c>
      <c r="C53" t="s">
        <v>444</v>
      </c>
      <c r="D53" t="s">
        <v>446</v>
      </c>
      <c r="E53" t="s">
        <v>398</v>
      </c>
      <c r="F53">
        <v>1.1000000000000001</v>
      </c>
      <c r="G53">
        <v>9.2899999999999991</v>
      </c>
      <c r="H53">
        <v>9.1300000000000008</v>
      </c>
      <c r="I53">
        <v>8.5500000000000007</v>
      </c>
      <c r="J53">
        <v>8.17</v>
      </c>
      <c r="K53">
        <v>9.58</v>
      </c>
      <c r="L53">
        <v>7.97</v>
      </c>
      <c r="M53">
        <v>9.1300000000000008</v>
      </c>
      <c r="N53">
        <v>7.67</v>
      </c>
      <c r="O53">
        <v>7.94</v>
      </c>
      <c r="P53">
        <v>7.27</v>
      </c>
      <c r="Q53">
        <v>9.0299999999999994</v>
      </c>
      <c r="R53">
        <v>7.4</v>
      </c>
      <c r="S53">
        <v>7.44</v>
      </c>
      <c r="T53">
        <v>7.65</v>
      </c>
      <c r="U53">
        <v>9.6199999999999992</v>
      </c>
    </row>
    <row r="54" spans="1:36" x14ac:dyDescent="0.2">
      <c r="A54">
        <v>72</v>
      </c>
      <c r="B54" t="s">
        <v>402</v>
      </c>
      <c r="C54" t="s">
        <v>444</v>
      </c>
      <c r="D54" t="s">
        <v>446</v>
      </c>
      <c r="E54" t="s">
        <v>398</v>
      </c>
      <c r="F54">
        <v>0.9</v>
      </c>
      <c r="G54">
        <v>7.83</v>
      </c>
      <c r="H54">
        <v>8.07</v>
      </c>
      <c r="I54">
        <v>7.91</v>
      </c>
      <c r="J54">
        <v>7</v>
      </c>
      <c r="K54">
        <v>7.83</v>
      </c>
      <c r="L54">
        <v>7.93</v>
      </c>
      <c r="M54">
        <v>7.35</v>
      </c>
      <c r="N54">
        <v>7.62</v>
      </c>
      <c r="O54">
        <v>8.07</v>
      </c>
      <c r="P54">
        <v>7.69</v>
      </c>
      <c r="Q54">
        <v>10.61</v>
      </c>
      <c r="R54">
        <v>7.63</v>
      </c>
      <c r="S54">
        <v>8.5299999999999994</v>
      </c>
      <c r="T54">
        <v>7.79</v>
      </c>
      <c r="U54">
        <v>8.2200000000000006</v>
      </c>
    </row>
    <row r="55" spans="1:36" x14ac:dyDescent="0.2">
      <c r="A55" t="s">
        <v>453</v>
      </c>
      <c r="B55" t="s">
        <v>402</v>
      </c>
      <c r="C55" t="s">
        <v>444</v>
      </c>
      <c r="D55" t="s">
        <v>446</v>
      </c>
      <c r="E55" t="s">
        <v>453</v>
      </c>
      <c r="F55" t="s">
        <v>453</v>
      </c>
      <c r="G55">
        <v>7.82</v>
      </c>
      <c r="H55">
        <v>4.8499999999999996</v>
      </c>
      <c r="I55">
        <v>8.69</v>
      </c>
      <c r="J55">
        <v>6.28</v>
      </c>
      <c r="K55">
        <v>8.99</v>
      </c>
      <c r="L55">
        <v>7.03</v>
      </c>
      <c r="M55">
        <v>6.47</v>
      </c>
      <c r="N55">
        <v>6.18</v>
      </c>
      <c r="O55">
        <v>7.23</v>
      </c>
      <c r="P55">
        <v>6.43</v>
      </c>
      <c r="Q55">
        <v>7.63</v>
      </c>
      <c r="R55">
        <v>5.88</v>
      </c>
      <c r="S55">
        <v>6.58</v>
      </c>
      <c r="T55">
        <v>6.48</v>
      </c>
      <c r="U55">
        <v>6.66</v>
      </c>
      <c r="V55">
        <v>6.97</v>
      </c>
      <c r="W55">
        <v>6.92</v>
      </c>
      <c r="X55">
        <v>6.06</v>
      </c>
      <c r="Y55">
        <v>7.07</v>
      </c>
      <c r="Z55">
        <v>5.77</v>
      </c>
    </row>
    <row r="56" spans="1:36" x14ac:dyDescent="0.2">
      <c r="A56" t="s">
        <v>453</v>
      </c>
      <c r="B56" t="s">
        <v>402</v>
      </c>
      <c r="C56" t="s">
        <v>444</v>
      </c>
      <c r="D56" t="s">
        <v>446</v>
      </c>
      <c r="E56" t="s">
        <v>453</v>
      </c>
      <c r="F56" t="s">
        <v>453</v>
      </c>
      <c r="G56">
        <v>7.12</v>
      </c>
      <c r="H56">
        <v>6.79</v>
      </c>
      <c r="I56">
        <v>5.63</v>
      </c>
      <c r="J56">
        <v>6.34</v>
      </c>
      <c r="K56">
        <v>6.48</v>
      </c>
      <c r="L56">
        <v>4.6399999999999997</v>
      </c>
      <c r="M56">
        <v>4.8</v>
      </c>
      <c r="N56">
        <v>5.17</v>
      </c>
      <c r="O56">
        <v>5.43</v>
      </c>
      <c r="P56">
        <v>4.96</v>
      </c>
      <c r="Q56">
        <v>3.8</v>
      </c>
      <c r="R56">
        <v>4.57</v>
      </c>
      <c r="S56">
        <v>5.23</v>
      </c>
      <c r="T56">
        <v>3.37</v>
      </c>
      <c r="U56">
        <v>3.86</v>
      </c>
      <c r="V56">
        <v>4.58</v>
      </c>
      <c r="W56">
        <v>4.46</v>
      </c>
      <c r="X56">
        <v>6.32</v>
      </c>
      <c r="Y56">
        <v>8.31</v>
      </c>
      <c r="Z56">
        <v>3.83</v>
      </c>
    </row>
    <row r="57" spans="1:36" x14ac:dyDescent="0.2">
      <c r="A57" t="s">
        <v>453</v>
      </c>
      <c r="B57" t="s">
        <v>402</v>
      </c>
      <c r="C57" t="s">
        <v>444</v>
      </c>
      <c r="D57" t="s">
        <v>446</v>
      </c>
      <c r="E57" t="s">
        <v>453</v>
      </c>
      <c r="F57" t="s">
        <v>453</v>
      </c>
      <c r="G57">
        <v>5.99</v>
      </c>
      <c r="H57">
        <v>5.27</v>
      </c>
      <c r="I57">
        <v>6.11</v>
      </c>
      <c r="J57">
        <v>4.51</v>
      </c>
      <c r="K57">
        <v>3.52</v>
      </c>
      <c r="L57">
        <v>4.45</v>
      </c>
      <c r="M57">
        <v>6.38</v>
      </c>
      <c r="N57">
        <v>4.3499999999999996</v>
      </c>
      <c r="O57">
        <v>5.66</v>
      </c>
      <c r="P57">
        <v>4.5</v>
      </c>
      <c r="Q57">
        <v>4</v>
      </c>
      <c r="R57">
        <v>3.54</v>
      </c>
      <c r="S57">
        <v>4.4400000000000004</v>
      </c>
      <c r="T57">
        <v>3.46</v>
      </c>
      <c r="U57">
        <v>5.21</v>
      </c>
      <c r="V57">
        <v>2.15</v>
      </c>
      <c r="W57">
        <v>3.53</v>
      </c>
      <c r="X57">
        <v>6.14</v>
      </c>
      <c r="Y57">
        <v>3.65</v>
      </c>
      <c r="Z57">
        <v>4.5599999999999996</v>
      </c>
    </row>
    <row r="58" spans="1:36" x14ac:dyDescent="0.2">
      <c r="A58" t="s">
        <v>453</v>
      </c>
      <c r="B58" t="s">
        <v>402</v>
      </c>
      <c r="C58" t="s">
        <v>444</v>
      </c>
      <c r="D58" t="s">
        <v>446</v>
      </c>
      <c r="E58" t="s">
        <v>453</v>
      </c>
      <c r="F58" t="s">
        <v>453</v>
      </c>
      <c r="G58">
        <v>3.68</v>
      </c>
      <c r="H58">
        <v>7.18</v>
      </c>
      <c r="I58">
        <v>6.32</v>
      </c>
      <c r="J58">
        <v>4.8499999999999996</v>
      </c>
      <c r="K58">
        <v>2.67</v>
      </c>
      <c r="L58">
        <v>7.01</v>
      </c>
      <c r="M58">
        <v>3.92</v>
      </c>
      <c r="N58">
        <v>4.5599999999999996</v>
      </c>
      <c r="O58">
        <v>3.43</v>
      </c>
      <c r="P58">
        <v>4.17</v>
      </c>
      <c r="Q58">
        <v>3.33</v>
      </c>
      <c r="R58">
        <v>5.69</v>
      </c>
      <c r="S58">
        <v>5.78</v>
      </c>
      <c r="T58">
        <v>5.14</v>
      </c>
      <c r="U58">
        <v>5.44</v>
      </c>
      <c r="V58">
        <v>4.4800000000000004</v>
      </c>
      <c r="W58">
        <v>6.91</v>
      </c>
      <c r="X58">
        <v>5.3</v>
      </c>
      <c r="Y58">
        <v>5.31</v>
      </c>
      <c r="Z58">
        <v>5.92</v>
      </c>
    </row>
    <row r="59" spans="1:36" x14ac:dyDescent="0.2">
      <c r="A59" t="s">
        <v>453</v>
      </c>
      <c r="B59" t="s">
        <v>402</v>
      </c>
      <c r="C59" t="s">
        <v>444</v>
      </c>
      <c r="D59" t="s">
        <v>446</v>
      </c>
      <c r="E59" t="s">
        <v>453</v>
      </c>
      <c r="F59" t="s">
        <v>453</v>
      </c>
      <c r="G59">
        <v>5.26</v>
      </c>
      <c r="H59">
        <v>3.56</v>
      </c>
      <c r="I59">
        <v>6.38</v>
      </c>
      <c r="J59">
        <v>6.95</v>
      </c>
      <c r="K59">
        <v>4.17</v>
      </c>
      <c r="L59">
        <v>7.04</v>
      </c>
      <c r="M59">
        <v>6.77</v>
      </c>
      <c r="N59">
        <v>3.3</v>
      </c>
      <c r="O59">
        <v>4.8600000000000003</v>
      </c>
      <c r="P59">
        <v>3.71</v>
      </c>
      <c r="Q59">
        <v>4.32</v>
      </c>
      <c r="R59">
        <v>3.68</v>
      </c>
      <c r="S59">
        <v>5.08</v>
      </c>
      <c r="T59">
        <v>7.02</v>
      </c>
      <c r="U59">
        <v>2.77</v>
      </c>
      <c r="V59">
        <v>2.81</v>
      </c>
      <c r="W59">
        <v>5.69</v>
      </c>
      <c r="X59">
        <v>6.43</v>
      </c>
      <c r="Y59">
        <v>4.5199999999999996</v>
      </c>
      <c r="Z59">
        <v>3.86</v>
      </c>
    </row>
    <row r="60" spans="1:36" x14ac:dyDescent="0.2">
      <c r="A60" t="s">
        <v>453</v>
      </c>
      <c r="B60" t="s">
        <v>402</v>
      </c>
      <c r="C60" t="s">
        <v>444</v>
      </c>
      <c r="D60" t="s">
        <v>446</v>
      </c>
      <c r="E60" t="s">
        <v>453</v>
      </c>
      <c r="F60" t="s">
        <v>453</v>
      </c>
      <c r="G60">
        <v>4.2</v>
      </c>
      <c r="H60">
        <v>5.59</v>
      </c>
      <c r="I60">
        <v>3.6</v>
      </c>
      <c r="J60">
        <v>5.47</v>
      </c>
      <c r="K60">
        <v>3.53</v>
      </c>
      <c r="L60">
        <v>7.46</v>
      </c>
      <c r="M60">
        <v>6.6</v>
      </c>
      <c r="N60">
        <v>3.97</v>
      </c>
    </row>
    <row r="61" spans="1:36" x14ac:dyDescent="0.2">
      <c r="A61" t="s">
        <v>395</v>
      </c>
      <c r="B61" t="s">
        <v>405</v>
      </c>
      <c r="C61" t="s">
        <v>444</v>
      </c>
      <c r="D61" t="s">
        <v>447</v>
      </c>
      <c r="E61" t="s">
        <v>395</v>
      </c>
      <c r="G61">
        <v>10.06</v>
      </c>
      <c r="H61">
        <v>4.0599999999999996</v>
      </c>
      <c r="I61">
        <v>4.8099999999999996</v>
      </c>
      <c r="J61">
        <v>6.37</v>
      </c>
      <c r="K61">
        <v>6.39</v>
      </c>
      <c r="L61">
        <v>5.86</v>
      </c>
      <c r="M61">
        <v>4.76</v>
      </c>
      <c r="N61">
        <v>9.4499999999999993</v>
      </c>
      <c r="O61">
        <v>5.41</v>
      </c>
      <c r="P61">
        <v>5.7</v>
      </c>
      <c r="Q61">
        <v>4.09</v>
      </c>
      <c r="R61">
        <v>5.47</v>
      </c>
      <c r="S61">
        <v>8.16</v>
      </c>
      <c r="T61">
        <v>9.4600000000000009</v>
      </c>
      <c r="U61">
        <v>8.09</v>
      </c>
      <c r="V61">
        <v>4.28</v>
      </c>
      <c r="W61">
        <v>4.47</v>
      </c>
      <c r="X61">
        <v>4.87</v>
      </c>
      <c r="Y61">
        <v>5.23</v>
      </c>
      <c r="Z61">
        <v>7.29</v>
      </c>
      <c r="AA61">
        <v>9.86</v>
      </c>
      <c r="AB61">
        <v>4.6900000000000004</v>
      </c>
      <c r="AC61">
        <v>4.34</v>
      </c>
      <c r="AD61">
        <v>4.5199999999999996</v>
      </c>
      <c r="AE61">
        <v>6.79</v>
      </c>
      <c r="AF61" s="150">
        <f>AVERAGE(G61:AE61)</f>
        <v>6.1792000000000016</v>
      </c>
    </row>
    <row r="62" spans="1:36" x14ac:dyDescent="0.2">
      <c r="A62" s="52">
        <v>73</v>
      </c>
      <c r="B62" t="s">
        <v>405</v>
      </c>
      <c r="C62" t="s">
        <v>444</v>
      </c>
      <c r="D62" t="s">
        <v>447</v>
      </c>
      <c r="E62" s="52" t="s">
        <v>399</v>
      </c>
      <c r="F62" s="52">
        <v>0.1</v>
      </c>
      <c r="G62" s="52">
        <v>5.04</v>
      </c>
      <c r="H62" s="52">
        <v>5.67</v>
      </c>
      <c r="I62" s="52">
        <v>4.59</v>
      </c>
      <c r="J62" s="52">
        <v>4.74</v>
      </c>
      <c r="K62" s="52">
        <v>5.04</v>
      </c>
      <c r="L62" s="52">
        <v>3.18</v>
      </c>
      <c r="M62" s="52">
        <v>5.0199999999999996</v>
      </c>
      <c r="N62" s="52">
        <v>5.76</v>
      </c>
      <c r="O62" s="52">
        <v>5.34</v>
      </c>
      <c r="P62" s="52">
        <v>4.4000000000000004</v>
      </c>
      <c r="Q62" s="52">
        <v>4.45</v>
      </c>
      <c r="R62" s="52">
        <v>4.33</v>
      </c>
      <c r="S62" s="52">
        <v>4.6900000000000004</v>
      </c>
      <c r="T62" s="52">
        <v>4.16</v>
      </c>
      <c r="U62" s="376">
        <v>4.5599999999999996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  <row r="63" spans="1:36" x14ac:dyDescent="0.2">
      <c r="A63">
        <v>74</v>
      </c>
      <c r="B63" t="s">
        <v>405</v>
      </c>
      <c r="C63" t="s">
        <v>444</v>
      </c>
      <c r="D63" t="s">
        <v>447</v>
      </c>
      <c r="E63" s="377" t="s">
        <v>399</v>
      </c>
      <c r="F63">
        <v>0.2</v>
      </c>
      <c r="G63">
        <v>4.8</v>
      </c>
      <c r="H63">
        <v>3.8</v>
      </c>
      <c r="I63">
        <v>5.48</v>
      </c>
      <c r="J63">
        <v>4.26</v>
      </c>
      <c r="K63">
        <v>4.6900000000000004</v>
      </c>
      <c r="L63">
        <v>4.3499999999999996</v>
      </c>
      <c r="M63">
        <v>4.9800000000000004</v>
      </c>
      <c r="N63">
        <v>5.94</v>
      </c>
      <c r="O63">
        <v>5.32</v>
      </c>
      <c r="P63">
        <v>3.7</v>
      </c>
      <c r="Q63">
        <v>3.85</v>
      </c>
      <c r="R63">
        <v>5.36</v>
      </c>
      <c r="S63">
        <v>5.17</v>
      </c>
      <c r="T63">
        <v>4.3600000000000003</v>
      </c>
      <c r="U63">
        <v>5.44</v>
      </c>
    </row>
    <row r="64" spans="1:36" x14ac:dyDescent="0.2">
      <c r="A64">
        <v>75</v>
      </c>
      <c r="B64" t="s">
        <v>405</v>
      </c>
      <c r="C64" t="s">
        <v>444</v>
      </c>
      <c r="D64" t="s">
        <v>447</v>
      </c>
      <c r="E64" s="377" t="s">
        <v>399</v>
      </c>
      <c r="F64">
        <v>0.2</v>
      </c>
      <c r="G64">
        <v>4.5</v>
      </c>
      <c r="H64">
        <v>4.96</v>
      </c>
      <c r="I64">
        <v>4.95</v>
      </c>
      <c r="J64">
        <v>5.66</v>
      </c>
      <c r="K64">
        <v>4.08</v>
      </c>
      <c r="L64">
        <v>5.37</v>
      </c>
      <c r="M64">
        <v>5.9</v>
      </c>
      <c r="N64">
        <v>4.99</v>
      </c>
      <c r="O64">
        <v>4.7699999999999996</v>
      </c>
      <c r="P64">
        <v>5.4</v>
      </c>
      <c r="Q64">
        <v>5.62</v>
      </c>
      <c r="R64">
        <v>6.1</v>
      </c>
      <c r="S64">
        <v>6.13</v>
      </c>
      <c r="T64">
        <v>5.07</v>
      </c>
      <c r="U64">
        <v>4.87</v>
      </c>
    </row>
    <row r="65" spans="1:36" x14ac:dyDescent="0.2">
      <c r="A65">
        <v>76</v>
      </c>
      <c r="B65" t="s">
        <v>405</v>
      </c>
      <c r="C65" t="s">
        <v>444</v>
      </c>
      <c r="D65" t="s">
        <v>447</v>
      </c>
      <c r="E65" s="377" t="s">
        <v>399</v>
      </c>
      <c r="F65">
        <v>0.2</v>
      </c>
      <c r="G65">
        <v>5.26</v>
      </c>
      <c r="H65">
        <v>4.84</v>
      </c>
      <c r="I65">
        <v>4.29</v>
      </c>
      <c r="J65" s="52">
        <v>3.92</v>
      </c>
      <c r="K65">
        <v>4.3600000000000003</v>
      </c>
      <c r="L65">
        <v>5.09</v>
      </c>
      <c r="M65">
        <v>5.72</v>
      </c>
      <c r="N65">
        <v>5.92</v>
      </c>
      <c r="O65">
        <v>4.46</v>
      </c>
      <c r="P65">
        <v>5.36</v>
      </c>
      <c r="Q65">
        <v>4.9000000000000004</v>
      </c>
      <c r="R65">
        <v>5.33</v>
      </c>
      <c r="S65">
        <v>5.22</v>
      </c>
      <c r="T65">
        <v>4.6100000000000003</v>
      </c>
      <c r="U65">
        <v>5.22</v>
      </c>
    </row>
    <row r="66" spans="1:36" x14ac:dyDescent="0.2">
      <c r="A66">
        <v>77</v>
      </c>
      <c r="B66" t="s">
        <v>405</v>
      </c>
      <c r="C66" t="s">
        <v>444</v>
      </c>
      <c r="D66" t="s">
        <v>447</v>
      </c>
      <c r="E66" s="377" t="s">
        <v>399</v>
      </c>
      <c r="F66">
        <v>0.2</v>
      </c>
      <c r="G66">
        <v>4.83</v>
      </c>
      <c r="H66">
        <v>5.56</v>
      </c>
      <c r="I66">
        <v>4.7</v>
      </c>
      <c r="J66">
        <v>5.05</v>
      </c>
      <c r="K66">
        <v>5.28</v>
      </c>
      <c r="L66">
        <v>5.33</v>
      </c>
      <c r="M66">
        <v>4.7300000000000004</v>
      </c>
      <c r="N66">
        <v>4.22</v>
      </c>
      <c r="O66">
        <v>4.2699999999999996</v>
      </c>
      <c r="P66">
        <v>5.96</v>
      </c>
      <c r="Q66">
        <v>5.35</v>
      </c>
      <c r="R66">
        <v>4.78</v>
      </c>
      <c r="S66">
        <v>4.8600000000000003</v>
      </c>
      <c r="T66">
        <v>5.39</v>
      </c>
      <c r="U66">
        <v>5.63</v>
      </c>
    </row>
    <row r="67" spans="1:36" x14ac:dyDescent="0.2">
      <c r="A67">
        <v>78</v>
      </c>
      <c r="B67" t="s">
        <v>405</v>
      </c>
      <c r="C67" t="s">
        <v>444</v>
      </c>
      <c r="D67" t="s">
        <v>447</v>
      </c>
      <c r="E67" s="377" t="s">
        <v>399</v>
      </c>
      <c r="F67">
        <v>0.2</v>
      </c>
      <c r="G67">
        <v>5.85</v>
      </c>
      <c r="H67">
        <v>5.35</v>
      </c>
      <c r="I67">
        <v>4.1100000000000003</v>
      </c>
      <c r="J67">
        <v>4.45</v>
      </c>
      <c r="K67">
        <v>5.76</v>
      </c>
      <c r="L67">
        <v>5.59</v>
      </c>
      <c r="M67">
        <v>4.43</v>
      </c>
      <c r="N67">
        <v>5.37</v>
      </c>
      <c r="O67">
        <v>5.52</v>
      </c>
      <c r="P67">
        <v>5.7</v>
      </c>
      <c r="Q67">
        <v>5.21</v>
      </c>
      <c r="R67">
        <v>5.0599999999999996</v>
      </c>
      <c r="S67">
        <v>4.74</v>
      </c>
      <c r="T67">
        <v>5.88</v>
      </c>
      <c r="U67">
        <v>4.41</v>
      </c>
    </row>
    <row r="68" spans="1:36" x14ac:dyDescent="0.2">
      <c r="A68">
        <v>79</v>
      </c>
      <c r="B68" t="s">
        <v>405</v>
      </c>
      <c r="C68" t="s">
        <v>444</v>
      </c>
      <c r="D68" t="s">
        <v>447</v>
      </c>
      <c r="E68" s="377" t="s">
        <v>399</v>
      </c>
      <c r="F68">
        <v>0.2</v>
      </c>
      <c r="G68">
        <v>4.42</v>
      </c>
      <c r="H68">
        <v>4.3899999999999997</v>
      </c>
      <c r="I68">
        <v>5.15</v>
      </c>
      <c r="J68">
        <v>5.56</v>
      </c>
      <c r="K68">
        <v>5.39</v>
      </c>
      <c r="L68">
        <v>5.89</v>
      </c>
      <c r="M68">
        <v>5.68</v>
      </c>
      <c r="N68">
        <v>6.05</v>
      </c>
      <c r="O68">
        <v>4.4800000000000004</v>
      </c>
      <c r="P68">
        <v>5.3</v>
      </c>
      <c r="Q68">
        <v>4.76</v>
      </c>
      <c r="R68">
        <v>4.68</v>
      </c>
      <c r="S68">
        <v>4.25</v>
      </c>
      <c r="T68">
        <v>5.34</v>
      </c>
      <c r="U68">
        <v>5.23</v>
      </c>
    </row>
    <row r="69" spans="1:36" x14ac:dyDescent="0.2">
      <c r="A69">
        <v>80</v>
      </c>
      <c r="B69" t="s">
        <v>405</v>
      </c>
      <c r="C69" t="s">
        <v>444</v>
      </c>
      <c r="D69" t="s">
        <v>447</v>
      </c>
      <c r="E69" s="377" t="s">
        <v>399</v>
      </c>
      <c r="F69">
        <v>0.2</v>
      </c>
      <c r="G69">
        <v>6.13</v>
      </c>
      <c r="H69">
        <v>5.82</v>
      </c>
      <c r="I69">
        <v>5.95</v>
      </c>
      <c r="J69">
        <v>5.95</v>
      </c>
      <c r="K69">
        <v>5.22</v>
      </c>
      <c r="L69">
        <v>5.54</v>
      </c>
      <c r="M69">
        <v>3.88</v>
      </c>
      <c r="N69">
        <v>5.51</v>
      </c>
      <c r="O69">
        <v>3.44</v>
      </c>
      <c r="P69">
        <v>3.99</v>
      </c>
      <c r="Q69">
        <v>5.3</v>
      </c>
      <c r="R69">
        <v>5.65</v>
      </c>
      <c r="S69">
        <v>4.8</v>
      </c>
      <c r="T69">
        <v>5.64</v>
      </c>
      <c r="U69">
        <v>5.01</v>
      </c>
    </row>
    <row r="70" spans="1:36" x14ac:dyDescent="0.2">
      <c r="A70">
        <v>81</v>
      </c>
      <c r="B70" t="s">
        <v>405</v>
      </c>
      <c r="C70" t="s">
        <v>444</v>
      </c>
      <c r="D70" t="s">
        <v>447</v>
      </c>
      <c r="E70" s="377" t="s">
        <v>399</v>
      </c>
      <c r="F70">
        <v>0.2</v>
      </c>
      <c r="G70">
        <v>5.0599999999999996</v>
      </c>
      <c r="H70">
        <v>5.83</v>
      </c>
      <c r="I70">
        <v>4.8499999999999996</v>
      </c>
      <c r="J70">
        <v>5.71</v>
      </c>
      <c r="K70">
        <v>4.9400000000000004</v>
      </c>
      <c r="L70">
        <v>5.1100000000000003</v>
      </c>
      <c r="M70">
        <v>4.42</v>
      </c>
      <c r="N70">
        <v>4.26</v>
      </c>
      <c r="O70">
        <v>5.93</v>
      </c>
      <c r="P70">
        <v>5.99</v>
      </c>
      <c r="Q70">
        <v>4.74</v>
      </c>
      <c r="R70">
        <v>5.88</v>
      </c>
      <c r="S70">
        <v>4.66</v>
      </c>
      <c r="T70">
        <v>5.23</v>
      </c>
      <c r="U70">
        <v>4.5</v>
      </c>
    </row>
    <row r="71" spans="1:36" s="52" customFormat="1" x14ac:dyDescent="0.2">
      <c r="A71">
        <v>82</v>
      </c>
      <c r="B71" t="s">
        <v>405</v>
      </c>
      <c r="C71" t="s">
        <v>444</v>
      </c>
      <c r="D71" t="s">
        <v>447</v>
      </c>
      <c r="E71" s="377" t="s">
        <v>399</v>
      </c>
      <c r="F71">
        <v>0.2</v>
      </c>
      <c r="G71">
        <v>4.78</v>
      </c>
      <c r="H71">
        <v>3.89</v>
      </c>
      <c r="I71">
        <v>4.93</v>
      </c>
      <c r="J71">
        <v>4.7699999999999996</v>
      </c>
      <c r="K71">
        <v>4.26</v>
      </c>
      <c r="L71">
        <v>5.52</v>
      </c>
      <c r="M71">
        <v>5.29</v>
      </c>
      <c r="N71" t="s">
        <v>400</v>
      </c>
      <c r="O71">
        <v>4.21</v>
      </c>
      <c r="P71">
        <v>4.57</v>
      </c>
      <c r="Q71">
        <v>5.77</v>
      </c>
      <c r="R71">
        <v>5.2</v>
      </c>
      <c r="S71">
        <v>4.47</v>
      </c>
      <c r="T71">
        <v>5.96</v>
      </c>
      <c r="U71">
        <v>3.79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x14ac:dyDescent="0.2">
      <c r="A72">
        <v>83</v>
      </c>
      <c r="B72" t="s">
        <v>405</v>
      </c>
      <c r="C72" t="s">
        <v>444</v>
      </c>
      <c r="D72" t="s">
        <v>447</v>
      </c>
      <c r="E72" s="377" t="s">
        <v>399</v>
      </c>
      <c r="F72">
        <v>0.2</v>
      </c>
      <c r="G72">
        <v>4.0599999999999996</v>
      </c>
      <c r="H72">
        <v>4.8600000000000003</v>
      </c>
      <c r="I72">
        <v>4.43</v>
      </c>
      <c r="J72">
        <v>4.96</v>
      </c>
      <c r="K72">
        <v>4.62</v>
      </c>
      <c r="L72">
        <v>4.6100000000000003</v>
      </c>
      <c r="M72">
        <v>4.67</v>
      </c>
      <c r="N72">
        <v>4.16</v>
      </c>
      <c r="O72">
        <v>5.25</v>
      </c>
      <c r="P72">
        <v>5.5</v>
      </c>
      <c r="Q72">
        <v>4.47</v>
      </c>
      <c r="R72">
        <v>5.27</v>
      </c>
      <c r="S72">
        <v>5.88</v>
      </c>
      <c r="T72">
        <v>5.95</v>
      </c>
      <c r="U72">
        <v>5.37</v>
      </c>
    </row>
    <row r="73" spans="1:36" x14ac:dyDescent="0.2">
      <c r="A73">
        <v>84</v>
      </c>
      <c r="B73" t="s">
        <v>405</v>
      </c>
      <c r="C73" t="s">
        <v>444</v>
      </c>
      <c r="D73" t="s">
        <v>447</v>
      </c>
      <c r="E73" s="377" t="s">
        <v>399</v>
      </c>
      <c r="F73">
        <v>0.2</v>
      </c>
      <c r="G73">
        <v>4.5199999999999996</v>
      </c>
      <c r="H73">
        <v>4.2699999999999996</v>
      </c>
      <c r="I73">
        <v>4.91</v>
      </c>
      <c r="J73">
        <v>5.09</v>
      </c>
      <c r="K73">
        <v>4.78</v>
      </c>
      <c r="L73">
        <v>5.64</v>
      </c>
      <c r="M73">
        <v>6.02</v>
      </c>
      <c r="N73">
        <v>3.69</v>
      </c>
      <c r="O73">
        <v>5.59</v>
      </c>
      <c r="P73">
        <v>4.74</v>
      </c>
      <c r="Q73">
        <v>4.59</v>
      </c>
      <c r="R73">
        <v>5.33</v>
      </c>
      <c r="S73">
        <v>5.24</v>
      </c>
      <c r="T73">
        <v>5.74</v>
      </c>
      <c r="U73">
        <v>6.09</v>
      </c>
    </row>
    <row r="74" spans="1:36" x14ac:dyDescent="0.2">
      <c r="A74">
        <v>85</v>
      </c>
      <c r="B74" t="s">
        <v>405</v>
      </c>
      <c r="C74" t="s">
        <v>444</v>
      </c>
      <c r="D74" t="s">
        <v>447</v>
      </c>
      <c r="E74" s="52" t="s">
        <v>398</v>
      </c>
      <c r="F74" s="52">
        <v>0.6</v>
      </c>
      <c r="G74" s="52">
        <v>7.2</v>
      </c>
      <c r="H74" s="52">
        <v>6.89</v>
      </c>
      <c r="I74" s="52">
        <v>9.35</v>
      </c>
      <c r="J74" s="52">
        <v>6.87</v>
      </c>
      <c r="K74" s="52">
        <v>9.76</v>
      </c>
      <c r="L74" s="52">
        <v>7.43</v>
      </c>
      <c r="M74" s="52">
        <v>8.07</v>
      </c>
      <c r="N74" s="52">
        <v>6.54</v>
      </c>
      <c r="O74" s="52">
        <v>7.93</v>
      </c>
      <c r="P74" s="52">
        <v>6.78</v>
      </c>
      <c r="Q74" s="52">
        <v>9.11</v>
      </c>
      <c r="R74" s="52">
        <v>6.85</v>
      </c>
      <c r="S74" s="52">
        <v>10.79</v>
      </c>
      <c r="T74" s="52">
        <v>7.11</v>
      </c>
      <c r="U74" s="52">
        <v>6.64</v>
      </c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</row>
    <row r="75" spans="1:36" x14ac:dyDescent="0.2">
      <c r="A75">
        <v>86</v>
      </c>
      <c r="B75" t="s">
        <v>405</v>
      </c>
      <c r="C75" t="s">
        <v>444</v>
      </c>
      <c r="D75" t="s">
        <v>447</v>
      </c>
      <c r="E75" s="377" t="s">
        <v>398</v>
      </c>
      <c r="F75">
        <v>0.8</v>
      </c>
      <c r="G75">
        <v>6.99</v>
      </c>
      <c r="H75">
        <v>7.3</v>
      </c>
      <c r="I75">
        <v>7.23</v>
      </c>
      <c r="J75">
        <v>9.9700000000000006</v>
      </c>
      <c r="K75">
        <v>8.4499999999999993</v>
      </c>
      <c r="L75">
        <v>7.5</v>
      </c>
      <c r="M75">
        <v>8.2100000000000009</v>
      </c>
      <c r="N75">
        <v>8.67</v>
      </c>
      <c r="O75">
        <v>6.28</v>
      </c>
      <c r="P75">
        <v>6.21</v>
      </c>
      <c r="Q75">
        <v>9.75</v>
      </c>
      <c r="R75">
        <v>9.24</v>
      </c>
      <c r="S75">
        <v>7.17</v>
      </c>
      <c r="T75">
        <v>7.26</v>
      </c>
      <c r="U75">
        <v>10.210000000000001</v>
      </c>
    </row>
    <row r="76" spans="1:36" x14ac:dyDescent="0.2">
      <c r="A76">
        <v>87</v>
      </c>
      <c r="B76" t="s">
        <v>405</v>
      </c>
      <c r="C76" t="s">
        <v>444</v>
      </c>
      <c r="D76" t="s">
        <v>447</v>
      </c>
      <c r="E76" s="377" t="s">
        <v>398</v>
      </c>
      <c r="F76">
        <v>0.7</v>
      </c>
      <c r="G76" s="377">
        <v>7.14</v>
      </c>
      <c r="H76">
        <v>7.95</v>
      </c>
      <c r="I76">
        <v>7.51</v>
      </c>
      <c r="J76">
        <v>6.22</v>
      </c>
      <c r="K76">
        <v>6.38</v>
      </c>
      <c r="L76">
        <v>6.61</v>
      </c>
      <c r="M76">
        <v>6.26</v>
      </c>
      <c r="N76">
        <v>8.64</v>
      </c>
      <c r="O76">
        <v>9.99</v>
      </c>
      <c r="P76">
        <v>6.36</v>
      </c>
      <c r="Q76">
        <v>6.34</v>
      </c>
      <c r="R76">
        <v>7.58</v>
      </c>
      <c r="S76">
        <v>7.56</v>
      </c>
      <c r="T76">
        <v>10.91</v>
      </c>
      <c r="U76">
        <v>8.25</v>
      </c>
    </row>
    <row r="77" spans="1:36" x14ac:dyDescent="0.2">
      <c r="A77">
        <v>88</v>
      </c>
      <c r="B77" t="s">
        <v>405</v>
      </c>
      <c r="C77" t="s">
        <v>444</v>
      </c>
      <c r="D77" t="s">
        <v>447</v>
      </c>
      <c r="E77" s="377" t="s">
        <v>398</v>
      </c>
      <c r="F77">
        <v>0.9</v>
      </c>
      <c r="G77">
        <v>7.53</v>
      </c>
      <c r="H77">
        <v>7.68</v>
      </c>
      <c r="I77">
        <v>9.81</v>
      </c>
      <c r="J77">
        <v>6.6</v>
      </c>
      <c r="K77">
        <v>7.33</v>
      </c>
      <c r="L77">
        <v>6.81</v>
      </c>
      <c r="M77">
        <v>6.23</v>
      </c>
      <c r="N77">
        <v>6.22</v>
      </c>
      <c r="O77">
        <v>7.16</v>
      </c>
      <c r="P77">
        <v>14.36</v>
      </c>
      <c r="Q77">
        <v>7.17</v>
      </c>
      <c r="R77">
        <v>8.5</v>
      </c>
      <c r="S77">
        <v>6.65</v>
      </c>
      <c r="T77">
        <v>8.27</v>
      </c>
      <c r="U77">
        <v>6.8</v>
      </c>
    </row>
    <row r="78" spans="1:36" x14ac:dyDescent="0.2">
      <c r="A78">
        <v>89</v>
      </c>
      <c r="B78" t="s">
        <v>405</v>
      </c>
      <c r="C78" t="s">
        <v>444</v>
      </c>
      <c r="D78" t="s">
        <v>447</v>
      </c>
      <c r="E78" s="377" t="s">
        <v>398</v>
      </c>
      <c r="F78">
        <v>0.7</v>
      </c>
      <c r="G78" s="377">
        <v>6.71</v>
      </c>
      <c r="H78">
        <v>7.71</v>
      </c>
      <c r="I78">
        <v>7.74</v>
      </c>
      <c r="J78">
        <v>7.28</v>
      </c>
      <c r="K78">
        <v>7.26</v>
      </c>
      <c r="L78">
        <v>7.33</v>
      </c>
      <c r="M78">
        <v>9.3000000000000007</v>
      </c>
      <c r="N78">
        <v>9.32</v>
      </c>
      <c r="O78">
        <v>7.29</v>
      </c>
      <c r="P78">
        <v>10.01</v>
      </c>
      <c r="Q78">
        <v>9.18</v>
      </c>
      <c r="R78">
        <v>8.35</v>
      </c>
      <c r="S78">
        <v>8.02</v>
      </c>
      <c r="T78">
        <v>7.16</v>
      </c>
      <c r="U78">
        <v>7.61</v>
      </c>
    </row>
    <row r="79" spans="1:36" x14ac:dyDescent="0.2">
      <c r="A79">
        <v>90</v>
      </c>
      <c r="B79" t="s">
        <v>405</v>
      </c>
      <c r="C79" t="s">
        <v>444</v>
      </c>
      <c r="D79" t="s">
        <v>447</v>
      </c>
      <c r="E79" s="377" t="s">
        <v>398</v>
      </c>
      <c r="F79">
        <v>0.7</v>
      </c>
      <c r="G79" s="377">
        <v>6.32</v>
      </c>
      <c r="H79">
        <v>6.87</v>
      </c>
      <c r="I79">
        <v>6.29</v>
      </c>
      <c r="J79">
        <v>7</v>
      </c>
      <c r="K79">
        <v>6.58</v>
      </c>
      <c r="L79">
        <v>8.16</v>
      </c>
      <c r="M79">
        <v>6.61</v>
      </c>
      <c r="N79">
        <v>7.88</v>
      </c>
      <c r="O79">
        <v>9.8000000000000007</v>
      </c>
      <c r="P79">
        <v>6.81</v>
      </c>
      <c r="Q79">
        <v>9.69</v>
      </c>
      <c r="R79">
        <v>8.75</v>
      </c>
      <c r="S79">
        <v>7.01</v>
      </c>
      <c r="T79">
        <v>7.45</v>
      </c>
      <c r="U79">
        <v>7.07</v>
      </c>
    </row>
    <row r="80" spans="1:36" x14ac:dyDescent="0.2">
      <c r="A80">
        <v>91</v>
      </c>
      <c r="B80" t="s">
        <v>405</v>
      </c>
      <c r="C80" t="s">
        <v>444</v>
      </c>
      <c r="D80" t="s">
        <v>447</v>
      </c>
      <c r="E80" s="377" t="s">
        <v>398</v>
      </c>
      <c r="F80">
        <v>0.6</v>
      </c>
      <c r="G80" s="377">
        <v>7.02</v>
      </c>
      <c r="H80">
        <v>12.01</v>
      </c>
      <c r="I80">
        <v>7.04</v>
      </c>
      <c r="J80">
        <v>7.76</v>
      </c>
      <c r="K80">
        <v>7.71</v>
      </c>
      <c r="L80">
        <v>8.81</v>
      </c>
      <c r="M80">
        <v>6.88</v>
      </c>
      <c r="N80">
        <v>6.69</v>
      </c>
      <c r="O80">
        <v>6.21</v>
      </c>
      <c r="P80">
        <v>6.47</v>
      </c>
      <c r="Q80">
        <v>6.98</v>
      </c>
      <c r="R80">
        <v>7.4</v>
      </c>
      <c r="S80">
        <v>6.44</v>
      </c>
      <c r="T80">
        <v>6.66</v>
      </c>
      <c r="U80">
        <v>6.19</v>
      </c>
    </row>
    <row r="81" spans="1:36" x14ac:dyDescent="0.2">
      <c r="A81">
        <v>92</v>
      </c>
      <c r="B81" t="s">
        <v>405</v>
      </c>
      <c r="C81" t="s">
        <v>444</v>
      </c>
      <c r="D81" t="s">
        <v>447</v>
      </c>
      <c r="E81" s="377" t="s">
        <v>398</v>
      </c>
      <c r="F81">
        <v>0.6</v>
      </c>
      <c r="G81" s="377">
        <v>6.96</v>
      </c>
      <c r="H81">
        <v>7.18</v>
      </c>
      <c r="I81">
        <v>7.08</v>
      </c>
      <c r="J81">
        <v>7.44</v>
      </c>
      <c r="K81">
        <v>8.5500000000000007</v>
      </c>
      <c r="L81">
        <v>6.72</v>
      </c>
      <c r="M81">
        <v>6.21</v>
      </c>
      <c r="N81">
        <v>7.75</v>
      </c>
      <c r="O81">
        <v>9.43</v>
      </c>
      <c r="P81">
        <v>8.27</v>
      </c>
      <c r="Q81">
        <v>8.18</v>
      </c>
      <c r="R81">
        <v>8.2200000000000006</v>
      </c>
      <c r="S81">
        <v>6.21</v>
      </c>
      <c r="T81">
        <v>6.37</v>
      </c>
      <c r="U81">
        <v>7.35</v>
      </c>
    </row>
    <row r="82" spans="1:36" x14ac:dyDescent="0.2">
      <c r="A82">
        <v>93</v>
      </c>
      <c r="B82" t="s">
        <v>405</v>
      </c>
      <c r="C82" t="s">
        <v>444</v>
      </c>
      <c r="D82" t="s">
        <v>447</v>
      </c>
      <c r="E82" s="377" t="s">
        <v>398</v>
      </c>
      <c r="F82">
        <v>0.9</v>
      </c>
      <c r="G82" s="377">
        <v>6.27</v>
      </c>
      <c r="H82">
        <v>10.09</v>
      </c>
      <c r="I82">
        <v>7.55</v>
      </c>
      <c r="J82">
        <v>8.57</v>
      </c>
      <c r="K82">
        <v>6.24</v>
      </c>
      <c r="L82">
        <v>8.09</v>
      </c>
      <c r="M82">
        <v>9.31</v>
      </c>
      <c r="N82">
        <v>8.98</v>
      </c>
      <c r="O82">
        <v>6.83</v>
      </c>
      <c r="P82">
        <v>6.79</v>
      </c>
      <c r="Q82">
        <v>7.95</v>
      </c>
      <c r="R82">
        <v>7.25</v>
      </c>
      <c r="S82">
        <v>9.69</v>
      </c>
      <c r="T82">
        <v>7.59</v>
      </c>
      <c r="U82">
        <v>9.3000000000000007</v>
      </c>
    </row>
    <row r="83" spans="1:36" s="52" customFormat="1" x14ac:dyDescent="0.2">
      <c r="A83">
        <v>94</v>
      </c>
      <c r="B83" t="s">
        <v>405</v>
      </c>
      <c r="C83" t="s">
        <v>444</v>
      </c>
      <c r="D83" t="s">
        <v>447</v>
      </c>
      <c r="E83" s="377" t="s">
        <v>398</v>
      </c>
      <c r="F83">
        <v>0.9</v>
      </c>
      <c r="G83" s="377">
        <v>8.8699999999999992</v>
      </c>
      <c r="H83">
        <v>10.97</v>
      </c>
      <c r="I83">
        <v>8.02</v>
      </c>
      <c r="J83">
        <v>6.86</v>
      </c>
      <c r="K83">
        <v>7.64</v>
      </c>
      <c r="L83">
        <v>7.54</v>
      </c>
      <c r="M83">
        <v>8.94</v>
      </c>
      <c r="N83">
        <v>8.86</v>
      </c>
      <c r="O83">
        <v>7.57</v>
      </c>
      <c r="P83">
        <v>6.98</v>
      </c>
      <c r="Q83">
        <v>7.65</v>
      </c>
      <c r="R83">
        <v>7.04</v>
      </c>
      <c r="S83">
        <v>7.3</v>
      </c>
      <c r="T83">
        <v>9</v>
      </c>
      <c r="U83">
        <v>8.32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x14ac:dyDescent="0.2">
      <c r="A84">
        <v>95</v>
      </c>
      <c r="B84" t="s">
        <v>405</v>
      </c>
      <c r="C84" t="s">
        <v>444</v>
      </c>
      <c r="D84" t="s">
        <v>447</v>
      </c>
      <c r="E84" s="377" t="s">
        <v>398</v>
      </c>
      <c r="F84">
        <v>0.6</v>
      </c>
      <c r="G84" s="377">
        <v>8.7200000000000006</v>
      </c>
      <c r="H84">
        <v>7.97</v>
      </c>
      <c r="I84">
        <v>6.43</v>
      </c>
      <c r="J84">
        <v>7.73</v>
      </c>
      <c r="K84">
        <v>6.44</v>
      </c>
      <c r="L84">
        <v>6.66</v>
      </c>
      <c r="M84">
        <v>6.95</v>
      </c>
      <c r="N84">
        <v>6.84</v>
      </c>
      <c r="O84">
        <v>8.49</v>
      </c>
      <c r="P84">
        <v>6.73</v>
      </c>
      <c r="Q84">
        <v>6.66</v>
      </c>
      <c r="R84">
        <v>7</v>
      </c>
      <c r="S84">
        <v>7.32</v>
      </c>
      <c r="T84">
        <v>6.7</v>
      </c>
      <c r="U84">
        <v>6.08</v>
      </c>
    </row>
    <row r="85" spans="1:36" x14ac:dyDescent="0.2">
      <c r="A85">
        <v>96</v>
      </c>
      <c r="B85" t="s">
        <v>405</v>
      </c>
      <c r="C85" t="s">
        <v>444</v>
      </c>
      <c r="D85" t="s">
        <v>447</v>
      </c>
      <c r="E85" s="377" t="s">
        <v>398</v>
      </c>
      <c r="F85">
        <v>0.5</v>
      </c>
      <c r="G85" s="377">
        <v>6.17</v>
      </c>
      <c r="H85">
        <v>6.62</v>
      </c>
      <c r="I85">
        <v>7.01</v>
      </c>
      <c r="J85">
        <v>6.29</v>
      </c>
      <c r="K85">
        <v>6.84</v>
      </c>
      <c r="L85">
        <v>6.18</v>
      </c>
      <c r="M85">
        <v>7.01</v>
      </c>
      <c r="N85">
        <v>6.16</v>
      </c>
      <c r="O85">
        <v>7.17</v>
      </c>
      <c r="P85">
        <v>6.74</v>
      </c>
      <c r="Q85">
        <v>6.88</v>
      </c>
      <c r="R85">
        <v>8.7100000000000009</v>
      </c>
      <c r="S85">
        <v>7.4</v>
      </c>
      <c r="T85">
        <v>6.24</v>
      </c>
      <c r="U85">
        <v>6.29</v>
      </c>
    </row>
    <row r="86" spans="1:36" x14ac:dyDescent="0.2">
      <c r="A86" t="s">
        <v>453</v>
      </c>
      <c r="B86" t="s">
        <v>405</v>
      </c>
      <c r="C86" t="s">
        <v>444</v>
      </c>
      <c r="D86" t="s">
        <v>447</v>
      </c>
      <c r="E86" t="s">
        <v>453</v>
      </c>
      <c r="F86" t="s">
        <v>453</v>
      </c>
      <c r="G86">
        <v>6.07</v>
      </c>
      <c r="H86">
        <v>5.22</v>
      </c>
      <c r="I86">
        <v>3.66</v>
      </c>
      <c r="J86">
        <v>5.86</v>
      </c>
      <c r="K86">
        <v>5.32</v>
      </c>
      <c r="L86">
        <v>3.14</v>
      </c>
      <c r="M86">
        <v>2.9</v>
      </c>
      <c r="N86">
        <v>4.43</v>
      </c>
      <c r="O86">
        <v>5.79</v>
      </c>
      <c r="P86">
        <v>4.38</v>
      </c>
      <c r="Q86">
        <v>5.13</v>
      </c>
      <c r="R86">
        <v>4.16</v>
      </c>
      <c r="S86">
        <v>4.95</v>
      </c>
      <c r="T86">
        <v>3.68</v>
      </c>
      <c r="U86">
        <v>5.2</v>
      </c>
      <c r="V86">
        <v>4.7</v>
      </c>
      <c r="W86">
        <v>3.57</v>
      </c>
      <c r="X86">
        <v>3.73</v>
      </c>
      <c r="Y86">
        <v>3.58</v>
      </c>
      <c r="Z86">
        <v>5.15</v>
      </c>
    </row>
    <row r="87" spans="1:36" x14ac:dyDescent="0.2">
      <c r="A87" t="s">
        <v>453</v>
      </c>
      <c r="B87" t="s">
        <v>405</v>
      </c>
      <c r="C87" t="s">
        <v>444</v>
      </c>
      <c r="D87" t="s">
        <v>447</v>
      </c>
      <c r="E87" t="s">
        <v>453</v>
      </c>
      <c r="F87" t="s">
        <v>453</v>
      </c>
      <c r="G87">
        <v>3.12</v>
      </c>
      <c r="H87">
        <v>5.16</v>
      </c>
      <c r="I87">
        <v>3.68</v>
      </c>
      <c r="J87">
        <v>3.47</v>
      </c>
      <c r="K87">
        <v>5.07</v>
      </c>
      <c r="L87">
        <v>6.01</v>
      </c>
      <c r="M87">
        <v>3.03</v>
      </c>
      <c r="N87">
        <v>3.41</v>
      </c>
      <c r="O87">
        <v>3.29</v>
      </c>
      <c r="P87">
        <v>3.62</v>
      </c>
      <c r="Q87">
        <v>3.83</v>
      </c>
      <c r="R87">
        <v>5.41</v>
      </c>
      <c r="S87">
        <v>4.32</v>
      </c>
      <c r="T87">
        <v>3.35</v>
      </c>
      <c r="U87">
        <v>6.43</v>
      </c>
      <c r="V87">
        <v>5.25</v>
      </c>
      <c r="W87">
        <v>4.22</v>
      </c>
      <c r="X87">
        <v>2.4</v>
      </c>
      <c r="Y87">
        <v>2.08</v>
      </c>
      <c r="Z87">
        <v>4.07</v>
      </c>
    </row>
    <row r="88" spans="1:36" x14ac:dyDescent="0.2">
      <c r="A88" t="s">
        <v>453</v>
      </c>
      <c r="B88" t="s">
        <v>405</v>
      </c>
      <c r="C88" t="s">
        <v>444</v>
      </c>
      <c r="D88" t="s">
        <v>447</v>
      </c>
      <c r="E88" t="s">
        <v>453</v>
      </c>
      <c r="F88" t="s">
        <v>453</v>
      </c>
      <c r="G88">
        <v>3.97</v>
      </c>
      <c r="H88">
        <v>5.42</v>
      </c>
      <c r="I88">
        <v>5.03</v>
      </c>
      <c r="J88">
        <v>5.55</v>
      </c>
      <c r="K88">
        <v>2.89</v>
      </c>
      <c r="L88">
        <v>6.57</v>
      </c>
      <c r="M88">
        <v>4.24</v>
      </c>
      <c r="N88">
        <v>3.99</v>
      </c>
      <c r="O88">
        <v>2.72</v>
      </c>
      <c r="P88">
        <v>3.57</v>
      </c>
      <c r="Q88">
        <v>6.38</v>
      </c>
      <c r="R88">
        <v>2.99</v>
      </c>
      <c r="S88">
        <v>4.1100000000000003</v>
      </c>
      <c r="T88">
        <v>4.3</v>
      </c>
      <c r="U88">
        <v>4.99</v>
      </c>
      <c r="V88">
        <v>4.5999999999999996</v>
      </c>
      <c r="W88">
        <v>3.21</v>
      </c>
      <c r="X88">
        <v>5.41</v>
      </c>
      <c r="Y88">
        <v>3</v>
      </c>
      <c r="Z88">
        <v>3.66</v>
      </c>
    </row>
    <row r="89" spans="1:36" x14ac:dyDescent="0.2">
      <c r="A89" t="s">
        <v>453</v>
      </c>
      <c r="B89" t="s">
        <v>405</v>
      </c>
      <c r="C89" t="s">
        <v>444</v>
      </c>
      <c r="D89" t="s">
        <v>447</v>
      </c>
      <c r="E89" t="s">
        <v>453</v>
      </c>
      <c r="F89" t="s">
        <v>453</v>
      </c>
      <c r="G89">
        <v>3.69</v>
      </c>
      <c r="H89">
        <v>4.88</v>
      </c>
      <c r="I89">
        <v>7.54</v>
      </c>
      <c r="J89">
        <v>6.28</v>
      </c>
      <c r="K89">
        <v>4.68</v>
      </c>
      <c r="L89">
        <v>4.7300000000000004</v>
      </c>
      <c r="M89">
        <v>6.08</v>
      </c>
      <c r="N89">
        <v>4.54</v>
      </c>
      <c r="O89">
        <v>4.8099999999999996</v>
      </c>
      <c r="P89">
        <v>4.0999999999999996</v>
      </c>
      <c r="Q89">
        <v>5.07</v>
      </c>
      <c r="R89">
        <v>4.79</v>
      </c>
      <c r="S89">
        <v>3.14</v>
      </c>
      <c r="T89">
        <v>4.41</v>
      </c>
      <c r="U89">
        <v>4.43</v>
      </c>
      <c r="V89">
        <v>3.19</v>
      </c>
      <c r="W89">
        <v>4.63</v>
      </c>
      <c r="X89">
        <v>4.8</v>
      </c>
      <c r="Y89">
        <v>3.05</v>
      </c>
      <c r="Z89">
        <v>3.18</v>
      </c>
    </row>
    <row r="90" spans="1:36" x14ac:dyDescent="0.2">
      <c r="A90" t="s">
        <v>453</v>
      </c>
      <c r="B90" t="s">
        <v>405</v>
      </c>
      <c r="C90" t="s">
        <v>444</v>
      </c>
      <c r="D90" t="s">
        <v>447</v>
      </c>
      <c r="E90" t="s">
        <v>453</v>
      </c>
      <c r="F90" t="s">
        <v>453</v>
      </c>
      <c r="G90">
        <v>4.92</v>
      </c>
      <c r="H90">
        <v>3.64</v>
      </c>
      <c r="I90">
        <v>5.69</v>
      </c>
      <c r="J90">
        <v>3.18</v>
      </c>
      <c r="K90">
        <v>5.51</v>
      </c>
      <c r="L90">
        <v>3.84</v>
      </c>
      <c r="M90">
        <v>2.81</v>
      </c>
      <c r="N90">
        <v>5.52</v>
      </c>
      <c r="O90">
        <v>3.64</v>
      </c>
      <c r="P90">
        <v>3.44</v>
      </c>
      <c r="Q90">
        <v>4.05</v>
      </c>
      <c r="R90">
        <v>5.64</v>
      </c>
      <c r="S90">
        <v>3.51</v>
      </c>
      <c r="T90">
        <v>3.32</v>
      </c>
      <c r="U90">
        <v>4.55</v>
      </c>
      <c r="V90">
        <v>4.3</v>
      </c>
      <c r="W90">
        <v>6.99</v>
      </c>
      <c r="X90">
        <v>3.35</v>
      </c>
      <c r="Y90">
        <v>4.01</v>
      </c>
      <c r="Z90">
        <v>3.46</v>
      </c>
    </row>
    <row r="91" spans="1:36" x14ac:dyDescent="0.2">
      <c r="A91" s="380" t="s">
        <v>395</v>
      </c>
      <c r="B91" s="380" t="s">
        <v>464</v>
      </c>
      <c r="C91" s="380" t="s">
        <v>449</v>
      </c>
      <c r="D91" s="380" t="s">
        <v>446</v>
      </c>
      <c r="E91" s="380" t="s">
        <v>395</v>
      </c>
      <c r="F91" s="380" t="s">
        <v>395</v>
      </c>
      <c r="G91" s="380">
        <v>15.51</v>
      </c>
      <c r="H91" s="380">
        <v>11.66</v>
      </c>
      <c r="I91" s="380">
        <v>15.25</v>
      </c>
      <c r="J91" s="380">
        <v>9.1999999999999993</v>
      </c>
      <c r="K91" s="380">
        <v>9.08</v>
      </c>
      <c r="L91" s="380">
        <v>11.84</v>
      </c>
      <c r="M91" s="380">
        <v>15.1</v>
      </c>
      <c r="N91" s="380">
        <v>17.96</v>
      </c>
      <c r="O91" s="380">
        <v>7.49</v>
      </c>
      <c r="P91" s="380">
        <v>11.37</v>
      </c>
      <c r="Q91" s="380">
        <v>3.8</v>
      </c>
      <c r="R91" s="380">
        <v>5.77</v>
      </c>
      <c r="S91" s="380">
        <v>6.87</v>
      </c>
      <c r="T91" s="380">
        <v>8.74</v>
      </c>
      <c r="U91" s="380">
        <v>13.48</v>
      </c>
      <c r="V91" s="380">
        <v>15.09</v>
      </c>
      <c r="W91" s="380">
        <v>17.399999999999999</v>
      </c>
      <c r="X91" s="380">
        <v>9.52</v>
      </c>
      <c r="Y91" s="380">
        <v>10.28</v>
      </c>
      <c r="Z91" s="380">
        <v>3.96</v>
      </c>
      <c r="AA91" s="380">
        <v>2.81</v>
      </c>
      <c r="AB91" s="380">
        <v>14.14</v>
      </c>
      <c r="AC91" s="380">
        <v>5.28</v>
      </c>
      <c r="AD91" s="380">
        <v>13.3</v>
      </c>
      <c r="AE91" s="380">
        <v>15.63</v>
      </c>
      <c r="AF91" s="380"/>
      <c r="AG91" s="380"/>
      <c r="AH91" s="380"/>
      <c r="AI91" s="380"/>
      <c r="AJ91" s="380"/>
    </row>
    <row r="92" spans="1:36" x14ac:dyDescent="0.2">
      <c r="A92" t="s">
        <v>453</v>
      </c>
      <c r="B92" s="380" t="s">
        <v>464</v>
      </c>
      <c r="C92" s="380" t="s">
        <v>449</v>
      </c>
      <c r="D92" s="380" t="s">
        <v>446</v>
      </c>
      <c r="E92" s="380" t="s">
        <v>398</v>
      </c>
      <c r="F92" s="380">
        <v>5</v>
      </c>
      <c r="G92" s="380">
        <v>18.13</v>
      </c>
      <c r="H92" s="380">
        <v>13.86</v>
      </c>
      <c r="I92" s="380">
        <v>11.24</v>
      </c>
      <c r="J92" s="380">
        <v>15.44</v>
      </c>
      <c r="K92" s="380">
        <v>15.13</v>
      </c>
      <c r="L92" s="380">
        <v>16.07</v>
      </c>
      <c r="M92" s="380">
        <v>15.26</v>
      </c>
      <c r="N92" s="380">
        <v>17.190000000000001</v>
      </c>
      <c r="O92" s="380">
        <v>14.71</v>
      </c>
      <c r="P92" s="380">
        <v>14.01</v>
      </c>
      <c r="Q92" s="380">
        <v>13.94</v>
      </c>
      <c r="R92" s="380">
        <v>11.19</v>
      </c>
      <c r="S92" s="380">
        <v>13.5</v>
      </c>
      <c r="T92" s="380"/>
      <c r="U92" s="380"/>
      <c r="V92" s="380"/>
      <c r="W92" s="380"/>
      <c r="X92" s="380"/>
      <c r="Y92" s="380"/>
      <c r="Z92" s="380"/>
      <c r="AA92" s="380"/>
      <c r="AB92" s="380"/>
      <c r="AC92" s="380"/>
      <c r="AD92" s="380"/>
      <c r="AE92" s="380"/>
      <c r="AF92" s="380"/>
      <c r="AG92" s="380"/>
      <c r="AH92" s="380"/>
      <c r="AI92" s="380"/>
      <c r="AJ92" s="380"/>
    </row>
    <row r="93" spans="1:36" x14ac:dyDescent="0.2">
      <c r="A93" t="s">
        <v>453</v>
      </c>
      <c r="B93" s="380" t="s">
        <v>464</v>
      </c>
      <c r="C93" s="380" t="s">
        <v>449</v>
      </c>
      <c r="D93" s="380" t="s">
        <v>446</v>
      </c>
      <c r="E93" s="380" t="s">
        <v>398</v>
      </c>
      <c r="F93" s="380">
        <v>3.6</v>
      </c>
      <c r="G93" s="380">
        <v>15.55</v>
      </c>
      <c r="H93" s="380">
        <v>14.56</v>
      </c>
      <c r="I93" s="380">
        <v>14.68</v>
      </c>
      <c r="J93" s="380">
        <v>14.83</v>
      </c>
      <c r="K93" s="380">
        <v>11.8</v>
      </c>
      <c r="L93" s="380">
        <v>12.27</v>
      </c>
      <c r="M93" s="380">
        <v>13.46</v>
      </c>
      <c r="N93" s="380">
        <v>14.49</v>
      </c>
      <c r="O93" s="380">
        <v>12.63</v>
      </c>
      <c r="P93" s="380">
        <v>11.92</v>
      </c>
      <c r="Q93" s="380">
        <v>13.74</v>
      </c>
      <c r="R93" s="380">
        <v>12</v>
      </c>
      <c r="S93" s="380">
        <v>13.01</v>
      </c>
      <c r="T93" s="380"/>
      <c r="U93" s="380"/>
      <c r="V93" s="380"/>
      <c r="W93" s="380"/>
      <c r="X93" s="380"/>
      <c r="Y93" s="380"/>
      <c r="Z93" s="380"/>
      <c r="AA93" s="380"/>
      <c r="AB93" s="380"/>
      <c r="AC93" s="380"/>
      <c r="AD93" s="380"/>
      <c r="AE93" s="380"/>
      <c r="AF93" s="380"/>
      <c r="AG93" s="380"/>
      <c r="AH93" s="380"/>
      <c r="AI93" s="380"/>
      <c r="AJ93" s="380"/>
    </row>
    <row r="94" spans="1:36" x14ac:dyDescent="0.2">
      <c r="A94" t="s">
        <v>453</v>
      </c>
      <c r="B94" s="380" t="s">
        <v>464</v>
      </c>
      <c r="C94" s="380" t="s">
        <v>449</v>
      </c>
      <c r="D94" s="380" t="s">
        <v>446</v>
      </c>
      <c r="E94" s="380" t="s">
        <v>398</v>
      </c>
      <c r="F94" s="380">
        <v>4.2</v>
      </c>
      <c r="G94" s="380">
        <v>11.23</v>
      </c>
      <c r="H94" s="380">
        <v>16.170000000000002</v>
      </c>
      <c r="I94" s="380">
        <v>11.18</v>
      </c>
      <c r="J94" s="380">
        <v>13.62</v>
      </c>
      <c r="K94" s="380">
        <v>11.27</v>
      </c>
      <c r="L94" s="380">
        <v>12.77</v>
      </c>
      <c r="M94" s="380">
        <v>12.51</v>
      </c>
      <c r="N94" s="380">
        <v>16.27</v>
      </c>
      <c r="O94" s="380">
        <v>16.190000000000001</v>
      </c>
      <c r="P94" s="380">
        <v>17.14</v>
      </c>
      <c r="Q94" s="380">
        <v>20.77</v>
      </c>
      <c r="R94" s="380">
        <v>12.97</v>
      </c>
      <c r="S94" s="380">
        <v>12.44</v>
      </c>
      <c r="T94" s="380"/>
      <c r="U94" s="380"/>
      <c r="V94" s="380"/>
      <c r="W94" s="380"/>
      <c r="X94" s="380"/>
      <c r="Y94" s="380"/>
      <c r="Z94" s="380"/>
      <c r="AA94" s="380"/>
      <c r="AB94" s="380"/>
      <c r="AC94" s="380"/>
      <c r="AD94" s="380"/>
      <c r="AE94" s="380"/>
      <c r="AF94" s="380"/>
      <c r="AG94" s="380"/>
      <c r="AH94" s="380"/>
      <c r="AI94" s="380"/>
      <c r="AJ94" s="380"/>
    </row>
    <row r="95" spans="1:36" x14ac:dyDescent="0.2">
      <c r="A95" t="s">
        <v>453</v>
      </c>
      <c r="B95" s="380" t="s">
        <v>464</v>
      </c>
      <c r="C95" s="380" t="s">
        <v>449</v>
      </c>
      <c r="D95" s="380" t="s">
        <v>446</v>
      </c>
      <c r="E95" s="380" t="s">
        <v>398</v>
      </c>
      <c r="F95" s="380">
        <v>4.9000000000000004</v>
      </c>
      <c r="G95" s="380">
        <v>15.69</v>
      </c>
      <c r="H95" s="380">
        <v>12.15</v>
      </c>
      <c r="I95" s="380">
        <v>13.19</v>
      </c>
      <c r="J95" s="380">
        <v>11.95</v>
      </c>
      <c r="K95" s="380">
        <v>11.8</v>
      </c>
      <c r="L95" s="380">
        <v>18.36</v>
      </c>
      <c r="M95" s="380">
        <v>18.829999999999998</v>
      </c>
      <c r="N95" s="380">
        <v>12.13</v>
      </c>
      <c r="O95" s="380">
        <v>14.56</v>
      </c>
      <c r="P95" s="380">
        <v>16.64</v>
      </c>
      <c r="Q95" s="380">
        <v>19.440000000000001</v>
      </c>
      <c r="R95" s="380">
        <v>15.97</v>
      </c>
      <c r="S95" s="380">
        <v>11.31</v>
      </c>
      <c r="T95" s="380"/>
      <c r="U95" s="380"/>
      <c r="V95" s="380"/>
      <c r="W95" s="380"/>
      <c r="X95" s="380"/>
      <c r="Y95" s="380"/>
      <c r="Z95" s="380"/>
      <c r="AA95" s="380"/>
      <c r="AB95" s="380"/>
      <c r="AC95" s="380"/>
      <c r="AD95" s="380"/>
      <c r="AE95" s="380"/>
      <c r="AF95" s="380"/>
      <c r="AG95" s="380"/>
      <c r="AH95" s="380"/>
      <c r="AI95" s="380"/>
      <c r="AJ95" s="380"/>
    </row>
    <row r="96" spans="1:36" s="52" customFormat="1" x14ac:dyDescent="0.2">
      <c r="A96" t="s">
        <v>453</v>
      </c>
      <c r="B96" s="380" t="s">
        <v>464</v>
      </c>
      <c r="C96" s="380" t="s">
        <v>449</v>
      </c>
      <c r="D96" s="380" t="s">
        <v>446</v>
      </c>
      <c r="E96" s="380" t="s">
        <v>398</v>
      </c>
      <c r="F96" s="380">
        <v>4.3</v>
      </c>
      <c r="G96" s="380">
        <v>11.48</v>
      </c>
      <c r="H96" s="380">
        <v>15.69</v>
      </c>
      <c r="I96" s="380">
        <v>16.09</v>
      </c>
      <c r="J96" s="380">
        <v>16.48</v>
      </c>
      <c r="K96" s="380">
        <v>15.45</v>
      </c>
      <c r="L96" s="380">
        <v>13.44</v>
      </c>
      <c r="M96" s="380">
        <v>16.48</v>
      </c>
      <c r="N96" s="380">
        <v>11.11</v>
      </c>
      <c r="O96" s="380">
        <v>16.309999999999999</v>
      </c>
      <c r="P96" s="380">
        <v>16.670000000000002</v>
      </c>
      <c r="Q96" s="380">
        <v>13.61</v>
      </c>
      <c r="R96" s="380">
        <v>14.71</v>
      </c>
      <c r="S96" s="380">
        <v>14.61</v>
      </c>
      <c r="T96" s="380"/>
      <c r="U96" s="380"/>
      <c r="V96" s="380"/>
      <c r="W96" s="380"/>
      <c r="X96" s="380"/>
      <c r="Y96" s="380"/>
      <c r="Z96" s="380"/>
      <c r="AA96" s="380"/>
      <c r="AB96" s="380"/>
      <c r="AC96" s="380"/>
      <c r="AD96" s="380"/>
      <c r="AE96" s="380"/>
      <c r="AF96" s="380"/>
      <c r="AG96" s="380"/>
      <c r="AH96" s="380"/>
      <c r="AI96" s="380"/>
      <c r="AJ96" s="380"/>
    </row>
    <row r="97" spans="1:36" x14ac:dyDescent="0.2">
      <c r="A97" t="s">
        <v>453</v>
      </c>
      <c r="B97" s="380" t="s">
        <v>464</v>
      </c>
      <c r="C97" s="380" t="s">
        <v>449</v>
      </c>
      <c r="D97" s="380" t="s">
        <v>446</v>
      </c>
      <c r="E97" s="380" t="s">
        <v>398</v>
      </c>
      <c r="F97" s="380">
        <v>3.3</v>
      </c>
      <c r="G97" s="380">
        <v>14.2</v>
      </c>
      <c r="H97" s="380">
        <v>11.94</v>
      </c>
      <c r="I97" s="380">
        <v>11.28</v>
      </c>
      <c r="J97" s="380">
        <v>12.61</v>
      </c>
      <c r="K97" s="380">
        <v>11.73</v>
      </c>
      <c r="L97" s="380">
        <v>13.59</v>
      </c>
      <c r="M97" s="380">
        <v>11.46</v>
      </c>
      <c r="N97" s="380">
        <v>12.91</v>
      </c>
      <c r="O97" s="380">
        <v>15.32</v>
      </c>
      <c r="P97" s="380">
        <v>13.56</v>
      </c>
      <c r="Q97" s="380">
        <v>12.24</v>
      </c>
      <c r="R97" s="380">
        <v>11.64</v>
      </c>
      <c r="S97" s="380">
        <v>12.64</v>
      </c>
      <c r="T97" s="380"/>
      <c r="U97" s="380"/>
      <c r="V97" s="380"/>
      <c r="W97" s="380"/>
      <c r="X97" s="380"/>
      <c r="Y97" s="380"/>
      <c r="Z97" s="380"/>
      <c r="AA97" s="380"/>
      <c r="AB97" s="380"/>
      <c r="AC97" s="380"/>
      <c r="AD97" s="380"/>
      <c r="AE97" s="380"/>
      <c r="AF97" s="380"/>
      <c r="AG97" s="380"/>
      <c r="AH97" s="380"/>
      <c r="AI97" s="380"/>
      <c r="AJ97" s="380"/>
    </row>
    <row r="98" spans="1:36" x14ac:dyDescent="0.2">
      <c r="A98" t="s">
        <v>453</v>
      </c>
      <c r="B98" s="380" t="s">
        <v>464</v>
      </c>
      <c r="C98" s="380" t="s">
        <v>449</v>
      </c>
      <c r="D98" s="380" t="s">
        <v>446</v>
      </c>
      <c r="E98" s="380" t="s">
        <v>398</v>
      </c>
      <c r="F98" s="380">
        <v>3.3</v>
      </c>
      <c r="G98" s="380">
        <v>11.28</v>
      </c>
      <c r="H98" s="380">
        <v>11.02</v>
      </c>
      <c r="I98" s="380">
        <v>11.59</v>
      </c>
      <c r="J98" s="380">
        <v>13.5</v>
      </c>
      <c r="K98" s="380">
        <v>13.29</v>
      </c>
      <c r="L98" s="380">
        <v>11.17</v>
      </c>
      <c r="M98" s="380">
        <v>13.64</v>
      </c>
      <c r="N98" s="380">
        <v>16.13</v>
      </c>
      <c r="O98" s="380">
        <v>14.87</v>
      </c>
      <c r="P98" s="380">
        <v>12.06</v>
      </c>
      <c r="Q98" s="380">
        <v>14.07</v>
      </c>
      <c r="R98" s="380">
        <v>15.44</v>
      </c>
      <c r="S98" s="380">
        <v>12.45</v>
      </c>
      <c r="T98" s="380"/>
      <c r="U98" s="380"/>
      <c r="V98" s="380"/>
      <c r="W98" s="380"/>
      <c r="X98" s="380"/>
      <c r="Y98" s="380"/>
      <c r="Z98" s="380"/>
      <c r="AA98" s="380"/>
      <c r="AB98" s="380"/>
      <c r="AC98" s="380"/>
      <c r="AD98" s="380"/>
      <c r="AE98" s="380"/>
      <c r="AF98" s="380"/>
      <c r="AG98" s="380"/>
      <c r="AH98" s="380"/>
      <c r="AI98" s="380"/>
      <c r="AJ98" s="380"/>
    </row>
    <row r="99" spans="1:36" x14ac:dyDescent="0.2">
      <c r="A99" t="s">
        <v>453</v>
      </c>
      <c r="B99" s="380" t="s">
        <v>464</v>
      </c>
      <c r="C99" s="380" t="s">
        <v>449</v>
      </c>
      <c r="D99" s="380" t="s">
        <v>446</v>
      </c>
      <c r="E99" s="380" t="s">
        <v>398</v>
      </c>
      <c r="F99" s="380">
        <v>4.5</v>
      </c>
      <c r="G99" s="380">
        <v>12.01</v>
      </c>
      <c r="H99" s="380">
        <v>12.06</v>
      </c>
      <c r="I99" s="380">
        <v>16.54</v>
      </c>
      <c r="J99" s="380">
        <v>15.11</v>
      </c>
      <c r="K99" s="380">
        <v>15.07</v>
      </c>
      <c r="L99" s="380">
        <v>16.440000000000001</v>
      </c>
      <c r="M99" s="380">
        <v>15.31</v>
      </c>
      <c r="N99" s="380">
        <v>13.16</v>
      </c>
      <c r="O99" s="380">
        <v>15.36</v>
      </c>
      <c r="P99" s="380">
        <v>12.24</v>
      </c>
      <c r="Q99" s="380">
        <v>15.91</v>
      </c>
      <c r="R99" s="380">
        <v>11.18</v>
      </c>
      <c r="S99" s="380">
        <v>13.17</v>
      </c>
      <c r="T99" s="380"/>
      <c r="U99" s="380"/>
      <c r="V99" s="380"/>
      <c r="W99" s="380"/>
      <c r="X99" s="380"/>
      <c r="Y99" s="380"/>
      <c r="Z99" s="380"/>
      <c r="AA99" s="380"/>
      <c r="AB99" s="380"/>
      <c r="AC99" s="380"/>
      <c r="AD99" s="380"/>
      <c r="AE99" s="380"/>
      <c r="AF99" s="380"/>
      <c r="AG99" s="380"/>
      <c r="AH99" s="380"/>
      <c r="AI99" s="380"/>
      <c r="AJ99" s="380"/>
    </row>
    <row r="100" spans="1:36" x14ac:dyDescent="0.2">
      <c r="A100" t="s">
        <v>453</v>
      </c>
      <c r="B100" s="380" t="s">
        <v>464</v>
      </c>
      <c r="C100" s="380" t="s">
        <v>449</v>
      </c>
      <c r="D100" s="380" t="s">
        <v>446</v>
      </c>
      <c r="E100" s="380" t="s">
        <v>398</v>
      </c>
      <c r="F100" s="380">
        <v>4.5999999999999996</v>
      </c>
      <c r="G100" s="380">
        <v>15.35</v>
      </c>
      <c r="H100" s="380">
        <v>11.31</v>
      </c>
      <c r="I100" s="380">
        <v>14.3</v>
      </c>
      <c r="J100" s="380">
        <v>16.829999999999998</v>
      </c>
      <c r="K100" s="380">
        <v>12.55</v>
      </c>
      <c r="L100" s="380">
        <v>13.84</v>
      </c>
      <c r="M100" s="380">
        <v>13.91</v>
      </c>
      <c r="N100" s="380">
        <v>15.77</v>
      </c>
      <c r="O100" s="380">
        <v>15.61</v>
      </c>
      <c r="P100" s="380">
        <v>17.77</v>
      </c>
      <c r="Q100" s="380">
        <v>16.27</v>
      </c>
      <c r="R100" s="380">
        <v>15</v>
      </c>
      <c r="S100" s="380">
        <v>12.97</v>
      </c>
      <c r="T100" s="380"/>
      <c r="U100" s="380"/>
      <c r="V100" s="380"/>
      <c r="W100" s="380"/>
      <c r="X100" s="380"/>
      <c r="Y100" s="380"/>
      <c r="Z100" s="380"/>
      <c r="AA100" s="380"/>
      <c r="AB100" s="380"/>
      <c r="AC100" s="380"/>
      <c r="AD100" s="380"/>
      <c r="AE100" s="380"/>
      <c r="AF100" s="380"/>
      <c r="AG100" s="380"/>
      <c r="AH100" s="380"/>
      <c r="AI100" s="380"/>
      <c r="AJ100" s="380"/>
    </row>
    <row r="101" spans="1:36" x14ac:dyDescent="0.2">
      <c r="A101" t="s">
        <v>453</v>
      </c>
      <c r="B101" s="380" t="s">
        <v>464</v>
      </c>
      <c r="C101" s="380" t="s">
        <v>449</v>
      </c>
      <c r="D101" s="380" t="s">
        <v>446</v>
      </c>
      <c r="E101" s="380" t="s">
        <v>398</v>
      </c>
      <c r="F101" s="380">
        <v>4.5</v>
      </c>
      <c r="G101" s="380">
        <v>14.12</v>
      </c>
      <c r="H101" s="380">
        <v>11.8</v>
      </c>
      <c r="I101" s="380">
        <v>11.25</v>
      </c>
      <c r="J101" s="380">
        <v>15.68</v>
      </c>
      <c r="K101" s="380">
        <v>12.82</v>
      </c>
      <c r="L101" s="380">
        <v>15.01</v>
      </c>
      <c r="M101" s="380">
        <v>13.79</v>
      </c>
      <c r="N101" s="380">
        <v>15.38</v>
      </c>
      <c r="O101" s="380">
        <v>16.079999999999998</v>
      </c>
      <c r="P101" s="380">
        <v>14.2</v>
      </c>
      <c r="Q101" s="380">
        <v>14.54</v>
      </c>
      <c r="R101" s="380">
        <v>14.63</v>
      </c>
      <c r="S101" s="380">
        <v>13.28</v>
      </c>
      <c r="T101" s="380"/>
      <c r="U101" s="380"/>
      <c r="V101" s="380"/>
      <c r="W101" s="380"/>
      <c r="X101" s="380"/>
      <c r="Y101" s="380"/>
      <c r="Z101" s="380"/>
      <c r="AA101" s="380"/>
      <c r="AB101" s="380"/>
      <c r="AC101" s="380"/>
      <c r="AD101" s="380"/>
      <c r="AE101" s="380"/>
      <c r="AF101" s="380"/>
      <c r="AG101" s="380"/>
      <c r="AH101" s="380"/>
      <c r="AI101" s="380"/>
      <c r="AJ101" s="380"/>
    </row>
    <row r="102" spans="1:36" x14ac:dyDescent="0.2">
      <c r="A102" t="s">
        <v>453</v>
      </c>
      <c r="B102" s="380" t="s">
        <v>464</v>
      </c>
      <c r="C102" s="380" t="s">
        <v>449</v>
      </c>
      <c r="D102" s="380" t="s">
        <v>446</v>
      </c>
      <c r="E102" s="380" t="s">
        <v>398</v>
      </c>
      <c r="F102" s="380">
        <v>4</v>
      </c>
      <c r="G102" s="380">
        <v>14.99</v>
      </c>
      <c r="H102" s="380">
        <v>15.25</v>
      </c>
      <c r="I102" s="380">
        <v>12.53</v>
      </c>
      <c r="J102" s="380">
        <v>11.93</v>
      </c>
      <c r="K102" s="380">
        <v>15.59</v>
      </c>
      <c r="L102" s="380">
        <v>17.8</v>
      </c>
      <c r="M102" s="380">
        <v>12.08</v>
      </c>
      <c r="N102" s="380">
        <v>12.78</v>
      </c>
      <c r="O102" s="380">
        <v>16.420000000000002</v>
      </c>
      <c r="P102" s="380">
        <v>11.06</v>
      </c>
      <c r="Q102" s="380">
        <v>11.22</v>
      </c>
      <c r="R102" s="380">
        <v>12.36</v>
      </c>
      <c r="S102" s="380">
        <v>15.65</v>
      </c>
      <c r="T102" s="380"/>
      <c r="U102" s="380"/>
      <c r="V102" s="380"/>
      <c r="W102" s="380"/>
      <c r="X102" s="380"/>
      <c r="Y102" s="380"/>
      <c r="Z102" s="380"/>
      <c r="AA102" s="380"/>
      <c r="AB102" s="380"/>
      <c r="AC102" s="380"/>
      <c r="AD102" s="380"/>
      <c r="AE102" s="380"/>
      <c r="AF102" s="380"/>
      <c r="AG102" s="380"/>
      <c r="AH102" s="380"/>
      <c r="AI102" s="380"/>
      <c r="AJ102" s="380"/>
    </row>
    <row r="103" spans="1:36" x14ac:dyDescent="0.2">
      <c r="A103" t="s">
        <v>453</v>
      </c>
      <c r="B103" s="380" t="s">
        <v>464</v>
      </c>
      <c r="C103" s="380" t="s">
        <v>449</v>
      </c>
      <c r="D103" s="380" t="s">
        <v>446</v>
      </c>
      <c r="E103" s="380" t="s">
        <v>398</v>
      </c>
      <c r="F103" s="380">
        <v>4.2</v>
      </c>
      <c r="G103" s="380">
        <v>17.21</v>
      </c>
      <c r="H103" s="380">
        <v>11.08</v>
      </c>
      <c r="I103" s="380">
        <v>14.98</v>
      </c>
      <c r="J103" s="380">
        <v>17.37</v>
      </c>
      <c r="K103" s="380">
        <v>12.79</v>
      </c>
      <c r="L103" s="380">
        <v>17.07</v>
      </c>
      <c r="M103" s="380">
        <v>14.13</v>
      </c>
      <c r="N103" s="380">
        <v>14.22</v>
      </c>
      <c r="O103" s="380">
        <v>12.95</v>
      </c>
      <c r="P103" s="380">
        <v>11.93</v>
      </c>
      <c r="Q103" s="380">
        <v>17.52</v>
      </c>
      <c r="R103" s="380">
        <v>12.99</v>
      </c>
      <c r="S103" s="380">
        <v>11.97</v>
      </c>
      <c r="T103" s="380"/>
      <c r="U103" s="380"/>
      <c r="V103" s="380"/>
      <c r="W103" s="380"/>
      <c r="X103" s="380"/>
      <c r="Y103" s="380"/>
      <c r="Z103" s="380"/>
      <c r="AA103" s="380"/>
      <c r="AB103" s="380"/>
      <c r="AC103" s="380"/>
      <c r="AD103" s="380"/>
      <c r="AE103" s="380"/>
      <c r="AF103" s="380"/>
      <c r="AG103" s="380"/>
      <c r="AH103" s="380"/>
      <c r="AI103" s="380"/>
      <c r="AJ103" s="380"/>
    </row>
    <row r="104" spans="1:36" x14ac:dyDescent="0.2">
      <c r="A104" t="s">
        <v>453</v>
      </c>
      <c r="B104" s="380" t="s">
        <v>464</v>
      </c>
      <c r="C104" s="380" t="s">
        <v>449</v>
      </c>
      <c r="D104" s="380" t="s">
        <v>446</v>
      </c>
      <c r="E104" s="380" t="s">
        <v>399</v>
      </c>
      <c r="F104" s="380">
        <v>0.9</v>
      </c>
      <c r="G104" s="380">
        <v>9.02</v>
      </c>
      <c r="H104" s="380">
        <v>7.59</v>
      </c>
      <c r="I104" s="380">
        <v>8.5</v>
      </c>
      <c r="J104" s="380">
        <v>10.81</v>
      </c>
      <c r="K104" s="380">
        <v>9.19</v>
      </c>
      <c r="L104" s="380">
        <v>9.1199999999999992</v>
      </c>
      <c r="M104" s="380">
        <v>6.84</v>
      </c>
      <c r="N104" s="380">
        <v>9.84</v>
      </c>
      <c r="O104" s="380">
        <v>5.7</v>
      </c>
      <c r="P104" s="380">
        <v>6.41</v>
      </c>
      <c r="Q104" s="380">
        <v>4.13</v>
      </c>
      <c r="R104" s="380">
        <v>3.43</v>
      </c>
      <c r="S104" s="380">
        <v>3.26</v>
      </c>
      <c r="T104" s="380"/>
      <c r="U104" s="380"/>
      <c r="V104" s="380"/>
      <c r="W104" s="380"/>
      <c r="X104" s="380"/>
      <c r="Y104" s="380"/>
      <c r="Z104" s="380"/>
      <c r="AA104" s="380"/>
      <c r="AB104" s="380"/>
      <c r="AC104" s="380"/>
      <c r="AD104" s="380"/>
      <c r="AE104" s="380"/>
      <c r="AF104" s="380"/>
      <c r="AG104" s="380"/>
      <c r="AH104" s="380"/>
      <c r="AI104" s="380"/>
      <c r="AJ104" s="380"/>
    </row>
    <row r="105" spans="1:36" x14ac:dyDescent="0.2">
      <c r="A105" t="s">
        <v>453</v>
      </c>
      <c r="B105" s="380" t="s">
        <v>464</v>
      </c>
      <c r="C105" s="380" t="s">
        <v>449</v>
      </c>
      <c r="D105" s="380" t="s">
        <v>446</v>
      </c>
      <c r="E105" s="380" t="s">
        <v>399</v>
      </c>
      <c r="F105" s="380">
        <v>1.3</v>
      </c>
      <c r="G105" s="380">
        <v>8.34</v>
      </c>
      <c r="H105" s="380">
        <v>10.72</v>
      </c>
      <c r="I105" s="380">
        <v>9.64</v>
      </c>
      <c r="J105" s="380">
        <v>8.02</v>
      </c>
      <c r="K105" s="380">
        <v>8.83</v>
      </c>
      <c r="L105" s="380">
        <v>6.42</v>
      </c>
      <c r="M105" s="380">
        <v>10.73</v>
      </c>
      <c r="N105" s="380">
        <v>10.39</v>
      </c>
      <c r="O105" s="380">
        <v>10.199999999999999</v>
      </c>
      <c r="P105" s="380">
        <v>9.1999999999999993</v>
      </c>
      <c r="Q105" s="380">
        <v>8.16</v>
      </c>
      <c r="R105" s="381">
        <v>8.16</v>
      </c>
      <c r="S105" s="380">
        <v>6.4</v>
      </c>
      <c r="T105" s="380"/>
      <c r="U105" s="380"/>
      <c r="V105" s="380"/>
      <c r="W105" s="380"/>
      <c r="X105" s="380"/>
      <c r="Y105" s="380"/>
      <c r="Z105" s="380"/>
      <c r="AA105" s="380"/>
      <c r="AB105" s="380"/>
      <c r="AC105" s="380"/>
      <c r="AD105" s="380"/>
      <c r="AE105" s="380"/>
      <c r="AF105" s="380"/>
      <c r="AG105" s="380"/>
      <c r="AH105" s="380"/>
      <c r="AI105" s="380"/>
      <c r="AJ105" s="380"/>
    </row>
    <row r="106" spans="1:36" x14ac:dyDescent="0.2">
      <c r="A106" t="s">
        <v>453</v>
      </c>
      <c r="B106" s="380" t="s">
        <v>464</v>
      </c>
      <c r="C106" s="380" t="s">
        <v>449</v>
      </c>
      <c r="D106" s="380" t="s">
        <v>446</v>
      </c>
      <c r="E106" s="380" t="s">
        <v>399</v>
      </c>
      <c r="F106" s="380">
        <v>1</v>
      </c>
      <c r="G106" s="380">
        <v>10.14</v>
      </c>
      <c r="H106" s="380">
        <v>8.3800000000000008</v>
      </c>
      <c r="I106" s="380">
        <v>6.91</v>
      </c>
      <c r="J106" s="380">
        <v>8.2200000000000006</v>
      </c>
      <c r="K106" s="380">
        <v>9.6</v>
      </c>
      <c r="L106" s="380">
        <v>10.78</v>
      </c>
      <c r="M106" s="380">
        <v>9.6999999999999993</v>
      </c>
      <c r="N106" s="380">
        <v>4.17</v>
      </c>
      <c r="O106" s="380">
        <v>7.65</v>
      </c>
      <c r="P106" s="380">
        <v>5.85</v>
      </c>
      <c r="Q106" s="380">
        <v>9.08</v>
      </c>
      <c r="R106" s="380">
        <v>8.27</v>
      </c>
      <c r="S106" s="380">
        <v>9.1199999999999992</v>
      </c>
      <c r="T106" s="380"/>
      <c r="U106" s="380"/>
      <c r="V106" s="380"/>
      <c r="W106" s="380"/>
      <c r="X106" s="380"/>
      <c r="Y106" s="380"/>
      <c r="Z106" s="380"/>
      <c r="AA106" s="380"/>
      <c r="AB106" s="380"/>
      <c r="AC106" s="380"/>
      <c r="AD106" s="380"/>
      <c r="AE106" s="380"/>
      <c r="AF106" s="380"/>
      <c r="AG106" s="380"/>
      <c r="AH106" s="380"/>
      <c r="AI106" s="380"/>
      <c r="AJ106" s="380"/>
    </row>
    <row r="107" spans="1:36" x14ac:dyDescent="0.2">
      <c r="A107" t="s">
        <v>453</v>
      </c>
      <c r="B107" s="380" t="s">
        <v>464</v>
      </c>
      <c r="C107" s="380" t="s">
        <v>449</v>
      </c>
      <c r="D107" s="380" t="s">
        <v>446</v>
      </c>
      <c r="E107" s="380" t="s">
        <v>399</v>
      </c>
      <c r="F107" s="380">
        <v>0.7</v>
      </c>
      <c r="G107" s="380">
        <v>7.93</v>
      </c>
      <c r="H107" s="380">
        <v>10.44</v>
      </c>
      <c r="I107" s="380">
        <v>7.17</v>
      </c>
      <c r="J107" s="380">
        <v>4.95</v>
      </c>
      <c r="K107" s="380">
        <v>8.5500000000000007</v>
      </c>
      <c r="L107" s="380">
        <v>8.18</v>
      </c>
      <c r="M107" s="380">
        <v>8</v>
      </c>
      <c r="N107" s="380">
        <v>7.96</v>
      </c>
      <c r="O107" s="380">
        <v>4.67</v>
      </c>
      <c r="P107" s="380">
        <v>7.58</v>
      </c>
      <c r="Q107" s="380">
        <v>7.84</v>
      </c>
      <c r="R107" s="380">
        <v>7.02</v>
      </c>
      <c r="S107" s="380">
        <v>6.48</v>
      </c>
      <c r="T107" s="380"/>
      <c r="U107" s="380"/>
      <c r="V107" s="380"/>
      <c r="W107" s="380"/>
      <c r="X107" s="380"/>
      <c r="Y107" s="380"/>
      <c r="Z107" s="380"/>
      <c r="AA107" s="380"/>
      <c r="AB107" s="380"/>
      <c r="AC107" s="380"/>
      <c r="AD107" s="380"/>
      <c r="AE107" s="380"/>
      <c r="AF107" s="380"/>
      <c r="AG107" s="380"/>
      <c r="AH107" s="380"/>
      <c r="AI107" s="380"/>
      <c r="AJ107" s="380"/>
    </row>
    <row r="108" spans="1:36" s="52" customFormat="1" x14ac:dyDescent="0.2">
      <c r="A108" t="s">
        <v>453</v>
      </c>
      <c r="B108" s="380" t="s">
        <v>464</v>
      </c>
      <c r="C108" s="380" t="s">
        <v>449</v>
      </c>
      <c r="D108" s="380" t="s">
        <v>446</v>
      </c>
      <c r="E108" s="380" t="s">
        <v>399</v>
      </c>
      <c r="F108" s="380">
        <v>0.9</v>
      </c>
      <c r="G108" s="380">
        <v>5.08</v>
      </c>
      <c r="H108" s="380">
        <v>4.9000000000000004</v>
      </c>
      <c r="I108" s="380">
        <v>4.8</v>
      </c>
      <c r="J108" s="380">
        <v>4.0599999999999996</v>
      </c>
      <c r="K108" s="380">
        <v>8.75</v>
      </c>
      <c r="L108" s="380">
        <v>9.92</v>
      </c>
      <c r="M108" s="380">
        <v>6.63</v>
      </c>
      <c r="N108" s="380">
        <v>6.84</v>
      </c>
      <c r="O108" s="380">
        <v>6.67</v>
      </c>
      <c r="P108" s="380">
        <v>6.98</v>
      </c>
      <c r="Q108" s="380">
        <v>8.8699999999999992</v>
      </c>
      <c r="R108" s="380">
        <v>10.76</v>
      </c>
      <c r="S108" s="380">
        <v>10.32</v>
      </c>
      <c r="T108" s="380"/>
      <c r="U108" s="380"/>
      <c r="V108" s="380"/>
      <c r="W108" s="380"/>
      <c r="X108" s="380"/>
      <c r="Y108" s="380"/>
      <c r="Z108" s="380"/>
      <c r="AA108" s="380"/>
      <c r="AB108" s="380"/>
      <c r="AC108" s="380"/>
      <c r="AD108" s="380"/>
      <c r="AE108" s="380"/>
      <c r="AF108" s="380"/>
      <c r="AG108" s="380"/>
      <c r="AH108" s="380"/>
      <c r="AI108" s="380"/>
      <c r="AJ108" s="380"/>
    </row>
    <row r="109" spans="1:36" x14ac:dyDescent="0.2">
      <c r="A109" t="s">
        <v>453</v>
      </c>
      <c r="B109" s="380" t="s">
        <v>464</v>
      </c>
      <c r="C109" s="380" t="s">
        <v>449</v>
      </c>
      <c r="D109" s="380" t="s">
        <v>446</v>
      </c>
      <c r="E109" s="380" t="s">
        <v>399</v>
      </c>
      <c r="F109" s="380">
        <v>0.7</v>
      </c>
      <c r="G109" s="380">
        <v>5.27</v>
      </c>
      <c r="H109" s="380">
        <v>5.14</v>
      </c>
      <c r="I109" s="380">
        <v>5.61</v>
      </c>
      <c r="J109" s="380">
        <v>4.97</v>
      </c>
      <c r="K109" s="380">
        <v>8.85</v>
      </c>
      <c r="L109" s="380">
        <v>10.51</v>
      </c>
      <c r="M109" s="380">
        <v>5.28</v>
      </c>
      <c r="N109" s="380">
        <v>5.24</v>
      </c>
      <c r="O109" s="380">
        <v>9.89</v>
      </c>
      <c r="P109" s="380">
        <v>9.5399999999999991</v>
      </c>
      <c r="Q109" s="380">
        <v>8.84</v>
      </c>
      <c r="R109" s="380">
        <v>6.45</v>
      </c>
      <c r="S109" s="380">
        <v>5.64</v>
      </c>
      <c r="T109" s="380"/>
      <c r="U109" s="380"/>
      <c r="V109" s="380"/>
      <c r="W109" s="380"/>
      <c r="X109" s="380"/>
      <c r="Y109" s="380"/>
      <c r="Z109" s="380"/>
      <c r="AA109" s="380"/>
      <c r="AB109" s="380"/>
      <c r="AC109" s="380"/>
      <c r="AD109" s="380"/>
      <c r="AE109" s="380"/>
      <c r="AF109" s="380"/>
      <c r="AG109" s="380"/>
      <c r="AH109" s="380"/>
      <c r="AI109" s="380"/>
      <c r="AJ109" s="380"/>
    </row>
    <row r="110" spans="1:36" x14ac:dyDescent="0.2">
      <c r="A110" t="s">
        <v>453</v>
      </c>
      <c r="B110" s="380" t="s">
        <v>464</v>
      </c>
      <c r="C110" s="380" t="s">
        <v>449</v>
      </c>
      <c r="D110" s="380" t="s">
        <v>446</v>
      </c>
      <c r="E110" s="380" t="s">
        <v>399</v>
      </c>
      <c r="F110" s="380">
        <v>0.8</v>
      </c>
      <c r="G110" s="380">
        <v>9.5399999999999991</v>
      </c>
      <c r="H110" s="380">
        <v>7.99</v>
      </c>
      <c r="I110" s="380">
        <v>6.22</v>
      </c>
      <c r="J110" s="380">
        <v>5.41</v>
      </c>
      <c r="K110" s="380">
        <v>9.8699999999999992</v>
      </c>
      <c r="L110" s="380">
        <v>7.4</v>
      </c>
      <c r="M110" s="380">
        <v>6.17</v>
      </c>
      <c r="N110" s="380">
        <v>7.91</v>
      </c>
      <c r="O110" s="380">
        <v>6.66</v>
      </c>
      <c r="P110" s="380">
        <v>8.4700000000000006</v>
      </c>
      <c r="Q110" s="380">
        <v>10.06</v>
      </c>
      <c r="R110" s="380">
        <v>5.75</v>
      </c>
      <c r="S110" s="380">
        <v>5.61</v>
      </c>
      <c r="T110" s="380"/>
      <c r="U110" s="380"/>
      <c r="V110" s="380"/>
      <c r="W110" s="380"/>
      <c r="X110" s="380"/>
      <c r="Y110" s="380"/>
      <c r="Z110" s="380"/>
      <c r="AA110" s="380"/>
      <c r="AB110" s="380"/>
      <c r="AC110" s="380"/>
      <c r="AD110" s="380"/>
      <c r="AE110" s="380"/>
      <c r="AF110" s="380"/>
      <c r="AG110" s="380"/>
      <c r="AH110" s="380"/>
      <c r="AI110" s="380"/>
      <c r="AJ110" s="380"/>
    </row>
    <row r="111" spans="1:36" x14ac:dyDescent="0.2">
      <c r="A111" t="s">
        <v>453</v>
      </c>
      <c r="B111" s="380" t="s">
        <v>464</v>
      </c>
      <c r="C111" s="380" t="s">
        <v>449</v>
      </c>
      <c r="D111" s="380" t="s">
        <v>446</v>
      </c>
      <c r="E111" s="380" t="s">
        <v>399</v>
      </c>
      <c r="F111" s="380">
        <v>0.9</v>
      </c>
      <c r="G111" s="380">
        <v>7.2</v>
      </c>
      <c r="H111" s="380">
        <v>10.31</v>
      </c>
      <c r="I111" s="380">
        <v>9.58</v>
      </c>
      <c r="J111" s="380">
        <v>7.7</v>
      </c>
      <c r="K111" s="380">
        <v>5.89</v>
      </c>
      <c r="L111" s="380">
        <v>5.84</v>
      </c>
      <c r="M111" s="380">
        <v>7.32</v>
      </c>
      <c r="N111" s="380">
        <v>6.82</v>
      </c>
      <c r="O111" s="380">
        <v>8.52</v>
      </c>
      <c r="P111" s="380">
        <v>10.3</v>
      </c>
      <c r="Q111" s="380">
        <v>8.57</v>
      </c>
      <c r="R111" s="380">
        <v>9.11</v>
      </c>
      <c r="S111" s="380">
        <v>5.79</v>
      </c>
      <c r="T111" s="380"/>
      <c r="U111" s="380"/>
      <c r="V111" s="380"/>
      <c r="W111" s="380"/>
      <c r="X111" s="380"/>
      <c r="Y111" s="380"/>
      <c r="Z111" s="380"/>
      <c r="AA111" s="380"/>
      <c r="AB111" s="380"/>
      <c r="AC111" s="380"/>
      <c r="AD111" s="380"/>
      <c r="AE111" s="380"/>
      <c r="AF111" s="380"/>
      <c r="AG111" s="380"/>
      <c r="AH111" s="380"/>
      <c r="AI111" s="380"/>
      <c r="AJ111" s="380"/>
    </row>
    <row r="112" spans="1:36" x14ac:dyDescent="0.2">
      <c r="A112" t="s">
        <v>453</v>
      </c>
      <c r="B112" s="380" t="s">
        <v>464</v>
      </c>
      <c r="C112" s="380" t="s">
        <v>449</v>
      </c>
      <c r="D112" s="380" t="s">
        <v>446</v>
      </c>
      <c r="E112" s="380" t="s">
        <v>399</v>
      </c>
      <c r="F112" s="380">
        <v>0.6</v>
      </c>
      <c r="G112" s="380">
        <v>5.98</v>
      </c>
      <c r="H112" s="380">
        <v>6.13</v>
      </c>
      <c r="I112" s="380">
        <v>5.67</v>
      </c>
      <c r="J112" s="380">
        <v>8.0500000000000007</v>
      </c>
      <c r="K112" s="380">
        <v>6.81</v>
      </c>
      <c r="L112" s="380">
        <v>6.23</v>
      </c>
      <c r="M112" s="380">
        <v>9.7799999999999994</v>
      </c>
      <c r="N112" s="380">
        <v>3.41</v>
      </c>
      <c r="O112" s="380">
        <v>9.56</v>
      </c>
      <c r="P112" s="380">
        <v>8.84</v>
      </c>
      <c r="Q112" s="380">
        <v>9.07</v>
      </c>
      <c r="R112" s="380">
        <v>6.16</v>
      </c>
      <c r="S112" s="380">
        <v>8.43</v>
      </c>
      <c r="T112" s="380"/>
      <c r="U112" s="380"/>
      <c r="V112" s="380"/>
      <c r="W112" s="380"/>
      <c r="X112" s="380"/>
      <c r="Y112" s="380"/>
      <c r="Z112" s="380"/>
      <c r="AA112" s="380"/>
      <c r="AB112" s="380"/>
      <c r="AC112" s="380"/>
      <c r="AD112" s="380"/>
      <c r="AE112" s="380"/>
      <c r="AF112" s="380"/>
      <c r="AG112" s="380"/>
      <c r="AH112" s="380"/>
      <c r="AI112" s="380"/>
      <c r="AJ112" s="380"/>
    </row>
    <row r="113" spans="1:36" x14ac:dyDescent="0.2">
      <c r="A113" t="s">
        <v>453</v>
      </c>
      <c r="B113" s="380" t="s">
        <v>464</v>
      </c>
      <c r="C113" s="380" t="s">
        <v>449</v>
      </c>
      <c r="D113" s="380" t="s">
        <v>446</v>
      </c>
      <c r="E113" s="380" t="s">
        <v>399</v>
      </c>
      <c r="F113" s="380">
        <v>0.8</v>
      </c>
      <c r="G113" s="380">
        <v>6.23</v>
      </c>
      <c r="H113" s="380">
        <v>5.4</v>
      </c>
      <c r="I113" s="380">
        <v>9.0500000000000007</v>
      </c>
      <c r="J113" s="380">
        <v>8.1</v>
      </c>
      <c r="K113" s="380">
        <v>8.3800000000000008</v>
      </c>
      <c r="L113" s="380">
        <v>10.28</v>
      </c>
      <c r="M113" s="380">
        <v>7.2</v>
      </c>
      <c r="N113" s="380">
        <v>4.3499999999999996</v>
      </c>
      <c r="O113" s="380">
        <v>8.7200000000000006</v>
      </c>
      <c r="P113" s="380">
        <v>7.75</v>
      </c>
      <c r="Q113" s="380">
        <v>7.18</v>
      </c>
      <c r="R113" s="380">
        <v>9.64</v>
      </c>
      <c r="S113" s="380">
        <v>8.02</v>
      </c>
      <c r="T113" s="380"/>
      <c r="U113" s="380"/>
      <c r="V113" s="380"/>
      <c r="W113" s="380"/>
      <c r="X113" s="380"/>
      <c r="Y113" s="380"/>
      <c r="Z113" s="380"/>
      <c r="AA113" s="380"/>
      <c r="AB113" s="380"/>
      <c r="AC113" s="380"/>
      <c r="AD113" s="380"/>
      <c r="AE113" s="380"/>
      <c r="AF113" s="380"/>
      <c r="AG113" s="380"/>
      <c r="AH113" s="380"/>
      <c r="AI113" s="380"/>
      <c r="AJ113" s="380"/>
    </row>
    <row r="114" spans="1:36" x14ac:dyDescent="0.2">
      <c r="A114" t="s">
        <v>453</v>
      </c>
      <c r="B114" s="380" t="s">
        <v>464</v>
      </c>
      <c r="C114" s="380" t="s">
        <v>449</v>
      </c>
      <c r="D114" s="380" t="s">
        <v>446</v>
      </c>
      <c r="E114" s="380" t="s">
        <v>399</v>
      </c>
      <c r="F114" s="380">
        <v>0.7</v>
      </c>
      <c r="G114" s="380">
        <v>10.49</v>
      </c>
      <c r="H114" s="380">
        <v>6.19</v>
      </c>
      <c r="I114" s="380">
        <v>6.79</v>
      </c>
      <c r="J114" s="380">
        <v>5.83</v>
      </c>
      <c r="K114" s="380">
        <v>9.09</v>
      </c>
      <c r="L114" s="380">
        <v>8.3699999999999992</v>
      </c>
      <c r="M114" s="380">
        <v>7.42</v>
      </c>
      <c r="N114" s="380">
        <v>9.49</v>
      </c>
      <c r="O114" s="380">
        <v>6.1</v>
      </c>
      <c r="P114" s="380">
        <v>6.27</v>
      </c>
      <c r="Q114" s="380">
        <v>7.71</v>
      </c>
      <c r="R114" s="380">
        <v>7.43</v>
      </c>
      <c r="S114" s="380">
        <v>5</v>
      </c>
      <c r="T114" s="380"/>
      <c r="U114" s="380"/>
      <c r="V114" s="380"/>
      <c r="W114" s="380"/>
      <c r="X114" s="380"/>
      <c r="Y114" s="380"/>
      <c r="Z114" s="380"/>
      <c r="AA114" s="380"/>
      <c r="AB114" s="380"/>
      <c r="AC114" s="380"/>
      <c r="AD114" s="380"/>
      <c r="AE114" s="380"/>
      <c r="AF114" s="380"/>
      <c r="AG114" s="380"/>
      <c r="AH114" s="380"/>
      <c r="AI114" s="380"/>
      <c r="AJ114" s="380"/>
    </row>
    <row r="115" spans="1:36" x14ac:dyDescent="0.2">
      <c r="A115" t="s">
        <v>453</v>
      </c>
      <c r="B115" s="380" t="s">
        <v>464</v>
      </c>
      <c r="C115" s="380" t="s">
        <v>449</v>
      </c>
      <c r="D115" s="380" t="s">
        <v>446</v>
      </c>
      <c r="E115" s="380" t="s">
        <v>450</v>
      </c>
      <c r="F115" s="380">
        <v>2.1</v>
      </c>
      <c r="G115" s="380">
        <v>9.9600000000000009</v>
      </c>
      <c r="H115" s="380">
        <v>9.76</v>
      </c>
      <c r="I115" s="380">
        <v>9.11</v>
      </c>
      <c r="J115" s="380">
        <v>12.72</v>
      </c>
      <c r="K115" s="380">
        <v>13.32</v>
      </c>
      <c r="L115" s="380">
        <v>12.15</v>
      </c>
      <c r="M115" s="380">
        <v>12.41</v>
      </c>
      <c r="N115" s="380">
        <v>13.54</v>
      </c>
      <c r="O115" s="380">
        <v>12.28</v>
      </c>
      <c r="P115" s="380">
        <v>5.88</v>
      </c>
      <c r="Q115" s="380">
        <v>8.26</v>
      </c>
      <c r="R115" s="380">
        <v>8.65</v>
      </c>
      <c r="S115" s="380">
        <v>7.74</v>
      </c>
      <c r="T115" s="380"/>
      <c r="U115" s="380"/>
      <c r="V115" s="380"/>
      <c r="W115" s="380"/>
      <c r="X115" s="380"/>
      <c r="Y115" s="380"/>
      <c r="Z115" s="380"/>
      <c r="AA115" s="380"/>
      <c r="AB115" s="380"/>
      <c r="AC115" s="380"/>
      <c r="AD115" s="380"/>
      <c r="AE115" s="380"/>
      <c r="AF115" s="380"/>
      <c r="AG115" s="380"/>
      <c r="AH115" s="380"/>
      <c r="AI115" s="380"/>
      <c r="AJ115" s="380"/>
    </row>
    <row r="116" spans="1:36" x14ac:dyDescent="0.2">
      <c r="A116" s="380" t="s">
        <v>395</v>
      </c>
      <c r="B116" s="380" t="s">
        <v>448</v>
      </c>
      <c r="C116" s="380" t="s">
        <v>449</v>
      </c>
      <c r="D116" s="380" t="s">
        <v>447</v>
      </c>
      <c r="E116" s="380" t="s">
        <v>395</v>
      </c>
      <c r="F116" s="380" t="s">
        <v>395</v>
      </c>
      <c r="G116" s="380">
        <v>8.66</v>
      </c>
      <c r="H116" s="380">
        <v>11.08</v>
      </c>
      <c r="I116" s="380">
        <v>7.06</v>
      </c>
      <c r="J116" s="380">
        <v>10.88</v>
      </c>
      <c r="K116" s="380">
        <v>10.64</v>
      </c>
      <c r="L116" s="380">
        <v>8.74</v>
      </c>
      <c r="M116" s="380">
        <v>6.32</v>
      </c>
      <c r="N116" s="380">
        <v>8.02</v>
      </c>
      <c r="O116" s="380">
        <v>8.7799999999999994</v>
      </c>
      <c r="P116" s="380">
        <v>9.2799999999999994</v>
      </c>
      <c r="Q116" s="380">
        <v>8.26</v>
      </c>
      <c r="R116" s="380">
        <v>6.24</v>
      </c>
      <c r="S116" s="380">
        <v>8.06</v>
      </c>
      <c r="T116" s="380">
        <v>7.56</v>
      </c>
      <c r="U116" s="380">
        <v>14.97</v>
      </c>
      <c r="V116" s="380">
        <v>11.95</v>
      </c>
      <c r="W116" s="380">
        <v>7.63</v>
      </c>
      <c r="X116" s="380">
        <v>8.31</v>
      </c>
      <c r="Y116" s="380">
        <v>8.14</v>
      </c>
      <c r="Z116" s="380">
        <v>6.22</v>
      </c>
      <c r="AA116" s="380">
        <v>5.69</v>
      </c>
      <c r="AB116" s="380">
        <v>6.35</v>
      </c>
      <c r="AC116" s="380">
        <v>5.35</v>
      </c>
      <c r="AD116" s="380">
        <v>15.08</v>
      </c>
      <c r="AE116" s="380">
        <v>10.19</v>
      </c>
      <c r="AF116" s="380"/>
      <c r="AG116" s="380"/>
      <c r="AH116" s="380"/>
      <c r="AI116" s="380"/>
      <c r="AJ116" s="380"/>
    </row>
    <row r="117" spans="1:36" x14ac:dyDescent="0.2">
      <c r="A117" t="s">
        <v>453</v>
      </c>
      <c r="B117" s="380" t="s">
        <v>448</v>
      </c>
      <c r="C117" s="380" t="s">
        <v>449</v>
      </c>
      <c r="D117" s="380" t="s">
        <v>447</v>
      </c>
      <c r="E117" s="380" t="s">
        <v>398</v>
      </c>
      <c r="F117" s="380">
        <v>2.1</v>
      </c>
      <c r="G117" s="380">
        <v>13.63</v>
      </c>
      <c r="H117" s="380">
        <v>9.1300000000000008</v>
      </c>
      <c r="I117" s="380">
        <v>10.11</v>
      </c>
      <c r="J117" s="380">
        <v>15.77</v>
      </c>
      <c r="K117" s="380">
        <v>11.88</v>
      </c>
      <c r="L117" s="380">
        <v>11.08</v>
      </c>
      <c r="M117" s="380">
        <v>9.48</v>
      </c>
      <c r="N117" s="380">
        <v>10.27</v>
      </c>
      <c r="O117" s="380">
        <v>10.57</v>
      </c>
      <c r="P117" s="380">
        <v>8.9</v>
      </c>
      <c r="Q117" s="380">
        <v>14.34</v>
      </c>
      <c r="R117" s="380">
        <v>9.24</v>
      </c>
      <c r="S117" s="380">
        <v>10.41</v>
      </c>
      <c r="T117" s="380"/>
      <c r="U117" s="380"/>
      <c r="V117" s="380"/>
      <c r="W117" s="380"/>
      <c r="X117" s="380"/>
      <c r="Y117" s="380"/>
      <c r="Z117" s="380"/>
      <c r="AA117" s="380"/>
      <c r="AB117" s="380"/>
      <c r="AC117" s="380"/>
      <c r="AD117" s="380"/>
      <c r="AE117" s="380"/>
      <c r="AF117" s="380"/>
      <c r="AG117" s="380"/>
      <c r="AH117" s="380"/>
      <c r="AI117" s="380"/>
      <c r="AJ117" s="380"/>
    </row>
    <row r="118" spans="1:36" x14ac:dyDescent="0.2">
      <c r="A118" t="s">
        <v>453</v>
      </c>
      <c r="B118" s="380" t="s">
        <v>448</v>
      </c>
      <c r="C118" s="380" t="s">
        <v>449</v>
      </c>
      <c r="D118" s="380" t="s">
        <v>447</v>
      </c>
      <c r="E118" s="380" t="s">
        <v>398</v>
      </c>
      <c r="F118" s="380">
        <v>3.7</v>
      </c>
      <c r="G118" s="380">
        <v>18.07</v>
      </c>
      <c r="H118" s="380">
        <v>9.99</v>
      </c>
      <c r="I118" s="380">
        <v>9.11</v>
      </c>
      <c r="J118" s="380">
        <v>21.74</v>
      </c>
      <c r="K118" s="380">
        <v>10.72</v>
      </c>
      <c r="L118" s="380">
        <v>9.92</v>
      </c>
      <c r="M118" s="380">
        <v>9.02</v>
      </c>
      <c r="N118" s="380">
        <v>12.37</v>
      </c>
      <c r="O118" s="380">
        <v>19.7</v>
      </c>
      <c r="P118" s="380">
        <v>9.49</v>
      </c>
      <c r="Q118" s="380">
        <v>9.11</v>
      </c>
      <c r="R118" s="380">
        <v>9.18</v>
      </c>
      <c r="S118" s="380">
        <v>10.62</v>
      </c>
      <c r="T118" s="380"/>
      <c r="U118" s="380"/>
      <c r="V118" s="380"/>
      <c r="W118" s="380"/>
      <c r="X118" s="380"/>
      <c r="Y118" s="380"/>
      <c r="Z118" s="380"/>
      <c r="AA118" s="380"/>
      <c r="AB118" s="380"/>
      <c r="AC118" s="380"/>
      <c r="AD118" s="380"/>
      <c r="AE118" s="380"/>
      <c r="AF118" s="380"/>
      <c r="AG118" s="380"/>
      <c r="AH118" s="380"/>
      <c r="AI118" s="380"/>
      <c r="AJ118" s="380"/>
    </row>
    <row r="119" spans="1:36" x14ac:dyDescent="0.2">
      <c r="A119" t="s">
        <v>453</v>
      </c>
      <c r="B119" s="380" t="s">
        <v>448</v>
      </c>
      <c r="C119" s="380" t="s">
        <v>449</v>
      </c>
      <c r="D119" s="380" t="s">
        <v>447</v>
      </c>
      <c r="E119" s="380" t="s">
        <v>398</v>
      </c>
      <c r="F119" s="380">
        <v>2.5</v>
      </c>
      <c r="G119" s="380">
        <v>15.38</v>
      </c>
      <c r="H119" s="380">
        <v>9.7799999999999994</v>
      </c>
      <c r="I119" s="380">
        <v>10.32</v>
      </c>
      <c r="J119" s="380">
        <v>10.039999999999999</v>
      </c>
      <c r="K119" s="380">
        <v>10.58</v>
      </c>
      <c r="L119" s="380">
        <v>9.3000000000000007</v>
      </c>
      <c r="M119" s="380">
        <v>10.86</v>
      </c>
      <c r="N119" s="380">
        <v>10.39</v>
      </c>
      <c r="O119" s="380">
        <v>13.3</v>
      </c>
      <c r="P119" s="380">
        <v>15</v>
      </c>
      <c r="Q119" s="380">
        <v>8.7799999999999994</v>
      </c>
      <c r="R119" s="380">
        <v>17.02</v>
      </c>
      <c r="S119" s="380">
        <v>9.3000000000000007</v>
      </c>
      <c r="T119" s="380"/>
      <c r="U119" s="380"/>
      <c r="V119" s="380"/>
      <c r="W119" s="380"/>
      <c r="X119" s="380"/>
      <c r="Y119" s="380"/>
      <c r="Z119" s="380"/>
      <c r="AA119" s="380"/>
      <c r="AB119" s="380"/>
      <c r="AC119" s="380"/>
      <c r="AD119" s="380"/>
      <c r="AE119" s="380"/>
      <c r="AF119" s="380"/>
      <c r="AG119" s="380"/>
      <c r="AH119" s="380"/>
      <c r="AI119" s="380"/>
      <c r="AJ119" s="380"/>
    </row>
    <row r="120" spans="1:36" x14ac:dyDescent="0.2">
      <c r="A120" t="s">
        <v>453</v>
      </c>
      <c r="B120" s="380" t="s">
        <v>448</v>
      </c>
      <c r="C120" s="380" t="s">
        <v>449</v>
      </c>
      <c r="D120" s="380" t="s">
        <v>447</v>
      </c>
      <c r="E120" s="380" t="s">
        <v>398</v>
      </c>
      <c r="F120" s="380">
        <v>2.1</v>
      </c>
      <c r="G120" s="380">
        <v>9.65</v>
      </c>
      <c r="H120" s="380">
        <v>9.94</v>
      </c>
      <c r="I120" s="380">
        <v>10.86</v>
      </c>
      <c r="J120" s="380">
        <v>10.029999999999999</v>
      </c>
      <c r="K120" s="380">
        <v>18.54</v>
      </c>
      <c r="L120" s="380">
        <v>10.3</v>
      </c>
      <c r="M120" s="380">
        <v>9.5500000000000007</v>
      </c>
      <c r="N120" s="380">
        <v>11.39</v>
      </c>
      <c r="O120" s="380">
        <v>12</v>
      </c>
      <c r="P120" s="380">
        <v>10.24</v>
      </c>
      <c r="Q120" s="380">
        <v>9.7100000000000009</v>
      </c>
      <c r="R120" s="380">
        <v>11.95</v>
      </c>
      <c r="S120" s="380">
        <v>13.34</v>
      </c>
      <c r="T120" s="380"/>
      <c r="U120" s="380"/>
      <c r="V120" s="380"/>
      <c r="W120" s="380"/>
      <c r="X120" s="380"/>
      <c r="Y120" s="380"/>
      <c r="Z120" s="380"/>
      <c r="AA120" s="380"/>
      <c r="AB120" s="380"/>
      <c r="AC120" s="380"/>
      <c r="AD120" s="380"/>
      <c r="AE120" s="380"/>
      <c r="AF120" s="380"/>
      <c r="AG120" s="380"/>
      <c r="AH120" s="380"/>
      <c r="AI120" s="380"/>
      <c r="AJ120" s="380"/>
    </row>
    <row r="121" spans="1:36" x14ac:dyDescent="0.2">
      <c r="A121" t="s">
        <v>453</v>
      </c>
      <c r="B121" s="380" t="s">
        <v>448</v>
      </c>
      <c r="C121" s="380" t="s">
        <v>449</v>
      </c>
      <c r="D121" s="380" t="s">
        <v>447</v>
      </c>
      <c r="E121" s="380" t="s">
        <v>398</v>
      </c>
      <c r="F121" s="380">
        <v>1.7</v>
      </c>
      <c r="G121" s="380">
        <v>9.99</v>
      </c>
      <c r="H121" s="380">
        <v>13.93</v>
      </c>
      <c r="I121" s="380">
        <v>9.17</v>
      </c>
      <c r="J121" s="380">
        <v>9.77</v>
      </c>
      <c r="K121" s="380">
        <v>10.83</v>
      </c>
      <c r="L121" s="380">
        <v>9.15</v>
      </c>
      <c r="M121" s="380">
        <v>11.89</v>
      </c>
      <c r="N121" s="380">
        <v>11.38</v>
      </c>
      <c r="O121" s="380">
        <v>8.75</v>
      </c>
      <c r="P121" s="380">
        <v>9.31</v>
      </c>
      <c r="Q121" s="380">
        <v>9.3800000000000008</v>
      </c>
      <c r="R121" s="380">
        <v>9.41</v>
      </c>
      <c r="S121" s="380">
        <v>9.15</v>
      </c>
      <c r="T121" s="380"/>
      <c r="U121" s="380"/>
      <c r="V121" s="380"/>
      <c r="W121" s="380"/>
      <c r="X121" s="380"/>
      <c r="Y121" s="380"/>
      <c r="Z121" s="380"/>
      <c r="AA121" s="380"/>
      <c r="AB121" s="380"/>
      <c r="AC121" s="380"/>
      <c r="AD121" s="380"/>
      <c r="AE121" s="380"/>
      <c r="AF121" s="380"/>
      <c r="AG121" s="380"/>
      <c r="AH121" s="380"/>
      <c r="AI121" s="380"/>
      <c r="AJ121" s="380"/>
    </row>
    <row r="122" spans="1:36" x14ac:dyDescent="0.2">
      <c r="A122" t="s">
        <v>453</v>
      </c>
      <c r="B122" s="380" t="s">
        <v>448</v>
      </c>
      <c r="C122" s="380" t="s">
        <v>449</v>
      </c>
      <c r="D122" s="380" t="s">
        <v>447</v>
      </c>
      <c r="E122" s="380" t="s">
        <v>398</v>
      </c>
      <c r="F122" s="380">
        <v>1.5</v>
      </c>
      <c r="G122" s="380">
        <v>10.130000000000001</v>
      </c>
      <c r="H122" s="380">
        <v>11.23</v>
      </c>
      <c r="I122" s="380">
        <v>9.9700000000000006</v>
      </c>
      <c r="J122" s="380">
        <v>8.7899999999999991</v>
      </c>
      <c r="K122" s="380">
        <v>11.42</v>
      </c>
      <c r="L122" s="380">
        <v>9.44</v>
      </c>
      <c r="M122" s="380">
        <v>9.77</v>
      </c>
      <c r="N122" s="380">
        <v>8.9700000000000006</v>
      </c>
      <c r="O122" s="380">
        <v>11.11</v>
      </c>
      <c r="P122" s="380">
        <v>10.07</v>
      </c>
      <c r="Q122" s="380">
        <v>8.8699999999999992</v>
      </c>
      <c r="R122" s="380">
        <v>12.47</v>
      </c>
      <c r="S122" s="380">
        <v>11.61</v>
      </c>
      <c r="T122" s="380"/>
      <c r="U122" s="380"/>
      <c r="V122" s="380"/>
      <c r="W122" s="380"/>
      <c r="X122" s="380"/>
      <c r="Y122" s="380"/>
      <c r="Z122" s="380"/>
      <c r="AA122" s="380"/>
      <c r="AB122" s="380"/>
      <c r="AC122" s="380"/>
      <c r="AD122" s="380"/>
      <c r="AE122" s="380"/>
      <c r="AF122" s="380"/>
      <c r="AG122" s="380"/>
      <c r="AH122" s="380"/>
      <c r="AI122" s="380"/>
      <c r="AJ122" s="380"/>
    </row>
    <row r="123" spans="1:36" x14ac:dyDescent="0.2">
      <c r="A123" t="s">
        <v>453</v>
      </c>
      <c r="B123" s="380" t="s">
        <v>448</v>
      </c>
      <c r="C123" s="380" t="s">
        <v>449</v>
      </c>
      <c r="D123" s="380" t="s">
        <v>447</v>
      </c>
      <c r="E123" s="380" t="s">
        <v>398</v>
      </c>
      <c r="F123" s="380">
        <v>1.5</v>
      </c>
      <c r="G123" s="380">
        <v>10.65</v>
      </c>
      <c r="H123" s="380">
        <v>12.84</v>
      </c>
      <c r="I123" s="380">
        <v>10</v>
      </c>
      <c r="J123" s="380">
        <v>8.8000000000000007</v>
      </c>
      <c r="K123" s="380">
        <v>9.34</v>
      </c>
      <c r="L123" s="380">
        <v>9.18</v>
      </c>
      <c r="M123" s="380">
        <v>9.41</v>
      </c>
      <c r="N123" s="380">
        <v>8.67</v>
      </c>
      <c r="O123" s="380">
        <v>11.08</v>
      </c>
      <c r="P123" s="380">
        <v>9.02</v>
      </c>
      <c r="Q123" s="380">
        <v>13.72</v>
      </c>
      <c r="R123" s="380">
        <v>8.6199999999999992</v>
      </c>
      <c r="S123" s="380">
        <v>9.6</v>
      </c>
      <c r="T123" s="380"/>
      <c r="U123" s="380"/>
      <c r="V123" s="380"/>
      <c r="W123" s="380"/>
      <c r="X123" s="380"/>
      <c r="Y123" s="380"/>
      <c r="Z123" s="380"/>
      <c r="AA123" s="380"/>
      <c r="AB123" s="380"/>
      <c r="AC123" s="380"/>
      <c r="AD123" s="380"/>
      <c r="AE123" s="380"/>
      <c r="AF123" s="380"/>
      <c r="AG123" s="380"/>
      <c r="AH123" s="380"/>
      <c r="AI123" s="380"/>
      <c r="AJ123" s="380"/>
    </row>
    <row r="124" spans="1:36" x14ac:dyDescent="0.2">
      <c r="A124" t="s">
        <v>453</v>
      </c>
      <c r="B124" s="380" t="s">
        <v>448</v>
      </c>
      <c r="C124" s="380" t="s">
        <v>449</v>
      </c>
      <c r="D124" s="380" t="s">
        <v>447</v>
      </c>
      <c r="E124" s="380" t="s">
        <v>398</v>
      </c>
      <c r="F124" s="380">
        <v>0.9</v>
      </c>
      <c r="G124" s="380">
        <v>9.89</v>
      </c>
      <c r="H124" s="380">
        <v>9.9499999999999993</v>
      </c>
      <c r="I124" s="380">
        <v>11.02</v>
      </c>
      <c r="J124" s="380">
        <v>10.4</v>
      </c>
      <c r="K124" s="380">
        <v>8.93</v>
      </c>
      <c r="L124" s="380">
        <v>9.19</v>
      </c>
      <c r="M124" s="380">
        <v>7.67</v>
      </c>
      <c r="N124" s="380">
        <v>6.97</v>
      </c>
      <c r="O124" s="380">
        <v>7.14</v>
      </c>
      <c r="P124" s="380">
        <v>7.66</v>
      </c>
      <c r="Q124" s="380">
        <v>6.14</v>
      </c>
      <c r="R124" s="380">
        <v>7.33</v>
      </c>
      <c r="S124" s="380">
        <v>8.32</v>
      </c>
      <c r="T124" s="380"/>
      <c r="U124" s="380"/>
      <c r="V124" s="380"/>
      <c r="W124" s="380"/>
      <c r="X124" s="380"/>
      <c r="Y124" s="380"/>
      <c r="Z124" s="380"/>
      <c r="AA124" s="380"/>
      <c r="AB124" s="380"/>
      <c r="AC124" s="380"/>
      <c r="AD124" s="380"/>
      <c r="AE124" s="380"/>
      <c r="AF124" s="380"/>
      <c r="AG124" s="380"/>
      <c r="AH124" s="380"/>
      <c r="AI124" s="380"/>
      <c r="AJ124" s="380"/>
    </row>
    <row r="125" spans="1:36" x14ac:dyDescent="0.2">
      <c r="A125" t="s">
        <v>453</v>
      </c>
      <c r="B125" s="380" t="s">
        <v>448</v>
      </c>
      <c r="C125" s="380" t="s">
        <v>449</v>
      </c>
      <c r="D125" s="380" t="s">
        <v>447</v>
      </c>
      <c r="E125" s="380" t="s">
        <v>451</v>
      </c>
      <c r="F125" s="380">
        <v>0.2</v>
      </c>
      <c r="G125" s="380">
        <v>5.07</v>
      </c>
      <c r="H125" s="380">
        <v>5.03</v>
      </c>
      <c r="I125" s="380">
        <v>5.79</v>
      </c>
      <c r="J125" s="380">
        <v>4.3499999999999996</v>
      </c>
      <c r="K125" s="380">
        <v>4.8600000000000003</v>
      </c>
      <c r="L125" s="380">
        <v>4.1100000000000003</v>
      </c>
      <c r="M125" s="380">
        <v>4.55</v>
      </c>
      <c r="N125" s="380">
        <v>4.99</v>
      </c>
      <c r="O125" s="380">
        <v>4.59</v>
      </c>
      <c r="P125" s="380">
        <v>5.45</v>
      </c>
      <c r="Q125" s="380">
        <v>4.72</v>
      </c>
      <c r="R125" s="380">
        <v>4.3099999999999996</v>
      </c>
      <c r="S125" s="380">
        <v>4.5599999999999996</v>
      </c>
      <c r="T125" s="380"/>
      <c r="U125" s="380"/>
      <c r="V125" s="380"/>
      <c r="W125" s="380"/>
      <c r="X125" s="380"/>
      <c r="Y125" s="380"/>
      <c r="Z125" s="380"/>
      <c r="AA125" s="380"/>
      <c r="AB125" s="380"/>
      <c r="AC125" s="380"/>
      <c r="AD125" s="380"/>
      <c r="AE125" s="380"/>
      <c r="AF125" s="380"/>
      <c r="AG125" s="380"/>
      <c r="AH125" s="380"/>
      <c r="AI125" s="380"/>
      <c r="AJ125" s="380"/>
    </row>
    <row r="126" spans="1:36" x14ac:dyDescent="0.2">
      <c r="A126" t="s">
        <v>453</v>
      </c>
      <c r="B126" s="380" t="s">
        <v>448</v>
      </c>
      <c r="C126" s="380" t="s">
        <v>449</v>
      </c>
      <c r="D126" s="380" t="s">
        <v>447</v>
      </c>
      <c r="E126" s="380" t="s">
        <v>451</v>
      </c>
      <c r="F126" s="380">
        <v>0.1</v>
      </c>
      <c r="G126" s="380">
        <v>5.18</v>
      </c>
      <c r="H126" s="380">
        <v>4.2300000000000004</v>
      </c>
      <c r="I126" s="380">
        <v>4.34</v>
      </c>
      <c r="J126" s="380">
        <v>4.7300000000000004</v>
      </c>
      <c r="K126" s="380">
        <v>3.57</v>
      </c>
      <c r="L126" s="380">
        <v>5.43</v>
      </c>
      <c r="M126" s="380">
        <v>4.08</v>
      </c>
      <c r="N126" s="380">
        <v>4.1100000000000003</v>
      </c>
      <c r="O126" s="380">
        <v>3.76</v>
      </c>
      <c r="P126" s="380">
        <v>3.83</v>
      </c>
      <c r="Q126" s="380">
        <v>3.84</v>
      </c>
      <c r="R126" s="380">
        <v>3.72</v>
      </c>
      <c r="S126" s="380">
        <v>4.2300000000000004</v>
      </c>
      <c r="T126" s="380"/>
      <c r="U126" s="380"/>
      <c r="V126" s="380"/>
      <c r="W126" s="380"/>
      <c r="X126" s="380"/>
      <c r="Y126" s="380"/>
      <c r="Z126" s="380"/>
      <c r="AA126" s="380"/>
      <c r="AB126" s="380"/>
      <c r="AC126" s="380"/>
      <c r="AD126" s="380"/>
      <c r="AE126" s="380"/>
      <c r="AF126" s="380"/>
      <c r="AG126" s="380"/>
      <c r="AH126" s="380"/>
      <c r="AI126" s="380"/>
      <c r="AJ126" s="380"/>
    </row>
    <row r="127" spans="1:36" x14ac:dyDescent="0.2">
      <c r="A127" t="s">
        <v>453</v>
      </c>
      <c r="B127" s="380" t="s">
        <v>448</v>
      </c>
      <c r="C127" s="380" t="s">
        <v>449</v>
      </c>
      <c r="D127" s="380" t="s">
        <v>447</v>
      </c>
      <c r="E127" s="380" t="s">
        <v>451</v>
      </c>
      <c r="F127" s="380" t="s">
        <v>452</v>
      </c>
      <c r="G127" s="380">
        <v>3.58</v>
      </c>
      <c r="H127" s="380">
        <v>4.05</v>
      </c>
      <c r="I127" s="380">
        <v>4.1900000000000004</v>
      </c>
      <c r="J127" s="380">
        <v>3.82</v>
      </c>
      <c r="K127" s="380">
        <v>3.79</v>
      </c>
      <c r="L127" s="380">
        <v>3.72</v>
      </c>
      <c r="M127" s="380">
        <v>4.24</v>
      </c>
      <c r="N127" s="380">
        <v>3.76</v>
      </c>
      <c r="O127" s="380">
        <v>3.92</v>
      </c>
      <c r="P127" s="380">
        <v>3.93</v>
      </c>
      <c r="Q127" s="380">
        <v>3.85</v>
      </c>
      <c r="R127" s="380">
        <v>3.01</v>
      </c>
      <c r="S127" s="380">
        <v>3.9</v>
      </c>
      <c r="T127" s="380"/>
      <c r="U127" s="380"/>
      <c r="V127" s="380"/>
      <c r="W127" s="380"/>
      <c r="X127" s="380"/>
      <c r="Y127" s="380"/>
      <c r="Z127" s="380"/>
      <c r="AA127" s="380"/>
      <c r="AB127" s="380"/>
      <c r="AC127" s="380"/>
      <c r="AD127" s="380"/>
      <c r="AE127" s="380"/>
      <c r="AF127" s="380"/>
      <c r="AG127" s="380"/>
      <c r="AH127" s="380"/>
      <c r="AI127" s="380"/>
      <c r="AJ127" s="380"/>
    </row>
    <row r="128" spans="1:36" x14ac:dyDescent="0.2">
      <c r="A128" t="s">
        <v>453</v>
      </c>
      <c r="B128" s="380" t="s">
        <v>448</v>
      </c>
      <c r="C128" s="380" t="s">
        <v>449</v>
      </c>
      <c r="D128" s="380" t="s">
        <v>447</v>
      </c>
      <c r="E128" s="380" t="s">
        <v>451</v>
      </c>
      <c r="F128" s="380" t="s">
        <v>452</v>
      </c>
      <c r="G128" s="380">
        <v>3.37</v>
      </c>
      <c r="H128" s="380">
        <v>2.64</v>
      </c>
      <c r="I128" s="380">
        <v>3.7</v>
      </c>
      <c r="J128" s="380">
        <v>3.83</v>
      </c>
      <c r="K128" s="380">
        <v>3.23</v>
      </c>
      <c r="L128" s="380">
        <v>3.57</v>
      </c>
      <c r="M128" s="380">
        <v>2.95</v>
      </c>
      <c r="N128" s="380">
        <v>3.68</v>
      </c>
      <c r="O128" s="380">
        <v>3.46</v>
      </c>
      <c r="P128" s="380">
        <v>2.83</v>
      </c>
      <c r="Q128" s="380">
        <v>2.88</v>
      </c>
      <c r="R128" s="380">
        <v>3.16</v>
      </c>
      <c r="S128" s="380">
        <v>2.89</v>
      </c>
      <c r="T128" s="380"/>
      <c r="U128" s="380"/>
      <c r="V128" s="380"/>
      <c r="W128" s="380"/>
      <c r="X128" s="380"/>
      <c r="Y128" s="380"/>
      <c r="Z128" s="380"/>
      <c r="AA128" s="380"/>
      <c r="AB128" s="380"/>
      <c r="AC128" s="380"/>
      <c r="AD128" s="380"/>
      <c r="AE128" s="380"/>
      <c r="AF128" s="380"/>
      <c r="AG128" s="380"/>
      <c r="AH128" s="380"/>
      <c r="AI128" s="380"/>
      <c r="AJ128" s="380"/>
    </row>
    <row r="129" spans="1:36" x14ac:dyDescent="0.2">
      <c r="A129" t="s">
        <v>453</v>
      </c>
      <c r="B129" s="380" t="s">
        <v>448</v>
      </c>
      <c r="C129" s="380" t="s">
        <v>449</v>
      </c>
      <c r="D129" s="380" t="s">
        <v>447</v>
      </c>
      <c r="E129" s="380" t="s">
        <v>399</v>
      </c>
      <c r="F129" s="380">
        <v>0.7</v>
      </c>
      <c r="G129" s="380">
        <v>6.93</v>
      </c>
      <c r="H129" s="380">
        <v>7.76</v>
      </c>
      <c r="I129" s="380">
        <v>8.07</v>
      </c>
      <c r="J129" s="380">
        <v>6.4</v>
      </c>
      <c r="K129" s="380">
        <v>5.61</v>
      </c>
      <c r="L129" s="380">
        <v>8.6300000000000008</v>
      </c>
      <c r="M129" s="380">
        <v>8.14</v>
      </c>
      <c r="N129" s="380">
        <v>7.44</v>
      </c>
      <c r="O129" s="380">
        <v>8.33</v>
      </c>
      <c r="P129" s="380">
        <v>7.49</v>
      </c>
      <c r="Q129" s="380">
        <v>7.19</v>
      </c>
      <c r="R129" s="380">
        <v>7.82</v>
      </c>
      <c r="S129" s="380">
        <v>6.06</v>
      </c>
      <c r="T129" s="380"/>
      <c r="U129" s="380"/>
      <c r="V129" s="380"/>
      <c r="W129" s="380"/>
      <c r="X129" s="380"/>
      <c r="Y129" s="380"/>
      <c r="Z129" s="380"/>
      <c r="AA129" s="380"/>
      <c r="AB129" s="380"/>
      <c r="AC129" s="380"/>
      <c r="AD129" s="380"/>
      <c r="AE129" s="380"/>
      <c r="AF129" s="380"/>
      <c r="AG129" s="380"/>
      <c r="AH129" s="380"/>
      <c r="AI129" s="380"/>
      <c r="AJ129" s="380"/>
    </row>
    <row r="130" spans="1:36" x14ac:dyDescent="0.2">
      <c r="A130" t="s">
        <v>453</v>
      </c>
      <c r="B130" s="380" t="s">
        <v>448</v>
      </c>
      <c r="C130" s="380" t="s">
        <v>449</v>
      </c>
      <c r="D130" s="380" t="s">
        <v>447</v>
      </c>
      <c r="E130" s="380" t="s">
        <v>399</v>
      </c>
      <c r="F130" s="380">
        <v>0.3</v>
      </c>
      <c r="G130" s="380">
        <v>6.36</v>
      </c>
      <c r="H130" s="380">
        <v>6.34</v>
      </c>
      <c r="I130" s="380">
        <v>5.44</v>
      </c>
      <c r="J130" s="380">
        <v>7.83</v>
      </c>
      <c r="K130" s="380">
        <v>8.66</v>
      </c>
      <c r="L130" s="380">
        <v>8.64</v>
      </c>
      <c r="M130" s="380">
        <v>6.42</v>
      </c>
      <c r="N130" s="380">
        <v>5.36</v>
      </c>
      <c r="O130" s="380">
        <v>4.6100000000000003</v>
      </c>
      <c r="P130" s="380">
        <v>5.61</v>
      </c>
      <c r="Q130" s="380">
        <v>5.0599999999999996</v>
      </c>
      <c r="R130" s="380">
        <v>5.41</v>
      </c>
      <c r="S130" s="380">
        <v>4.1900000000000004</v>
      </c>
      <c r="T130" s="380"/>
      <c r="U130" s="380"/>
      <c r="V130" s="380"/>
      <c r="W130" s="380"/>
      <c r="X130" s="380"/>
      <c r="Y130" s="380"/>
      <c r="Z130" s="380"/>
      <c r="AA130" s="380"/>
      <c r="AB130" s="380"/>
      <c r="AC130" s="380"/>
      <c r="AD130" s="380"/>
      <c r="AE130" s="380"/>
      <c r="AF130" s="380"/>
      <c r="AG130" s="380"/>
      <c r="AH130" s="380"/>
      <c r="AI130" s="380"/>
      <c r="AJ130" s="380"/>
    </row>
    <row r="131" spans="1:36" x14ac:dyDescent="0.2">
      <c r="A131" t="s">
        <v>453</v>
      </c>
      <c r="B131" s="380" t="s">
        <v>448</v>
      </c>
      <c r="C131" s="380" t="s">
        <v>449</v>
      </c>
      <c r="D131" s="380" t="s">
        <v>447</v>
      </c>
      <c r="E131" s="380" t="s">
        <v>399</v>
      </c>
      <c r="F131" s="380">
        <v>0.5</v>
      </c>
      <c r="G131" s="380">
        <v>6.92</v>
      </c>
      <c r="H131" s="380">
        <v>7.75</v>
      </c>
      <c r="I131" s="380">
        <v>7.9</v>
      </c>
      <c r="J131" s="380">
        <v>7.71</v>
      </c>
      <c r="K131" s="380">
        <v>7.24</v>
      </c>
      <c r="L131" s="380">
        <v>6.77</v>
      </c>
      <c r="M131" s="380">
        <v>6.5</v>
      </c>
      <c r="N131" s="380">
        <v>7.2</v>
      </c>
      <c r="O131" s="380">
        <v>6.89</v>
      </c>
      <c r="P131" s="380">
        <v>6.36</v>
      </c>
      <c r="Q131" s="380">
        <v>8.7100000000000009</v>
      </c>
      <c r="R131" s="380">
        <v>4.95</v>
      </c>
      <c r="S131" s="380">
        <v>4.92</v>
      </c>
      <c r="T131" s="380"/>
      <c r="U131" s="380"/>
      <c r="V131" s="380"/>
      <c r="W131" s="380"/>
      <c r="X131" s="380"/>
      <c r="Y131" s="380"/>
      <c r="Z131" s="380"/>
      <c r="AA131" s="380"/>
      <c r="AB131" s="380"/>
      <c r="AC131" s="380"/>
      <c r="AD131" s="380"/>
      <c r="AE131" s="380"/>
      <c r="AF131" s="380"/>
      <c r="AG131" s="380"/>
      <c r="AH131" s="380"/>
      <c r="AI131" s="380"/>
      <c r="AJ131" s="380"/>
    </row>
    <row r="132" spans="1:36" x14ac:dyDescent="0.2">
      <c r="A132" t="s">
        <v>453</v>
      </c>
      <c r="B132" s="380" t="s">
        <v>448</v>
      </c>
      <c r="C132" s="380" t="s">
        <v>449</v>
      </c>
      <c r="D132" s="380" t="s">
        <v>447</v>
      </c>
      <c r="E132" s="380" t="s">
        <v>399</v>
      </c>
      <c r="F132" s="380">
        <v>0.4</v>
      </c>
      <c r="G132" s="380">
        <v>8.01</v>
      </c>
      <c r="H132" s="380">
        <v>4.01</v>
      </c>
      <c r="I132" s="380">
        <v>5.22</v>
      </c>
      <c r="J132" s="380">
        <v>6.42</v>
      </c>
      <c r="K132" s="380">
        <v>7.24</v>
      </c>
      <c r="L132" s="380">
        <v>6.33</v>
      </c>
      <c r="M132" s="380">
        <v>7.18</v>
      </c>
      <c r="N132" s="380">
        <v>8.34</v>
      </c>
      <c r="O132" s="380">
        <v>6.81</v>
      </c>
      <c r="P132" s="380">
        <v>5.94</v>
      </c>
      <c r="Q132" s="380">
        <v>7.26</v>
      </c>
      <c r="R132" s="380">
        <v>4.26</v>
      </c>
      <c r="S132" s="380">
        <v>4</v>
      </c>
      <c r="T132" s="380"/>
      <c r="U132" s="380"/>
      <c r="V132" s="380"/>
      <c r="W132" s="380"/>
      <c r="X132" s="380"/>
      <c r="Y132" s="380"/>
      <c r="Z132" s="380"/>
      <c r="AA132" s="380"/>
      <c r="AB132" s="380"/>
      <c r="AC132" s="380"/>
      <c r="AD132" s="380"/>
      <c r="AE132" s="380"/>
      <c r="AF132" s="380"/>
      <c r="AG132" s="380"/>
      <c r="AH132" s="380"/>
      <c r="AI132" s="380"/>
      <c r="AJ132" s="380"/>
    </row>
    <row r="133" spans="1:36" x14ac:dyDescent="0.2">
      <c r="A133" t="s">
        <v>453</v>
      </c>
      <c r="B133" s="380" t="s">
        <v>448</v>
      </c>
      <c r="C133" s="380" t="s">
        <v>449</v>
      </c>
      <c r="D133" s="380" t="s">
        <v>447</v>
      </c>
      <c r="E133" s="380" t="s">
        <v>399</v>
      </c>
      <c r="F133" s="380">
        <v>0.4</v>
      </c>
      <c r="G133" s="380">
        <v>4.93</v>
      </c>
      <c r="H133" s="380">
        <v>4.6900000000000004</v>
      </c>
      <c r="I133" s="380">
        <v>4.1399999999999997</v>
      </c>
      <c r="J133" s="380">
        <v>3.84</v>
      </c>
      <c r="K133" s="380">
        <v>8</v>
      </c>
      <c r="L133" s="380">
        <v>6.7</v>
      </c>
      <c r="M133" s="380">
        <v>8.06</v>
      </c>
      <c r="N133" s="380">
        <v>8.11</v>
      </c>
      <c r="O133" s="380">
        <v>7.3</v>
      </c>
      <c r="P133" s="380">
        <v>5.34</v>
      </c>
      <c r="Q133" s="380">
        <v>5.5</v>
      </c>
      <c r="R133" s="380">
        <v>5.7</v>
      </c>
      <c r="S133" s="380">
        <v>4.3600000000000003</v>
      </c>
      <c r="T133" s="380"/>
      <c r="U133" s="380"/>
      <c r="V133" s="380"/>
      <c r="W133" s="380"/>
      <c r="X133" s="380"/>
      <c r="Y133" s="380"/>
      <c r="Z133" s="380"/>
      <c r="AA133" s="380"/>
      <c r="AB133" s="380"/>
      <c r="AC133" s="380"/>
      <c r="AD133" s="380"/>
      <c r="AE133" s="380"/>
      <c r="AF133" s="380"/>
      <c r="AG133" s="380"/>
      <c r="AH133" s="380"/>
      <c r="AI133" s="380"/>
      <c r="AJ133" s="380"/>
    </row>
    <row r="134" spans="1:36" x14ac:dyDescent="0.2">
      <c r="A134" t="s">
        <v>453</v>
      </c>
      <c r="B134" s="380" t="s">
        <v>448</v>
      </c>
      <c r="C134" s="380" t="s">
        <v>449</v>
      </c>
      <c r="D134" s="380" t="s">
        <v>447</v>
      </c>
      <c r="E134" s="380" t="s">
        <v>399</v>
      </c>
      <c r="F134" s="380">
        <v>0.5</v>
      </c>
      <c r="G134" s="380">
        <v>7.61</v>
      </c>
      <c r="H134" s="380">
        <v>6.81</v>
      </c>
      <c r="I134" s="380">
        <v>5.64</v>
      </c>
      <c r="J134" s="380">
        <v>7.37</v>
      </c>
      <c r="K134" s="380">
        <v>5.7</v>
      </c>
      <c r="L134" s="380">
        <v>5.25</v>
      </c>
      <c r="M134" s="380">
        <v>4.37</v>
      </c>
      <c r="N134" s="380">
        <v>4.08</v>
      </c>
      <c r="O134" s="380">
        <v>7.42</v>
      </c>
      <c r="P134" s="380">
        <v>8.2100000000000009</v>
      </c>
      <c r="Q134" s="380">
        <v>6.71</v>
      </c>
      <c r="R134" s="380">
        <v>6.83</v>
      </c>
      <c r="S134" s="380">
        <v>7.47</v>
      </c>
      <c r="T134" s="380"/>
      <c r="U134" s="380"/>
      <c r="V134" s="380"/>
      <c r="W134" s="380"/>
      <c r="X134" s="380"/>
      <c r="Y134" s="380"/>
      <c r="Z134" s="380"/>
      <c r="AA134" s="380"/>
      <c r="AB134" s="380"/>
      <c r="AC134" s="380"/>
      <c r="AD134" s="380"/>
      <c r="AE134" s="380"/>
      <c r="AF134" s="380"/>
      <c r="AG134" s="380"/>
      <c r="AH134" s="380"/>
      <c r="AI134" s="380"/>
      <c r="AJ134" s="380"/>
    </row>
    <row r="135" spans="1:36" x14ac:dyDescent="0.2">
      <c r="A135" t="s">
        <v>453</v>
      </c>
      <c r="B135" s="380" t="s">
        <v>448</v>
      </c>
      <c r="C135" s="380" t="s">
        <v>449</v>
      </c>
      <c r="D135" s="380" t="s">
        <v>447</v>
      </c>
      <c r="E135" s="380" t="s">
        <v>399</v>
      </c>
      <c r="F135" s="380">
        <v>0.5</v>
      </c>
      <c r="G135" s="380">
        <v>8.69</v>
      </c>
      <c r="H135" s="380">
        <v>7.02</v>
      </c>
      <c r="I135" s="380">
        <v>8.0299999999999994</v>
      </c>
      <c r="J135" s="380">
        <v>6.55</v>
      </c>
      <c r="K135" s="380">
        <v>7.12</v>
      </c>
      <c r="L135" s="380">
        <v>7.2</v>
      </c>
      <c r="M135" s="380">
        <v>5.79</v>
      </c>
      <c r="N135" s="380">
        <v>5.97</v>
      </c>
      <c r="O135" s="380">
        <v>5.23</v>
      </c>
      <c r="P135" s="380">
        <v>3.98</v>
      </c>
      <c r="Q135" s="380">
        <v>6.58</v>
      </c>
      <c r="R135" s="380">
        <v>7.27</v>
      </c>
      <c r="S135" s="380">
        <v>7.03</v>
      </c>
      <c r="T135" s="380"/>
      <c r="U135" s="380"/>
      <c r="V135" s="380"/>
      <c r="W135" s="380"/>
      <c r="X135" s="380"/>
      <c r="Y135" s="380"/>
      <c r="Z135" s="380"/>
      <c r="AA135" s="380"/>
      <c r="AB135" s="380"/>
      <c r="AC135" s="380"/>
      <c r="AD135" s="380"/>
      <c r="AE135" s="380"/>
      <c r="AF135" s="380"/>
      <c r="AG135" s="380"/>
      <c r="AH135" s="380"/>
      <c r="AI135" s="380"/>
      <c r="AJ135" s="380"/>
    </row>
    <row r="136" spans="1:36" x14ac:dyDescent="0.2">
      <c r="A136" t="s">
        <v>453</v>
      </c>
      <c r="B136" s="380" t="s">
        <v>448</v>
      </c>
      <c r="C136" s="380" t="s">
        <v>449</v>
      </c>
      <c r="D136" s="380" t="s">
        <v>447</v>
      </c>
      <c r="E136" s="380" t="s">
        <v>399</v>
      </c>
      <c r="F136" s="380">
        <v>0.4</v>
      </c>
      <c r="G136" s="380">
        <v>7.36</v>
      </c>
      <c r="H136" s="380">
        <v>6.59</v>
      </c>
      <c r="I136" s="380">
        <v>5.88</v>
      </c>
      <c r="J136" s="380">
        <v>4.66</v>
      </c>
      <c r="K136" s="380">
        <v>5.08</v>
      </c>
      <c r="L136" s="380">
        <v>4.4000000000000004</v>
      </c>
      <c r="M136" s="380">
        <v>4.37</v>
      </c>
      <c r="N136" s="380">
        <v>6.21</v>
      </c>
      <c r="O136" s="380">
        <v>8.06</v>
      </c>
      <c r="P136" s="380">
        <v>6.36</v>
      </c>
      <c r="Q136" s="380">
        <v>6.89</v>
      </c>
      <c r="R136" s="380">
        <v>5.29</v>
      </c>
      <c r="S136" s="380">
        <v>7.04</v>
      </c>
      <c r="T136" s="380"/>
      <c r="U136" s="380"/>
      <c r="V136" s="380"/>
      <c r="W136" s="380"/>
      <c r="X136" s="380"/>
      <c r="Y136" s="380"/>
      <c r="Z136" s="380"/>
      <c r="AA136" s="380"/>
      <c r="AB136" s="380"/>
      <c r="AC136" s="380"/>
      <c r="AD136" s="380"/>
      <c r="AE136" s="380"/>
      <c r="AF136" s="380"/>
      <c r="AG136" s="380"/>
      <c r="AH136" s="380"/>
      <c r="AI136" s="380"/>
      <c r="AJ136" s="380"/>
    </row>
    <row r="137" spans="1:36" x14ac:dyDescent="0.2">
      <c r="A137" t="s">
        <v>453</v>
      </c>
      <c r="B137" s="380" t="s">
        <v>448</v>
      </c>
      <c r="C137" s="380" t="s">
        <v>449</v>
      </c>
      <c r="D137" s="380" t="s">
        <v>447</v>
      </c>
      <c r="E137" s="380" t="s">
        <v>399</v>
      </c>
      <c r="F137" s="380">
        <v>0.6</v>
      </c>
      <c r="G137" s="380">
        <v>7.33</v>
      </c>
      <c r="H137" s="380">
        <v>8.24</v>
      </c>
      <c r="I137" s="380">
        <v>6.13</v>
      </c>
      <c r="J137" s="380">
        <v>7.89</v>
      </c>
      <c r="K137" s="380">
        <v>7.72</v>
      </c>
      <c r="L137" s="380">
        <v>7.17</v>
      </c>
      <c r="M137" s="380">
        <v>6.81</v>
      </c>
      <c r="N137" s="380">
        <v>7.34</v>
      </c>
      <c r="O137" s="380">
        <v>6.99</v>
      </c>
      <c r="P137" s="380">
        <v>8.42</v>
      </c>
      <c r="Q137" s="380">
        <v>6.58</v>
      </c>
      <c r="R137" s="380">
        <v>7.59</v>
      </c>
      <c r="S137" s="380">
        <v>7.19</v>
      </c>
      <c r="T137" s="380"/>
      <c r="U137" s="380"/>
      <c r="V137" s="380"/>
      <c r="W137" s="380"/>
      <c r="X137" s="380"/>
      <c r="Y137" s="380"/>
      <c r="Z137" s="380"/>
      <c r="AA137" s="380"/>
      <c r="AB137" s="380"/>
      <c r="AC137" s="380"/>
      <c r="AD137" s="380"/>
      <c r="AE137" s="380"/>
      <c r="AF137" s="380"/>
      <c r="AG137" s="380"/>
      <c r="AH137" s="380"/>
      <c r="AI137" s="380"/>
      <c r="AJ137" s="380"/>
    </row>
    <row r="138" spans="1:36" x14ac:dyDescent="0.2">
      <c r="A138" t="s">
        <v>453</v>
      </c>
      <c r="B138" s="380" t="s">
        <v>448</v>
      </c>
      <c r="C138" s="380" t="s">
        <v>449</v>
      </c>
      <c r="D138" s="380" t="s">
        <v>447</v>
      </c>
      <c r="E138" s="380" t="s">
        <v>399</v>
      </c>
      <c r="F138" s="380">
        <v>0.4</v>
      </c>
      <c r="G138" s="380">
        <v>7.4</v>
      </c>
      <c r="H138" s="380">
        <v>6.87</v>
      </c>
      <c r="I138" s="380">
        <v>6.19</v>
      </c>
      <c r="J138" s="380">
        <v>6.3</v>
      </c>
      <c r="K138" s="380">
        <v>5.45</v>
      </c>
      <c r="L138" s="380">
        <v>6.45</v>
      </c>
      <c r="M138" s="380">
        <v>5.88</v>
      </c>
      <c r="N138" s="380">
        <v>5.35</v>
      </c>
      <c r="O138" s="380">
        <v>5.98</v>
      </c>
      <c r="P138" s="380">
        <v>5.54</v>
      </c>
      <c r="Q138" s="380">
        <v>5.8</v>
      </c>
      <c r="R138" s="380">
        <v>7.54</v>
      </c>
      <c r="S138" s="380">
        <v>7.68</v>
      </c>
      <c r="T138" s="380"/>
      <c r="U138" s="380"/>
      <c r="V138" s="380"/>
      <c r="W138" s="380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I138" s="380"/>
      <c r="AJ138" s="380"/>
    </row>
    <row r="139" spans="1:36" x14ac:dyDescent="0.2">
      <c r="A139" t="s">
        <v>453</v>
      </c>
      <c r="B139" s="380" t="s">
        <v>448</v>
      </c>
      <c r="C139" s="380" t="s">
        <v>449</v>
      </c>
      <c r="D139" s="380" t="s">
        <v>447</v>
      </c>
      <c r="E139" s="380" t="s">
        <v>399</v>
      </c>
      <c r="F139" s="380">
        <v>0.4</v>
      </c>
      <c r="G139" s="380">
        <v>7.49</v>
      </c>
      <c r="H139" s="380">
        <v>8.25</v>
      </c>
      <c r="I139" s="380">
        <v>7.33</v>
      </c>
      <c r="J139" s="380">
        <v>6.56</v>
      </c>
      <c r="K139" s="380">
        <v>5.19</v>
      </c>
      <c r="L139" s="380">
        <v>4.8499999999999996</v>
      </c>
      <c r="M139" s="380">
        <v>5.71</v>
      </c>
      <c r="N139" s="380">
        <v>55.7</v>
      </c>
      <c r="O139" s="380">
        <v>7.18</v>
      </c>
      <c r="P139" s="380">
        <v>7.17</v>
      </c>
      <c r="Q139" s="380">
        <v>8.1300000000000008</v>
      </c>
      <c r="R139" s="380">
        <v>6.37</v>
      </c>
      <c r="S139" s="380">
        <v>6.03</v>
      </c>
      <c r="T139" s="380"/>
      <c r="U139" s="380"/>
      <c r="V139" s="380"/>
      <c r="W139" s="380"/>
      <c r="X139" s="380"/>
      <c r="Y139" s="380"/>
      <c r="Z139" s="380"/>
      <c r="AA139" s="380"/>
      <c r="AB139" s="380"/>
      <c r="AC139" s="380"/>
      <c r="AD139" s="380"/>
      <c r="AE139" s="380"/>
      <c r="AF139" s="380"/>
      <c r="AG139" s="380"/>
      <c r="AH139" s="380"/>
      <c r="AI139" s="380"/>
      <c r="AJ139" s="380"/>
    </row>
    <row r="140" spans="1:36" x14ac:dyDescent="0.2">
      <c r="A140" t="s">
        <v>453</v>
      </c>
      <c r="B140" s="380" t="s">
        <v>448</v>
      </c>
      <c r="C140" s="380" t="s">
        <v>449</v>
      </c>
      <c r="D140" s="380" t="s">
        <v>447</v>
      </c>
      <c r="E140" s="380" t="s">
        <v>399</v>
      </c>
      <c r="F140" s="380">
        <v>0.4</v>
      </c>
      <c r="G140" s="380">
        <v>7.01</v>
      </c>
      <c r="H140" s="380">
        <v>7.25</v>
      </c>
      <c r="I140" s="380">
        <v>5.9</v>
      </c>
      <c r="J140" s="380">
        <v>7.11</v>
      </c>
      <c r="K140" s="380">
        <v>6.32</v>
      </c>
      <c r="L140" s="380">
        <v>4.8099999999999996</v>
      </c>
      <c r="M140" s="380">
        <v>6.01</v>
      </c>
      <c r="N140" s="380">
        <v>6.66</v>
      </c>
      <c r="O140" s="380">
        <v>6.41</v>
      </c>
      <c r="P140" s="380">
        <v>6.3</v>
      </c>
      <c r="Q140" s="380">
        <v>6.39</v>
      </c>
      <c r="R140" s="380">
        <v>4.58</v>
      </c>
      <c r="S140" s="380">
        <v>5.35</v>
      </c>
      <c r="T140" s="380"/>
      <c r="U140" s="380"/>
      <c r="V140" s="380"/>
      <c r="W140" s="380"/>
      <c r="X140" s="380"/>
      <c r="Y140" s="380"/>
      <c r="Z140" s="380"/>
      <c r="AA140" s="380"/>
      <c r="AB140" s="380"/>
      <c r="AC140" s="380"/>
      <c r="AD140" s="380"/>
      <c r="AE140" s="380"/>
      <c r="AF140" s="380"/>
      <c r="AG140" s="380"/>
      <c r="AH140" s="380"/>
      <c r="AI140" s="380"/>
      <c r="AJ140" s="380"/>
    </row>
    <row r="141" spans="1:36" x14ac:dyDescent="0.2">
      <c r="A141" t="s">
        <v>453</v>
      </c>
      <c r="B141" t="s">
        <v>457</v>
      </c>
      <c r="C141" t="s">
        <v>443</v>
      </c>
      <c r="D141" t="s">
        <v>460</v>
      </c>
      <c r="E141" t="s">
        <v>453</v>
      </c>
      <c r="F141" t="s">
        <v>453</v>
      </c>
      <c r="G141">
        <v>15.59</v>
      </c>
      <c r="H141">
        <v>14.2</v>
      </c>
      <c r="I141">
        <v>6.86</v>
      </c>
      <c r="J141">
        <v>9.6</v>
      </c>
      <c r="K141">
        <v>8.2100000000000009</v>
      </c>
      <c r="L141">
        <v>9.1</v>
      </c>
      <c r="M141">
        <v>17.59</v>
      </c>
      <c r="N141">
        <v>9.25</v>
      </c>
      <c r="O141">
        <v>8.2200000000000006</v>
      </c>
      <c r="P141">
        <v>6.1</v>
      </c>
      <c r="Q141">
        <v>9.1</v>
      </c>
      <c r="R141">
        <v>11.12</v>
      </c>
      <c r="S141">
        <v>4.5999999999999996</v>
      </c>
      <c r="T141">
        <v>6.41</v>
      </c>
      <c r="U141">
        <v>8.8699999999999992</v>
      </c>
      <c r="V141">
        <v>8.4600000000000009</v>
      </c>
      <c r="W141">
        <v>12.09</v>
      </c>
      <c r="X141">
        <v>8.1199999999999992</v>
      </c>
      <c r="Y141">
        <v>14.99</v>
      </c>
      <c r="Z141">
        <v>4.9800000000000004</v>
      </c>
    </row>
    <row r="142" spans="1:36" x14ac:dyDescent="0.2">
      <c r="A142" t="s">
        <v>453</v>
      </c>
      <c r="B142" t="s">
        <v>457</v>
      </c>
      <c r="C142" t="s">
        <v>443</v>
      </c>
      <c r="D142" t="s">
        <v>460</v>
      </c>
      <c r="E142" t="s">
        <v>453</v>
      </c>
      <c r="F142" t="s">
        <v>453</v>
      </c>
      <c r="G142">
        <v>10.09</v>
      </c>
      <c r="H142">
        <v>10.09</v>
      </c>
      <c r="I142">
        <v>13.89</v>
      </c>
      <c r="J142">
        <v>14.42</v>
      </c>
      <c r="K142">
        <v>8.92</v>
      </c>
      <c r="L142">
        <v>4.03</v>
      </c>
      <c r="M142">
        <v>8.9</v>
      </c>
      <c r="N142">
        <v>12.31</v>
      </c>
      <c r="O142">
        <v>12.47</v>
      </c>
      <c r="P142">
        <v>4.3600000000000003</v>
      </c>
      <c r="Q142">
        <v>13.26</v>
      </c>
      <c r="R142">
        <v>8.73</v>
      </c>
      <c r="S142">
        <v>9.32</v>
      </c>
      <c r="T142">
        <v>11.18</v>
      </c>
      <c r="U142">
        <v>9.2799999999999994</v>
      </c>
      <c r="V142">
        <v>13.72</v>
      </c>
      <c r="W142">
        <v>9.6300000000000008</v>
      </c>
      <c r="X142">
        <v>7.41</v>
      </c>
      <c r="Y142">
        <v>11.47</v>
      </c>
      <c r="Z142">
        <v>8.81</v>
      </c>
    </row>
    <row r="143" spans="1:36" x14ac:dyDescent="0.2">
      <c r="A143" t="s">
        <v>453</v>
      </c>
      <c r="B143" t="s">
        <v>457</v>
      </c>
      <c r="C143" t="s">
        <v>443</v>
      </c>
      <c r="D143" t="s">
        <v>460</v>
      </c>
      <c r="E143" t="s">
        <v>453</v>
      </c>
      <c r="F143" t="s">
        <v>453</v>
      </c>
      <c r="G143">
        <v>6.17</v>
      </c>
      <c r="H143">
        <v>6.34</v>
      </c>
      <c r="I143">
        <v>4.84</v>
      </c>
      <c r="J143">
        <v>12.07</v>
      </c>
      <c r="K143">
        <v>14.8</v>
      </c>
      <c r="L143">
        <v>11.7</v>
      </c>
      <c r="M143">
        <v>5.34</v>
      </c>
      <c r="N143">
        <v>12.5</v>
      </c>
      <c r="O143">
        <v>11.15</v>
      </c>
      <c r="P143">
        <v>9.07</v>
      </c>
      <c r="Q143">
        <v>11.3</v>
      </c>
      <c r="R143">
        <v>10.69</v>
      </c>
      <c r="S143">
        <v>7.39</v>
      </c>
      <c r="T143">
        <v>6.13</v>
      </c>
      <c r="U143">
        <v>8.2200000000000006</v>
      </c>
      <c r="V143">
        <v>9.1</v>
      </c>
      <c r="W143">
        <v>9</v>
      </c>
      <c r="X143">
        <v>8.3699999999999992</v>
      </c>
      <c r="Y143">
        <v>15.94</v>
      </c>
      <c r="Z143">
        <v>10.7</v>
      </c>
    </row>
    <row r="144" spans="1:36" x14ac:dyDescent="0.2">
      <c r="A144" t="s">
        <v>453</v>
      </c>
      <c r="B144" t="s">
        <v>457</v>
      </c>
      <c r="C144" t="s">
        <v>443</v>
      </c>
      <c r="D144" t="s">
        <v>460</v>
      </c>
      <c r="E144" t="s">
        <v>453</v>
      </c>
      <c r="F144" t="s">
        <v>453</v>
      </c>
      <c r="G144">
        <v>9.42</v>
      </c>
      <c r="H144">
        <v>5.58</v>
      </c>
      <c r="I144">
        <v>10.52</v>
      </c>
      <c r="J144">
        <v>8.8000000000000007</v>
      </c>
      <c r="K144">
        <v>4.09</v>
      </c>
      <c r="L144">
        <v>5.31</v>
      </c>
      <c r="M144">
        <v>9.7799999999999994</v>
      </c>
      <c r="N144">
        <v>3.23</v>
      </c>
      <c r="O144">
        <v>11.26</v>
      </c>
      <c r="P144">
        <v>9.48</v>
      </c>
      <c r="Q144">
        <v>8.85</v>
      </c>
      <c r="R144">
        <v>11.28</v>
      </c>
      <c r="S144">
        <v>9.94</v>
      </c>
      <c r="T144">
        <v>7.62</v>
      </c>
      <c r="U144">
        <v>7.51</v>
      </c>
      <c r="V144">
        <v>10.14</v>
      </c>
      <c r="W144">
        <v>8.3800000000000008</v>
      </c>
      <c r="X144">
        <v>10.43</v>
      </c>
      <c r="Y144">
        <v>6.19</v>
      </c>
      <c r="Z144">
        <v>9.5399999999999991</v>
      </c>
    </row>
    <row r="145" spans="1:32" x14ac:dyDescent="0.2">
      <c r="A145" t="s">
        <v>453</v>
      </c>
      <c r="B145" t="s">
        <v>457</v>
      </c>
      <c r="C145" t="s">
        <v>443</v>
      </c>
      <c r="D145" t="s">
        <v>460</v>
      </c>
      <c r="E145" t="s">
        <v>453</v>
      </c>
      <c r="F145" t="s">
        <v>453</v>
      </c>
      <c r="G145">
        <v>7.41</v>
      </c>
      <c r="H145">
        <v>13.81</v>
      </c>
      <c r="I145">
        <v>14.54</v>
      </c>
      <c r="J145">
        <v>13.53</v>
      </c>
      <c r="K145">
        <v>7.73</v>
      </c>
      <c r="L145">
        <v>12.55</v>
      </c>
      <c r="M145">
        <v>12.37</v>
      </c>
      <c r="N145">
        <v>5.35</v>
      </c>
      <c r="O145">
        <v>6.17</v>
      </c>
      <c r="P145">
        <v>9.41</v>
      </c>
      <c r="Q145">
        <v>7.53</v>
      </c>
      <c r="R145">
        <v>10.42</v>
      </c>
      <c r="S145">
        <v>3.6</v>
      </c>
      <c r="T145">
        <v>14.77</v>
      </c>
      <c r="U145">
        <v>7.35</v>
      </c>
      <c r="V145">
        <v>8.6999999999999993</v>
      </c>
      <c r="W145">
        <v>10.49</v>
      </c>
      <c r="X145">
        <v>9.92</v>
      </c>
      <c r="Y145">
        <v>10.8</v>
      </c>
      <c r="Z145">
        <v>5.95</v>
      </c>
    </row>
    <row r="146" spans="1:32" x14ac:dyDescent="0.2">
      <c r="A146" t="s">
        <v>453</v>
      </c>
      <c r="B146" t="s">
        <v>457</v>
      </c>
      <c r="C146" t="s">
        <v>443</v>
      </c>
      <c r="D146" t="s">
        <v>460</v>
      </c>
      <c r="E146" t="s">
        <v>453</v>
      </c>
      <c r="F146" t="s">
        <v>453</v>
      </c>
      <c r="G146">
        <v>9.15</v>
      </c>
      <c r="H146">
        <v>6.18</v>
      </c>
      <c r="I146">
        <v>5.16</v>
      </c>
      <c r="J146">
        <v>4.9800000000000004</v>
      </c>
      <c r="K146">
        <v>10.32</v>
      </c>
      <c r="L146">
        <v>11.53</v>
      </c>
      <c r="M146">
        <v>8.5</v>
      </c>
      <c r="N146">
        <v>9.43</v>
      </c>
      <c r="O146">
        <v>8.08</v>
      </c>
      <c r="P146">
        <v>5.29</v>
      </c>
      <c r="Q146">
        <v>6.91</v>
      </c>
      <c r="R146">
        <v>10.88</v>
      </c>
      <c r="S146">
        <v>7.36</v>
      </c>
      <c r="T146">
        <v>7.89</v>
      </c>
      <c r="U146">
        <v>6.21</v>
      </c>
      <c r="V146">
        <v>6.18</v>
      </c>
      <c r="W146">
        <v>4.8099999999999996</v>
      </c>
      <c r="X146">
        <v>15.62</v>
      </c>
      <c r="Y146">
        <v>12.32</v>
      </c>
      <c r="Z146">
        <v>13.04</v>
      </c>
    </row>
    <row r="147" spans="1:32" x14ac:dyDescent="0.2">
      <c r="A147" t="s">
        <v>453</v>
      </c>
      <c r="B147" t="s">
        <v>457</v>
      </c>
      <c r="C147" t="s">
        <v>443</v>
      </c>
      <c r="D147" t="s">
        <v>460</v>
      </c>
      <c r="E147" t="s">
        <v>453</v>
      </c>
      <c r="F147" t="s">
        <v>453</v>
      </c>
      <c r="G147">
        <v>12.39</v>
      </c>
      <c r="H147">
        <v>11.13</v>
      </c>
      <c r="I147">
        <v>14.86</v>
      </c>
      <c r="J147">
        <v>17.11</v>
      </c>
      <c r="K147">
        <v>11.81</v>
      </c>
      <c r="L147">
        <v>11.69</v>
      </c>
      <c r="M147">
        <v>17.46</v>
      </c>
      <c r="N147">
        <v>10.36</v>
      </c>
      <c r="O147">
        <v>12.62</v>
      </c>
      <c r="P147">
        <v>10.55</v>
      </c>
      <c r="Q147">
        <v>10.8</v>
      </c>
      <c r="R147">
        <v>8.1199999999999992</v>
      </c>
      <c r="S147">
        <v>11.57</v>
      </c>
      <c r="T147">
        <v>7.68</v>
      </c>
      <c r="U147">
        <v>9.9</v>
      </c>
      <c r="V147">
        <v>13.07</v>
      </c>
      <c r="W147">
        <v>12.51</v>
      </c>
      <c r="X147">
        <v>11.46</v>
      </c>
      <c r="Y147">
        <v>10.25</v>
      </c>
      <c r="Z147">
        <v>14.05</v>
      </c>
    </row>
    <row r="148" spans="1:32" x14ac:dyDescent="0.2">
      <c r="A148" t="s">
        <v>453</v>
      </c>
      <c r="B148" t="s">
        <v>457</v>
      </c>
      <c r="C148" t="s">
        <v>443</v>
      </c>
      <c r="D148" t="s">
        <v>460</v>
      </c>
      <c r="E148" t="s">
        <v>453</v>
      </c>
      <c r="F148" t="s">
        <v>453</v>
      </c>
      <c r="G148">
        <v>9.2100000000000009</v>
      </c>
      <c r="H148">
        <v>10.64</v>
      </c>
      <c r="I148">
        <v>7.49</v>
      </c>
      <c r="J148">
        <v>13.51</v>
      </c>
      <c r="K148">
        <v>7.63</v>
      </c>
      <c r="L148">
        <v>5.13</v>
      </c>
      <c r="M148">
        <v>10.06</v>
      </c>
      <c r="N148">
        <v>5.87</v>
      </c>
      <c r="O148">
        <v>14.83</v>
      </c>
      <c r="P148">
        <v>11.92</v>
      </c>
      <c r="Q148">
        <v>8.99</v>
      </c>
      <c r="R148">
        <v>12.66</v>
      </c>
      <c r="S148">
        <v>6.79</v>
      </c>
      <c r="T148">
        <v>13.73</v>
      </c>
      <c r="U148">
        <v>14.05</v>
      </c>
      <c r="V148">
        <v>11.28</v>
      </c>
      <c r="W148">
        <v>8.8000000000000007</v>
      </c>
      <c r="X148">
        <v>7.45</v>
      </c>
      <c r="Y148">
        <v>14.47</v>
      </c>
      <c r="Z148">
        <v>5.61</v>
      </c>
    </row>
    <row r="149" spans="1:32" x14ac:dyDescent="0.2">
      <c r="A149" t="s">
        <v>453</v>
      </c>
      <c r="B149" t="s">
        <v>457</v>
      </c>
      <c r="C149" t="s">
        <v>443</v>
      </c>
      <c r="D149" t="s">
        <v>460</v>
      </c>
      <c r="E149" t="s">
        <v>453</v>
      </c>
      <c r="F149" t="s">
        <v>453</v>
      </c>
      <c r="G149">
        <v>9.7799999999999994</v>
      </c>
      <c r="H149">
        <v>12.36</v>
      </c>
      <c r="I149">
        <v>6.92</v>
      </c>
      <c r="J149">
        <v>11.64</v>
      </c>
      <c r="K149">
        <v>10.49</v>
      </c>
      <c r="L149">
        <v>12.86</v>
      </c>
      <c r="M149">
        <v>12.21</v>
      </c>
      <c r="N149">
        <v>10.01</v>
      </c>
      <c r="O149">
        <v>8.6199999999999992</v>
      </c>
      <c r="P149">
        <v>9.27</v>
      </c>
      <c r="Q149">
        <v>6.98</v>
      </c>
      <c r="R149">
        <v>10.23</v>
      </c>
      <c r="S149">
        <v>12.45</v>
      </c>
      <c r="T149">
        <v>10.08</v>
      </c>
      <c r="U149">
        <v>15.05</v>
      </c>
      <c r="V149">
        <v>9.65</v>
      </c>
      <c r="W149">
        <v>7.22</v>
      </c>
      <c r="X149">
        <v>5.12</v>
      </c>
      <c r="Y149">
        <v>5.0199999999999996</v>
      </c>
      <c r="Z149">
        <v>7.32</v>
      </c>
    </row>
    <row r="150" spans="1:32" x14ac:dyDescent="0.2">
      <c r="A150" t="s">
        <v>453</v>
      </c>
      <c r="B150" t="s">
        <v>457</v>
      </c>
      <c r="C150" t="s">
        <v>443</v>
      </c>
      <c r="D150" t="s">
        <v>460</v>
      </c>
      <c r="E150" t="s">
        <v>453</v>
      </c>
      <c r="F150" t="s">
        <v>453</v>
      </c>
      <c r="G150">
        <v>11.58</v>
      </c>
      <c r="H150">
        <v>12.93</v>
      </c>
      <c r="I150">
        <v>16.03</v>
      </c>
      <c r="J150">
        <v>16.98</v>
      </c>
      <c r="K150">
        <v>8.4</v>
      </c>
      <c r="L150">
        <v>10.24</v>
      </c>
      <c r="M150">
        <v>11.75</v>
      </c>
      <c r="N150">
        <v>8.76</v>
      </c>
      <c r="O150">
        <v>4.51</v>
      </c>
      <c r="P150">
        <v>9.1999999999999993</v>
      </c>
      <c r="Q150">
        <v>9.31</v>
      </c>
      <c r="R150">
        <v>10.38</v>
      </c>
      <c r="S150">
        <v>10.45</v>
      </c>
      <c r="T150">
        <v>11.04</v>
      </c>
      <c r="U150">
        <v>7.96</v>
      </c>
      <c r="V150">
        <v>9.2100000000000009</v>
      </c>
      <c r="W150">
        <v>9.18</v>
      </c>
      <c r="X150">
        <v>5.63</v>
      </c>
      <c r="Y150">
        <v>7.94</v>
      </c>
      <c r="Z150">
        <v>7.5</v>
      </c>
    </row>
    <row r="151" spans="1:32" x14ac:dyDescent="0.2">
      <c r="A151" t="s">
        <v>453</v>
      </c>
      <c r="B151" t="s">
        <v>454</v>
      </c>
      <c r="C151" t="s">
        <v>443</v>
      </c>
      <c r="D151" t="s">
        <v>459</v>
      </c>
      <c r="E151" t="s">
        <v>453</v>
      </c>
      <c r="F151" t="s">
        <v>453</v>
      </c>
      <c r="G151">
        <v>5.86</v>
      </c>
      <c r="H151">
        <v>7.85</v>
      </c>
      <c r="I151">
        <v>15.82</v>
      </c>
      <c r="J151">
        <v>14.53</v>
      </c>
      <c r="K151">
        <v>18.13</v>
      </c>
      <c r="L151">
        <v>14.53</v>
      </c>
      <c r="M151">
        <v>15.05</v>
      </c>
      <c r="N151">
        <v>17.23</v>
      </c>
      <c r="O151">
        <v>24.4</v>
      </c>
      <c r="P151">
        <v>7.23</v>
      </c>
      <c r="Q151">
        <v>5.36</v>
      </c>
      <c r="R151">
        <v>14.89</v>
      </c>
      <c r="S151">
        <v>5.16</v>
      </c>
      <c r="T151">
        <v>21.74</v>
      </c>
      <c r="U151">
        <v>22.76</v>
      </c>
      <c r="V151">
        <v>19.64</v>
      </c>
      <c r="W151">
        <v>18.350000000000001</v>
      </c>
      <c r="X151">
        <v>19.260000000000002</v>
      </c>
      <c r="Y151">
        <v>20.079999999999998</v>
      </c>
      <c r="Z151">
        <v>20.82</v>
      </c>
    </row>
    <row r="152" spans="1:32" x14ac:dyDescent="0.2">
      <c r="A152" t="s">
        <v>453</v>
      </c>
      <c r="B152" t="s">
        <v>454</v>
      </c>
      <c r="C152" t="s">
        <v>443</v>
      </c>
      <c r="D152" t="s">
        <v>459</v>
      </c>
      <c r="E152" t="s">
        <v>453</v>
      </c>
      <c r="F152" t="s">
        <v>453</v>
      </c>
      <c r="G152">
        <v>16.61</v>
      </c>
      <c r="H152">
        <v>24.13</v>
      </c>
      <c r="I152">
        <v>16.690000000000001</v>
      </c>
      <c r="J152">
        <v>21.58</v>
      </c>
      <c r="K152">
        <v>17.39</v>
      </c>
      <c r="L152">
        <v>15.76</v>
      </c>
      <c r="M152">
        <v>17.25</v>
      </c>
      <c r="N152">
        <v>16.47</v>
      </c>
      <c r="O152">
        <v>16.12</v>
      </c>
      <c r="P152">
        <v>15.68</v>
      </c>
      <c r="Q152">
        <v>14.05</v>
      </c>
      <c r="R152">
        <v>13.95</v>
      </c>
      <c r="S152">
        <v>14.83</v>
      </c>
      <c r="T152">
        <v>13.06</v>
      </c>
      <c r="U152">
        <v>13.1</v>
      </c>
      <c r="V152">
        <v>12.73</v>
      </c>
      <c r="W152">
        <v>18.190000000000001</v>
      </c>
      <c r="X152">
        <v>16</v>
      </c>
      <c r="Y152">
        <v>13.5</v>
      </c>
      <c r="Z152">
        <v>10.78</v>
      </c>
    </row>
    <row r="153" spans="1:32" x14ac:dyDescent="0.2">
      <c r="A153" t="s">
        <v>453</v>
      </c>
      <c r="B153" t="s">
        <v>454</v>
      </c>
      <c r="C153" t="s">
        <v>443</v>
      </c>
      <c r="D153" t="s">
        <v>459</v>
      </c>
      <c r="E153" t="s">
        <v>453</v>
      </c>
      <c r="F153" t="s">
        <v>453</v>
      </c>
      <c r="G153">
        <v>5.82</v>
      </c>
      <c r="H153">
        <v>13.74</v>
      </c>
      <c r="I153">
        <v>14.14</v>
      </c>
      <c r="J153">
        <v>13.05</v>
      </c>
      <c r="K153">
        <v>8.7899999999999991</v>
      </c>
      <c r="L153">
        <v>13.18</v>
      </c>
      <c r="M153">
        <v>11.7</v>
      </c>
      <c r="N153">
        <v>10.79</v>
      </c>
      <c r="O153">
        <v>9.6</v>
      </c>
      <c r="P153">
        <v>8.89</v>
      </c>
      <c r="Q153">
        <v>8.0399999999999991</v>
      </c>
      <c r="R153">
        <v>7.94</v>
      </c>
      <c r="S153">
        <v>9.41</v>
      </c>
      <c r="T153">
        <v>10.44</v>
      </c>
      <c r="U153">
        <v>10.35</v>
      </c>
      <c r="V153">
        <v>9.9600000000000009</v>
      </c>
      <c r="W153">
        <v>10.42</v>
      </c>
      <c r="X153">
        <v>6.73</v>
      </c>
      <c r="Y153">
        <v>7.87</v>
      </c>
      <c r="Z153">
        <v>7.05</v>
      </c>
    </row>
    <row r="154" spans="1:32" x14ac:dyDescent="0.2">
      <c r="A154" t="s">
        <v>453</v>
      </c>
      <c r="B154" t="s">
        <v>454</v>
      </c>
      <c r="C154" t="s">
        <v>443</v>
      </c>
      <c r="D154" t="s">
        <v>459</v>
      </c>
      <c r="E154" t="s">
        <v>453</v>
      </c>
      <c r="F154" t="s">
        <v>453</v>
      </c>
      <c r="G154">
        <v>8.33</v>
      </c>
      <c r="H154">
        <v>7.49</v>
      </c>
      <c r="I154">
        <v>6.46</v>
      </c>
      <c r="J154">
        <v>4.82</v>
      </c>
      <c r="K154">
        <v>9.7200000000000006</v>
      </c>
      <c r="L154">
        <v>3.86</v>
      </c>
      <c r="M154">
        <v>4.5199999999999996</v>
      </c>
      <c r="N154">
        <v>7.83</v>
      </c>
      <c r="O154">
        <v>4.3099999999999996</v>
      </c>
      <c r="P154">
        <v>4.6399999999999997</v>
      </c>
      <c r="Q154">
        <v>6.86</v>
      </c>
      <c r="R154">
        <v>5.38</v>
      </c>
      <c r="S154">
        <v>6.32</v>
      </c>
      <c r="T154">
        <v>5.95</v>
      </c>
    </row>
    <row r="155" spans="1:32" x14ac:dyDescent="0.2">
      <c r="A155" t="s">
        <v>395</v>
      </c>
      <c r="B155" t="s">
        <v>394</v>
      </c>
      <c r="C155" t="s">
        <v>443</v>
      </c>
      <c r="D155" t="s">
        <v>446</v>
      </c>
      <c r="E155" t="s">
        <v>395</v>
      </c>
      <c r="G155">
        <v>18.329999999999998</v>
      </c>
      <c r="H155">
        <v>5.17</v>
      </c>
      <c r="I155">
        <v>9.06</v>
      </c>
      <c r="J155">
        <v>11.26</v>
      </c>
      <c r="K155">
        <v>6.85</v>
      </c>
      <c r="L155">
        <v>13</v>
      </c>
      <c r="M155">
        <v>10.07</v>
      </c>
      <c r="N155" t="s">
        <v>396</v>
      </c>
      <c r="O155">
        <v>12.6</v>
      </c>
      <c r="P155">
        <v>8.3699999999999992</v>
      </c>
      <c r="Q155">
        <v>9.3699999999999992</v>
      </c>
      <c r="R155">
        <v>8.9</v>
      </c>
      <c r="S155">
        <v>5.27</v>
      </c>
      <c r="T155">
        <v>8.1199999999999992</v>
      </c>
      <c r="U155">
        <v>11.16</v>
      </c>
      <c r="V155">
        <v>11.24</v>
      </c>
      <c r="W155">
        <v>10.43</v>
      </c>
      <c r="X155">
        <v>9.86</v>
      </c>
      <c r="Y155">
        <v>7</v>
      </c>
      <c r="Z155">
        <v>6.46</v>
      </c>
      <c r="AA155">
        <v>5.88</v>
      </c>
      <c r="AB155">
        <v>7.72</v>
      </c>
      <c r="AC155">
        <v>4.05</v>
      </c>
      <c r="AD155">
        <v>4.55</v>
      </c>
      <c r="AE155" t="s">
        <v>396</v>
      </c>
      <c r="AF155">
        <v>3.52</v>
      </c>
    </row>
    <row r="156" spans="1:32" x14ac:dyDescent="0.2">
      <c r="A156">
        <v>1</v>
      </c>
      <c r="B156" t="s">
        <v>394</v>
      </c>
      <c r="C156" t="s">
        <v>443</v>
      </c>
      <c r="D156" t="s">
        <v>446</v>
      </c>
      <c r="E156" t="s">
        <v>398</v>
      </c>
      <c r="F156">
        <v>3.4</v>
      </c>
      <c r="G156" s="365">
        <v>9.56</v>
      </c>
      <c r="H156" s="365">
        <v>10.01</v>
      </c>
      <c r="I156" s="365">
        <v>9.15</v>
      </c>
      <c r="J156" s="365">
        <v>12.91</v>
      </c>
      <c r="K156" s="365">
        <v>9.75</v>
      </c>
      <c r="L156" s="365">
        <v>9.56</v>
      </c>
      <c r="M156" s="365">
        <v>10.68</v>
      </c>
      <c r="N156" s="365">
        <v>11.2</v>
      </c>
      <c r="O156" s="365">
        <v>9.01</v>
      </c>
      <c r="P156" s="365">
        <v>16.34</v>
      </c>
      <c r="Q156" s="365">
        <v>9.98</v>
      </c>
      <c r="R156" s="365">
        <v>14.22</v>
      </c>
      <c r="S156" s="365">
        <v>17.23</v>
      </c>
      <c r="T156" s="365">
        <v>10.61</v>
      </c>
      <c r="U156" s="365">
        <v>13.51</v>
      </c>
    </row>
    <row r="157" spans="1:32" x14ac:dyDescent="0.2">
      <c r="A157">
        <v>2</v>
      </c>
      <c r="B157" t="s">
        <v>394</v>
      </c>
      <c r="C157" t="s">
        <v>443</v>
      </c>
      <c r="D157" t="s">
        <v>446</v>
      </c>
      <c r="E157" t="s">
        <v>398</v>
      </c>
      <c r="F157">
        <v>2.7</v>
      </c>
      <c r="G157" s="365">
        <v>13</v>
      </c>
      <c r="H157" s="365">
        <v>13.36</v>
      </c>
      <c r="I157" s="365">
        <v>9.76</v>
      </c>
      <c r="J157" s="365">
        <v>9.3000000000000007</v>
      </c>
      <c r="K157" s="365">
        <v>11.32</v>
      </c>
      <c r="L157" s="365">
        <v>11.52</v>
      </c>
      <c r="M157" s="365">
        <v>9.8000000000000007</v>
      </c>
      <c r="N157" s="365">
        <v>11.31</v>
      </c>
      <c r="O157" s="365">
        <v>9.68</v>
      </c>
      <c r="P157" s="365">
        <v>11.05</v>
      </c>
      <c r="Q157" s="365">
        <v>10.27</v>
      </c>
      <c r="R157" s="365">
        <v>8.89</v>
      </c>
      <c r="S157" s="365">
        <v>11.99</v>
      </c>
      <c r="T157" s="365">
        <v>14.63</v>
      </c>
      <c r="U157" s="365">
        <v>11.51</v>
      </c>
    </row>
    <row r="158" spans="1:32" x14ac:dyDescent="0.2">
      <c r="A158">
        <v>3</v>
      </c>
      <c r="B158" t="s">
        <v>394</v>
      </c>
      <c r="C158" t="s">
        <v>443</v>
      </c>
      <c r="D158" t="s">
        <v>446</v>
      </c>
      <c r="E158" t="s">
        <v>398</v>
      </c>
      <c r="F158">
        <v>2.7</v>
      </c>
      <c r="G158" s="365">
        <v>13</v>
      </c>
      <c r="H158" s="365">
        <v>12.17</v>
      </c>
      <c r="I158" s="365">
        <v>11.43</v>
      </c>
      <c r="J158" s="365">
        <v>11.52</v>
      </c>
      <c r="K158" s="365">
        <v>11.95</v>
      </c>
      <c r="L158" s="365">
        <v>9.19</v>
      </c>
      <c r="M158" s="365">
        <v>9.2200000000000006</v>
      </c>
      <c r="N158" s="365">
        <v>10.96</v>
      </c>
      <c r="O158" s="365">
        <v>9.83</v>
      </c>
      <c r="P158" s="365">
        <v>9.5299999999999994</v>
      </c>
      <c r="Q158" s="365">
        <v>9.89</v>
      </c>
      <c r="R158" s="365">
        <v>9.5399999999999991</v>
      </c>
      <c r="S158" s="365">
        <v>12.7</v>
      </c>
      <c r="T158" s="365">
        <v>12.83</v>
      </c>
      <c r="U158" s="365">
        <v>14</v>
      </c>
    </row>
    <row r="159" spans="1:32" x14ac:dyDescent="0.2">
      <c r="A159">
        <v>4</v>
      </c>
      <c r="B159" t="s">
        <v>394</v>
      </c>
      <c r="C159" t="s">
        <v>443</v>
      </c>
      <c r="D159" t="s">
        <v>446</v>
      </c>
      <c r="E159" t="s">
        <v>398</v>
      </c>
      <c r="F159">
        <v>3.1</v>
      </c>
      <c r="G159" s="365">
        <v>12.83</v>
      </c>
      <c r="H159" s="365">
        <v>14.45</v>
      </c>
      <c r="I159" s="365">
        <v>12.57</v>
      </c>
      <c r="J159" s="365">
        <v>14.2</v>
      </c>
      <c r="K159" s="365">
        <v>12.49</v>
      </c>
      <c r="L159" s="365">
        <v>10.15</v>
      </c>
      <c r="M159" s="365">
        <v>11.82</v>
      </c>
      <c r="N159" s="365">
        <v>9.24</v>
      </c>
      <c r="O159" s="365">
        <v>9.23</v>
      </c>
      <c r="P159" s="365">
        <v>9.14</v>
      </c>
      <c r="Q159" s="365">
        <v>8.9499999999999993</v>
      </c>
      <c r="R159" s="365">
        <v>13.85</v>
      </c>
      <c r="S159" s="365">
        <v>12.54</v>
      </c>
      <c r="T159" s="365">
        <v>13.5</v>
      </c>
      <c r="U159" s="365">
        <v>15.53</v>
      </c>
    </row>
    <row r="160" spans="1:32" x14ac:dyDescent="0.2">
      <c r="A160">
        <v>5</v>
      </c>
      <c r="B160" t="s">
        <v>394</v>
      </c>
      <c r="C160" t="s">
        <v>443</v>
      </c>
      <c r="D160" t="s">
        <v>446</v>
      </c>
      <c r="E160" t="s">
        <v>398</v>
      </c>
      <c r="F160">
        <v>3</v>
      </c>
      <c r="G160" s="365">
        <v>11.71</v>
      </c>
      <c r="H160" s="365">
        <v>14.01</v>
      </c>
      <c r="I160" s="365">
        <v>12.74</v>
      </c>
      <c r="J160" s="365">
        <v>10.81</v>
      </c>
      <c r="K160" s="365">
        <v>13.23</v>
      </c>
      <c r="L160" s="365">
        <v>12.99</v>
      </c>
      <c r="M160" s="365">
        <v>9.92</v>
      </c>
      <c r="N160" s="365">
        <v>9.92</v>
      </c>
      <c r="O160" s="365">
        <v>10.28</v>
      </c>
      <c r="P160" s="365">
        <v>12.92</v>
      </c>
      <c r="Q160" s="365">
        <v>10.24</v>
      </c>
      <c r="R160" s="365">
        <v>9.2200000000000006</v>
      </c>
      <c r="S160" s="365">
        <v>9.1999999999999993</v>
      </c>
      <c r="T160" s="365">
        <v>15.15</v>
      </c>
      <c r="U160" s="365">
        <v>12.28</v>
      </c>
    </row>
    <row r="161" spans="1:21" x14ac:dyDescent="0.2">
      <c r="A161">
        <v>6</v>
      </c>
      <c r="B161" t="s">
        <v>394</v>
      </c>
      <c r="C161" t="s">
        <v>443</v>
      </c>
      <c r="D161" t="s">
        <v>446</v>
      </c>
      <c r="E161" t="s">
        <v>398</v>
      </c>
      <c r="F161">
        <v>2.7</v>
      </c>
      <c r="G161" s="365">
        <v>13.63</v>
      </c>
      <c r="H161" s="365">
        <v>15.21</v>
      </c>
      <c r="I161" s="365">
        <v>12.48</v>
      </c>
      <c r="J161" s="365">
        <v>9.91</v>
      </c>
      <c r="K161" s="365">
        <v>11.21</v>
      </c>
      <c r="L161" s="365">
        <v>10.66</v>
      </c>
      <c r="M161" s="365">
        <v>9.0399999999999991</v>
      </c>
      <c r="N161" s="365">
        <v>9.58</v>
      </c>
      <c r="O161" s="365">
        <v>9.1999999999999993</v>
      </c>
      <c r="P161" s="365">
        <v>9.0500000000000007</v>
      </c>
      <c r="Q161" s="365">
        <v>12.83</v>
      </c>
      <c r="R161" s="365">
        <v>10.73</v>
      </c>
      <c r="S161" s="365">
        <v>10.75</v>
      </c>
      <c r="T161" s="365">
        <v>9.5399999999999991</v>
      </c>
      <c r="U161" s="365">
        <v>9</v>
      </c>
    </row>
    <row r="162" spans="1:21" x14ac:dyDescent="0.2">
      <c r="A162">
        <v>7</v>
      </c>
      <c r="B162" t="s">
        <v>394</v>
      </c>
      <c r="C162" t="s">
        <v>443</v>
      </c>
      <c r="D162" t="s">
        <v>446</v>
      </c>
      <c r="E162" t="s">
        <v>399</v>
      </c>
      <c r="F162">
        <v>0.7</v>
      </c>
      <c r="G162" s="365">
        <v>7.18</v>
      </c>
      <c r="H162" s="365">
        <v>6.87</v>
      </c>
      <c r="I162" s="365">
        <v>5.72</v>
      </c>
      <c r="J162" s="365">
        <v>4.7699999999999996</v>
      </c>
      <c r="K162" s="365">
        <v>4.34</v>
      </c>
      <c r="L162" s="365">
        <v>5.12</v>
      </c>
      <c r="M162" s="365">
        <v>7.34</v>
      </c>
      <c r="N162" s="365">
        <v>5.69</v>
      </c>
      <c r="O162" s="365">
        <v>7.81</v>
      </c>
      <c r="P162" s="365">
        <v>7.14</v>
      </c>
      <c r="Q162" s="365">
        <v>7.45</v>
      </c>
      <c r="R162" s="365">
        <v>8.17</v>
      </c>
      <c r="S162" s="365">
        <v>7.71</v>
      </c>
      <c r="T162" s="365">
        <v>6.17</v>
      </c>
      <c r="U162" s="365">
        <v>6.68</v>
      </c>
    </row>
    <row r="163" spans="1:21" x14ac:dyDescent="0.2">
      <c r="A163">
        <v>8</v>
      </c>
      <c r="B163" t="s">
        <v>394</v>
      </c>
      <c r="C163" t="s">
        <v>443</v>
      </c>
      <c r="D163" t="s">
        <v>446</v>
      </c>
      <c r="E163" t="s">
        <v>399</v>
      </c>
      <c r="F163">
        <v>0.6</v>
      </c>
      <c r="G163" s="365">
        <v>6.38</v>
      </c>
      <c r="H163" s="365">
        <v>6.04</v>
      </c>
      <c r="I163" s="365">
        <v>6.16</v>
      </c>
      <c r="J163" s="365">
        <v>5.59</v>
      </c>
      <c r="K163" s="365">
        <v>5.46</v>
      </c>
      <c r="L163" s="365">
        <v>4.78</v>
      </c>
      <c r="M163" s="365">
        <v>4.58</v>
      </c>
      <c r="N163" s="365">
        <v>5.46</v>
      </c>
      <c r="O163" s="365">
        <v>6.63</v>
      </c>
      <c r="P163" s="365">
        <v>7.29</v>
      </c>
      <c r="Q163" s="365">
        <v>7.37</v>
      </c>
      <c r="R163" s="365">
        <v>8.09</v>
      </c>
      <c r="S163" s="365">
        <v>7.5</v>
      </c>
      <c r="T163" s="365">
        <v>5.41</v>
      </c>
      <c r="U163" s="365">
        <v>7.99</v>
      </c>
    </row>
    <row r="164" spans="1:21" x14ac:dyDescent="0.2">
      <c r="A164">
        <v>9</v>
      </c>
      <c r="B164" t="s">
        <v>394</v>
      </c>
      <c r="C164" t="s">
        <v>443</v>
      </c>
      <c r="D164" t="s">
        <v>446</v>
      </c>
      <c r="E164" t="s">
        <v>399</v>
      </c>
      <c r="F164">
        <v>0.7</v>
      </c>
      <c r="G164" s="365">
        <v>6.74</v>
      </c>
      <c r="H164" s="365">
        <v>8.02</v>
      </c>
      <c r="I164" s="365">
        <v>7.78</v>
      </c>
      <c r="J164" s="365">
        <v>7.45</v>
      </c>
      <c r="K164" s="365">
        <v>5.85</v>
      </c>
      <c r="L164" s="365">
        <v>7.61</v>
      </c>
      <c r="M164" s="365">
        <v>4.9000000000000004</v>
      </c>
      <c r="N164" s="365">
        <v>4.1900000000000004</v>
      </c>
      <c r="O164" s="365">
        <v>7.32</v>
      </c>
      <c r="P164" s="365">
        <v>6.82</v>
      </c>
      <c r="Q164" s="365">
        <v>7.38</v>
      </c>
      <c r="R164" s="365">
        <v>6.17</v>
      </c>
      <c r="S164" s="365">
        <v>4.25</v>
      </c>
      <c r="T164" s="365">
        <v>6.78</v>
      </c>
      <c r="U164" s="365">
        <v>7</v>
      </c>
    </row>
    <row r="165" spans="1:21" x14ac:dyDescent="0.2">
      <c r="A165">
        <v>10</v>
      </c>
      <c r="B165" t="s">
        <v>394</v>
      </c>
      <c r="C165" t="s">
        <v>443</v>
      </c>
      <c r="D165" t="s">
        <v>446</v>
      </c>
      <c r="E165" t="s">
        <v>399</v>
      </c>
      <c r="F165">
        <v>0.8</v>
      </c>
      <c r="G165" s="365">
        <v>6.67</v>
      </c>
      <c r="H165" s="365">
        <v>8.1300000000000008</v>
      </c>
      <c r="I165" s="365">
        <v>7.73</v>
      </c>
      <c r="J165" s="365">
        <v>8.41</v>
      </c>
      <c r="K165" s="365">
        <v>8.36</v>
      </c>
      <c r="L165" s="365">
        <v>5.32</v>
      </c>
      <c r="M165" s="365">
        <v>5.71</v>
      </c>
      <c r="N165" s="365">
        <v>7.32</v>
      </c>
      <c r="O165" s="365">
        <v>4.42</v>
      </c>
      <c r="P165" s="365">
        <v>5.15</v>
      </c>
      <c r="Q165" s="365">
        <v>7.14</v>
      </c>
      <c r="R165" s="365">
        <v>7.6</v>
      </c>
      <c r="S165" s="365">
        <v>8.35</v>
      </c>
      <c r="T165" s="365">
        <v>7.9</v>
      </c>
      <c r="U165" s="365">
        <v>7.88</v>
      </c>
    </row>
    <row r="166" spans="1:21" x14ac:dyDescent="0.2">
      <c r="A166">
        <v>11</v>
      </c>
      <c r="B166" t="s">
        <v>394</v>
      </c>
      <c r="C166" t="s">
        <v>443</v>
      </c>
      <c r="D166" t="s">
        <v>446</v>
      </c>
      <c r="E166" t="s">
        <v>399</v>
      </c>
      <c r="F166">
        <v>0.7</v>
      </c>
      <c r="G166" s="365">
        <v>6.13</v>
      </c>
      <c r="H166" s="365">
        <v>8.51</v>
      </c>
      <c r="I166" s="365">
        <v>8.5399999999999991</v>
      </c>
      <c r="J166" s="365">
        <v>8.19</v>
      </c>
      <c r="K166" s="365">
        <v>5.58</v>
      </c>
      <c r="L166" s="365">
        <v>6.59</v>
      </c>
      <c r="M166" s="365">
        <v>5.46</v>
      </c>
      <c r="N166" s="365">
        <v>4.87</v>
      </c>
      <c r="O166" s="365">
        <v>8.5399999999999991</v>
      </c>
      <c r="P166" s="365">
        <v>8.17</v>
      </c>
      <c r="Q166" s="365">
        <v>7.93</v>
      </c>
      <c r="R166" s="365">
        <v>6.17</v>
      </c>
      <c r="S166" s="365">
        <v>7.34</v>
      </c>
      <c r="T166" s="365">
        <v>5.46</v>
      </c>
      <c r="U166" s="365">
        <v>5.78</v>
      </c>
    </row>
    <row r="167" spans="1:21" x14ac:dyDescent="0.2">
      <c r="A167">
        <v>12</v>
      </c>
      <c r="B167" t="s">
        <v>394</v>
      </c>
      <c r="C167" t="s">
        <v>443</v>
      </c>
      <c r="D167" t="s">
        <v>446</v>
      </c>
      <c r="E167" t="s">
        <v>399</v>
      </c>
      <c r="F167" s="378"/>
      <c r="G167" s="365">
        <v>7.9</v>
      </c>
      <c r="H167" s="365">
        <v>7.18</v>
      </c>
      <c r="I167" s="365">
        <v>7.4</v>
      </c>
      <c r="J167" s="365">
        <v>8.14</v>
      </c>
      <c r="K167" s="365">
        <v>8.32</v>
      </c>
      <c r="L167" s="365">
        <v>8.09</v>
      </c>
      <c r="M167" s="365">
        <v>8.2100000000000009</v>
      </c>
      <c r="N167" s="365">
        <v>8.6</v>
      </c>
      <c r="O167" s="365">
        <v>6.76</v>
      </c>
      <c r="P167" s="365">
        <v>3.97</v>
      </c>
      <c r="Q167" s="365">
        <v>5.84</v>
      </c>
      <c r="R167" s="365">
        <v>4.99</v>
      </c>
      <c r="S167" s="365">
        <v>6.99</v>
      </c>
      <c r="T167" s="365">
        <v>5.37</v>
      </c>
      <c r="U167" s="365">
        <v>7.75</v>
      </c>
    </row>
    <row r="168" spans="1:21" x14ac:dyDescent="0.2">
      <c r="A168">
        <v>37</v>
      </c>
      <c r="B168" t="s">
        <v>394</v>
      </c>
      <c r="C168" t="s">
        <v>443</v>
      </c>
      <c r="D168" t="s">
        <v>446</v>
      </c>
      <c r="E168" t="s">
        <v>399</v>
      </c>
      <c r="F168">
        <v>1</v>
      </c>
      <c r="G168" s="365">
        <v>7.82</v>
      </c>
      <c r="H168" s="365">
        <v>8.49</v>
      </c>
      <c r="I168" s="365">
        <v>8.31</v>
      </c>
      <c r="J168" s="365">
        <v>6.6</v>
      </c>
      <c r="K168" s="365">
        <v>8.2100000000000009</v>
      </c>
      <c r="L168" s="365">
        <v>7.89</v>
      </c>
      <c r="M168" s="365">
        <v>5.83</v>
      </c>
      <c r="N168" s="365">
        <v>7.63</v>
      </c>
      <c r="O168" s="365">
        <v>8.58</v>
      </c>
      <c r="P168" s="365">
        <v>7.03</v>
      </c>
      <c r="Q168" s="365">
        <v>8.61</v>
      </c>
      <c r="R168" s="365">
        <v>6.2</v>
      </c>
      <c r="S168" s="365">
        <v>6.08</v>
      </c>
      <c r="T168" s="365">
        <v>5.0999999999999996</v>
      </c>
      <c r="U168" s="365">
        <v>7.53</v>
      </c>
    </row>
    <row r="169" spans="1:21" x14ac:dyDescent="0.2">
      <c r="A169">
        <v>38</v>
      </c>
      <c r="B169" t="s">
        <v>394</v>
      </c>
      <c r="C169" t="s">
        <v>443</v>
      </c>
      <c r="D169" t="s">
        <v>446</v>
      </c>
      <c r="E169" t="s">
        <v>399</v>
      </c>
      <c r="F169">
        <v>0.8</v>
      </c>
      <c r="G169" s="365">
        <v>8.48</v>
      </c>
      <c r="H169" s="365">
        <v>7.12</v>
      </c>
      <c r="I169" s="365">
        <v>7.51</v>
      </c>
      <c r="J169" s="365">
        <v>6.83</v>
      </c>
      <c r="K169" s="365">
        <v>5.62</v>
      </c>
      <c r="L169" s="365">
        <v>4.21</v>
      </c>
      <c r="M169" s="365">
        <v>6.7</v>
      </c>
      <c r="N169" s="365">
        <v>5.79</v>
      </c>
      <c r="O169" s="365">
        <v>6.95</v>
      </c>
      <c r="P169" s="365">
        <v>5.87</v>
      </c>
      <c r="Q169" s="365">
        <v>6.37</v>
      </c>
      <c r="R169" s="365">
        <v>7.72</v>
      </c>
      <c r="S169" s="365">
        <v>6.24</v>
      </c>
      <c r="T169" s="365">
        <v>8.59</v>
      </c>
      <c r="U169" s="365">
        <v>8.11</v>
      </c>
    </row>
    <row r="170" spans="1:21" x14ac:dyDescent="0.2">
      <c r="A170">
        <v>39</v>
      </c>
      <c r="B170" t="s">
        <v>394</v>
      </c>
      <c r="C170" t="s">
        <v>443</v>
      </c>
      <c r="D170" t="s">
        <v>446</v>
      </c>
      <c r="E170" t="s">
        <v>399</v>
      </c>
      <c r="F170">
        <v>0.7</v>
      </c>
      <c r="G170" s="365">
        <v>7.12</v>
      </c>
      <c r="H170" s="365">
        <v>7.87</v>
      </c>
      <c r="I170" s="365">
        <v>6.16</v>
      </c>
      <c r="J170" s="365">
        <v>4.21</v>
      </c>
      <c r="K170" s="365">
        <v>7.71</v>
      </c>
      <c r="L170" s="365">
        <v>7.02</v>
      </c>
      <c r="M170" s="365">
        <v>5.9</v>
      </c>
      <c r="N170" s="365">
        <v>6.82</v>
      </c>
      <c r="O170" s="365">
        <v>8.2200000000000006</v>
      </c>
      <c r="P170" s="365">
        <v>7.43</v>
      </c>
      <c r="Q170" s="365">
        <v>7.4</v>
      </c>
      <c r="R170" s="365">
        <v>7.17</v>
      </c>
      <c r="S170" s="365">
        <v>6.2</v>
      </c>
      <c r="T170" s="365">
        <v>5.36</v>
      </c>
      <c r="U170" s="365">
        <v>7.92</v>
      </c>
    </row>
    <row r="171" spans="1:21" x14ac:dyDescent="0.2">
      <c r="A171">
        <v>40</v>
      </c>
      <c r="B171" t="s">
        <v>394</v>
      </c>
      <c r="C171" t="s">
        <v>443</v>
      </c>
      <c r="D171" t="s">
        <v>446</v>
      </c>
      <c r="E171" t="s">
        <v>399</v>
      </c>
      <c r="F171">
        <v>0.7</v>
      </c>
      <c r="G171" s="365">
        <v>7.58</v>
      </c>
      <c r="H171" s="365">
        <v>7.41</v>
      </c>
      <c r="I171" s="365">
        <v>7.61</v>
      </c>
      <c r="J171" s="365">
        <v>6.32</v>
      </c>
      <c r="K171" s="365">
        <v>7.48</v>
      </c>
      <c r="L171" s="365">
        <v>7.13</v>
      </c>
      <c r="M171" s="365">
        <v>7.91</v>
      </c>
      <c r="N171" s="365">
        <v>5.73</v>
      </c>
      <c r="O171" s="365">
        <v>6.53</v>
      </c>
      <c r="P171" s="365">
        <v>6.61</v>
      </c>
      <c r="Q171" s="365">
        <v>5.48</v>
      </c>
      <c r="R171" s="365">
        <v>6.72</v>
      </c>
      <c r="S171" s="365">
        <v>7.19</v>
      </c>
      <c r="T171" s="365">
        <v>8.4700000000000006</v>
      </c>
      <c r="U171" s="365">
        <v>7.88</v>
      </c>
    </row>
    <row r="172" spans="1:21" x14ac:dyDescent="0.2">
      <c r="A172">
        <v>41</v>
      </c>
      <c r="B172" t="s">
        <v>394</v>
      </c>
      <c r="C172" t="s">
        <v>443</v>
      </c>
      <c r="D172" t="s">
        <v>446</v>
      </c>
      <c r="E172" t="s">
        <v>399</v>
      </c>
      <c r="F172">
        <v>0.7</v>
      </c>
      <c r="G172" s="365">
        <v>5.42</v>
      </c>
      <c r="H172" s="365">
        <v>6.69</v>
      </c>
      <c r="I172" s="365">
        <v>8.36</v>
      </c>
      <c r="J172" s="365">
        <v>4.8600000000000003</v>
      </c>
      <c r="K172" s="365">
        <v>8.2899999999999991</v>
      </c>
      <c r="L172" s="365">
        <v>8.26</v>
      </c>
      <c r="M172" s="365">
        <v>8.1999999999999993</v>
      </c>
      <c r="N172" s="365">
        <v>6.48</v>
      </c>
      <c r="O172" s="365">
        <v>7.36</v>
      </c>
      <c r="P172" s="365">
        <v>7.09</v>
      </c>
      <c r="Q172" s="365">
        <v>8.3800000000000008</v>
      </c>
      <c r="R172" s="365">
        <v>5.93</v>
      </c>
      <c r="S172" s="365">
        <v>8.14</v>
      </c>
      <c r="T172" s="365">
        <v>5.5</v>
      </c>
      <c r="U172" s="365">
        <v>6.56</v>
      </c>
    </row>
    <row r="173" spans="1:21" x14ac:dyDescent="0.2">
      <c r="A173">
        <v>42</v>
      </c>
      <c r="B173" t="s">
        <v>394</v>
      </c>
      <c r="C173" t="s">
        <v>443</v>
      </c>
      <c r="D173" t="s">
        <v>446</v>
      </c>
      <c r="E173" t="s">
        <v>399</v>
      </c>
      <c r="F173">
        <v>0.7</v>
      </c>
      <c r="G173" s="365">
        <v>6.06</v>
      </c>
      <c r="H173" s="365">
        <v>7.27</v>
      </c>
      <c r="I173" s="365">
        <v>7.38</v>
      </c>
      <c r="J173" s="365">
        <v>7.19</v>
      </c>
      <c r="K173" s="365">
        <v>6.25</v>
      </c>
      <c r="L173" s="365">
        <v>6.9</v>
      </c>
      <c r="M173" s="365">
        <v>6.35</v>
      </c>
      <c r="N173" s="365">
        <v>6.48</v>
      </c>
      <c r="O173" s="365">
        <v>7.36</v>
      </c>
      <c r="P173" s="365">
        <v>7.09</v>
      </c>
      <c r="Q173" s="365">
        <v>8.3800000000000008</v>
      </c>
      <c r="R173" s="365">
        <v>5.93</v>
      </c>
      <c r="S173" s="365">
        <v>8.14</v>
      </c>
      <c r="T173" s="365">
        <v>5.5</v>
      </c>
      <c r="U173" s="365">
        <v>6.56</v>
      </c>
    </row>
    <row r="174" spans="1:21" x14ac:dyDescent="0.2">
      <c r="A174">
        <v>43</v>
      </c>
      <c r="B174" t="s">
        <v>394</v>
      </c>
      <c r="C174" t="s">
        <v>443</v>
      </c>
      <c r="D174" t="s">
        <v>446</v>
      </c>
      <c r="E174" t="s">
        <v>398</v>
      </c>
      <c r="F174">
        <v>3.3</v>
      </c>
      <c r="G174" s="365">
        <v>9.1</v>
      </c>
      <c r="H174" s="365">
        <v>9.83</v>
      </c>
      <c r="I174" s="365">
        <v>12.3</v>
      </c>
      <c r="J174" s="365">
        <v>17.12</v>
      </c>
      <c r="K174" s="365">
        <v>11.67</v>
      </c>
      <c r="L174" s="365">
        <v>10.89</v>
      </c>
      <c r="M174" s="365">
        <v>10.43</v>
      </c>
      <c r="N174" s="365">
        <v>12.07</v>
      </c>
      <c r="O174" s="365">
        <v>8.84</v>
      </c>
      <c r="P174" s="365">
        <v>10.28</v>
      </c>
      <c r="Q174" s="365">
        <v>10.53</v>
      </c>
      <c r="R174" s="365">
        <v>15.01</v>
      </c>
      <c r="S174" s="365">
        <v>12.31</v>
      </c>
      <c r="T174" s="365">
        <v>11.81</v>
      </c>
      <c r="U174" s="365">
        <v>10.58</v>
      </c>
    </row>
    <row r="175" spans="1:21" x14ac:dyDescent="0.2">
      <c r="A175">
        <v>44</v>
      </c>
      <c r="B175" t="s">
        <v>394</v>
      </c>
      <c r="C175" t="s">
        <v>443</v>
      </c>
      <c r="D175" t="s">
        <v>446</v>
      </c>
      <c r="E175" t="s">
        <v>398</v>
      </c>
      <c r="F175">
        <v>2.2000000000000002</v>
      </c>
      <c r="G175" s="365">
        <v>9.06</v>
      </c>
      <c r="H175" s="365">
        <v>11.2</v>
      </c>
      <c r="I175" s="365">
        <v>10.51</v>
      </c>
      <c r="J175" s="365">
        <v>9.98</v>
      </c>
      <c r="K175" s="365">
        <v>12.37</v>
      </c>
      <c r="L175" s="365">
        <v>10.54</v>
      </c>
      <c r="M175" s="365">
        <v>9.65</v>
      </c>
      <c r="N175" s="365">
        <v>10</v>
      </c>
      <c r="O175" s="365">
        <v>8.82</v>
      </c>
      <c r="P175" s="365">
        <v>10.9</v>
      </c>
      <c r="Q175" s="365">
        <v>10.73</v>
      </c>
      <c r="R175" s="365">
        <v>9</v>
      </c>
      <c r="S175" s="365">
        <v>9.08</v>
      </c>
      <c r="T175" s="365">
        <v>13.04</v>
      </c>
      <c r="U175" s="365">
        <v>12.46</v>
      </c>
    </row>
    <row r="176" spans="1:21" x14ac:dyDescent="0.2">
      <c r="A176">
        <v>45</v>
      </c>
      <c r="B176" t="s">
        <v>394</v>
      </c>
      <c r="C176" t="s">
        <v>443</v>
      </c>
      <c r="D176" t="s">
        <v>446</v>
      </c>
      <c r="E176" t="s">
        <v>398</v>
      </c>
      <c r="F176">
        <v>3</v>
      </c>
      <c r="G176" s="365">
        <v>12.12</v>
      </c>
      <c r="H176" s="365">
        <v>12.15</v>
      </c>
      <c r="I176" s="365">
        <v>11.72</v>
      </c>
      <c r="J176" s="365">
        <v>10.11</v>
      </c>
      <c r="K176" s="365">
        <v>9.67</v>
      </c>
      <c r="L176" s="365">
        <v>9.65</v>
      </c>
      <c r="M176" s="365">
        <v>13.68</v>
      </c>
      <c r="N176" s="365">
        <v>14.93</v>
      </c>
      <c r="O176" s="365">
        <v>13.68</v>
      </c>
      <c r="P176" s="365">
        <v>11</v>
      </c>
      <c r="Q176" s="365">
        <v>15.59</v>
      </c>
      <c r="R176" s="365">
        <v>10.61</v>
      </c>
      <c r="S176" s="365">
        <v>11.14</v>
      </c>
      <c r="T176" s="365">
        <v>9.26</v>
      </c>
      <c r="U176" s="365">
        <v>13.19</v>
      </c>
    </row>
    <row r="177" spans="1:36" x14ac:dyDescent="0.2">
      <c r="A177">
        <v>46</v>
      </c>
      <c r="B177" t="s">
        <v>394</v>
      </c>
      <c r="C177" t="s">
        <v>443</v>
      </c>
      <c r="D177" t="s">
        <v>446</v>
      </c>
      <c r="E177" t="s">
        <v>398</v>
      </c>
      <c r="F177">
        <v>2.6</v>
      </c>
      <c r="G177" s="365">
        <v>8.77</v>
      </c>
      <c r="H177" s="365">
        <v>13.71</v>
      </c>
      <c r="I177" s="365">
        <v>9.5399999999999991</v>
      </c>
      <c r="J177" s="365">
        <v>9.82</v>
      </c>
      <c r="K177" s="365">
        <v>14.5</v>
      </c>
      <c r="L177" s="365">
        <v>13.37</v>
      </c>
      <c r="M177" s="365">
        <v>9.8000000000000007</v>
      </c>
      <c r="N177" s="365">
        <v>9.82</v>
      </c>
      <c r="O177" s="365">
        <v>10.35</v>
      </c>
      <c r="P177" s="365">
        <v>10.91</v>
      </c>
      <c r="Q177" s="365">
        <v>9.65</v>
      </c>
      <c r="R177" s="365">
        <v>11.65</v>
      </c>
      <c r="S177" s="365">
        <v>8.9600000000000009</v>
      </c>
      <c r="T177" s="365">
        <v>10.8</v>
      </c>
      <c r="U177" s="365">
        <v>10.9</v>
      </c>
    </row>
    <row r="178" spans="1:36" x14ac:dyDescent="0.2">
      <c r="A178">
        <v>47</v>
      </c>
      <c r="B178" t="s">
        <v>394</v>
      </c>
      <c r="C178" t="s">
        <v>443</v>
      </c>
      <c r="D178" t="s">
        <v>446</v>
      </c>
      <c r="E178" t="s">
        <v>398</v>
      </c>
      <c r="F178">
        <v>2.6</v>
      </c>
      <c r="G178" s="365">
        <v>13.87</v>
      </c>
      <c r="H178" s="365">
        <v>9.35</v>
      </c>
      <c r="I178" s="365">
        <v>11.42</v>
      </c>
      <c r="J178" s="365">
        <v>12.85</v>
      </c>
      <c r="K178" s="365">
        <v>10.42</v>
      </c>
      <c r="L178" s="365">
        <v>12.95</v>
      </c>
      <c r="M178" s="365">
        <v>13.85</v>
      </c>
      <c r="N178" s="365">
        <v>9.0399999999999991</v>
      </c>
      <c r="O178" s="365">
        <v>10.34</v>
      </c>
      <c r="P178" s="365">
        <v>12.94</v>
      </c>
      <c r="Q178" s="365">
        <v>9</v>
      </c>
      <c r="R178" s="365">
        <v>9.15</v>
      </c>
      <c r="S178" s="365">
        <v>10.84</v>
      </c>
      <c r="T178" s="365">
        <v>12.86</v>
      </c>
      <c r="U178" s="365">
        <v>12.11</v>
      </c>
    </row>
    <row r="179" spans="1:36" x14ac:dyDescent="0.2">
      <c r="A179">
        <v>48</v>
      </c>
      <c r="B179" t="s">
        <v>394</v>
      </c>
      <c r="C179" t="s">
        <v>443</v>
      </c>
      <c r="D179" t="s">
        <v>446</v>
      </c>
      <c r="E179" t="s">
        <v>398</v>
      </c>
      <c r="F179">
        <v>2.8</v>
      </c>
      <c r="G179" s="365">
        <v>14.51</v>
      </c>
      <c r="H179" s="365">
        <v>8.83</v>
      </c>
      <c r="I179" s="365">
        <v>8.6999999999999993</v>
      </c>
      <c r="J179" s="365">
        <v>9.39</v>
      </c>
      <c r="K179" s="365">
        <v>9.98</v>
      </c>
      <c r="L179" s="365">
        <v>9.7100000000000009</v>
      </c>
      <c r="M179" s="365">
        <v>10.18</v>
      </c>
      <c r="N179" s="365">
        <v>16.05</v>
      </c>
      <c r="O179" s="365">
        <v>17.2</v>
      </c>
      <c r="P179" s="365">
        <v>10.31</v>
      </c>
      <c r="Q179" s="365">
        <v>9.9499999999999993</v>
      </c>
      <c r="R179" s="365">
        <v>9.57</v>
      </c>
      <c r="S179" s="365">
        <v>8.93</v>
      </c>
      <c r="T179" s="365">
        <v>11.96</v>
      </c>
      <c r="U179" s="365">
        <v>9.6</v>
      </c>
    </row>
    <row r="180" spans="1:36" x14ac:dyDescent="0.2">
      <c r="A180" t="s">
        <v>395</v>
      </c>
      <c r="B180" t="s">
        <v>397</v>
      </c>
      <c r="C180" t="s">
        <v>443</v>
      </c>
      <c r="D180" t="s">
        <v>446</v>
      </c>
      <c r="E180" t="s">
        <v>395</v>
      </c>
      <c r="G180">
        <v>17.37</v>
      </c>
      <c r="H180">
        <v>12.1</v>
      </c>
      <c r="I180">
        <v>4.4800000000000004</v>
      </c>
      <c r="J180">
        <v>3.85</v>
      </c>
      <c r="K180">
        <v>6.46</v>
      </c>
      <c r="L180">
        <v>3.82</v>
      </c>
      <c r="M180">
        <v>10.47</v>
      </c>
      <c r="N180">
        <v>14.41</v>
      </c>
      <c r="O180">
        <v>9.36</v>
      </c>
      <c r="P180">
        <v>6.64</v>
      </c>
      <c r="Q180">
        <v>5.54</v>
      </c>
      <c r="R180">
        <v>10.44</v>
      </c>
      <c r="S180">
        <v>9</v>
      </c>
      <c r="T180">
        <v>9.75</v>
      </c>
      <c r="U180">
        <v>4.2300000000000004</v>
      </c>
      <c r="V180">
        <v>3.4</v>
      </c>
      <c r="W180">
        <v>5.3</v>
      </c>
      <c r="X180">
        <v>10.91</v>
      </c>
      <c r="Y180">
        <v>4.6900000000000004</v>
      </c>
      <c r="Z180">
        <v>3.94</v>
      </c>
      <c r="AA180">
        <v>3.2</v>
      </c>
      <c r="AB180" t="s">
        <v>396</v>
      </c>
      <c r="AC180">
        <v>6.66</v>
      </c>
      <c r="AD180">
        <v>6.32</v>
      </c>
      <c r="AE180">
        <v>6.22</v>
      </c>
      <c r="AF180">
        <v>3.73</v>
      </c>
      <c r="AG180">
        <v>4.5199999999999996</v>
      </c>
    </row>
    <row r="181" spans="1:36" x14ac:dyDescent="0.2">
      <c r="A181">
        <v>13</v>
      </c>
      <c r="B181" t="s">
        <v>397</v>
      </c>
      <c r="C181" t="s">
        <v>443</v>
      </c>
      <c r="D181" t="s">
        <v>447</v>
      </c>
      <c r="E181" t="s">
        <v>399</v>
      </c>
      <c r="F181">
        <v>0.5</v>
      </c>
      <c r="G181" s="365">
        <v>4.01</v>
      </c>
      <c r="H181" s="365">
        <v>3.69</v>
      </c>
      <c r="I181" s="365">
        <v>6.26</v>
      </c>
      <c r="J181" s="365">
        <v>5.13</v>
      </c>
      <c r="K181" s="365">
        <v>6.37</v>
      </c>
      <c r="L181" s="365">
        <v>5.27</v>
      </c>
      <c r="M181" s="365">
        <v>3.44</v>
      </c>
      <c r="N181" s="365">
        <v>4.72</v>
      </c>
      <c r="O181" s="365">
        <v>6.79</v>
      </c>
      <c r="P181" s="365">
        <v>6.31</v>
      </c>
      <c r="Q181" s="365">
        <v>4.5599999999999996</v>
      </c>
      <c r="R181" s="365">
        <v>5.42</v>
      </c>
      <c r="S181" s="365">
        <v>5.3</v>
      </c>
      <c r="T181" s="365">
        <v>5.43</v>
      </c>
      <c r="U181" s="365">
        <v>4.34</v>
      </c>
    </row>
    <row r="182" spans="1:36" x14ac:dyDescent="0.2">
      <c r="A182">
        <v>14</v>
      </c>
      <c r="B182" t="s">
        <v>397</v>
      </c>
      <c r="C182" t="s">
        <v>443</v>
      </c>
      <c r="D182" t="s">
        <v>447</v>
      </c>
      <c r="E182" t="s">
        <v>399</v>
      </c>
      <c r="F182">
        <v>0.4</v>
      </c>
      <c r="G182" s="365">
        <v>5.32</v>
      </c>
      <c r="H182" s="365">
        <v>6.41</v>
      </c>
      <c r="I182" s="365">
        <v>5.74</v>
      </c>
      <c r="J182" s="365">
        <v>6.45</v>
      </c>
      <c r="K182" s="365">
        <v>5.48</v>
      </c>
      <c r="L182" s="365">
        <v>5.72</v>
      </c>
      <c r="M182" s="365">
        <v>5.19</v>
      </c>
      <c r="N182" s="365">
        <v>5.36</v>
      </c>
      <c r="O182" s="365">
        <v>5.31</v>
      </c>
      <c r="P182" s="365">
        <v>4.3899999999999997</v>
      </c>
      <c r="Q182" s="365">
        <v>4.9000000000000004</v>
      </c>
      <c r="R182" s="365">
        <v>3.71</v>
      </c>
      <c r="S182" s="365">
        <v>6.35</v>
      </c>
      <c r="T182" s="365">
        <v>4.21</v>
      </c>
      <c r="U182" s="365">
        <v>5.27</v>
      </c>
    </row>
    <row r="183" spans="1:36" s="380" customFormat="1" x14ac:dyDescent="0.2">
      <c r="A183">
        <v>15</v>
      </c>
      <c r="B183" t="s">
        <v>397</v>
      </c>
      <c r="C183" t="s">
        <v>443</v>
      </c>
      <c r="D183" t="s">
        <v>447</v>
      </c>
      <c r="E183" t="s">
        <v>399</v>
      </c>
      <c r="F183">
        <v>0.4</v>
      </c>
      <c r="G183" s="365">
        <v>6.47</v>
      </c>
      <c r="H183" s="365">
        <v>5.42</v>
      </c>
      <c r="I183" s="365">
        <v>7.04</v>
      </c>
      <c r="J183" s="365">
        <v>5.57</v>
      </c>
      <c r="K183" s="365">
        <v>6.38</v>
      </c>
      <c r="L183" s="365">
        <v>6.52</v>
      </c>
      <c r="M183" s="365">
        <v>5.13</v>
      </c>
      <c r="N183" s="365">
        <v>5.12</v>
      </c>
      <c r="O183" s="365">
        <v>5.5</v>
      </c>
      <c r="P183" s="365">
        <v>5.14</v>
      </c>
      <c r="Q183" s="365">
        <v>5.13</v>
      </c>
      <c r="R183" s="365">
        <v>4.72</v>
      </c>
      <c r="S183" s="365">
        <v>6.7</v>
      </c>
      <c r="T183" s="365">
        <v>5.54</v>
      </c>
      <c r="U183" s="365">
        <v>6.75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380" customFormat="1" x14ac:dyDescent="0.2">
      <c r="A184">
        <v>16</v>
      </c>
      <c r="B184" t="s">
        <v>397</v>
      </c>
      <c r="C184" t="s">
        <v>443</v>
      </c>
      <c r="D184" t="s">
        <v>447</v>
      </c>
      <c r="E184" t="s">
        <v>399</v>
      </c>
      <c r="F184">
        <v>0.4</v>
      </c>
      <c r="G184" s="365">
        <v>5.66</v>
      </c>
      <c r="H184" s="365">
        <v>4.8899999999999997</v>
      </c>
      <c r="I184" s="365">
        <v>6.85</v>
      </c>
      <c r="J184" s="365">
        <v>4.9800000000000004</v>
      </c>
      <c r="K184" s="365">
        <v>5.53</v>
      </c>
      <c r="L184" s="365">
        <v>5.67</v>
      </c>
      <c r="M184" s="365">
        <v>5.21</v>
      </c>
      <c r="N184" s="365">
        <v>4.04</v>
      </c>
      <c r="O184" s="365">
        <v>4.55</v>
      </c>
      <c r="P184" s="365">
        <v>6.88</v>
      </c>
      <c r="Q184" s="365">
        <v>6.58</v>
      </c>
      <c r="R184" s="365">
        <v>5.37</v>
      </c>
      <c r="S184" s="365">
        <v>7</v>
      </c>
      <c r="T184" s="365">
        <v>4.8</v>
      </c>
      <c r="U184" s="365">
        <v>4.2300000000000004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380" customFormat="1" x14ac:dyDescent="0.2">
      <c r="A185">
        <v>17</v>
      </c>
      <c r="B185" t="s">
        <v>397</v>
      </c>
      <c r="C185" t="s">
        <v>443</v>
      </c>
      <c r="D185" t="s">
        <v>447</v>
      </c>
      <c r="E185" t="s">
        <v>399</v>
      </c>
      <c r="F185">
        <v>0.4</v>
      </c>
      <c r="G185" s="365">
        <v>4.3</v>
      </c>
      <c r="H185" s="365">
        <v>6.8</v>
      </c>
      <c r="I185" s="365">
        <v>5.23</v>
      </c>
      <c r="J185" s="365">
        <v>5.75</v>
      </c>
      <c r="K185" s="365">
        <v>4.5</v>
      </c>
      <c r="L185" s="365">
        <v>4.09</v>
      </c>
      <c r="M185" s="365">
        <v>5.08</v>
      </c>
      <c r="N185" s="365">
        <v>5.2</v>
      </c>
      <c r="O185" s="365">
        <v>4.42</v>
      </c>
      <c r="P185" s="365">
        <v>5.82</v>
      </c>
      <c r="Q185" s="365">
        <v>6.06</v>
      </c>
      <c r="R185" s="365">
        <v>5.76</v>
      </c>
      <c r="S185" s="365">
        <v>6.34</v>
      </c>
      <c r="T185" s="365">
        <v>4.3499999999999996</v>
      </c>
      <c r="U185" s="365">
        <v>5.01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380" customFormat="1" x14ac:dyDescent="0.2">
      <c r="A186">
        <v>18</v>
      </c>
      <c r="B186" t="s">
        <v>397</v>
      </c>
      <c r="C186" t="s">
        <v>443</v>
      </c>
      <c r="D186" t="s">
        <v>447</v>
      </c>
      <c r="E186" t="s">
        <v>399</v>
      </c>
      <c r="F186">
        <v>0.4</v>
      </c>
      <c r="G186" s="365">
        <v>5.42</v>
      </c>
      <c r="H186" s="365">
        <v>4.08</v>
      </c>
      <c r="I186" s="365">
        <v>4.26</v>
      </c>
      <c r="J186" s="365">
        <v>5.99</v>
      </c>
      <c r="K186" s="365">
        <v>5.19</v>
      </c>
      <c r="L186" s="365">
        <v>6.95</v>
      </c>
      <c r="M186" s="365">
        <v>5.28</v>
      </c>
      <c r="N186" s="365">
        <v>6.95</v>
      </c>
      <c r="O186" s="365">
        <v>6.31</v>
      </c>
      <c r="P186" s="365">
        <v>5.0599999999999996</v>
      </c>
      <c r="Q186" s="365">
        <v>6.06</v>
      </c>
      <c r="R186" s="365">
        <v>4.3099999999999996</v>
      </c>
      <c r="S186" s="365">
        <v>5.0999999999999996</v>
      </c>
      <c r="T186" s="365">
        <v>6.37</v>
      </c>
      <c r="U186" s="365">
        <v>6.17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380" customFormat="1" x14ac:dyDescent="0.2">
      <c r="A187">
        <v>19</v>
      </c>
      <c r="B187" t="s">
        <v>397</v>
      </c>
      <c r="C187" t="s">
        <v>443</v>
      </c>
      <c r="D187" t="s">
        <v>447</v>
      </c>
      <c r="E187" t="s">
        <v>398</v>
      </c>
      <c r="F187">
        <v>2.7</v>
      </c>
      <c r="G187" s="365">
        <v>17</v>
      </c>
      <c r="H187" s="365">
        <v>15.79</v>
      </c>
      <c r="I187" s="365">
        <v>11.55</v>
      </c>
      <c r="J187" s="365">
        <v>11.52</v>
      </c>
      <c r="K187" s="365">
        <v>10.54</v>
      </c>
      <c r="L187" s="365">
        <v>9.23</v>
      </c>
      <c r="M187" s="365">
        <v>9.61</v>
      </c>
      <c r="N187" s="365">
        <v>9.3800000000000008</v>
      </c>
      <c r="O187" s="365">
        <v>8.64</v>
      </c>
      <c r="P187" s="365">
        <v>10.130000000000001</v>
      </c>
      <c r="Q187" s="365">
        <v>7.75</v>
      </c>
      <c r="R187" s="365">
        <v>9.2200000000000006</v>
      </c>
      <c r="S187" s="365">
        <v>7.47</v>
      </c>
      <c r="T187" s="365">
        <v>7.75</v>
      </c>
      <c r="U187" s="365">
        <v>10.96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380" customFormat="1" x14ac:dyDescent="0.2">
      <c r="A188">
        <v>20</v>
      </c>
      <c r="B188" t="s">
        <v>397</v>
      </c>
      <c r="C188" t="s">
        <v>443</v>
      </c>
      <c r="D188" t="s">
        <v>447</v>
      </c>
      <c r="E188" t="s">
        <v>398</v>
      </c>
      <c r="F188">
        <v>3.6</v>
      </c>
      <c r="G188" s="365">
        <v>13.45</v>
      </c>
      <c r="H188" s="365">
        <v>12.05</v>
      </c>
      <c r="I188" s="365">
        <v>9.06</v>
      </c>
      <c r="J188" s="365">
        <v>10.01</v>
      </c>
      <c r="K188" s="365">
        <v>8.2899999999999991</v>
      </c>
      <c r="L188" s="365">
        <v>9.91</v>
      </c>
      <c r="M188" s="365">
        <v>10.119999999999999</v>
      </c>
      <c r="N188" s="365">
        <v>9.1300000000000008</v>
      </c>
      <c r="O188" s="365">
        <v>11.34</v>
      </c>
      <c r="P188" s="365">
        <v>16.7</v>
      </c>
      <c r="Q188" s="365">
        <v>19.04</v>
      </c>
      <c r="R188" s="365">
        <v>10.59</v>
      </c>
      <c r="S188" s="365">
        <v>13.46</v>
      </c>
      <c r="T188" s="365">
        <v>11.89</v>
      </c>
      <c r="U188" s="365">
        <v>9.5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380" customFormat="1" x14ac:dyDescent="0.2">
      <c r="A189">
        <v>21</v>
      </c>
      <c r="B189" t="s">
        <v>397</v>
      </c>
      <c r="C189" t="s">
        <v>443</v>
      </c>
      <c r="D189" t="s">
        <v>447</v>
      </c>
      <c r="E189" t="s">
        <v>398</v>
      </c>
      <c r="F189">
        <v>4.4000000000000004</v>
      </c>
      <c r="G189" s="365">
        <v>9.24</v>
      </c>
      <c r="H189" s="365">
        <v>8.75</v>
      </c>
      <c r="I189" s="365">
        <v>7.88</v>
      </c>
      <c r="J189" s="365">
        <v>15.09</v>
      </c>
      <c r="K189" s="365">
        <v>10.63</v>
      </c>
      <c r="L189" s="365">
        <v>13.92</v>
      </c>
      <c r="M189" s="365">
        <v>12.59</v>
      </c>
      <c r="N189" s="365">
        <v>9.5399999999999991</v>
      </c>
      <c r="O189" s="365">
        <v>9.19</v>
      </c>
      <c r="P189" s="365">
        <v>18.7</v>
      </c>
      <c r="Q189" s="365">
        <v>11.56</v>
      </c>
      <c r="R189" s="365">
        <v>16.559999999999999</v>
      </c>
      <c r="S189" s="365">
        <v>12.16</v>
      </c>
      <c r="T189" s="365">
        <v>15.75</v>
      </c>
      <c r="U189" s="365">
        <v>16.04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380" customFormat="1" x14ac:dyDescent="0.2">
      <c r="A190">
        <v>22</v>
      </c>
      <c r="B190" t="s">
        <v>397</v>
      </c>
      <c r="C190" t="s">
        <v>443</v>
      </c>
      <c r="D190" t="s">
        <v>447</v>
      </c>
      <c r="E190" t="s">
        <v>398</v>
      </c>
      <c r="F190">
        <v>3.2</v>
      </c>
      <c r="G190" s="365">
        <v>9.7100000000000009</v>
      </c>
      <c r="H190" s="365">
        <v>10.16</v>
      </c>
      <c r="I190" s="365">
        <v>16.59</v>
      </c>
      <c r="J190" s="365">
        <v>16.04</v>
      </c>
      <c r="K190" s="365">
        <v>9.41</v>
      </c>
      <c r="L190" s="365">
        <v>8.4</v>
      </c>
      <c r="M190" s="365">
        <v>10.59</v>
      </c>
      <c r="N190" s="365">
        <v>8.7799999999999994</v>
      </c>
      <c r="O190" s="365">
        <v>7.45</v>
      </c>
      <c r="P190" s="365">
        <v>12.29</v>
      </c>
      <c r="Q190" s="365">
        <v>14.76</v>
      </c>
      <c r="R190" s="365">
        <v>11.45</v>
      </c>
      <c r="S190" s="365">
        <v>11.51</v>
      </c>
      <c r="T190" s="365">
        <v>10.1</v>
      </c>
      <c r="U190" s="365">
        <v>8.86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380" customFormat="1" x14ac:dyDescent="0.2">
      <c r="A191">
        <v>23</v>
      </c>
      <c r="B191" t="s">
        <v>397</v>
      </c>
      <c r="C191" t="s">
        <v>443</v>
      </c>
      <c r="D191" t="s">
        <v>447</v>
      </c>
      <c r="E191" t="s">
        <v>398</v>
      </c>
      <c r="F191">
        <v>3.4</v>
      </c>
      <c r="G191" s="365">
        <v>7.31</v>
      </c>
      <c r="H191" s="365">
        <v>7.68</v>
      </c>
      <c r="I191" s="365">
        <v>11.32</v>
      </c>
      <c r="J191" s="365">
        <v>13.07</v>
      </c>
      <c r="K191" s="365">
        <v>11.91</v>
      </c>
      <c r="L191" s="365">
        <v>8.76</v>
      </c>
      <c r="M191" s="365">
        <v>7.48</v>
      </c>
      <c r="N191" s="365">
        <v>7.68</v>
      </c>
      <c r="O191" s="365">
        <v>12.07</v>
      </c>
      <c r="P191" s="365">
        <v>8.83</v>
      </c>
      <c r="Q191" s="365">
        <v>9.31</v>
      </c>
      <c r="R191" s="365">
        <v>12.53</v>
      </c>
      <c r="S191" s="365">
        <v>14.02</v>
      </c>
      <c r="T191" s="365">
        <v>11.44</v>
      </c>
      <c r="U191" s="365">
        <v>13.26</v>
      </c>
      <c r="V191" s="365">
        <v>8.0299999999999994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380" customFormat="1" x14ac:dyDescent="0.2">
      <c r="A192">
        <v>24</v>
      </c>
      <c r="B192" t="s">
        <v>397</v>
      </c>
      <c r="C192" t="s">
        <v>443</v>
      </c>
      <c r="D192" t="s">
        <v>447</v>
      </c>
      <c r="E192" t="s">
        <v>398</v>
      </c>
      <c r="F192">
        <v>3.3</v>
      </c>
      <c r="G192" s="365">
        <v>10.51</v>
      </c>
      <c r="H192" s="365">
        <v>8.5500000000000007</v>
      </c>
      <c r="I192" s="365">
        <v>8.94</v>
      </c>
      <c r="J192" s="365">
        <v>8.5299999999999994</v>
      </c>
      <c r="K192" s="365">
        <v>17.93</v>
      </c>
      <c r="L192" s="365">
        <v>10.49</v>
      </c>
      <c r="M192" s="365">
        <v>7.26</v>
      </c>
      <c r="N192" s="365">
        <v>11.36</v>
      </c>
      <c r="O192" s="365">
        <v>8.16</v>
      </c>
      <c r="P192" s="365">
        <v>12.51</v>
      </c>
      <c r="Q192" s="365">
        <v>9.07</v>
      </c>
      <c r="R192" s="365">
        <v>8.74</v>
      </c>
      <c r="S192" s="365">
        <v>9.83</v>
      </c>
      <c r="T192" s="365">
        <v>12.04</v>
      </c>
      <c r="U192" s="365">
        <v>12.11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380" customFormat="1" x14ac:dyDescent="0.2">
      <c r="A193">
        <v>25</v>
      </c>
      <c r="B193" t="s">
        <v>397</v>
      </c>
      <c r="C193" t="s">
        <v>443</v>
      </c>
      <c r="D193" t="s">
        <v>447</v>
      </c>
      <c r="E193" t="s">
        <v>399</v>
      </c>
      <c r="F193">
        <v>0.4</v>
      </c>
      <c r="G193" s="365">
        <v>6.37</v>
      </c>
      <c r="H193" s="365">
        <v>5.47</v>
      </c>
      <c r="I193" s="365">
        <v>7.14</v>
      </c>
      <c r="J193" s="365">
        <v>6.04</v>
      </c>
      <c r="K193" s="365">
        <v>4.54</v>
      </c>
      <c r="L193" s="365">
        <v>4.2</v>
      </c>
      <c r="M193" s="365">
        <v>5.13</v>
      </c>
      <c r="N193" s="365">
        <v>5.44</v>
      </c>
      <c r="O193" s="365">
        <v>4.8499999999999996</v>
      </c>
      <c r="P193" s="365">
        <v>4.49</v>
      </c>
      <c r="Q193" s="365">
        <v>4.1900000000000004</v>
      </c>
      <c r="R193" s="365">
        <v>4.6399999999999997</v>
      </c>
      <c r="S193" s="365">
        <v>6.88</v>
      </c>
      <c r="T193" s="365">
        <v>6.03</v>
      </c>
      <c r="U193" s="365">
        <v>5.68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380" customFormat="1" x14ac:dyDescent="0.2">
      <c r="A194">
        <v>26</v>
      </c>
      <c r="B194" t="s">
        <v>397</v>
      </c>
      <c r="C194" t="s">
        <v>443</v>
      </c>
      <c r="D194" t="s">
        <v>447</v>
      </c>
      <c r="E194" t="s">
        <v>399</v>
      </c>
      <c r="F194">
        <v>0.4</v>
      </c>
      <c r="G194" s="365">
        <v>5.96</v>
      </c>
      <c r="H194" s="365">
        <v>5.0599999999999996</v>
      </c>
      <c r="I194" s="365">
        <v>5.86</v>
      </c>
      <c r="J194" s="365">
        <v>7.13</v>
      </c>
      <c r="K194" s="365">
        <v>6.57</v>
      </c>
      <c r="L194" s="365">
        <v>5.9</v>
      </c>
      <c r="M194" s="365">
        <v>5.34</v>
      </c>
      <c r="N194" s="365">
        <v>4.87</v>
      </c>
      <c r="O194" s="365">
        <v>6.24</v>
      </c>
      <c r="P194" s="365">
        <v>4.9000000000000004</v>
      </c>
      <c r="Q194" s="365">
        <v>6.24</v>
      </c>
      <c r="R194" s="365">
        <v>5.1100000000000003</v>
      </c>
      <c r="S194" s="365">
        <v>5.36</v>
      </c>
      <c r="T194" s="365">
        <v>4.7</v>
      </c>
      <c r="U194" s="365">
        <v>5.73</v>
      </c>
      <c r="V194" s="365">
        <v>5.4</v>
      </c>
      <c r="W194" s="365">
        <v>6.35</v>
      </c>
      <c r="X194" s="365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380" customFormat="1" x14ac:dyDescent="0.2">
      <c r="A195">
        <v>27</v>
      </c>
      <c r="B195" t="s">
        <v>397</v>
      </c>
      <c r="C195" t="s">
        <v>443</v>
      </c>
      <c r="D195" t="s">
        <v>447</v>
      </c>
      <c r="E195" t="s">
        <v>399</v>
      </c>
      <c r="F195">
        <v>0.4</v>
      </c>
      <c r="G195" s="365">
        <v>6.21</v>
      </c>
      <c r="H195" s="365">
        <v>5.4</v>
      </c>
      <c r="I195" s="365">
        <v>5.38</v>
      </c>
      <c r="J195" s="365">
        <v>5.23</v>
      </c>
      <c r="K195" s="365">
        <v>4.92</v>
      </c>
      <c r="L195" s="365">
        <v>5.43</v>
      </c>
      <c r="M195" s="365">
        <v>5.54</v>
      </c>
      <c r="N195" s="365">
        <v>5.4</v>
      </c>
      <c r="O195" s="365">
        <v>6.63</v>
      </c>
      <c r="P195" s="365">
        <v>6.34</v>
      </c>
      <c r="Q195" s="365">
        <v>5.83</v>
      </c>
      <c r="R195" s="365">
        <v>5.57</v>
      </c>
      <c r="S195" s="365">
        <v>4.2699999999999996</v>
      </c>
      <c r="T195" s="365">
        <v>4.3</v>
      </c>
      <c r="U195" s="365">
        <v>5.48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380" customFormat="1" x14ac:dyDescent="0.2">
      <c r="A196">
        <v>28</v>
      </c>
      <c r="B196" t="s">
        <v>397</v>
      </c>
      <c r="C196" t="s">
        <v>443</v>
      </c>
      <c r="D196" t="s">
        <v>447</v>
      </c>
      <c r="E196" t="s">
        <v>399</v>
      </c>
      <c r="F196">
        <v>0.6</v>
      </c>
      <c r="G196" s="365">
        <v>6.26</v>
      </c>
      <c r="H196" s="365">
        <v>6.34</v>
      </c>
      <c r="I196" s="365">
        <v>6.3</v>
      </c>
      <c r="J196" s="365">
        <v>6.92</v>
      </c>
      <c r="K196" s="365">
        <v>6.57</v>
      </c>
      <c r="L196" s="365">
        <v>6.86</v>
      </c>
      <c r="M196" s="365">
        <v>5.7</v>
      </c>
      <c r="N196" s="365">
        <v>5.57</v>
      </c>
      <c r="O196" s="365">
        <v>5.74</v>
      </c>
      <c r="P196" s="365">
        <v>6.33</v>
      </c>
      <c r="Q196" s="365">
        <v>6.06</v>
      </c>
      <c r="R196" s="365">
        <v>7.04</v>
      </c>
      <c r="S196" s="365">
        <v>5.73</v>
      </c>
      <c r="T196" s="365">
        <v>5.98</v>
      </c>
      <c r="U196" s="365">
        <v>6.45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 s="150"/>
      <c r="AI196"/>
      <c r="AJ196"/>
    </row>
    <row r="197" spans="1:36" s="380" customFormat="1" x14ac:dyDescent="0.2">
      <c r="A197">
        <v>29</v>
      </c>
      <c r="B197" t="s">
        <v>397</v>
      </c>
      <c r="C197" t="s">
        <v>443</v>
      </c>
      <c r="D197" t="s">
        <v>447</v>
      </c>
      <c r="E197" t="s">
        <v>399</v>
      </c>
      <c r="F197">
        <v>0.5</v>
      </c>
      <c r="G197" s="365">
        <v>6.58</v>
      </c>
      <c r="H197" s="365">
        <v>6.11</v>
      </c>
      <c r="I197" s="365">
        <v>5.95</v>
      </c>
      <c r="J197" s="365">
        <v>5.38</v>
      </c>
      <c r="K197" s="365">
        <v>7.12</v>
      </c>
      <c r="L197" s="365">
        <v>5.3</v>
      </c>
      <c r="M197" s="365">
        <v>6.71</v>
      </c>
      <c r="N197" s="365">
        <v>5.6</v>
      </c>
      <c r="O197" s="365">
        <v>5.2</v>
      </c>
      <c r="P197" s="365">
        <v>6.57</v>
      </c>
      <c r="Q197" s="365">
        <v>4.91</v>
      </c>
      <c r="R197" s="365">
        <v>4.74</v>
      </c>
      <c r="S197" s="365">
        <v>5.93</v>
      </c>
      <c r="T197" s="365">
        <v>5.23</v>
      </c>
      <c r="U197" s="365">
        <v>5.33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380" customFormat="1" x14ac:dyDescent="0.2">
      <c r="A198">
        <v>30</v>
      </c>
      <c r="B198" t="s">
        <v>397</v>
      </c>
      <c r="C198" t="s">
        <v>443</v>
      </c>
      <c r="D198" t="s">
        <v>447</v>
      </c>
      <c r="E198" t="s">
        <v>399</v>
      </c>
      <c r="F198">
        <v>0.7</v>
      </c>
      <c r="G198">
        <v>7.03</v>
      </c>
      <c r="H198" s="365">
        <v>5.26</v>
      </c>
      <c r="I198" s="365">
        <v>6.02</v>
      </c>
      <c r="J198" s="365">
        <v>6.14</v>
      </c>
      <c r="K198" s="365">
        <v>6.3</v>
      </c>
      <c r="L198" s="365">
        <v>6.97</v>
      </c>
      <c r="M198" s="365">
        <v>5.78</v>
      </c>
      <c r="N198" s="365">
        <v>6.55</v>
      </c>
      <c r="O198" s="365">
        <v>5.21</v>
      </c>
      <c r="P198" s="365">
        <v>6.39</v>
      </c>
      <c r="Q198" s="365">
        <v>6.67</v>
      </c>
      <c r="R198" s="365">
        <v>6.72</v>
      </c>
      <c r="S198" s="365">
        <v>5.82</v>
      </c>
      <c r="T198" s="365">
        <v>5.62</v>
      </c>
      <c r="U198" s="365">
        <v>6.89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 s="150"/>
      <c r="AJ198"/>
    </row>
    <row r="199" spans="1:36" s="380" customFormat="1" x14ac:dyDescent="0.2">
      <c r="A199">
        <v>31</v>
      </c>
      <c r="B199" t="s">
        <v>397</v>
      </c>
      <c r="C199" t="s">
        <v>443</v>
      </c>
      <c r="D199" t="s">
        <v>447</v>
      </c>
      <c r="E199" t="s">
        <v>398</v>
      </c>
      <c r="F199">
        <v>3.7</v>
      </c>
      <c r="G199" s="365">
        <v>14.26</v>
      </c>
      <c r="H199" s="365">
        <v>13.18</v>
      </c>
      <c r="I199" s="365">
        <v>15.07</v>
      </c>
      <c r="J199" s="365">
        <v>12.68</v>
      </c>
      <c r="K199" s="365">
        <v>9.5</v>
      </c>
      <c r="L199" s="365">
        <v>9.08</v>
      </c>
      <c r="M199" s="365">
        <v>10.8</v>
      </c>
      <c r="N199" s="365">
        <v>7.35</v>
      </c>
      <c r="O199" s="365">
        <v>11.54</v>
      </c>
      <c r="P199" s="365">
        <v>10.199999999999999</v>
      </c>
      <c r="Q199" s="365">
        <v>8.65</v>
      </c>
      <c r="R199" s="365">
        <v>11.27</v>
      </c>
      <c r="S199" s="365">
        <v>16.059999999999999</v>
      </c>
      <c r="T199" s="365">
        <v>14.96</v>
      </c>
      <c r="U199" s="365">
        <v>10.79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380" customFormat="1" x14ac:dyDescent="0.2">
      <c r="A200">
        <v>32</v>
      </c>
      <c r="B200" t="s">
        <v>397</v>
      </c>
      <c r="C200" t="s">
        <v>443</v>
      </c>
      <c r="D200" t="s">
        <v>447</v>
      </c>
      <c r="E200" t="s">
        <v>398</v>
      </c>
      <c r="F200">
        <v>2.7</v>
      </c>
      <c r="G200" s="365">
        <v>8.58</v>
      </c>
      <c r="H200" s="365">
        <v>9.5399999999999991</v>
      </c>
      <c r="I200" s="365">
        <v>14</v>
      </c>
      <c r="J200" s="365">
        <v>9.3699999999999992</v>
      </c>
      <c r="K200" s="365">
        <v>7.49</v>
      </c>
      <c r="L200" s="365">
        <v>8.5</v>
      </c>
      <c r="M200" s="365">
        <v>10.1</v>
      </c>
      <c r="N200" s="365">
        <v>7.49</v>
      </c>
      <c r="O200" s="365">
        <v>16.690000000000001</v>
      </c>
      <c r="P200" s="365">
        <v>7.27</v>
      </c>
      <c r="Q200" s="365">
        <v>12.7</v>
      </c>
      <c r="R200" s="365">
        <v>7.54</v>
      </c>
      <c r="S200" s="365">
        <v>9.68</v>
      </c>
      <c r="T200" s="365">
        <v>15.98</v>
      </c>
      <c r="U200" s="365">
        <v>10.28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380" customFormat="1" x14ac:dyDescent="0.2">
      <c r="A201">
        <v>33</v>
      </c>
      <c r="B201" t="s">
        <v>397</v>
      </c>
      <c r="C201" t="s">
        <v>443</v>
      </c>
      <c r="D201" t="s">
        <v>447</v>
      </c>
      <c r="E201" t="s">
        <v>398</v>
      </c>
      <c r="F201">
        <v>3</v>
      </c>
      <c r="G201" s="365">
        <v>10.14</v>
      </c>
      <c r="H201" s="365">
        <v>9.77</v>
      </c>
      <c r="I201" s="365">
        <v>11.32</v>
      </c>
      <c r="J201" s="365">
        <v>10.69</v>
      </c>
      <c r="K201" s="365">
        <v>8.99</v>
      </c>
      <c r="L201" s="365">
        <v>18.62</v>
      </c>
      <c r="M201" s="365">
        <v>7.39</v>
      </c>
      <c r="N201" s="365">
        <v>13.92</v>
      </c>
      <c r="O201" s="365">
        <v>11.53</v>
      </c>
      <c r="P201" s="365">
        <v>11.27</v>
      </c>
      <c r="Q201" s="365">
        <v>9.9</v>
      </c>
      <c r="R201" s="365">
        <v>7.96</v>
      </c>
      <c r="S201" s="365">
        <v>9.07</v>
      </c>
      <c r="T201" s="365">
        <v>8.81</v>
      </c>
      <c r="U201" s="365">
        <v>9.8000000000000007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380" customFormat="1" x14ac:dyDescent="0.2">
      <c r="A202">
        <v>34</v>
      </c>
      <c r="B202" t="s">
        <v>397</v>
      </c>
      <c r="C202" t="s">
        <v>443</v>
      </c>
      <c r="D202" t="s">
        <v>447</v>
      </c>
      <c r="E202" t="s">
        <v>398</v>
      </c>
      <c r="F202">
        <v>3.9</v>
      </c>
      <c r="G202" s="365">
        <v>7.84</v>
      </c>
      <c r="H202" s="365">
        <v>7.44</v>
      </c>
      <c r="I202" s="365">
        <v>18.14</v>
      </c>
      <c r="J202" s="365">
        <v>15.06</v>
      </c>
      <c r="K202" s="365">
        <v>11.99</v>
      </c>
      <c r="L202" s="365">
        <v>11.62</v>
      </c>
      <c r="M202" s="365">
        <v>16.66</v>
      </c>
      <c r="N202" s="365">
        <v>9.16</v>
      </c>
      <c r="O202" s="365">
        <v>10.85</v>
      </c>
      <c r="P202" s="365">
        <v>14.88</v>
      </c>
      <c r="Q202" s="365">
        <v>13.85</v>
      </c>
      <c r="R202" s="365">
        <v>8.41</v>
      </c>
      <c r="S202" s="365">
        <v>14.12</v>
      </c>
      <c r="T202" s="365">
        <v>11.54</v>
      </c>
      <c r="U202" s="365">
        <v>9.5399999999999991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380" customFormat="1" x14ac:dyDescent="0.2">
      <c r="A203">
        <v>35</v>
      </c>
      <c r="B203" t="s">
        <v>397</v>
      </c>
      <c r="C203" t="s">
        <v>443</v>
      </c>
      <c r="D203" t="s">
        <v>447</v>
      </c>
      <c r="E203" t="s">
        <v>398</v>
      </c>
      <c r="F203">
        <v>5.2</v>
      </c>
      <c r="G203" s="365">
        <v>16.03</v>
      </c>
      <c r="H203" s="365">
        <v>15.3</v>
      </c>
      <c r="I203" s="365">
        <v>10.61</v>
      </c>
      <c r="J203" s="365">
        <v>10.039999999999999</v>
      </c>
      <c r="K203" s="365">
        <v>8.83</v>
      </c>
      <c r="L203" s="365">
        <v>8.36</v>
      </c>
      <c r="M203" s="365">
        <v>12.48</v>
      </c>
      <c r="N203" s="365">
        <v>16.64</v>
      </c>
      <c r="O203" s="365">
        <v>18.41</v>
      </c>
      <c r="P203" s="365">
        <v>16.47</v>
      </c>
      <c r="Q203" s="365">
        <v>13</v>
      </c>
      <c r="R203" s="365">
        <v>12.74</v>
      </c>
      <c r="S203" s="365">
        <v>15.71</v>
      </c>
      <c r="T203" s="365">
        <v>10.84</v>
      </c>
      <c r="U203" s="365">
        <v>9.7200000000000006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380" customFormat="1" x14ac:dyDescent="0.2">
      <c r="A204">
        <v>36</v>
      </c>
      <c r="B204" t="s">
        <v>397</v>
      </c>
      <c r="C204" t="s">
        <v>443</v>
      </c>
      <c r="D204" t="s">
        <v>447</v>
      </c>
      <c r="E204" t="s">
        <v>398</v>
      </c>
      <c r="F204">
        <v>2.4</v>
      </c>
      <c r="G204" s="365">
        <v>10.9</v>
      </c>
      <c r="H204" s="365">
        <v>14.33</v>
      </c>
      <c r="I204" s="365">
        <v>14.77</v>
      </c>
      <c r="J204" s="365">
        <v>9.85</v>
      </c>
      <c r="K204" s="365">
        <v>10.26</v>
      </c>
      <c r="L204" s="365">
        <v>11.93</v>
      </c>
      <c r="M204" s="365">
        <v>7.24</v>
      </c>
      <c r="N204" s="365">
        <v>7.66</v>
      </c>
      <c r="O204" s="365">
        <v>10.210000000000001</v>
      </c>
      <c r="P204" s="365">
        <v>8.3000000000000007</v>
      </c>
      <c r="Q204" s="365">
        <v>7.7</v>
      </c>
      <c r="R204" s="365">
        <v>9.17</v>
      </c>
      <c r="S204" s="365">
        <v>11.11</v>
      </c>
      <c r="T204" s="365">
        <v>12.08</v>
      </c>
      <c r="U204" s="365">
        <v>11.45</v>
      </c>
      <c r="V204" s="150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380" customFormat="1" x14ac:dyDescent="0.2">
      <c r="A205" t="s">
        <v>453</v>
      </c>
      <c r="B205" t="s">
        <v>455</v>
      </c>
      <c r="C205" t="s">
        <v>445</v>
      </c>
      <c r="D205" t="s">
        <v>460</v>
      </c>
      <c r="E205" t="s">
        <v>453</v>
      </c>
      <c r="F205" t="s">
        <v>453</v>
      </c>
      <c r="G205">
        <v>19.91</v>
      </c>
      <c r="H205">
        <v>15.73</v>
      </c>
      <c r="I205">
        <v>19.86</v>
      </c>
      <c r="J205">
        <v>9.8699999999999992</v>
      </c>
      <c r="K205">
        <v>19.649999999999999</v>
      </c>
      <c r="L205">
        <v>15.89</v>
      </c>
      <c r="M205">
        <v>16.809999999999999</v>
      </c>
      <c r="N205">
        <v>14.33</v>
      </c>
      <c r="O205">
        <v>16.399999999999999</v>
      </c>
      <c r="P205">
        <v>11.62</v>
      </c>
      <c r="Q205">
        <v>7.94</v>
      </c>
      <c r="R205">
        <v>11.02</v>
      </c>
      <c r="S205">
        <v>13.24</v>
      </c>
      <c r="T205">
        <v>12.59</v>
      </c>
      <c r="U205">
        <v>14.01</v>
      </c>
      <c r="V205">
        <v>11.83</v>
      </c>
      <c r="W205">
        <v>11.08</v>
      </c>
      <c r="X205">
        <v>9.1199999999999992</v>
      </c>
      <c r="Y205">
        <v>12.36</v>
      </c>
      <c r="Z205">
        <v>13.82</v>
      </c>
      <c r="AA205"/>
      <c r="AB205"/>
      <c r="AC205"/>
      <c r="AD205"/>
      <c r="AE205"/>
      <c r="AF205"/>
      <c r="AG205"/>
      <c r="AH205"/>
      <c r="AI205"/>
      <c r="AJ205"/>
    </row>
    <row r="206" spans="1:36" s="380" customFormat="1" x14ac:dyDescent="0.2">
      <c r="A206" t="s">
        <v>453</v>
      </c>
      <c r="B206" t="s">
        <v>455</v>
      </c>
      <c r="C206" t="s">
        <v>445</v>
      </c>
      <c r="D206" t="s">
        <v>460</v>
      </c>
      <c r="E206" t="s">
        <v>453</v>
      </c>
      <c r="F206" t="s">
        <v>453</v>
      </c>
      <c r="G206">
        <v>13.32</v>
      </c>
      <c r="H206">
        <v>13.85</v>
      </c>
      <c r="I206">
        <v>11.89</v>
      </c>
      <c r="J206">
        <v>10.69</v>
      </c>
      <c r="K206">
        <v>8.4499999999999993</v>
      </c>
      <c r="L206">
        <v>11.3</v>
      </c>
      <c r="M206">
        <v>11.01</v>
      </c>
      <c r="N206">
        <v>5.05</v>
      </c>
      <c r="O206">
        <v>6.12</v>
      </c>
      <c r="P206">
        <v>7.64</v>
      </c>
      <c r="Q206">
        <v>11.75</v>
      </c>
      <c r="R206">
        <v>10.17</v>
      </c>
      <c r="S206">
        <v>8.68</v>
      </c>
      <c r="T206">
        <v>8</v>
      </c>
      <c r="U206">
        <v>9.4499999999999993</v>
      </c>
      <c r="V206">
        <v>9.75</v>
      </c>
      <c r="W206">
        <v>8.49</v>
      </c>
      <c r="X206">
        <v>8.83</v>
      </c>
      <c r="Y206">
        <v>8.61</v>
      </c>
      <c r="Z206">
        <v>8.93</v>
      </c>
      <c r="AA206"/>
      <c r="AB206"/>
      <c r="AC206"/>
      <c r="AD206"/>
      <c r="AE206"/>
      <c r="AF206"/>
      <c r="AG206"/>
      <c r="AH206"/>
      <c r="AI206"/>
      <c r="AJ206"/>
    </row>
    <row r="207" spans="1:36" s="380" customFormat="1" x14ac:dyDescent="0.2">
      <c r="A207" t="s">
        <v>453</v>
      </c>
      <c r="B207" t="s">
        <v>455</v>
      </c>
      <c r="C207" t="s">
        <v>445</v>
      </c>
      <c r="D207" t="s">
        <v>460</v>
      </c>
      <c r="E207" t="s">
        <v>453</v>
      </c>
      <c r="F207" t="s">
        <v>453</v>
      </c>
      <c r="G207">
        <v>6.53</v>
      </c>
      <c r="H207">
        <v>5.08</v>
      </c>
      <c r="I207">
        <v>7.68</v>
      </c>
      <c r="J207">
        <v>5.56</v>
      </c>
      <c r="K207">
        <v>5.55</v>
      </c>
      <c r="L207">
        <v>9.15</v>
      </c>
      <c r="M207">
        <v>9.14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380" customFormat="1" x14ac:dyDescent="0.2">
      <c r="A208" t="s">
        <v>453</v>
      </c>
      <c r="B208" t="s">
        <v>456</v>
      </c>
      <c r="C208" t="s">
        <v>445</v>
      </c>
      <c r="D208" t="s">
        <v>459</v>
      </c>
      <c r="E208" t="s">
        <v>453</v>
      </c>
      <c r="F208" t="s">
        <v>453</v>
      </c>
      <c r="G208">
        <v>16.57</v>
      </c>
      <c r="H208">
        <v>17.22</v>
      </c>
      <c r="I208">
        <v>16.54</v>
      </c>
      <c r="J208">
        <v>15.33</v>
      </c>
      <c r="K208">
        <v>2.5499999999999998</v>
      </c>
      <c r="L208">
        <v>14.46</v>
      </c>
      <c r="M208">
        <v>13.49</v>
      </c>
      <c r="N208">
        <v>21.56</v>
      </c>
      <c r="O208">
        <v>13.18</v>
      </c>
      <c r="P208">
        <v>18.850000000000001</v>
      </c>
      <c r="Q208">
        <v>11.26</v>
      </c>
      <c r="R208">
        <v>13.27</v>
      </c>
      <c r="S208">
        <v>10.4</v>
      </c>
      <c r="T208">
        <v>8.9600000000000009</v>
      </c>
      <c r="U208">
        <v>9.94</v>
      </c>
      <c r="V208">
        <v>11.84</v>
      </c>
      <c r="W208">
        <v>14.51</v>
      </c>
      <c r="X208">
        <v>11.34</v>
      </c>
      <c r="Y208">
        <v>13.54</v>
      </c>
      <c r="Z208">
        <v>10.85</v>
      </c>
      <c r="AA208"/>
      <c r="AB208"/>
      <c r="AC208"/>
      <c r="AD208"/>
      <c r="AE208"/>
      <c r="AF208"/>
      <c r="AG208"/>
      <c r="AH208"/>
      <c r="AI208"/>
      <c r="AJ208"/>
    </row>
    <row r="209" spans="1:36" s="380" customFormat="1" x14ac:dyDescent="0.2">
      <c r="A209" t="s">
        <v>453</v>
      </c>
      <c r="B209" t="s">
        <v>456</v>
      </c>
      <c r="C209" t="s">
        <v>445</v>
      </c>
      <c r="D209" t="s">
        <v>459</v>
      </c>
      <c r="E209" t="s">
        <v>453</v>
      </c>
      <c r="F209" t="s">
        <v>453</v>
      </c>
      <c r="G209">
        <v>9.16</v>
      </c>
      <c r="H209">
        <v>15.72</v>
      </c>
      <c r="I209">
        <v>10.27</v>
      </c>
      <c r="J209">
        <v>7.6</v>
      </c>
      <c r="K209">
        <v>7.36</v>
      </c>
      <c r="L209">
        <v>7.69</v>
      </c>
      <c r="M209">
        <v>6.43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380" customFormat="1" x14ac:dyDescent="0.2">
      <c r="A210"/>
      <c r="B210" t="s">
        <v>437</v>
      </c>
      <c r="C210" t="s">
        <v>445</v>
      </c>
      <c r="D210" t="s">
        <v>446</v>
      </c>
      <c r="E210" s="377" t="s">
        <v>395</v>
      </c>
      <c r="F210" s="378"/>
      <c r="G210" s="377">
        <v>11.96</v>
      </c>
      <c r="H210">
        <v>14.43</v>
      </c>
      <c r="I210">
        <v>15.52</v>
      </c>
      <c r="J210">
        <v>9.19</v>
      </c>
      <c r="K210">
        <v>7.97</v>
      </c>
      <c r="L210">
        <v>12.62</v>
      </c>
      <c r="M210">
        <v>7.1</v>
      </c>
      <c r="N210">
        <v>20.13</v>
      </c>
      <c r="O210">
        <v>12.27</v>
      </c>
      <c r="P210">
        <v>14.58</v>
      </c>
      <c r="Q210">
        <v>11.84</v>
      </c>
      <c r="R210">
        <v>9.14</v>
      </c>
      <c r="S210">
        <v>15.22</v>
      </c>
      <c r="T210">
        <v>5.4</v>
      </c>
      <c r="U210">
        <v>11.14</v>
      </c>
      <c r="V210">
        <v>7.35</v>
      </c>
      <c r="W210">
        <v>15.85</v>
      </c>
      <c r="X210">
        <v>11.62</v>
      </c>
      <c r="Y210">
        <v>9.11</v>
      </c>
      <c r="Z210">
        <v>11.17</v>
      </c>
      <c r="AA210">
        <v>11.12</v>
      </c>
      <c r="AB210">
        <v>11</v>
      </c>
      <c r="AC210">
        <v>11.97</v>
      </c>
      <c r="AD210">
        <v>6.36</v>
      </c>
      <c r="AE210">
        <v>10.44</v>
      </c>
      <c r="AF210"/>
      <c r="AG210"/>
      <c r="AH210"/>
      <c r="AI210"/>
      <c r="AJ210"/>
    </row>
    <row r="211" spans="1:36" s="380" customFormat="1" x14ac:dyDescent="0.2">
      <c r="A211">
        <v>97</v>
      </c>
      <c r="B211" t="s">
        <v>437</v>
      </c>
      <c r="C211" t="s">
        <v>445</v>
      </c>
      <c r="D211" t="s">
        <v>446</v>
      </c>
      <c r="E211" s="377" t="s">
        <v>399</v>
      </c>
      <c r="F211">
        <v>0.6</v>
      </c>
      <c r="G211" s="377">
        <v>10.210000000000001</v>
      </c>
      <c r="H211">
        <v>10.18</v>
      </c>
      <c r="I211">
        <v>9.0500000000000007</v>
      </c>
      <c r="J211">
        <v>10.86</v>
      </c>
      <c r="K211">
        <v>6.44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380" customFormat="1" x14ac:dyDescent="0.2">
      <c r="A212">
        <v>98</v>
      </c>
      <c r="B212" t="s">
        <v>437</v>
      </c>
      <c r="C212" t="s">
        <v>445</v>
      </c>
      <c r="D212" t="s">
        <v>446</v>
      </c>
      <c r="E212" s="377" t="s">
        <v>399</v>
      </c>
      <c r="F212">
        <v>0.5</v>
      </c>
      <c r="G212" s="377">
        <v>8.3699999999999992</v>
      </c>
      <c r="H212">
        <v>7.51</v>
      </c>
      <c r="I212">
        <v>10.02</v>
      </c>
      <c r="J212">
        <v>5.43</v>
      </c>
      <c r="K212">
        <v>11.18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380" customFormat="1" x14ac:dyDescent="0.2">
      <c r="A213">
        <v>99</v>
      </c>
      <c r="B213" t="s">
        <v>437</v>
      </c>
      <c r="C213" t="s">
        <v>445</v>
      </c>
      <c r="D213" t="s">
        <v>446</v>
      </c>
      <c r="E213" s="377" t="s">
        <v>399</v>
      </c>
      <c r="F213">
        <v>0.7</v>
      </c>
      <c r="G213" s="377">
        <v>7.76</v>
      </c>
      <c r="H213">
        <v>11.61</v>
      </c>
      <c r="I213">
        <v>9.9600000000000009</v>
      </c>
      <c r="J213">
        <v>10.16</v>
      </c>
      <c r="K213">
        <v>6.01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380" customFormat="1" x14ac:dyDescent="0.2">
      <c r="A214">
        <v>100</v>
      </c>
      <c r="B214" t="s">
        <v>437</v>
      </c>
      <c r="C214" t="s">
        <v>445</v>
      </c>
      <c r="D214" t="s">
        <v>446</v>
      </c>
      <c r="E214" s="377" t="s">
        <v>399</v>
      </c>
      <c r="F214">
        <v>0.6</v>
      </c>
      <c r="G214" s="377">
        <v>7.49</v>
      </c>
      <c r="H214">
        <v>7.27</v>
      </c>
      <c r="I214">
        <v>10.97</v>
      </c>
      <c r="J214">
        <v>9.6300000000000008</v>
      </c>
      <c r="K214">
        <v>10.3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380" customFormat="1" x14ac:dyDescent="0.2">
      <c r="A215">
        <v>101</v>
      </c>
      <c r="B215" t="s">
        <v>437</v>
      </c>
      <c r="C215" t="s">
        <v>445</v>
      </c>
      <c r="D215" t="s">
        <v>446</v>
      </c>
      <c r="E215" s="377" t="s">
        <v>399</v>
      </c>
      <c r="F215">
        <v>0.5</v>
      </c>
      <c r="G215" s="377">
        <v>8.7100000000000009</v>
      </c>
      <c r="H215">
        <v>9.08</v>
      </c>
      <c r="I215">
        <v>8.7799999999999994</v>
      </c>
      <c r="J215">
        <v>10.97</v>
      </c>
      <c r="K215">
        <v>9.57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380" customFormat="1" x14ac:dyDescent="0.2">
      <c r="A216">
        <v>102</v>
      </c>
      <c r="B216" t="s">
        <v>437</v>
      </c>
      <c r="C216" t="s">
        <v>445</v>
      </c>
      <c r="D216" t="s">
        <v>446</v>
      </c>
      <c r="E216" s="377" t="s">
        <v>399</v>
      </c>
      <c r="F216">
        <v>0.4</v>
      </c>
      <c r="G216" s="377">
        <v>7.56</v>
      </c>
      <c r="H216">
        <v>7.52</v>
      </c>
      <c r="I216">
        <v>10.09</v>
      </c>
      <c r="J216">
        <v>5.93</v>
      </c>
      <c r="K216">
        <v>8.6999999999999993</v>
      </c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380" customFormat="1" x14ac:dyDescent="0.2">
      <c r="A217">
        <v>103</v>
      </c>
      <c r="B217" t="s">
        <v>437</v>
      </c>
      <c r="C217" t="s">
        <v>445</v>
      </c>
      <c r="D217" t="s">
        <v>446</v>
      </c>
      <c r="E217" s="377" t="s">
        <v>399</v>
      </c>
      <c r="F217">
        <v>0.4</v>
      </c>
      <c r="G217" s="377">
        <v>8.8800000000000008</v>
      </c>
      <c r="H217">
        <v>9.0500000000000007</v>
      </c>
      <c r="I217">
        <v>10.56</v>
      </c>
      <c r="J217">
        <v>7.12</v>
      </c>
      <c r="K217">
        <v>6.28</v>
      </c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380" customFormat="1" x14ac:dyDescent="0.2">
      <c r="A218">
        <v>104</v>
      </c>
      <c r="B218" t="s">
        <v>437</v>
      </c>
      <c r="C218" t="s">
        <v>445</v>
      </c>
      <c r="D218" t="s">
        <v>446</v>
      </c>
      <c r="E218" s="377" t="s">
        <v>399</v>
      </c>
      <c r="F218">
        <v>0.7</v>
      </c>
      <c r="G218" s="377">
        <v>11.27</v>
      </c>
      <c r="H218">
        <v>11.24</v>
      </c>
      <c r="I218">
        <v>7.94</v>
      </c>
      <c r="J218">
        <v>9.2899999999999991</v>
      </c>
      <c r="K218">
        <v>9.14</v>
      </c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380" customFormat="1" x14ac:dyDescent="0.2">
      <c r="A219">
        <v>105</v>
      </c>
      <c r="B219" t="s">
        <v>437</v>
      </c>
      <c r="C219" t="s">
        <v>445</v>
      </c>
      <c r="D219" t="s">
        <v>446</v>
      </c>
      <c r="E219" s="377" t="s">
        <v>399</v>
      </c>
      <c r="F219">
        <v>0.5</v>
      </c>
      <c r="G219" s="377">
        <v>11.21</v>
      </c>
      <c r="H219">
        <v>10.14</v>
      </c>
      <c r="I219">
        <v>4.05</v>
      </c>
      <c r="J219">
        <v>10.26</v>
      </c>
      <c r="K219">
        <v>7.99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380" customFormat="1" x14ac:dyDescent="0.2">
      <c r="A220">
        <v>106</v>
      </c>
      <c r="B220" t="s">
        <v>437</v>
      </c>
      <c r="C220" t="s">
        <v>445</v>
      </c>
      <c r="D220" t="s">
        <v>446</v>
      </c>
      <c r="E220" s="377" t="s">
        <v>399</v>
      </c>
      <c r="F220">
        <v>0.7</v>
      </c>
      <c r="G220" s="377">
        <v>8.58</v>
      </c>
      <c r="H220">
        <v>8.06</v>
      </c>
      <c r="I220">
        <v>8.48</v>
      </c>
      <c r="J220">
        <v>9.66</v>
      </c>
      <c r="K220">
        <v>10.46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380" customFormat="1" x14ac:dyDescent="0.2">
      <c r="A221">
        <v>107</v>
      </c>
      <c r="B221" t="s">
        <v>437</v>
      </c>
      <c r="C221" t="s">
        <v>445</v>
      </c>
      <c r="D221" t="s">
        <v>446</v>
      </c>
      <c r="E221" s="377" t="s">
        <v>399</v>
      </c>
      <c r="F221">
        <v>0.3</v>
      </c>
      <c r="G221" s="377">
        <v>5.72</v>
      </c>
      <c r="H221">
        <v>6.83</v>
      </c>
      <c r="I221">
        <v>8.64</v>
      </c>
      <c r="J221">
        <v>10.29</v>
      </c>
      <c r="K221">
        <v>4.72</v>
      </c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380" customFormat="1" x14ac:dyDescent="0.2">
      <c r="A222">
        <v>108</v>
      </c>
      <c r="B222" t="s">
        <v>437</v>
      </c>
      <c r="C222" t="s">
        <v>445</v>
      </c>
      <c r="D222" t="s">
        <v>446</v>
      </c>
      <c r="E222" s="377" t="s">
        <v>399</v>
      </c>
      <c r="F222">
        <v>0.4</v>
      </c>
      <c r="G222" s="377">
        <v>7.29</v>
      </c>
      <c r="H222">
        <v>5.26</v>
      </c>
      <c r="I222">
        <v>7.03</v>
      </c>
      <c r="J222">
        <v>11.17</v>
      </c>
      <c r="K222">
        <v>9.43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380" customFormat="1" x14ac:dyDescent="0.2">
      <c r="A223">
        <v>109</v>
      </c>
      <c r="B223" t="s">
        <v>437</v>
      </c>
      <c r="C223" t="s">
        <v>445</v>
      </c>
      <c r="D223" t="s">
        <v>446</v>
      </c>
      <c r="E223" t="s">
        <v>398</v>
      </c>
      <c r="F223">
        <v>1.4</v>
      </c>
      <c r="G223">
        <v>15.63</v>
      </c>
      <c r="H223">
        <v>11.81</v>
      </c>
      <c r="I223">
        <v>14.34</v>
      </c>
      <c r="J223">
        <v>11.5</v>
      </c>
      <c r="K223">
        <v>11.93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380" customFormat="1" x14ac:dyDescent="0.2">
      <c r="A224">
        <v>110</v>
      </c>
      <c r="B224" t="s">
        <v>437</v>
      </c>
      <c r="C224" t="s">
        <v>445</v>
      </c>
      <c r="D224" t="s">
        <v>446</v>
      </c>
      <c r="E224" t="s">
        <v>398</v>
      </c>
      <c r="F224">
        <v>1.9</v>
      </c>
      <c r="G224">
        <v>12.21</v>
      </c>
      <c r="H224">
        <v>12.4</v>
      </c>
      <c r="I224">
        <v>20.190000000000001</v>
      </c>
      <c r="J224">
        <v>12.26</v>
      </c>
      <c r="K224">
        <v>18.89</v>
      </c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380" customFormat="1" x14ac:dyDescent="0.2">
      <c r="A225">
        <v>111</v>
      </c>
      <c r="B225" t="s">
        <v>437</v>
      </c>
      <c r="C225" t="s">
        <v>445</v>
      </c>
      <c r="D225" t="s">
        <v>446</v>
      </c>
      <c r="E225" t="s">
        <v>398</v>
      </c>
      <c r="F225">
        <v>2.1</v>
      </c>
      <c r="G225">
        <v>12.26</v>
      </c>
      <c r="H225">
        <v>15.12</v>
      </c>
      <c r="I225">
        <v>11.74</v>
      </c>
      <c r="J225">
        <v>16.739999999999998</v>
      </c>
      <c r="K225">
        <v>17.45</v>
      </c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380" customFormat="1" x14ac:dyDescent="0.2">
      <c r="A226">
        <v>112</v>
      </c>
      <c r="B226" t="s">
        <v>437</v>
      </c>
      <c r="C226" t="s">
        <v>445</v>
      </c>
      <c r="D226" t="s">
        <v>446</v>
      </c>
      <c r="E226" t="s">
        <v>398</v>
      </c>
      <c r="F226">
        <v>2.2999999999999998</v>
      </c>
      <c r="G226">
        <v>18.43</v>
      </c>
      <c r="H226">
        <v>17.23</v>
      </c>
      <c r="I226">
        <v>11.49</v>
      </c>
      <c r="J226">
        <v>16.66</v>
      </c>
      <c r="K226">
        <v>13.71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380" customFormat="1" x14ac:dyDescent="0.2">
      <c r="A227">
        <v>113</v>
      </c>
      <c r="B227" t="s">
        <v>437</v>
      </c>
      <c r="C227" t="s">
        <v>445</v>
      </c>
      <c r="D227" t="s">
        <v>446</v>
      </c>
      <c r="E227" t="s">
        <v>398</v>
      </c>
      <c r="F227">
        <v>2.2000000000000002</v>
      </c>
      <c r="G227">
        <v>13.51</v>
      </c>
      <c r="H227">
        <v>14.05</v>
      </c>
      <c r="I227">
        <v>13.18</v>
      </c>
      <c r="J227">
        <v>15.83</v>
      </c>
      <c r="K227">
        <v>16.96</v>
      </c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380" customFormat="1" x14ac:dyDescent="0.2">
      <c r="A228">
        <v>114</v>
      </c>
      <c r="B228" t="s">
        <v>437</v>
      </c>
      <c r="C228" t="s">
        <v>445</v>
      </c>
      <c r="D228" t="s">
        <v>446</v>
      </c>
      <c r="E228" t="s">
        <v>398</v>
      </c>
      <c r="F228">
        <v>2.2999999999999998</v>
      </c>
      <c r="G228">
        <v>15.54</v>
      </c>
      <c r="H228">
        <v>14.77</v>
      </c>
      <c r="I228">
        <v>13.76</v>
      </c>
      <c r="J228">
        <v>19.13</v>
      </c>
      <c r="K228">
        <v>15.45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380" customFormat="1" x14ac:dyDescent="0.2">
      <c r="A229">
        <v>115</v>
      </c>
      <c r="B229" t="s">
        <v>437</v>
      </c>
      <c r="C229" t="s">
        <v>445</v>
      </c>
      <c r="D229" t="s">
        <v>446</v>
      </c>
      <c r="E229" t="s">
        <v>398</v>
      </c>
      <c r="F229">
        <v>1.5</v>
      </c>
      <c r="G229">
        <v>14.45</v>
      </c>
      <c r="H229">
        <v>12.15</v>
      </c>
      <c r="I229">
        <v>14.47</v>
      </c>
      <c r="J229">
        <v>12.35</v>
      </c>
      <c r="K229">
        <v>12.31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380" customFormat="1" x14ac:dyDescent="0.2">
      <c r="A230">
        <v>116</v>
      </c>
      <c r="B230" t="s">
        <v>437</v>
      </c>
      <c r="C230" t="s">
        <v>445</v>
      </c>
      <c r="D230" t="s">
        <v>446</v>
      </c>
      <c r="E230" t="s">
        <v>398</v>
      </c>
      <c r="F230">
        <v>2.1</v>
      </c>
      <c r="G230">
        <v>11.53</v>
      </c>
      <c r="H230">
        <v>17.78</v>
      </c>
      <c r="I230">
        <v>13.91</v>
      </c>
      <c r="J230">
        <v>14.1</v>
      </c>
      <c r="K230">
        <v>16.100000000000001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380" customFormat="1" x14ac:dyDescent="0.2">
      <c r="A231">
        <v>117</v>
      </c>
      <c r="B231" t="s">
        <v>437</v>
      </c>
      <c r="C231" t="s">
        <v>445</v>
      </c>
      <c r="D231" t="s">
        <v>446</v>
      </c>
      <c r="E231" t="s">
        <v>398</v>
      </c>
      <c r="F231">
        <v>1.5</v>
      </c>
      <c r="G231">
        <v>11.51</v>
      </c>
      <c r="H231">
        <v>11.76</v>
      </c>
      <c r="I231">
        <v>12.09</v>
      </c>
      <c r="J231">
        <v>13.06</v>
      </c>
      <c r="K231">
        <v>14.35</v>
      </c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380" customFormat="1" x14ac:dyDescent="0.2">
      <c r="A232">
        <v>118</v>
      </c>
      <c r="B232" t="s">
        <v>437</v>
      </c>
      <c r="C232" t="s">
        <v>445</v>
      </c>
      <c r="D232" t="s">
        <v>446</v>
      </c>
      <c r="E232" t="s">
        <v>398</v>
      </c>
      <c r="F232">
        <v>1.9</v>
      </c>
      <c r="G232">
        <v>12.87</v>
      </c>
      <c r="H232">
        <v>13.96</v>
      </c>
      <c r="I232">
        <v>15.69</v>
      </c>
      <c r="J232">
        <v>12.77</v>
      </c>
      <c r="K232">
        <v>14.93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380" customFormat="1" x14ac:dyDescent="0.2">
      <c r="A233">
        <v>119</v>
      </c>
      <c r="B233" t="s">
        <v>437</v>
      </c>
      <c r="C233" t="s">
        <v>445</v>
      </c>
      <c r="D233" t="s">
        <v>446</v>
      </c>
      <c r="E233" t="s">
        <v>438</v>
      </c>
      <c r="F233">
        <v>1.5</v>
      </c>
      <c r="G233">
        <v>18.32</v>
      </c>
      <c r="H233">
        <v>12.5</v>
      </c>
      <c r="I233">
        <v>11.83</v>
      </c>
      <c r="J233">
        <v>10.7</v>
      </c>
      <c r="K233">
        <v>10.06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378" customFormat="1" x14ac:dyDescent="0.2">
      <c r="A234">
        <v>120</v>
      </c>
      <c r="B234" t="s">
        <v>437</v>
      </c>
      <c r="C234" t="s">
        <v>445</v>
      </c>
      <c r="D234" t="s">
        <v>446</v>
      </c>
      <c r="E234" t="s">
        <v>399</v>
      </c>
      <c r="F234">
        <v>0.3</v>
      </c>
      <c r="G234">
        <v>9.6199999999999992</v>
      </c>
      <c r="H234">
        <v>8.5500000000000007</v>
      </c>
      <c r="I234">
        <v>7.57</v>
      </c>
      <c r="J234">
        <v>8.93</v>
      </c>
      <c r="K234">
        <v>4.78</v>
      </c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x14ac:dyDescent="0.2">
      <c r="A235" t="s">
        <v>395</v>
      </c>
      <c r="B235" t="s">
        <v>439</v>
      </c>
      <c r="C235" t="s">
        <v>445</v>
      </c>
      <c r="D235" t="s">
        <v>447</v>
      </c>
      <c r="E235" t="s">
        <v>395</v>
      </c>
      <c r="F235" s="379"/>
      <c r="G235">
        <v>18.27</v>
      </c>
      <c r="H235">
        <v>13.9</v>
      </c>
      <c r="I235">
        <v>14.73</v>
      </c>
      <c r="J235">
        <v>7.85</v>
      </c>
      <c r="K235">
        <v>10.220000000000001</v>
      </c>
      <c r="L235">
        <v>17.39</v>
      </c>
      <c r="M235">
        <v>14.99</v>
      </c>
      <c r="N235">
        <v>11.32</v>
      </c>
      <c r="O235">
        <v>9.02</v>
      </c>
      <c r="P235">
        <v>8.51</v>
      </c>
      <c r="Q235">
        <v>5.48</v>
      </c>
      <c r="R235">
        <v>5.31</v>
      </c>
      <c r="S235">
        <v>17.350000000000001</v>
      </c>
      <c r="T235">
        <v>7.15</v>
      </c>
      <c r="U235">
        <v>10.8</v>
      </c>
      <c r="V235">
        <v>11.9</v>
      </c>
      <c r="W235">
        <v>10.76</v>
      </c>
      <c r="X235">
        <v>7.55</v>
      </c>
      <c r="Y235">
        <v>8.8800000000000008</v>
      </c>
      <c r="Z235">
        <v>7.26</v>
      </c>
      <c r="AA235">
        <v>13.59</v>
      </c>
      <c r="AB235">
        <v>4.93</v>
      </c>
      <c r="AC235">
        <v>13.01</v>
      </c>
      <c r="AD235">
        <v>9.4</v>
      </c>
      <c r="AE235">
        <v>11.49</v>
      </c>
    </row>
    <row r="236" spans="1:36" x14ac:dyDescent="0.2">
      <c r="A236">
        <v>121</v>
      </c>
      <c r="B236" t="s">
        <v>439</v>
      </c>
      <c r="C236" t="s">
        <v>445</v>
      </c>
      <c r="D236" t="s">
        <v>447</v>
      </c>
      <c r="E236" t="s">
        <v>399</v>
      </c>
      <c r="F236">
        <v>0.5</v>
      </c>
      <c r="G236">
        <v>9.4600000000000009</v>
      </c>
      <c r="H236">
        <v>7.75</v>
      </c>
      <c r="I236">
        <v>9.94</v>
      </c>
      <c r="J236">
        <v>9.9</v>
      </c>
      <c r="K236">
        <v>7.69</v>
      </c>
    </row>
    <row r="237" spans="1:36" x14ac:dyDescent="0.2">
      <c r="A237">
        <v>122</v>
      </c>
      <c r="B237" t="s">
        <v>439</v>
      </c>
      <c r="C237" t="s">
        <v>445</v>
      </c>
      <c r="D237" t="s">
        <v>447</v>
      </c>
      <c r="E237" t="s">
        <v>399</v>
      </c>
      <c r="F237">
        <v>0.5</v>
      </c>
      <c r="G237">
        <v>7.65</v>
      </c>
      <c r="H237">
        <v>10.71</v>
      </c>
      <c r="I237">
        <v>10.49</v>
      </c>
      <c r="J237">
        <v>4.71</v>
      </c>
      <c r="K237">
        <v>8.76</v>
      </c>
    </row>
    <row r="238" spans="1:36" x14ac:dyDescent="0.2">
      <c r="A238">
        <v>123</v>
      </c>
      <c r="B238" t="s">
        <v>439</v>
      </c>
      <c r="C238" t="s">
        <v>445</v>
      </c>
      <c r="D238" t="s">
        <v>447</v>
      </c>
      <c r="E238" t="s">
        <v>399</v>
      </c>
      <c r="F238">
        <v>0.5</v>
      </c>
      <c r="G238">
        <v>8.82</v>
      </c>
      <c r="H238">
        <v>10.119999999999999</v>
      </c>
      <c r="I238">
        <v>7.66</v>
      </c>
      <c r="J238">
        <v>7.34</v>
      </c>
      <c r="K238">
        <v>10.69</v>
      </c>
    </row>
    <row r="239" spans="1:36" x14ac:dyDescent="0.2">
      <c r="A239">
        <v>124</v>
      </c>
      <c r="B239" t="s">
        <v>439</v>
      </c>
      <c r="C239" t="s">
        <v>445</v>
      </c>
      <c r="D239" t="s">
        <v>447</v>
      </c>
      <c r="E239" t="s">
        <v>399</v>
      </c>
      <c r="F239">
        <v>0.4</v>
      </c>
      <c r="G239">
        <v>10.43</v>
      </c>
      <c r="H239">
        <v>7.92</v>
      </c>
      <c r="I239">
        <v>7.86</v>
      </c>
      <c r="J239">
        <v>5.31</v>
      </c>
      <c r="K239">
        <v>8.9700000000000006</v>
      </c>
    </row>
    <row r="240" spans="1:36" x14ac:dyDescent="0.2">
      <c r="A240">
        <v>125</v>
      </c>
      <c r="B240" t="s">
        <v>439</v>
      </c>
      <c r="C240" t="s">
        <v>445</v>
      </c>
      <c r="D240" t="s">
        <v>447</v>
      </c>
      <c r="E240" t="s">
        <v>399</v>
      </c>
      <c r="F240">
        <v>0.3</v>
      </c>
      <c r="G240">
        <v>5.71</v>
      </c>
      <c r="H240">
        <v>5.9</v>
      </c>
      <c r="I240">
        <v>8.2200000000000006</v>
      </c>
      <c r="J240">
        <v>7.25</v>
      </c>
      <c r="K240">
        <v>5.35</v>
      </c>
    </row>
    <row r="241" spans="1:13" x14ac:dyDescent="0.2">
      <c r="A241">
        <v>126</v>
      </c>
      <c r="B241" t="s">
        <v>439</v>
      </c>
      <c r="C241" t="s">
        <v>445</v>
      </c>
      <c r="D241" t="s">
        <v>447</v>
      </c>
      <c r="E241" t="s">
        <v>399</v>
      </c>
      <c r="F241">
        <v>0.3</v>
      </c>
      <c r="G241">
        <v>10.3</v>
      </c>
      <c r="H241">
        <v>9.66</v>
      </c>
      <c r="I241">
        <v>6.35</v>
      </c>
      <c r="J241">
        <v>7.35</v>
      </c>
      <c r="K241">
        <v>8.9</v>
      </c>
    </row>
    <row r="242" spans="1:13" x14ac:dyDescent="0.2">
      <c r="A242">
        <v>127</v>
      </c>
      <c r="B242" t="s">
        <v>439</v>
      </c>
      <c r="C242" t="s">
        <v>445</v>
      </c>
      <c r="D242" t="s">
        <v>447</v>
      </c>
      <c r="E242" t="s">
        <v>399</v>
      </c>
      <c r="F242">
        <v>0.5</v>
      </c>
      <c r="G242">
        <v>9.4499999999999993</v>
      </c>
      <c r="H242">
        <v>6.3</v>
      </c>
      <c r="I242">
        <v>5.87</v>
      </c>
      <c r="J242">
        <v>10.75</v>
      </c>
      <c r="K242">
        <v>7.97</v>
      </c>
    </row>
    <row r="243" spans="1:13" x14ac:dyDescent="0.2">
      <c r="A243">
        <v>128</v>
      </c>
      <c r="B243" t="s">
        <v>439</v>
      </c>
      <c r="C243" t="s">
        <v>445</v>
      </c>
      <c r="D243" t="s">
        <v>447</v>
      </c>
      <c r="E243" t="s">
        <v>399</v>
      </c>
      <c r="F243">
        <v>0.6</v>
      </c>
      <c r="G243">
        <v>8.42</v>
      </c>
      <c r="H243">
        <v>10.7</v>
      </c>
      <c r="I243">
        <v>8.65</v>
      </c>
      <c r="J243">
        <v>10.65</v>
      </c>
      <c r="K243">
        <v>10.199999999999999</v>
      </c>
    </row>
    <row r="244" spans="1:13" x14ac:dyDescent="0.2">
      <c r="A244">
        <v>129</v>
      </c>
      <c r="B244" t="s">
        <v>439</v>
      </c>
      <c r="C244" t="s">
        <v>445</v>
      </c>
      <c r="D244" t="s">
        <v>447</v>
      </c>
      <c r="E244" t="s">
        <v>399</v>
      </c>
      <c r="F244">
        <v>0.3</v>
      </c>
      <c r="G244">
        <v>8.3699999999999992</v>
      </c>
      <c r="H244">
        <v>6.69</v>
      </c>
      <c r="I244">
        <v>6.84</v>
      </c>
      <c r="J244">
        <v>9.77</v>
      </c>
      <c r="K244">
        <v>7.05</v>
      </c>
    </row>
    <row r="245" spans="1:13" x14ac:dyDescent="0.2">
      <c r="A245">
        <v>130</v>
      </c>
      <c r="B245" t="s">
        <v>439</v>
      </c>
      <c r="C245" t="s">
        <v>445</v>
      </c>
      <c r="D245" t="s">
        <v>447</v>
      </c>
      <c r="E245" t="s">
        <v>399</v>
      </c>
      <c r="F245">
        <v>0.3</v>
      </c>
      <c r="G245">
        <v>9.0399999999999991</v>
      </c>
      <c r="H245">
        <v>8.65</v>
      </c>
      <c r="I245">
        <v>7.83</v>
      </c>
      <c r="J245">
        <v>6.31</v>
      </c>
      <c r="K245">
        <v>9.5299999999999994</v>
      </c>
    </row>
    <row r="246" spans="1:13" x14ac:dyDescent="0.2">
      <c r="A246">
        <v>131</v>
      </c>
      <c r="B246" t="s">
        <v>439</v>
      </c>
      <c r="C246" t="s">
        <v>445</v>
      </c>
      <c r="D246" t="s">
        <v>447</v>
      </c>
      <c r="E246" t="s">
        <v>399</v>
      </c>
      <c r="F246">
        <v>0.4</v>
      </c>
      <c r="G246">
        <v>9.94</v>
      </c>
      <c r="H246">
        <v>8.16</v>
      </c>
      <c r="I246">
        <v>5.87</v>
      </c>
      <c r="J246">
        <v>7.51</v>
      </c>
      <c r="K246">
        <v>6.1</v>
      </c>
    </row>
    <row r="247" spans="1:13" x14ac:dyDescent="0.2">
      <c r="A247">
        <v>132</v>
      </c>
      <c r="B247" t="s">
        <v>439</v>
      </c>
      <c r="C247" t="s">
        <v>445</v>
      </c>
      <c r="D247" t="s">
        <v>447</v>
      </c>
      <c r="E247" t="s">
        <v>399</v>
      </c>
      <c r="F247">
        <v>0.4</v>
      </c>
      <c r="G247">
        <v>9.36</v>
      </c>
      <c r="H247">
        <v>9.7100000000000009</v>
      </c>
      <c r="I247">
        <v>7.94</v>
      </c>
      <c r="J247">
        <v>7.22</v>
      </c>
      <c r="K247">
        <v>6.7</v>
      </c>
    </row>
    <row r="248" spans="1:13" x14ac:dyDescent="0.2">
      <c r="A248">
        <v>133</v>
      </c>
      <c r="B248" t="s">
        <v>439</v>
      </c>
      <c r="C248" t="s">
        <v>445</v>
      </c>
      <c r="D248" t="s">
        <v>447</v>
      </c>
      <c r="E248" t="s">
        <v>399</v>
      </c>
      <c r="F248">
        <v>0.3</v>
      </c>
      <c r="G248">
        <v>9.76</v>
      </c>
      <c r="H248">
        <v>7.98</v>
      </c>
      <c r="I248">
        <v>5.24</v>
      </c>
      <c r="J248">
        <v>6.61</v>
      </c>
      <c r="K248">
        <v>9.09</v>
      </c>
    </row>
    <row r="249" spans="1:13" x14ac:dyDescent="0.2">
      <c r="A249">
        <v>134</v>
      </c>
      <c r="B249" t="s">
        <v>439</v>
      </c>
      <c r="C249" t="s">
        <v>445</v>
      </c>
      <c r="D249" t="s">
        <v>447</v>
      </c>
      <c r="E249" t="s">
        <v>399</v>
      </c>
      <c r="F249">
        <v>0.4</v>
      </c>
      <c r="G249">
        <v>5.66</v>
      </c>
      <c r="H249">
        <v>9.56</v>
      </c>
      <c r="I249">
        <v>7.63</v>
      </c>
      <c r="J249">
        <v>9.01</v>
      </c>
      <c r="K249">
        <v>7.22</v>
      </c>
    </row>
    <row r="250" spans="1:13" x14ac:dyDescent="0.2">
      <c r="A250">
        <v>135</v>
      </c>
      <c r="B250" t="s">
        <v>439</v>
      </c>
      <c r="C250" t="s">
        <v>445</v>
      </c>
      <c r="D250" t="s">
        <v>447</v>
      </c>
      <c r="E250" t="s">
        <v>399</v>
      </c>
      <c r="F250">
        <v>0.4</v>
      </c>
      <c r="G250">
        <v>5.73</v>
      </c>
      <c r="H250">
        <v>9.98</v>
      </c>
      <c r="I250">
        <v>7.77</v>
      </c>
      <c r="J250">
        <v>6.03</v>
      </c>
      <c r="K250">
        <v>8.6999999999999993</v>
      </c>
    </row>
    <row r="251" spans="1:13" x14ac:dyDescent="0.2">
      <c r="A251">
        <v>136</v>
      </c>
      <c r="B251" t="s">
        <v>439</v>
      </c>
      <c r="C251" t="s">
        <v>445</v>
      </c>
      <c r="D251" t="s">
        <v>447</v>
      </c>
      <c r="E251" t="s">
        <v>399</v>
      </c>
      <c r="F251">
        <v>0.5</v>
      </c>
      <c r="G251">
        <v>8.67</v>
      </c>
      <c r="H251">
        <v>6.9</v>
      </c>
      <c r="I251">
        <v>10.41</v>
      </c>
      <c r="J251">
        <v>6.86</v>
      </c>
      <c r="K251">
        <v>8.66</v>
      </c>
    </row>
    <row r="252" spans="1:13" x14ac:dyDescent="0.2">
      <c r="A252">
        <v>137</v>
      </c>
      <c r="B252" t="s">
        <v>439</v>
      </c>
      <c r="C252" t="s">
        <v>445</v>
      </c>
      <c r="D252" t="s">
        <v>447</v>
      </c>
      <c r="E252" t="s">
        <v>399</v>
      </c>
      <c r="F252">
        <v>0.4</v>
      </c>
      <c r="G252">
        <v>8.51</v>
      </c>
      <c r="H252">
        <v>9.85</v>
      </c>
      <c r="I252">
        <v>10.43</v>
      </c>
      <c r="J252">
        <v>7.99</v>
      </c>
      <c r="K252">
        <v>6</v>
      </c>
    </row>
    <row r="253" spans="1:13" x14ac:dyDescent="0.2">
      <c r="A253">
        <v>138</v>
      </c>
      <c r="B253" t="s">
        <v>439</v>
      </c>
      <c r="C253" t="s">
        <v>445</v>
      </c>
      <c r="D253" t="s">
        <v>447</v>
      </c>
      <c r="E253" t="s">
        <v>399</v>
      </c>
      <c r="F253">
        <v>0.5</v>
      </c>
      <c r="G253">
        <v>9.0500000000000007</v>
      </c>
      <c r="H253">
        <v>8.89</v>
      </c>
      <c r="I253">
        <v>9.82</v>
      </c>
      <c r="J253">
        <v>9.27</v>
      </c>
      <c r="K253">
        <v>8.15</v>
      </c>
    </row>
    <row r="254" spans="1:13" x14ac:dyDescent="0.2">
      <c r="A254">
        <v>139</v>
      </c>
      <c r="B254" t="s">
        <v>439</v>
      </c>
      <c r="C254" t="s">
        <v>445</v>
      </c>
      <c r="D254" t="s">
        <v>447</v>
      </c>
      <c r="E254" t="s">
        <v>399</v>
      </c>
      <c r="F254">
        <v>0.4</v>
      </c>
      <c r="G254">
        <v>6.5</v>
      </c>
      <c r="H254">
        <v>10.35</v>
      </c>
      <c r="I254">
        <v>5.85</v>
      </c>
      <c r="J254">
        <v>9.83</v>
      </c>
      <c r="K254">
        <v>7.65</v>
      </c>
    </row>
    <row r="255" spans="1:13" x14ac:dyDescent="0.2">
      <c r="A255">
        <v>140</v>
      </c>
      <c r="B255" t="s">
        <v>439</v>
      </c>
      <c r="C255" t="s">
        <v>445</v>
      </c>
      <c r="D255" t="s">
        <v>447</v>
      </c>
      <c r="E255" t="s">
        <v>398</v>
      </c>
      <c r="F255">
        <v>2</v>
      </c>
      <c r="G255">
        <v>12.87</v>
      </c>
      <c r="H255">
        <v>18.55</v>
      </c>
      <c r="I255">
        <v>13.97</v>
      </c>
      <c r="J255">
        <v>14.06</v>
      </c>
      <c r="K255">
        <v>13.71</v>
      </c>
    </row>
    <row r="256" spans="1:13" x14ac:dyDescent="0.2">
      <c r="A256">
        <v>141</v>
      </c>
      <c r="B256" t="s">
        <v>439</v>
      </c>
      <c r="C256" t="s">
        <v>445</v>
      </c>
      <c r="D256" t="s">
        <v>447</v>
      </c>
      <c r="E256" t="s">
        <v>398</v>
      </c>
      <c r="F256">
        <v>2</v>
      </c>
      <c r="G256">
        <v>17.45</v>
      </c>
      <c r="H256">
        <v>11.96</v>
      </c>
      <c r="I256">
        <v>11.22</v>
      </c>
      <c r="J256">
        <v>14.85</v>
      </c>
      <c r="K256">
        <v>11.99</v>
      </c>
      <c r="L256">
        <v>11.98</v>
      </c>
      <c r="M256" t="s">
        <v>440</v>
      </c>
    </row>
    <row r="257" spans="1:11" x14ac:dyDescent="0.2">
      <c r="A257">
        <v>142</v>
      </c>
      <c r="B257" t="s">
        <v>439</v>
      </c>
      <c r="C257" t="s">
        <v>445</v>
      </c>
      <c r="D257" t="s">
        <v>447</v>
      </c>
      <c r="E257" t="s">
        <v>398</v>
      </c>
      <c r="F257">
        <v>1.5</v>
      </c>
      <c r="G257">
        <v>11.26</v>
      </c>
      <c r="H257">
        <v>11.03</v>
      </c>
      <c r="I257">
        <v>17.46</v>
      </c>
      <c r="J257">
        <v>12.1</v>
      </c>
      <c r="K257">
        <v>13.07</v>
      </c>
    </row>
    <row r="258" spans="1:11" x14ac:dyDescent="0.2">
      <c r="A258">
        <v>143</v>
      </c>
      <c r="B258" t="s">
        <v>439</v>
      </c>
      <c r="C258" t="s">
        <v>445</v>
      </c>
      <c r="D258" t="s">
        <v>447</v>
      </c>
      <c r="E258" t="s">
        <v>398</v>
      </c>
      <c r="F258">
        <v>1.5</v>
      </c>
      <c r="G258">
        <v>14.39</v>
      </c>
      <c r="H258">
        <v>14.78</v>
      </c>
      <c r="I258">
        <v>11.38</v>
      </c>
      <c r="J258">
        <v>14.34</v>
      </c>
      <c r="K258">
        <v>13.62</v>
      </c>
    </row>
    <row r="259" spans="1:11" x14ac:dyDescent="0.2">
      <c r="A259">
        <v>144</v>
      </c>
      <c r="B259" t="s">
        <v>439</v>
      </c>
      <c r="C259" t="s">
        <v>445</v>
      </c>
      <c r="D259" t="s">
        <v>447</v>
      </c>
      <c r="E259" t="s">
        <v>398</v>
      </c>
      <c r="F259">
        <v>2</v>
      </c>
      <c r="G259">
        <v>13.2</v>
      </c>
      <c r="H259">
        <v>15.89</v>
      </c>
      <c r="I259">
        <v>15.05</v>
      </c>
      <c r="J259">
        <v>17.329999999999998</v>
      </c>
      <c r="K259">
        <v>15.5</v>
      </c>
    </row>
    <row r="260" spans="1:11" x14ac:dyDescent="0.2">
      <c r="A260">
        <v>145</v>
      </c>
      <c r="B260" t="s">
        <v>439</v>
      </c>
      <c r="C260" t="s">
        <v>445</v>
      </c>
      <c r="D260" t="s">
        <v>447</v>
      </c>
      <c r="E260" t="s">
        <v>398</v>
      </c>
      <c r="F260">
        <v>1.5</v>
      </c>
      <c r="G260">
        <v>11.72</v>
      </c>
      <c r="H260">
        <v>15.47</v>
      </c>
      <c r="I260">
        <v>15.44</v>
      </c>
      <c r="J260">
        <v>12.98</v>
      </c>
      <c r="K260">
        <v>12.43</v>
      </c>
    </row>
    <row r="261" spans="1:11" x14ac:dyDescent="0.2">
      <c r="A261">
        <v>146</v>
      </c>
      <c r="B261" t="s">
        <v>439</v>
      </c>
      <c r="C261" t="s">
        <v>445</v>
      </c>
      <c r="D261" t="s">
        <v>447</v>
      </c>
      <c r="E261" t="s">
        <v>398</v>
      </c>
      <c r="F261">
        <v>1.6</v>
      </c>
      <c r="G261">
        <v>13.68</v>
      </c>
      <c r="H261">
        <v>13.48</v>
      </c>
      <c r="I261">
        <v>15.94</v>
      </c>
      <c r="J261">
        <v>12.3</v>
      </c>
      <c r="K261">
        <v>11.93</v>
      </c>
    </row>
    <row r="262" spans="1:11" x14ac:dyDescent="0.2">
      <c r="A262">
        <v>147</v>
      </c>
      <c r="B262" t="s">
        <v>439</v>
      </c>
      <c r="C262" t="s">
        <v>445</v>
      </c>
      <c r="D262" t="s">
        <v>447</v>
      </c>
      <c r="E262" t="s">
        <v>398</v>
      </c>
      <c r="F262">
        <v>1.6</v>
      </c>
      <c r="G262">
        <v>17.68</v>
      </c>
      <c r="H262">
        <v>13.67</v>
      </c>
      <c r="I262">
        <v>10.99</v>
      </c>
      <c r="J262">
        <v>13.92</v>
      </c>
      <c r="K262">
        <v>11.56</v>
      </c>
    </row>
    <row r="263" spans="1:11" x14ac:dyDescent="0.2">
      <c r="A263">
        <v>148</v>
      </c>
      <c r="B263" t="s">
        <v>439</v>
      </c>
      <c r="C263" t="s">
        <v>445</v>
      </c>
      <c r="D263" t="s">
        <v>447</v>
      </c>
      <c r="E263" t="s">
        <v>398</v>
      </c>
      <c r="F263">
        <v>2</v>
      </c>
      <c r="G263">
        <v>19.350000000000001</v>
      </c>
      <c r="H263">
        <v>12.68</v>
      </c>
      <c r="I263">
        <v>13.67</v>
      </c>
      <c r="J263">
        <v>16.77</v>
      </c>
      <c r="K263">
        <v>13.6</v>
      </c>
    </row>
    <row r="264" spans="1:11" x14ac:dyDescent="0.2">
      <c r="A264">
        <v>149</v>
      </c>
      <c r="B264" t="s">
        <v>439</v>
      </c>
      <c r="C264" t="s">
        <v>445</v>
      </c>
      <c r="D264" t="s">
        <v>447</v>
      </c>
      <c r="E264" t="s">
        <v>398</v>
      </c>
      <c r="F264">
        <v>1.1000000000000001</v>
      </c>
      <c r="G264">
        <v>14</v>
      </c>
      <c r="H264">
        <v>11.22</v>
      </c>
      <c r="I264">
        <v>13.1</v>
      </c>
      <c r="J264">
        <v>12.48</v>
      </c>
      <c r="K264">
        <v>12.22</v>
      </c>
    </row>
    <row r="265" spans="1:11" x14ac:dyDescent="0.2">
      <c r="A265">
        <v>150</v>
      </c>
      <c r="B265" t="s">
        <v>439</v>
      </c>
      <c r="C265" t="s">
        <v>445</v>
      </c>
      <c r="D265" t="s">
        <v>447</v>
      </c>
      <c r="E265" t="s">
        <v>398</v>
      </c>
      <c r="F265">
        <v>1.9</v>
      </c>
      <c r="G265">
        <v>11.83</v>
      </c>
      <c r="H265">
        <v>14.58</v>
      </c>
      <c r="I265">
        <v>17.79</v>
      </c>
      <c r="J265">
        <v>13.98</v>
      </c>
      <c r="K265">
        <v>12.76</v>
      </c>
    </row>
    <row r="266" spans="1:11" x14ac:dyDescent="0.2">
      <c r="A266">
        <v>151</v>
      </c>
      <c r="B266" t="s">
        <v>439</v>
      </c>
      <c r="C266" t="s">
        <v>445</v>
      </c>
      <c r="D266" t="s">
        <v>447</v>
      </c>
      <c r="E266" t="s">
        <v>398</v>
      </c>
      <c r="F266">
        <v>2</v>
      </c>
      <c r="G266">
        <v>18.07</v>
      </c>
      <c r="H266">
        <v>13.06</v>
      </c>
      <c r="I266">
        <v>12.4</v>
      </c>
      <c r="J266">
        <v>15.34</v>
      </c>
      <c r="K266">
        <v>12.62</v>
      </c>
    </row>
    <row r="267" spans="1:11" x14ac:dyDescent="0.2">
      <c r="A267">
        <v>152</v>
      </c>
      <c r="B267" t="s">
        <v>439</v>
      </c>
      <c r="C267" t="s">
        <v>445</v>
      </c>
      <c r="D267" t="s">
        <v>447</v>
      </c>
      <c r="E267" t="s">
        <v>398</v>
      </c>
      <c r="F267">
        <v>1.3</v>
      </c>
      <c r="G267">
        <v>13.62</v>
      </c>
      <c r="H267">
        <v>14.94</v>
      </c>
      <c r="I267">
        <v>10.94</v>
      </c>
      <c r="J267">
        <v>13.69</v>
      </c>
      <c r="K267">
        <v>13.84</v>
      </c>
    </row>
    <row r="268" spans="1:11" x14ac:dyDescent="0.2">
      <c r="A268">
        <v>153</v>
      </c>
      <c r="B268" t="s">
        <v>439</v>
      </c>
      <c r="C268" t="s">
        <v>445</v>
      </c>
      <c r="D268" t="s">
        <v>447</v>
      </c>
      <c r="E268" t="s">
        <v>398</v>
      </c>
      <c r="F268">
        <v>1.3</v>
      </c>
      <c r="G268">
        <v>15.69</v>
      </c>
      <c r="H268">
        <v>11.98</v>
      </c>
      <c r="I268">
        <v>13.14</v>
      </c>
      <c r="J268">
        <v>12.04</v>
      </c>
      <c r="K268">
        <v>12.63</v>
      </c>
    </row>
    <row r="269" spans="1:11" x14ac:dyDescent="0.2">
      <c r="A269">
        <v>154</v>
      </c>
      <c r="B269" t="s">
        <v>439</v>
      </c>
      <c r="C269" t="s">
        <v>445</v>
      </c>
      <c r="D269" t="s">
        <v>447</v>
      </c>
      <c r="E269" t="s">
        <v>398</v>
      </c>
      <c r="F269">
        <v>1.3</v>
      </c>
      <c r="G269">
        <v>15.63</v>
      </c>
      <c r="H269">
        <v>11.03</v>
      </c>
      <c r="I269">
        <v>12.08</v>
      </c>
      <c r="J269">
        <v>13.5</v>
      </c>
      <c r="K269">
        <v>12.04</v>
      </c>
    </row>
    <row r="270" spans="1:11" x14ac:dyDescent="0.2">
      <c r="A270">
        <v>155</v>
      </c>
      <c r="B270" t="s">
        <v>439</v>
      </c>
      <c r="C270" t="s">
        <v>445</v>
      </c>
      <c r="D270" t="s">
        <v>447</v>
      </c>
      <c r="E270" t="s">
        <v>398</v>
      </c>
      <c r="F270">
        <v>1.8</v>
      </c>
      <c r="G270">
        <v>16.36</v>
      </c>
      <c r="H270">
        <v>14.71</v>
      </c>
      <c r="I270">
        <v>11.74</v>
      </c>
      <c r="J270">
        <v>16.38</v>
      </c>
      <c r="K270">
        <v>12.41</v>
      </c>
    </row>
    <row r="271" spans="1:11" x14ac:dyDescent="0.2">
      <c r="A271">
        <v>156</v>
      </c>
      <c r="B271" t="s">
        <v>439</v>
      </c>
      <c r="C271" t="s">
        <v>445</v>
      </c>
      <c r="D271" t="s">
        <v>447</v>
      </c>
      <c r="E271" t="s">
        <v>398</v>
      </c>
      <c r="F271">
        <v>1.3</v>
      </c>
      <c r="G271">
        <v>12.14</v>
      </c>
      <c r="H271">
        <v>11.4</v>
      </c>
      <c r="I271">
        <v>12.71</v>
      </c>
      <c r="J271">
        <v>12.07</v>
      </c>
      <c r="K271">
        <v>18.010000000000002</v>
      </c>
    </row>
    <row r="272" spans="1:11" x14ac:dyDescent="0.2">
      <c r="A272">
        <v>157</v>
      </c>
      <c r="B272" t="s">
        <v>439</v>
      </c>
      <c r="C272" t="s">
        <v>445</v>
      </c>
      <c r="D272" t="s">
        <v>447</v>
      </c>
      <c r="E272" t="s">
        <v>398</v>
      </c>
      <c r="F272">
        <v>2.2000000000000002</v>
      </c>
      <c r="G272">
        <v>14.27</v>
      </c>
      <c r="H272">
        <v>11.43</v>
      </c>
      <c r="I272">
        <v>14.7</v>
      </c>
      <c r="J272">
        <v>15.37</v>
      </c>
      <c r="K272">
        <v>20.57</v>
      </c>
    </row>
    <row r="273" spans="1:36" x14ac:dyDescent="0.2">
      <c r="A273" s="380">
        <v>158</v>
      </c>
      <c r="B273" s="380" t="s">
        <v>439</v>
      </c>
      <c r="C273" s="380" t="s">
        <v>445</v>
      </c>
      <c r="D273" s="380" t="s">
        <v>447</v>
      </c>
      <c r="E273" s="380" t="s">
        <v>398</v>
      </c>
      <c r="F273" s="380">
        <v>1.5</v>
      </c>
      <c r="G273" s="380">
        <v>17.12</v>
      </c>
      <c r="H273" s="380">
        <v>13.36</v>
      </c>
      <c r="I273" s="380">
        <v>13.98</v>
      </c>
      <c r="J273" s="380">
        <v>15</v>
      </c>
      <c r="K273" s="380">
        <v>6.94</v>
      </c>
      <c r="L273" s="380">
        <v>8.8699999999999992</v>
      </c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380"/>
      <c r="Z273" s="380"/>
      <c r="AA273" s="380"/>
      <c r="AB273" s="380"/>
      <c r="AC273" s="380"/>
      <c r="AD273" s="380"/>
      <c r="AE273" s="380"/>
      <c r="AF273" s="380"/>
      <c r="AG273" s="380"/>
      <c r="AH273" s="380"/>
      <c r="AI273" s="380"/>
      <c r="AJ273" s="380"/>
    </row>
    <row r="274" spans="1:36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8"/>
      <c r="M274" s="378"/>
      <c r="N274" s="378"/>
      <c r="O274" s="378"/>
      <c r="P274" s="378"/>
      <c r="Q274" s="378"/>
      <c r="R274" s="378"/>
      <c r="S274" s="378"/>
      <c r="T274" s="378"/>
      <c r="U274" s="378"/>
      <c r="V274" s="378"/>
      <c r="W274" s="378"/>
      <c r="X274" s="378"/>
      <c r="Y274" s="378"/>
      <c r="Z274" s="378"/>
      <c r="AA274" s="378"/>
      <c r="AB274" s="378"/>
      <c r="AC274" s="378"/>
      <c r="AD274" s="378"/>
      <c r="AE274" s="378"/>
      <c r="AF274" s="378"/>
      <c r="AG274" s="378"/>
      <c r="AH274" s="378"/>
      <c r="AI274" s="378"/>
      <c r="AJ274" s="378"/>
    </row>
    <row r="275" spans="1:36" x14ac:dyDescent="0.2">
      <c r="A275" t="s">
        <v>453</v>
      </c>
      <c r="B275" s="380" t="s">
        <v>463</v>
      </c>
      <c r="C275" s="380" t="s">
        <v>449</v>
      </c>
      <c r="D275" s="380" t="s">
        <v>459</v>
      </c>
      <c r="E275" s="380" t="s">
        <v>453</v>
      </c>
      <c r="F275" s="380" t="s">
        <v>453</v>
      </c>
      <c r="G275" s="380">
        <v>17.12</v>
      </c>
      <c r="H275" s="380">
        <v>15.68</v>
      </c>
      <c r="I275" s="380">
        <v>19.899999999999999</v>
      </c>
      <c r="J275" s="380">
        <v>16.100000000000001</v>
      </c>
      <c r="K275" s="380">
        <v>16.079999999999998</v>
      </c>
      <c r="L275" s="380">
        <v>14.64</v>
      </c>
      <c r="M275" s="380">
        <v>16.2</v>
      </c>
      <c r="N275" s="380">
        <v>10.15</v>
      </c>
      <c r="O275" s="380">
        <v>16.079999999999998</v>
      </c>
      <c r="P275" s="380">
        <v>16.55</v>
      </c>
      <c r="Q275" s="380">
        <v>15</v>
      </c>
      <c r="R275" s="380">
        <v>16.5</v>
      </c>
      <c r="S275" s="380">
        <v>19.23</v>
      </c>
      <c r="T275" s="380">
        <v>21.6</v>
      </c>
      <c r="U275" s="380">
        <v>20.95</v>
      </c>
      <c r="V275" s="380">
        <v>19.3</v>
      </c>
      <c r="W275" s="380">
        <v>16.600000000000001</v>
      </c>
      <c r="X275" s="380">
        <v>17.38</v>
      </c>
      <c r="Y275" s="380">
        <v>18.46</v>
      </c>
      <c r="Z275" s="380">
        <v>17.149999999999999</v>
      </c>
    </row>
    <row r="276" spans="1:36" x14ac:dyDescent="0.2">
      <c r="A276" t="s">
        <v>453</v>
      </c>
      <c r="B276" s="380" t="s">
        <v>463</v>
      </c>
      <c r="C276" s="380" t="s">
        <v>449</v>
      </c>
      <c r="D276" s="380" t="s">
        <v>459</v>
      </c>
      <c r="E276" s="380" t="s">
        <v>453</v>
      </c>
      <c r="F276" s="380" t="s">
        <v>453</v>
      </c>
      <c r="G276" s="380">
        <v>17.05</v>
      </c>
      <c r="H276" s="380">
        <v>17.16</v>
      </c>
      <c r="I276" s="380">
        <v>20.75</v>
      </c>
      <c r="J276" s="380">
        <v>20.9</v>
      </c>
      <c r="K276" s="380">
        <v>18.899999999999999</v>
      </c>
      <c r="L276" s="380">
        <v>21.65</v>
      </c>
      <c r="M276" s="380">
        <v>15.58</v>
      </c>
      <c r="N276" s="380">
        <v>17.100000000000001</v>
      </c>
      <c r="O276" s="380">
        <v>19.399999999999999</v>
      </c>
      <c r="P276" s="380">
        <v>15.3</v>
      </c>
      <c r="Q276" s="380">
        <v>16.68</v>
      </c>
      <c r="R276" s="380">
        <v>16.25</v>
      </c>
      <c r="S276" s="380">
        <v>16.55</v>
      </c>
      <c r="T276" s="380">
        <v>19.7</v>
      </c>
      <c r="U276" s="380">
        <v>18.149999999999999</v>
      </c>
      <c r="V276" s="380">
        <v>14.6</v>
      </c>
      <c r="W276" s="380">
        <v>15.6</v>
      </c>
      <c r="X276" s="380">
        <v>13.4</v>
      </c>
      <c r="Y276" s="380">
        <v>13.65</v>
      </c>
      <c r="Z276" s="380">
        <v>15.75</v>
      </c>
    </row>
    <row r="277" spans="1:36" x14ac:dyDescent="0.2">
      <c r="A277" t="s">
        <v>453</v>
      </c>
      <c r="B277" s="380" t="s">
        <v>463</v>
      </c>
      <c r="C277" s="380" t="s">
        <v>449</v>
      </c>
      <c r="D277" s="380" t="s">
        <v>459</v>
      </c>
      <c r="E277" s="380" t="s">
        <v>453</v>
      </c>
      <c r="F277" s="380" t="s">
        <v>453</v>
      </c>
      <c r="G277" s="380">
        <v>13.95</v>
      </c>
      <c r="H277" s="380">
        <v>14.45</v>
      </c>
      <c r="I277" s="380">
        <v>18.62</v>
      </c>
      <c r="J277" s="380">
        <v>16.25</v>
      </c>
      <c r="K277" s="380">
        <v>17.3</v>
      </c>
      <c r="L277" s="380">
        <v>13.4</v>
      </c>
      <c r="M277" s="380">
        <v>13.7</v>
      </c>
      <c r="N277" s="380">
        <v>13.3</v>
      </c>
      <c r="O277" s="380">
        <v>13.52</v>
      </c>
      <c r="P277" s="380">
        <v>14.5</v>
      </c>
      <c r="Q277" s="380">
        <v>15.32</v>
      </c>
      <c r="R277" s="380">
        <v>15.05</v>
      </c>
      <c r="S277" s="380">
        <v>14.75</v>
      </c>
      <c r="T277" s="380">
        <v>14.2</v>
      </c>
      <c r="U277" s="380">
        <v>11.95</v>
      </c>
      <c r="V277" s="380">
        <v>13</v>
      </c>
      <c r="W277" s="380">
        <v>9.15</v>
      </c>
      <c r="X277" s="380">
        <v>15.6</v>
      </c>
      <c r="Y277" s="380">
        <v>15.8</v>
      </c>
      <c r="Z277" s="380">
        <v>20.45</v>
      </c>
    </row>
    <row r="278" spans="1:36" x14ac:dyDescent="0.2">
      <c r="A278" t="s">
        <v>453</v>
      </c>
      <c r="B278" s="380" t="s">
        <v>463</v>
      </c>
      <c r="C278" s="380" t="s">
        <v>449</v>
      </c>
      <c r="D278" s="380" t="s">
        <v>459</v>
      </c>
      <c r="E278" s="380" t="s">
        <v>453</v>
      </c>
      <c r="F278" s="380" t="s">
        <v>453</v>
      </c>
      <c r="G278" s="380">
        <v>13.45</v>
      </c>
      <c r="H278" s="380">
        <v>12.75</v>
      </c>
      <c r="I278" s="380">
        <v>14.48</v>
      </c>
      <c r="J278" s="380">
        <v>12</v>
      </c>
      <c r="K278" s="380">
        <v>12.73</v>
      </c>
      <c r="L278" s="380">
        <v>10.050000000000001</v>
      </c>
      <c r="M278" s="380">
        <v>11.35</v>
      </c>
      <c r="N278" s="380">
        <v>11.55</v>
      </c>
      <c r="O278" s="380">
        <v>10.75</v>
      </c>
      <c r="P278" s="380">
        <v>12.35</v>
      </c>
      <c r="Q278" s="380">
        <v>11.9</v>
      </c>
      <c r="R278" s="380">
        <v>13.02</v>
      </c>
      <c r="S278" s="380">
        <v>10.119999999999999</v>
      </c>
      <c r="T278" s="380">
        <v>8.8800000000000008</v>
      </c>
      <c r="U278" s="380">
        <v>8.85</v>
      </c>
      <c r="V278" s="380">
        <v>11.78</v>
      </c>
      <c r="W278">
        <v>9.1</v>
      </c>
      <c r="X278" s="380">
        <v>9.8000000000000007</v>
      </c>
      <c r="Y278" s="380">
        <v>12.95</v>
      </c>
      <c r="Z278" s="380">
        <v>8.0500000000000007</v>
      </c>
      <c r="AA278" s="380"/>
    </row>
    <row r="279" spans="1:36" x14ac:dyDescent="0.2">
      <c r="A279" t="s">
        <v>453</v>
      </c>
      <c r="B279" s="380" t="s">
        <v>463</v>
      </c>
      <c r="C279" s="380" t="s">
        <v>449</v>
      </c>
      <c r="D279" s="380" t="s">
        <v>459</v>
      </c>
      <c r="E279" s="380" t="s">
        <v>453</v>
      </c>
      <c r="F279" s="380" t="s">
        <v>453</v>
      </c>
      <c r="G279" s="380">
        <v>4.05</v>
      </c>
      <c r="H279" s="380">
        <v>9.42</v>
      </c>
      <c r="I279" s="380">
        <v>10.69</v>
      </c>
      <c r="J279" s="380">
        <v>9.6</v>
      </c>
      <c r="K279" s="380">
        <v>9.52</v>
      </c>
      <c r="L279" s="380">
        <v>7.4</v>
      </c>
      <c r="M279" s="380">
        <v>8.4</v>
      </c>
      <c r="N279" s="380">
        <v>6.7</v>
      </c>
      <c r="O279" s="380">
        <v>8.4</v>
      </c>
      <c r="P279" s="380">
        <v>0.9</v>
      </c>
      <c r="Q279" s="380">
        <v>8.5</v>
      </c>
      <c r="R279" s="380">
        <v>8.82</v>
      </c>
      <c r="S279" s="380">
        <v>7.48</v>
      </c>
      <c r="T279" s="380">
        <v>6.7</v>
      </c>
      <c r="U279" s="380">
        <v>7.66</v>
      </c>
      <c r="V279" s="380">
        <v>10.1</v>
      </c>
      <c r="W279" s="380">
        <v>5.98</v>
      </c>
      <c r="X279" s="380">
        <v>6.4</v>
      </c>
      <c r="Y279" s="380">
        <v>5.05</v>
      </c>
      <c r="Z279" s="380">
        <v>5.6</v>
      </c>
    </row>
    <row r="280" spans="1:36" x14ac:dyDescent="0.2">
      <c r="A280" t="s">
        <v>453</v>
      </c>
      <c r="B280" s="380" t="s">
        <v>463</v>
      </c>
      <c r="C280" s="380" t="s">
        <v>449</v>
      </c>
      <c r="D280" s="380" t="s">
        <v>459</v>
      </c>
      <c r="E280" s="380" t="s">
        <v>453</v>
      </c>
      <c r="F280" s="380" t="s">
        <v>453</v>
      </c>
      <c r="G280" s="380">
        <v>3.3</v>
      </c>
      <c r="H280" s="380">
        <v>6.58</v>
      </c>
      <c r="I280" s="380">
        <v>7.68</v>
      </c>
      <c r="J280" s="380"/>
    </row>
    <row r="281" spans="1:36" x14ac:dyDescent="0.2">
      <c r="A281" t="s">
        <v>453</v>
      </c>
      <c r="B281" s="380" t="s">
        <v>462</v>
      </c>
      <c r="C281" s="380" t="s">
        <v>449</v>
      </c>
      <c r="D281" s="380" t="s">
        <v>460</v>
      </c>
      <c r="E281" s="380" t="s">
        <v>453</v>
      </c>
      <c r="F281" s="380" t="s">
        <v>453</v>
      </c>
      <c r="G281" s="380">
        <v>13.75</v>
      </c>
      <c r="H281" s="380">
        <v>14</v>
      </c>
      <c r="I281" s="380">
        <v>10.5</v>
      </c>
      <c r="J281" s="380">
        <v>14.3</v>
      </c>
      <c r="K281" s="380">
        <v>17.100000000000001</v>
      </c>
      <c r="L281" s="380">
        <v>17.2</v>
      </c>
      <c r="M281" s="380">
        <v>11.68</v>
      </c>
      <c r="N281" s="380">
        <v>14</v>
      </c>
      <c r="O281" s="380">
        <v>18.91</v>
      </c>
      <c r="P281" s="380">
        <v>12.85</v>
      </c>
      <c r="Q281" s="380">
        <v>7.52</v>
      </c>
      <c r="R281" s="380">
        <v>8.5</v>
      </c>
      <c r="S281" s="380">
        <v>10.95</v>
      </c>
      <c r="T281" s="380">
        <v>4.05</v>
      </c>
      <c r="U281" s="380">
        <v>7.08</v>
      </c>
      <c r="V281" s="380">
        <v>12.88</v>
      </c>
      <c r="W281" s="380">
        <v>13.97</v>
      </c>
      <c r="X281" s="380">
        <v>13</v>
      </c>
      <c r="Y281" s="380">
        <v>16.25</v>
      </c>
      <c r="Z281" s="380">
        <v>16.579999999999998</v>
      </c>
    </row>
    <row r="282" spans="1:36" x14ac:dyDescent="0.2">
      <c r="A282" t="s">
        <v>453</v>
      </c>
      <c r="B282" s="380" t="s">
        <v>462</v>
      </c>
      <c r="C282" s="380" t="s">
        <v>449</v>
      </c>
      <c r="D282" s="380" t="s">
        <v>460</v>
      </c>
      <c r="E282" s="380" t="s">
        <v>453</v>
      </c>
      <c r="F282" s="380" t="s">
        <v>453</v>
      </c>
      <c r="G282" s="380">
        <v>10.92</v>
      </c>
      <c r="H282" s="380">
        <v>11.3</v>
      </c>
      <c r="I282" s="380">
        <v>9</v>
      </c>
      <c r="J282" s="380">
        <v>7.45</v>
      </c>
      <c r="K282" s="380">
        <v>10.199999999999999</v>
      </c>
      <c r="L282" s="380">
        <v>13</v>
      </c>
      <c r="M282" s="380">
        <v>11.28</v>
      </c>
      <c r="N282" s="380">
        <v>9.6</v>
      </c>
      <c r="O282" s="380">
        <v>12.58</v>
      </c>
      <c r="P282" s="380">
        <v>12.8</v>
      </c>
      <c r="Q282" s="380">
        <v>13.1</v>
      </c>
      <c r="R282" s="380">
        <v>17.8</v>
      </c>
      <c r="S282" s="380">
        <v>8.18</v>
      </c>
      <c r="T282" s="380">
        <v>10.5</v>
      </c>
      <c r="U282" s="380">
        <v>9.6999999999999993</v>
      </c>
      <c r="V282" s="380">
        <v>12</v>
      </c>
      <c r="W282" s="380">
        <v>5.58</v>
      </c>
      <c r="X282" s="380">
        <v>6.52</v>
      </c>
      <c r="Y282" s="380">
        <v>6.65</v>
      </c>
      <c r="Z282" s="380">
        <v>11.88</v>
      </c>
    </row>
    <row r="283" spans="1:36" x14ac:dyDescent="0.2">
      <c r="A283" t="s">
        <v>453</v>
      </c>
      <c r="B283" s="380" t="s">
        <v>462</v>
      </c>
      <c r="C283" s="380" t="s">
        <v>449</v>
      </c>
      <c r="D283" s="380" t="s">
        <v>460</v>
      </c>
      <c r="E283" s="380" t="s">
        <v>453</v>
      </c>
      <c r="F283" s="380" t="s">
        <v>453</v>
      </c>
      <c r="G283" s="380">
        <v>9.85</v>
      </c>
      <c r="H283" s="380">
        <v>13.85</v>
      </c>
      <c r="I283" s="380">
        <v>15.1</v>
      </c>
      <c r="J283" s="380">
        <v>10.9</v>
      </c>
      <c r="K283" s="380">
        <v>9.5500000000000007</v>
      </c>
      <c r="L283" s="380">
        <v>7.55</v>
      </c>
      <c r="M283" s="380">
        <v>5.7</v>
      </c>
      <c r="N283" s="380">
        <v>12.25</v>
      </c>
      <c r="O283" s="380">
        <v>18.7</v>
      </c>
      <c r="P283" s="380">
        <v>11.52</v>
      </c>
      <c r="Q283" s="380">
        <v>13.1</v>
      </c>
      <c r="R283" s="380">
        <v>11.42</v>
      </c>
      <c r="S283" s="380">
        <v>9.48</v>
      </c>
      <c r="T283" s="380">
        <v>8.82</v>
      </c>
      <c r="U283" s="380">
        <v>6.82</v>
      </c>
      <c r="V283" s="380">
        <v>10.35</v>
      </c>
      <c r="W283" s="380">
        <v>4.9000000000000004</v>
      </c>
      <c r="X283" s="380">
        <v>13.25</v>
      </c>
      <c r="Y283" s="380">
        <v>10.6</v>
      </c>
      <c r="Z283" s="380">
        <v>9.6</v>
      </c>
    </row>
    <row r="284" spans="1:36" x14ac:dyDescent="0.2">
      <c r="A284" t="s">
        <v>453</v>
      </c>
      <c r="B284" s="380" t="s">
        <v>462</v>
      </c>
      <c r="C284" s="380" t="s">
        <v>449</v>
      </c>
      <c r="D284" s="380" t="s">
        <v>460</v>
      </c>
      <c r="E284" s="380" t="s">
        <v>453</v>
      </c>
      <c r="F284" s="380" t="s">
        <v>453</v>
      </c>
      <c r="G284" s="380">
        <v>15.4</v>
      </c>
      <c r="H284" s="380">
        <v>12.7</v>
      </c>
      <c r="I284" s="380">
        <v>5.7</v>
      </c>
      <c r="J284" s="380">
        <v>6.85</v>
      </c>
      <c r="K284" s="380">
        <v>6.1</v>
      </c>
      <c r="L284" s="380">
        <v>10.25</v>
      </c>
      <c r="M284" s="380">
        <v>10.58</v>
      </c>
      <c r="N284" s="380">
        <v>11.95</v>
      </c>
      <c r="O284" s="380">
        <v>13.15</v>
      </c>
      <c r="P284" s="380">
        <v>8.0500000000000007</v>
      </c>
      <c r="Q284" s="380">
        <v>5.78</v>
      </c>
      <c r="R284" s="380">
        <v>11.5</v>
      </c>
      <c r="S284" s="380">
        <v>8.68</v>
      </c>
      <c r="T284" s="380">
        <v>8.1</v>
      </c>
      <c r="U284" s="380">
        <v>6.7</v>
      </c>
      <c r="V284" s="380">
        <v>6.55</v>
      </c>
      <c r="W284" s="380">
        <v>11.97</v>
      </c>
      <c r="X284" s="380">
        <v>14.2</v>
      </c>
      <c r="Y284" s="380">
        <v>6.3</v>
      </c>
      <c r="Z284" s="380">
        <v>7</v>
      </c>
    </row>
    <row r="285" spans="1:36" x14ac:dyDescent="0.2">
      <c r="A285" t="s">
        <v>453</v>
      </c>
      <c r="B285" s="380" t="s">
        <v>462</v>
      </c>
      <c r="C285" s="380" t="s">
        <v>449</v>
      </c>
      <c r="D285" s="380" t="s">
        <v>460</v>
      </c>
      <c r="E285" s="380" t="s">
        <v>453</v>
      </c>
      <c r="F285" s="380" t="s">
        <v>453</v>
      </c>
      <c r="G285" s="380">
        <v>5.48</v>
      </c>
      <c r="H285" s="380">
        <v>9.85</v>
      </c>
      <c r="I285" s="380">
        <v>5.35</v>
      </c>
      <c r="J285" s="380">
        <v>3.4</v>
      </c>
      <c r="K285" s="380">
        <v>9.15</v>
      </c>
      <c r="L285" s="380">
        <v>4.95</v>
      </c>
      <c r="M285" s="380">
        <v>11.7</v>
      </c>
      <c r="N285" s="380">
        <v>10.220000000000001</v>
      </c>
      <c r="O285" s="380">
        <v>6.05</v>
      </c>
      <c r="P285" s="380">
        <v>14.22</v>
      </c>
      <c r="Q285" s="380">
        <v>16.600000000000001</v>
      </c>
      <c r="R285" s="380">
        <v>16.8</v>
      </c>
      <c r="S285" s="380">
        <v>11.9</v>
      </c>
      <c r="T285" s="380">
        <v>9.35</v>
      </c>
      <c r="U285" s="380">
        <v>6.2</v>
      </c>
      <c r="V285" s="380">
        <v>17.600000000000001</v>
      </c>
      <c r="W285" s="380">
        <v>7.4</v>
      </c>
      <c r="X285" s="380">
        <v>18.100000000000001</v>
      </c>
      <c r="Y285" s="380">
        <v>12.9</v>
      </c>
      <c r="Z285" s="380">
        <v>8.0500000000000007</v>
      </c>
    </row>
    <row r="286" spans="1:36" x14ac:dyDescent="0.2">
      <c r="A286" t="s">
        <v>453</v>
      </c>
      <c r="B286" s="380" t="s">
        <v>468</v>
      </c>
      <c r="C286" s="380" t="s">
        <v>443</v>
      </c>
      <c r="D286" s="380" t="s">
        <v>446</v>
      </c>
      <c r="E286" s="380" t="s">
        <v>453</v>
      </c>
      <c r="F286" s="380" t="s">
        <v>453</v>
      </c>
      <c r="G286" s="380">
        <v>10.85</v>
      </c>
      <c r="H286" s="380">
        <v>6.6</v>
      </c>
      <c r="I286" s="380">
        <v>8.19</v>
      </c>
      <c r="J286" s="380">
        <v>7.75</v>
      </c>
      <c r="K286" s="380">
        <v>9.9</v>
      </c>
      <c r="L286" s="380">
        <v>7.75</v>
      </c>
      <c r="M286" s="380">
        <v>10.5</v>
      </c>
      <c r="N286" s="380">
        <v>4.3899999999999997</v>
      </c>
      <c r="O286" s="380">
        <v>7.62</v>
      </c>
      <c r="P286" s="380">
        <v>5.55</v>
      </c>
      <c r="Q286" s="380">
        <v>9.8000000000000007</v>
      </c>
      <c r="R286" s="380">
        <v>9.6999999999999993</v>
      </c>
      <c r="S286" s="380">
        <v>6.6</v>
      </c>
      <c r="T286" s="380">
        <v>4.0999999999999996</v>
      </c>
      <c r="U286" s="380">
        <v>7.4</v>
      </c>
      <c r="V286" s="380">
        <v>8.15</v>
      </c>
      <c r="W286" s="380">
        <v>9.1999999999999993</v>
      </c>
      <c r="X286" s="380">
        <v>5.2</v>
      </c>
      <c r="Y286" s="380">
        <v>9.85</v>
      </c>
      <c r="Z286" s="380">
        <v>8</v>
      </c>
    </row>
    <row r="287" spans="1:36" x14ac:dyDescent="0.2">
      <c r="A287" t="s">
        <v>453</v>
      </c>
      <c r="B287" s="380" t="s">
        <v>458</v>
      </c>
      <c r="C287" s="380" t="s">
        <v>444</v>
      </c>
      <c r="D287" s="380" t="s">
        <v>460</v>
      </c>
      <c r="E287" s="380" t="s">
        <v>453</v>
      </c>
      <c r="F287" s="380" t="s">
        <v>453</v>
      </c>
      <c r="G287" s="380">
        <v>9.82</v>
      </c>
      <c r="H287" s="380">
        <v>5.82</v>
      </c>
      <c r="I287" s="380">
        <v>15.8</v>
      </c>
      <c r="J287" s="380">
        <v>5.03</v>
      </c>
      <c r="K287" s="380">
        <v>8.2899999999999991</v>
      </c>
      <c r="L287" s="380">
        <v>9.1</v>
      </c>
      <c r="M287" s="380">
        <v>7.69</v>
      </c>
      <c r="N287" s="380">
        <v>4.8</v>
      </c>
      <c r="O287" s="380">
        <v>3.2</v>
      </c>
      <c r="P287" s="380">
        <v>10.199999999999999</v>
      </c>
      <c r="Q287" s="380">
        <v>5.0999999999999996</v>
      </c>
      <c r="R287" s="380">
        <v>12.05</v>
      </c>
      <c r="S287">
        <v>5.82</v>
      </c>
      <c r="T287" s="380">
        <v>6.35</v>
      </c>
      <c r="U287" s="380">
        <v>5.92</v>
      </c>
      <c r="V287" s="380">
        <v>4.7</v>
      </c>
      <c r="W287" s="380">
        <v>8.1999999999999993</v>
      </c>
      <c r="X287" s="380">
        <v>6.6</v>
      </c>
      <c r="Y287" s="380">
        <v>4.8499999999999996</v>
      </c>
      <c r="Z287" s="380">
        <v>3.7</v>
      </c>
    </row>
    <row r="288" spans="1:36" x14ac:dyDescent="0.2">
      <c r="A288" t="s">
        <v>453</v>
      </c>
      <c r="B288" s="380" t="s">
        <v>458</v>
      </c>
      <c r="C288" s="380" t="s">
        <v>444</v>
      </c>
      <c r="D288" s="380" t="s">
        <v>460</v>
      </c>
      <c r="E288" s="380" t="s">
        <v>453</v>
      </c>
      <c r="F288" s="380" t="s">
        <v>453</v>
      </c>
      <c r="G288" s="380">
        <v>3.9</v>
      </c>
      <c r="H288" s="380">
        <v>7.8</v>
      </c>
      <c r="I288" s="380">
        <v>9.0500000000000007</v>
      </c>
      <c r="J288" s="380">
        <v>7.68</v>
      </c>
      <c r="K288" s="380">
        <v>11.45</v>
      </c>
      <c r="L288" s="380">
        <v>8.15</v>
      </c>
      <c r="M288" s="380">
        <v>6.1</v>
      </c>
      <c r="N288" s="380">
        <v>7.4</v>
      </c>
      <c r="O288" s="380">
        <v>4.75</v>
      </c>
      <c r="P288" s="380">
        <v>7.95</v>
      </c>
      <c r="Q288" s="380">
        <v>5</v>
      </c>
      <c r="R288" s="380">
        <v>7.69</v>
      </c>
      <c r="S288" s="380">
        <v>7.3</v>
      </c>
      <c r="T288" s="380">
        <v>8.2899999999999991</v>
      </c>
      <c r="U288" s="380">
        <v>6.6</v>
      </c>
      <c r="V288" s="380">
        <v>7.6</v>
      </c>
      <c r="W288" s="380">
        <v>4.3</v>
      </c>
      <c r="X288" s="380">
        <v>4.4000000000000004</v>
      </c>
      <c r="Y288" s="380">
        <v>5.6</v>
      </c>
      <c r="Z288" s="380">
        <v>4.3499999999999996</v>
      </c>
    </row>
    <row r="289" spans="1:26" x14ac:dyDescent="0.2">
      <c r="A289" t="s">
        <v>453</v>
      </c>
      <c r="B289" s="380" t="s">
        <v>458</v>
      </c>
      <c r="C289" s="380" t="s">
        <v>444</v>
      </c>
      <c r="D289" s="380" t="s">
        <v>460</v>
      </c>
      <c r="E289" s="380" t="s">
        <v>453</v>
      </c>
      <c r="F289" s="380" t="s">
        <v>453</v>
      </c>
      <c r="G289" s="380">
        <v>5.6</v>
      </c>
      <c r="H289" s="380">
        <v>8.85</v>
      </c>
      <c r="I289" s="380">
        <v>10.85</v>
      </c>
      <c r="J289" s="380">
        <v>6.95</v>
      </c>
      <c r="K289" s="380">
        <v>5.72</v>
      </c>
      <c r="L289" s="380">
        <v>3.4</v>
      </c>
      <c r="M289" s="380">
        <v>4</v>
      </c>
      <c r="N289" s="380">
        <v>5</v>
      </c>
      <c r="O289" s="380">
        <v>4.4000000000000004</v>
      </c>
      <c r="P289" s="380">
        <v>3.98</v>
      </c>
      <c r="Q289" s="380">
        <v>2.98</v>
      </c>
      <c r="R289" s="380">
        <v>2.75</v>
      </c>
      <c r="S289" s="380">
        <v>3.15</v>
      </c>
      <c r="T289" s="380">
        <v>10.02</v>
      </c>
      <c r="U289" s="380">
        <v>6.08</v>
      </c>
      <c r="V289" s="380">
        <v>10.5</v>
      </c>
      <c r="W289" s="380">
        <v>10.220000000000001</v>
      </c>
      <c r="X289" s="380">
        <v>5.71</v>
      </c>
      <c r="Y289" s="380">
        <v>8.9</v>
      </c>
      <c r="Z289" s="380">
        <v>5.92</v>
      </c>
    </row>
    <row r="290" spans="1:26" x14ac:dyDescent="0.2">
      <c r="A290" t="s">
        <v>453</v>
      </c>
      <c r="B290" s="380" t="s">
        <v>458</v>
      </c>
      <c r="C290" s="380" t="s">
        <v>444</v>
      </c>
      <c r="D290" s="380" t="s">
        <v>460</v>
      </c>
      <c r="E290" s="380" t="s">
        <v>453</v>
      </c>
      <c r="F290" s="380" t="s">
        <v>453</v>
      </c>
      <c r="G290" s="380">
        <v>8.48</v>
      </c>
      <c r="H290" s="380">
        <v>8.75</v>
      </c>
      <c r="I290" s="380">
        <v>7.15</v>
      </c>
      <c r="J290" s="380">
        <v>8.02</v>
      </c>
      <c r="K290" s="380">
        <v>6.05</v>
      </c>
      <c r="L290" s="380">
        <v>7.65</v>
      </c>
      <c r="M290" s="380">
        <v>6.52</v>
      </c>
      <c r="N290" s="380">
        <v>6.52</v>
      </c>
      <c r="O290" s="380">
        <v>7.85</v>
      </c>
      <c r="P290" s="380">
        <v>7.1</v>
      </c>
      <c r="Q290" s="380">
        <v>6.92</v>
      </c>
      <c r="R290" s="380">
        <v>7.6</v>
      </c>
      <c r="S290" s="380">
        <v>5.55</v>
      </c>
      <c r="T290" s="380">
        <v>4.6500000000000004</v>
      </c>
      <c r="U290" s="380">
        <v>6.75</v>
      </c>
      <c r="V290" s="380">
        <v>5.72</v>
      </c>
      <c r="W290" s="380">
        <v>6.4</v>
      </c>
      <c r="X290" s="380">
        <v>5.4</v>
      </c>
      <c r="Y290" s="380">
        <v>4</v>
      </c>
      <c r="Z290" s="380">
        <v>6.4</v>
      </c>
    </row>
    <row r="291" spans="1:26" x14ac:dyDescent="0.2">
      <c r="A291" t="s">
        <v>453</v>
      </c>
      <c r="B291" s="380" t="s">
        <v>458</v>
      </c>
      <c r="C291" s="380" t="s">
        <v>444</v>
      </c>
      <c r="D291" s="380" t="s">
        <v>460</v>
      </c>
      <c r="E291" s="380" t="s">
        <v>453</v>
      </c>
      <c r="F291" s="380" t="s">
        <v>453</v>
      </c>
      <c r="G291" s="380">
        <v>4.1500000000000004</v>
      </c>
      <c r="H291" s="380">
        <v>5.45</v>
      </c>
      <c r="I291" s="380">
        <v>3.3</v>
      </c>
      <c r="J291" s="380">
        <v>3.72</v>
      </c>
      <c r="K291" s="380">
        <v>4.5199999999999996</v>
      </c>
      <c r="L291" s="380">
        <v>2.7</v>
      </c>
      <c r="M291" s="380">
        <v>2.95</v>
      </c>
      <c r="N291" s="380">
        <v>2.7</v>
      </c>
      <c r="O291" s="380">
        <v>3.19</v>
      </c>
      <c r="P291" s="380">
        <v>3.45</v>
      </c>
      <c r="Q291" s="380">
        <v>3.3</v>
      </c>
      <c r="R291" s="380">
        <v>11.3</v>
      </c>
      <c r="S291" s="380">
        <v>9.15</v>
      </c>
      <c r="T291" s="380">
        <v>10.08</v>
      </c>
      <c r="U291" s="380">
        <v>5.8</v>
      </c>
      <c r="V291" s="380">
        <v>8.15</v>
      </c>
      <c r="W291" s="380">
        <v>8.68</v>
      </c>
      <c r="X291" s="380">
        <v>6.3</v>
      </c>
      <c r="Y291" s="380">
        <v>5.45</v>
      </c>
      <c r="Z291" s="380">
        <v>5.75</v>
      </c>
    </row>
    <row r="292" spans="1:26" x14ac:dyDescent="0.2">
      <c r="A292" t="s">
        <v>453</v>
      </c>
      <c r="B292" s="380" t="s">
        <v>458</v>
      </c>
      <c r="C292" s="380" t="s">
        <v>444</v>
      </c>
      <c r="D292" s="380" t="s">
        <v>460</v>
      </c>
      <c r="E292" s="380" t="s">
        <v>453</v>
      </c>
      <c r="F292" s="380" t="s">
        <v>453</v>
      </c>
      <c r="G292" s="380">
        <v>5.55</v>
      </c>
      <c r="H292" s="380">
        <v>8.4</v>
      </c>
      <c r="I292" s="380">
        <v>6.85</v>
      </c>
      <c r="J292" s="380">
        <v>9.08</v>
      </c>
      <c r="K292" s="380">
        <v>11.9</v>
      </c>
      <c r="L292" s="380">
        <v>9.75</v>
      </c>
      <c r="M292" s="380">
        <v>7.45</v>
      </c>
      <c r="N292" s="380">
        <v>7.95</v>
      </c>
      <c r="O292" s="380">
        <v>9.18</v>
      </c>
      <c r="P292" s="380">
        <v>7.2</v>
      </c>
      <c r="Q292" s="380">
        <v>5.85</v>
      </c>
      <c r="R292" s="380">
        <v>5.15</v>
      </c>
      <c r="S292" s="380">
        <v>8.15</v>
      </c>
      <c r="T292" s="380">
        <v>6.42</v>
      </c>
      <c r="U292" s="380">
        <v>6.5</v>
      </c>
      <c r="V292" s="380">
        <v>4.05</v>
      </c>
      <c r="W292" s="380">
        <v>6.55</v>
      </c>
      <c r="X292" s="380">
        <v>5.65</v>
      </c>
      <c r="Y292" s="380">
        <v>5.9</v>
      </c>
      <c r="Z292" s="380">
        <v>4.45</v>
      </c>
    </row>
    <row r="293" spans="1:26" x14ac:dyDescent="0.2">
      <c r="A293" t="s">
        <v>453</v>
      </c>
      <c r="B293" s="380" t="s">
        <v>458</v>
      </c>
      <c r="C293" s="380" t="s">
        <v>444</v>
      </c>
      <c r="D293" s="380" t="s">
        <v>460</v>
      </c>
      <c r="E293" s="380" t="s">
        <v>453</v>
      </c>
      <c r="F293" s="380" t="s">
        <v>453</v>
      </c>
      <c r="G293" s="380">
        <v>4.38</v>
      </c>
      <c r="H293" s="380">
        <v>4.0999999999999996</v>
      </c>
      <c r="I293" s="380">
        <v>3.55</v>
      </c>
      <c r="J293" s="380">
        <v>3.35</v>
      </c>
      <c r="K293" s="380">
        <v>3.95</v>
      </c>
      <c r="L293" s="380">
        <v>5.4</v>
      </c>
      <c r="M293" s="380">
        <v>11</v>
      </c>
      <c r="N293" s="380">
        <v>8.9</v>
      </c>
      <c r="O293" s="380">
        <v>6.9</v>
      </c>
      <c r="P293" s="380">
        <v>10.4</v>
      </c>
    </row>
    <row r="294" spans="1:26" x14ac:dyDescent="0.2">
      <c r="A294" t="s">
        <v>453</v>
      </c>
      <c r="B294" s="380" t="s">
        <v>461</v>
      </c>
      <c r="C294" s="380" t="s">
        <v>444</v>
      </c>
      <c r="D294" s="380" t="s">
        <v>459</v>
      </c>
      <c r="E294" s="380" t="s">
        <v>453</v>
      </c>
      <c r="F294" s="380" t="s">
        <v>453</v>
      </c>
      <c r="G294" s="380">
        <v>9.65</v>
      </c>
      <c r="H294" s="380">
        <v>10.7</v>
      </c>
      <c r="I294" s="380">
        <v>5.57</v>
      </c>
      <c r="J294" s="380">
        <v>6.8</v>
      </c>
      <c r="K294" s="380">
        <v>8.8000000000000007</v>
      </c>
      <c r="L294" s="380">
        <v>5.99</v>
      </c>
      <c r="M294" s="380">
        <v>12.9</v>
      </c>
      <c r="N294" s="380">
        <v>3.75</v>
      </c>
      <c r="O294" s="380">
        <v>4.0999999999999996</v>
      </c>
      <c r="P294" s="380">
        <v>6.75</v>
      </c>
      <c r="Q294" s="380">
        <v>11.6</v>
      </c>
      <c r="R294" s="380">
        <v>15.5</v>
      </c>
      <c r="S294" s="380">
        <v>5.2</v>
      </c>
      <c r="T294" s="380">
        <v>7.48</v>
      </c>
      <c r="U294" s="380">
        <v>6.18</v>
      </c>
      <c r="V294" s="380">
        <v>14.1</v>
      </c>
      <c r="W294" s="380">
        <v>12.02</v>
      </c>
      <c r="X294" s="380">
        <v>5.08</v>
      </c>
      <c r="Y294" s="380">
        <v>3.68</v>
      </c>
      <c r="Z294" s="380">
        <v>5.95</v>
      </c>
    </row>
    <row r="295" spans="1:26" x14ac:dyDescent="0.2">
      <c r="A295" t="s">
        <v>453</v>
      </c>
      <c r="B295" s="380" t="s">
        <v>461</v>
      </c>
      <c r="C295" s="380" t="s">
        <v>444</v>
      </c>
      <c r="D295" s="380" t="s">
        <v>459</v>
      </c>
      <c r="E295" s="380" t="s">
        <v>453</v>
      </c>
      <c r="F295" s="380" t="s">
        <v>453</v>
      </c>
      <c r="G295" s="380">
        <v>9.75</v>
      </c>
      <c r="H295" s="380">
        <v>13.45</v>
      </c>
      <c r="I295" s="380">
        <v>14.5</v>
      </c>
      <c r="J295" s="380">
        <v>11.2</v>
      </c>
      <c r="K295" s="380">
        <v>12.22</v>
      </c>
      <c r="L295" s="380">
        <v>7.45</v>
      </c>
      <c r="M295" s="380">
        <v>8.5</v>
      </c>
      <c r="N295" s="380">
        <v>4.5999999999999996</v>
      </c>
      <c r="O295" s="380">
        <v>5.3</v>
      </c>
      <c r="P295" s="380">
        <v>5.08</v>
      </c>
      <c r="Q295" s="380">
        <v>2.4500000000000002</v>
      </c>
      <c r="R295" s="380">
        <v>7.4</v>
      </c>
      <c r="S295" s="380">
        <v>6.55</v>
      </c>
      <c r="T295" s="380">
        <v>6.65</v>
      </c>
      <c r="U295" s="380">
        <v>12</v>
      </c>
      <c r="V295" s="380">
        <v>7.4</v>
      </c>
      <c r="W295" s="380">
        <v>6.7</v>
      </c>
      <c r="X295" s="380">
        <v>2.95</v>
      </c>
      <c r="Y295" s="380">
        <v>5.85</v>
      </c>
      <c r="Z295" s="380">
        <v>6.95</v>
      </c>
    </row>
    <row r="296" spans="1:26" x14ac:dyDescent="0.2">
      <c r="A296" t="s">
        <v>453</v>
      </c>
      <c r="B296" s="380" t="s">
        <v>461</v>
      </c>
      <c r="C296" s="380" t="s">
        <v>444</v>
      </c>
      <c r="D296" s="380" t="s">
        <v>459</v>
      </c>
      <c r="E296" s="380" t="s">
        <v>453</v>
      </c>
      <c r="F296" s="380" t="s">
        <v>453</v>
      </c>
      <c r="G296" s="380">
        <v>6.95</v>
      </c>
      <c r="H296" s="380">
        <v>4.45</v>
      </c>
      <c r="I296" s="380">
        <v>6.71</v>
      </c>
      <c r="J296">
        <v>6.6</v>
      </c>
      <c r="K296" s="380">
        <v>5.75</v>
      </c>
      <c r="L296" s="380">
        <v>4.33</v>
      </c>
      <c r="M296" s="380">
        <v>3.4</v>
      </c>
      <c r="N296" s="380">
        <v>5.39</v>
      </c>
      <c r="O296" s="380">
        <v>3.35</v>
      </c>
      <c r="P296" s="380">
        <v>3.7</v>
      </c>
      <c r="Q296" s="380">
        <v>3.7</v>
      </c>
      <c r="R296" s="380">
        <v>4.55</v>
      </c>
      <c r="S296" s="380">
        <v>8.5500000000000007</v>
      </c>
      <c r="T296" s="380">
        <v>5.75</v>
      </c>
      <c r="U296" s="380">
        <v>4.05</v>
      </c>
      <c r="V296" s="380">
        <v>7.75</v>
      </c>
      <c r="W296" s="380">
        <v>6.6</v>
      </c>
      <c r="X296" s="380">
        <v>4.1500000000000004</v>
      </c>
      <c r="Y296" s="380">
        <v>2.4</v>
      </c>
      <c r="Z296" s="380">
        <v>4.0999999999999996</v>
      </c>
    </row>
    <row r="297" spans="1:26" x14ac:dyDescent="0.2">
      <c r="A297" t="s">
        <v>453</v>
      </c>
      <c r="B297" s="380" t="s">
        <v>461</v>
      </c>
      <c r="C297" s="380" t="s">
        <v>444</v>
      </c>
      <c r="D297" s="380" t="s">
        <v>459</v>
      </c>
      <c r="E297" s="380" t="s">
        <v>453</v>
      </c>
      <c r="F297" s="380" t="s">
        <v>453</v>
      </c>
      <c r="G297" s="380">
        <v>2.5</v>
      </c>
      <c r="H297" s="380">
        <v>3.3</v>
      </c>
      <c r="I297" s="380">
        <v>4.72</v>
      </c>
      <c r="J297" s="380">
        <v>3.9</v>
      </c>
      <c r="K297" s="380">
        <v>4.05</v>
      </c>
      <c r="L297" s="380">
        <v>2.65</v>
      </c>
      <c r="M297" s="380">
        <v>3.35</v>
      </c>
      <c r="N297" s="380">
        <v>6.6</v>
      </c>
      <c r="O297" s="380">
        <v>13.5</v>
      </c>
      <c r="P297" s="380">
        <v>6.92</v>
      </c>
      <c r="Q297" s="380">
        <v>5.4</v>
      </c>
      <c r="R297" s="380">
        <v>5.98</v>
      </c>
      <c r="S297" s="380">
        <v>11.2</v>
      </c>
      <c r="T297" s="380">
        <v>4.6500000000000004</v>
      </c>
      <c r="U297" s="380">
        <v>7.95</v>
      </c>
      <c r="V297" s="380">
        <v>8.8000000000000007</v>
      </c>
      <c r="W297" s="380">
        <v>6.32</v>
      </c>
      <c r="X297" s="380">
        <v>5.42</v>
      </c>
      <c r="Y297" s="380">
        <v>7.43</v>
      </c>
      <c r="Z297" s="380">
        <v>10.52</v>
      </c>
    </row>
    <row r="298" spans="1:26" x14ac:dyDescent="0.2">
      <c r="A298" t="s">
        <v>453</v>
      </c>
      <c r="B298" s="380" t="s">
        <v>461</v>
      </c>
      <c r="C298" s="380" t="s">
        <v>444</v>
      </c>
      <c r="D298" s="380" t="s">
        <v>459</v>
      </c>
      <c r="E298" s="380" t="s">
        <v>453</v>
      </c>
      <c r="F298" s="380" t="s">
        <v>453</v>
      </c>
      <c r="G298" s="380">
        <v>9.2899999999999991</v>
      </c>
      <c r="H298" s="380">
        <v>12.85</v>
      </c>
      <c r="I298" s="380">
        <v>6.72</v>
      </c>
      <c r="J298" s="380">
        <v>8</v>
      </c>
      <c r="K298" s="380">
        <v>3.92</v>
      </c>
      <c r="L298" s="380">
        <v>7.98</v>
      </c>
      <c r="M298" s="380">
        <v>8.4</v>
      </c>
      <c r="N298" s="380">
        <v>13.78</v>
      </c>
      <c r="O298" s="380">
        <v>5.2</v>
      </c>
      <c r="P298" s="380">
        <v>5.79</v>
      </c>
      <c r="Q298" s="380">
        <v>8.82</v>
      </c>
      <c r="R298" s="380">
        <v>4.93</v>
      </c>
      <c r="S298" s="380">
        <v>7.15</v>
      </c>
      <c r="T298" s="380">
        <v>6.6</v>
      </c>
      <c r="U298" s="380">
        <v>5.12</v>
      </c>
      <c r="V298" s="380">
        <v>5.35</v>
      </c>
      <c r="W298" s="380">
        <v>5.45</v>
      </c>
      <c r="X298" s="380">
        <v>7.8</v>
      </c>
      <c r="Y298" s="380">
        <v>6.25</v>
      </c>
      <c r="Z298" s="380">
        <v>6.85</v>
      </c>
    </row>
    <row r="299" spans="1:26" x14ac:dyDescent="0.2">
      <c r="A299" t="s">
        <v>453</v>
      </c>
      <c r="B299" s="380" t="s">
        <v>461</v>
      </c>
      <c r="C299" s="380" t="s">
        <v>444</v>
      </c>
      <c r="D299" s="380" t="s">
        <v>459</v>
      </c>
      <c r="E299" s="380" t="s">
        <v>453</v>
      </c>
      <c r="F299" s="380" t="s">
        <v>453</v>
      </c>
      <c r="G299" s="380">
        <v>10.65</v>
      </c>
      <c r="H299" s="380">
        <v>10.6</v>
      </c>
      <c r="I299" s="380">
        <v>4.58</v>
      </c>
      <c r="J299" s="380">
        <v>5.95</v>
      </c>
      <c r="K299" s="380">
        <v>11.7</v>
      </c>
      <c r="L299" s="380">
        <v>6.95</v>
      </c>
      <c r="M299" s="380">
        <v>10.3</v>
      </c>
      <c r="N299" s="380">
        <v>4.0999999999999996</v>
      </c>
      <c r="O299" s="380">
        <v>7.02</v>
      </c>
      <c r="P299" s="380">
        <v>5.29</v>
      </c>
      <c r="Q299" s="380">
        <v>4.17</v>
      </c>
      <c r="R299" s="380">
        <v>2.35</v>
      </c>
      <c r="S299" s="380">
        <v>5.25</v>
      </c>
      <c r="T299" s="380">
        <v>3.7</v>
      </c>
      <c r="U299" s="380">
        <v>4.0999999999999996</v>
      </c>
      <c r="V299" s="380">
        <v>5.92</v>
      </c>
      <c r="W299" s="380">
        <v>3.9</v>
      </c>
      <c r="X299" s="380">
        <v>3.72</v>
      </c>
      <c r="Y299" s="380">
        <v>9.5500000000000007</v>
      </c>
      <c r="Z299" s="380">
        <v>5.5</v>
      </c>
    </row>
    <row r="300" spans="1:26" x14ac:dyDescent="0.2">
      <c r="A300" t="s">
        <v>453</v>
      </c>
      <c r="B300" s="380" t="s">
        <v>461</v>
      </c>
      <c r="C300" s="380" t="s">
        <v>444</v>
      </c>
      <c r="D300" s="380" t="s">
        <v>459</v>
      </c>
      <c r="E300" s="380" t="s">
        <v>453</v>
      </c>
      <c r="F300" s="380" t="s">
        <v>453</v>
      </c>
      <c r="G300" s="380">
        <v>4.5</v>
      </c>
      <c r="H300" s="380">
        <v>2.9</v>
      </c>
      <c r="I300" s="380">
        <v>4.63</v>
      </c>
      <c r="J300" s="380">
        <v>11.22</v>
      </c>
      <c r="K300" s="380">
        <v>6.72</v>
      </c>
      <c r="L300" s="380">
        <v>13.25</v>
      </c>
      <c r="M300" s="380">
        <v>9.6</v>
      </c>
      <c r="N300" s="380">
        <v>11.3</v>
      </c>
      <c r="O300" s="380">
        <v>7.18</v>
      </c>
      <c r="P300" s="380">
        <v>4.3499999999999996</v>
      </c>
      <c r="Q300" s="380">
        <v>6.35</v>
      </c>
      <c r="R300" s="380">
        <v>6.48</v>
      </c>
      <c r="S300" s="380">
        <v>5.6</v>
      </c>
      <c r="T300" s="380">
        <v>5.05</v>
      </c>
      <c r="U300" s="380">
        <v>5.7</v>
      </c>
      <c r="V300" s="380">
        <v>4.0999999999999996</v>
      </c>
      <c r="W300" s="380">
        <v>5.12</v>
      </c>
      <c r="X300" s="380">
        <v>4.9800000000000004</v>
      </c>
      <c r="Y300" s="380">
        <v>4.99</v>
      </c>
      <c r="Z300" s="380">
        <v>4.45</v>
      </c>
    </row>
    <row r="301" spans="1:26" x14ac:dyDescent="0.2">
      <c r="A301" t="s">
        <v>453</v>
      </c>
      <c r="B301" s="380" t="s">
        <v>461</v>
      </c>
      <c r="C301" s="380" t="s">
        <v>444</v>
      </c>
      <c r="D301" s="380" t="s">
        <v>459</v>
      </c>
      <c r="E301" s="380" t="s">
        <v>453</v>
      </c>
      <c r="F301" s="380" t="s">
        <v>453</v>
      </c>
      <c r="G301" s="380">
        <v>4.4000000000000004</v>
      </c>
      <c r="H301" s="380">
        <v>4.1500000000000004</v>
      </c>
      <c r="I301" s="380">
        <v>4.71</v>
      </c>
      <c r="J301" s="380">
        <v>5.78</v>
      </c>
      <c r="K301" s="380">
        <v>3.49</v>
      </c>
      <c r="L301" s="380">
        <v>5.15</v>
      </c>
      <c r="M301" s="380">
        <v>3.95</v>
      </c>
      <c r="N301" s="380">
        <v>5.05</v>
      </c>
      <c r="O301" s="380">
        <v>4.95</v>
      </c>
      <c r="P301" s="380">
        <v>6.15</v>
      </c>
      <c r="Q301" s="380">
        <v>4.49</v>
      </c>
      <c r="R301" s="380">
        <v>3.48</v>
      </c>
      <c r="S301" s="380">
        <v>4.7300000000000004</v>
      </c>
      <c r="T301" s="380">
        <v>3.85</v>
      </c>
      <c r="U301" s="380">
        <v>3.35</v>
      </c>
      <c r="V301" s="380">
        <v>4.2</v>
      </c>
      <c r="W301" s="380">
        <v>4.1500000000000004</v>
      </c>
      <c r="X301" s="380">
        <v>3.35</v>
      </c>
      <c r="Y301" s="380">
        <v>3.49</v>
      </c>
      <c r="Z301" s="380">
        <v>2.52</v>
      </c>
    </row>
    <row r="302" spans="1:26" x14ac:dyDescent="0.2">
      <c r="A302" t="s">
        <v>453</v>
      </c>
      <c r="B302" s="380" t="s">
        <v>461</v>
      </c>
      <c r="C302" s="380" t="s">
        <v>444</v>
      </c>
      <c r="D302" s="380" t="s">
        <v>459</v>
      </c>
      <c r="E302" s="380" t="s">
        <v>453</v>
      </c>
      <c r="F302" s="380" t="s">
        <v>453</v>
      </c>
      <c r="G302" s="380">
        <v>4.05</v>
      </c>
      <c r="H302" s="380">
        <v>3.05</v>
      </c>
      <c r="I302" s="380">
        <v>3.6</v>
      </c>
      <c r="J302" s="380">
        <v>2.2999999999999998</v>
      </c>
      <c r="K302" s="380">
        <v>11.6</v>
      </c>
      <c r="L302" s="380">
        <v>11.4</v>
      </c>
      <c r="M302" s="380">
        <v>13.65</v>
      </c>
      <c r="N302" s="380">
        <v>11.42</v>
      </c>
      <c r="O302" s="380">
        <v>8.99</v>
      </c>
      <c r="P302" s="380">
        <v>9.69</v>
      </c>
      <c r="Q302" s="380">
        <v>7.75</v>
      </c>
      <c r="R302" s="380">
        <v>7.73</v>
      </c>
      <c r="S302" s="380">
        <v>6.8</v>
      </c>
      <c r="T302" s="380">
        <v>7.43</v>
      </c>
      <c r="U302" s="380">
        <v>10.48</v>
      </c>
      <c r="V302" s="380">
        <v>5.72</v>
      </c>
      <c r="W302" s="380">
        <v>6.75</v>
      </c>
      <c r="X302" s="380">
        <v>6.5</v>
      </c>
      <c r="Y302" s="380">
        <v>5.38</v>
      </c>
      <c r="Z302" s="380">
        <v>3.62</v>
      </c>
    </row>
    <row r="303" spans="1:26" x14ac:dyDescent="0.2">
      <c r="A303" t="s">
        <v>453</v>
      </c>
      <c r="B303" s="380" t="s">
        <v>461</v>
      </c>
      <c r="C303" s="380" t="s">
        <v>444</v>
      </c>
      <c r="D303" s="380" t="s">
        <v>459</v>
      </c>
      <c r="E303" s="380" t="s">
        <v>453</v>
      </c>
      <c r="F303" s="380" t="s">
        <v>453</v>
      </c>
      <c r="G303" s="380">
        <v>4.49</v>
      </c>
      <c r="H303" s="380">
        <v>5.65</v>
      </c>
      <c r="I303" s="380">
        <v>6.02</v>
      </c>
      <c r="J303" s="380">
        <v>6.2</v>
      </c>
      <c r="K303" s="380">
        <v>4.95</v>
      </c>
      <c r="L303" s="380">
        <v>5.08</v>
      </c>
      <c r="M303" s="380">
        <v>4.4000000000000004</v>
      </c>
      <c r="N303" s="380">
        <v>2.25</v>
      </c>
      <c r="O303" s="380">
        <v>2.0499999999999998</v>
      </c>
      <c r="P303" s="380">
        <v>7.4</v>
      </c>
      <c r="Q303" s="380">
        <v>9.85</v>
      </c>
      <c r="R303" s="380">
        <v>7.13</v>
      </c>
      <c r="S303" s="380">
        <v>11.08</v>
      </c>
      <c r="T303" s="380">
        <v>5.85</v>
      </c>
      <c r="U303" s="380">
        <v>13.9</v>
      </c>
      <c r="V303" s="380">
        <v>13.12</v>
      </c>
      <c r="W303" s="380">
        <v>11.93</v>
      </c>
      <c r="X303" s="380">
        <v>8.1</v>
      </c>
      <c r="Y303" s="380">
        <v>8.1199999999999992</v>
      </c>
      <c r="Z303" s="380">
        <v>10.65</v>
      </c>
    </row>
    <row r="304" spans="1:26" x14ac:dyDescent="0.2">
      <c r="A304" t="s">
        <v>453</v>
      </c>
      <c r="B304" s="380" t="s">
        <v>461</v>
      </c>
      <c r="C304" s="380" t="s">
        <v>444</v>
      </c>
      <c r="D304" s="380" t="s">
        <v>459</v>
      </c>
      <c r="E304" s="380" t="s">
        <v>453</v>
      </c>
      <c r="F304" s="380" t="s">
        <v>453</v>
      </c>
      <c r="G304" s="380">
        <v>14.58</v>
      </c>
      <c r="H304" s="380">
        <v>9.15</v>
      </c>
      <c r="I304" s="380">
        <v>6.82</v>
      </c>
      <c r="J304" s="380">
        <v>4.68</v>
      </c>
      <c r="K304" s="380">
        <v>5.52</v>
      </c>
      <c r="L304" s="380">
        <v>6.2</v>
      </c>
      <c r="M304" s="380">
        <v>5.9</v>
      </c>
      <c r="N304" s="380">
        <v>6.98</v>
      </c>
      <c r="O304" s="380">
        <v>5.75</v>
      </c>
      <c r="P304" s="380">
        <v>6</v>
      </c>
      <c r="Q304" s="380">
        <v>4.51</v>
      </c>
      <c r="R304" s="380">
        <v>4.6500000000000004</v>
      </c>
      <c r="S304" s="380">
        <v>2.0499999999999998</v>
      </c>
      <c r="T304" s="380">
        <v>2.5299999999999998</v>
      </c>
      <c r="U304" s="380">
        <v>2.4900000000000002</v>
      </c>
      <c r="V304" s="380">
        <v>2.25</v>
      </c>
      <c r="W304" s="380">
        <v>2.2200000000000002</v>
      </c>
      <c r="X304" s="380">
        <v>2.2999999999999998</v>
      </c>
      <c r="Y304" s="380">
        <v>2.48</v>
      </c>
      <c r="Z304" s="380">
        <v>1.7</v>
      </c>
    </row>
    <row r="305" spans="1:30" x14ac:dyDescent="0.2">
      <c r="A305" t="s">
        <v>453</v>
      </c>
      <c r="B305" s="380" t="s">
        <v>461</v>
      </c>
      <c r="C305" s="380" t="s">
        <v>444</v>
      </c>
      <c r="D305" s="380" t="s">
        <v>459</v>
      </c>
      <c r="E305" s="380" t="s">
        <v>453</v>
      </c>
      <c r="F305" s="380" t="s">
        <v>453</v>
      </c>
      <c r="G305" s="380">
        <v>9.8000000000000007</v>
      </c>
      <c r="H305" s="380">
        <v>11.63</v>
      </c>
      <c r="I305" s="380">
        <v>11.3</v>
      </c>
      <c r="J305" s="380">
        <v>11.15</v>
      </c>
      <c r="K305" s="380">
        <v>9.8000000000000007</v>
      </c>
      <c r="L305" s="380">
        <v>9.4499999999999993</v>
      </c>
      <c r="M305" s="380">
        <v>12.72</v>
      </c>
      <c r="N305" s="380">
        <v>8.9499999999999993</v>
      </c>
      <c r="O305" s="380">
        <v>6.2</v>
      </c>
      <c r="P305" s="380">
        <v>8.31</v>
      </c>
      <c r="Q305" s="380">
        <v>7.9</v>
      </c>
      <c r="R305" s="380">
        <v>6.12</v>
      </c>
      <c r="S305" s="380">
        <v>4.95</v>
      </c>
      <c r="T305" s="380">
        <v>6.18</v>
      </c>
      <c r="U305" s="380">
        <v>5.85</v>
      </c>
      <c r="V305" s="380">
        <v>6.88</v>
      </c>
      <c r="W305" s="380">
        <v>5.9</v>
      </c>
      <c r="X305" s="380">
        <v>4.75</v>
      </c>
      <c r="Y305" s="380">
        <v>4.88</v>
      </c>
      <c r="Z305" s="380">
        <v>2.89</v>
      </c>
    </row>
    <row r="306" spans="1:30" x14ac:dyDescent="0.2">
      <c r="A306" t="s">
        <v>453</v>
      </c>
      <c r="B306" s="380" t="s">
        <v>461</v>
      </c>
      <c r="C306" s="380" t="s">
        <v>444</v>
      </c>
      <c r="D306" s="380" t="s">
        <v>459</v>
      </c>
      <c r="E306" s="380" t="s">
        <v>453</v>
      </c>
      <c r="F306" s="380" t="s">
        <v>453</v>
      </c>
      <c r="G306" s="380">
        <v>3.02</v>
      </c>
      <c r="H306" s="380">
        <v>4</v>
      </c>
      <c r="I306" s="380">
        <v>4.22</v>
      </c>
      <c r="J306" s="380">
        <v>9.9499999999999993</v>
      </c>
      <c r="K306" s="380">
        <v>11.68</v>
      </c>
      <c r="L306" s="380">
        <v>9.1199999999999992</v>
      </c>
      <c r="M306" s="380">
        <v>6.87</v>
      </c>
      <c r="N306" s="380">
        <v>7.98</v>
      </c>
      <c r="O306" s="380">
        <v>4.3499999999999996</v>
      </c>
      <c r="P306" s="380">
        <v>5.12</v>
      </c>
      <c r="Q306" s="380">
        <v>6.82</v>
      </c>
      <c r="R306" s="380">
        <v>5.69</v>
      </c>
      <c r="S306" s="380">
        <v>5.89</v>
      </c>
      <c r="T306" s="380">
        <v>8.92</v>
      </c>
      <c r="U306" s="380">
        <v>6.13</v>
      </c>
      <c r="V306" s="380">
        <v>8.57</v>
      </c>
      <c r="W306" s="380">
        <v>7.25</v>
      </c>
      <c r="X306" s="380">
        <v>3.93</v>
      </c>
      <c r="Y306" s="380">
        <v>6.29</v>
      </c>
      <c r="Z306" s="380">
        <v>5.82</v>
      </c>
    </row>
    <row r="307" spans="1:30" x14ac:dyDescent="0.2">
      <c r="A307" t="s">
        <v>453</v>
      </c>
      <c r="B307" s="390" t="s">
        <v>461</v>
      </c>
      <c r="C307" s="380" t="s">
        <v>444</v>
      </c>
      <c r="D307" s="380" t="s">
        <v>459</v>
      </c>
      <c r="E307" s="380" t="s">
        <v>453</v>
      </c>
      <c r="F307" s="380" t="s">
        <v>453</v>
      </c>
      <c r="G307" s="380">
        <v>4.68</v>
      </c>
      <c r="H307" s="380">
        <v>6.35</v>
      </c>
      <c r="I307" s="380">
        <v>7.48</v>
      </c>
      <c r="J307" s="380">
        <v>5.65</v>
      </c>
      <c r="K307" s="380">
        <v>9.7899999999999991</v>
      </c>
      <c r="L307" s="380">
        <v>8.49</v>
      </c>
      <c r="M307" s="380">
        <v>6.71</v>
      </c>
      <c r="N307" s="380">
        <v>5.4</v>
      </c>
      <c r="O307" s="380">
        <v>7.5</v>
      </c>
      <c r="P307" s="380">
        <v>6.95</v>
      </c>
      <c r="Q307" s="380">
        <v>5.28</v>
      </c>
      <c r="R307" s="380">
        <v>4.7</v>
      </c>
      <c r="S307" s="380">
        <v>4.99</v>
      </c>
      <c r="T307" s="380">
        <v>6.72</v>
      </c>
      <c r="U307" s="380">
        <v>5.7</v>
      </c>
      <c r="V307" s="380">
        <v>4.6500000000000004</v>
      </c>
      <c r="W307" s="380">
        <v>4.4000000000000004</v>
      </c>
      <c r="X307" s="380">
        <v>4.82</v>
      </c>
      <c r="Y307" s="380">
        <v>5.0199999999999996</v>
      </c>
      <c r="Z307" s="380">
        <v>6.25</v>
      </c>
    </row>
    <row r="308" spans="1:30" x14ac:dyDescent="0.2">
      <c r="A308" t="s">
        <v>453</v>
      </c>
      <c r="B308" t="s">
        <v>471</v>
      </c>
      <c r="C308" t="s">
        <v>445</v>
      </c>
      <c r="D308" t="s">
        <v>446</v>
      </c>
      <c r="E308" t="s">
        <v>453</v>
      </c>
      <c r="F308" t="s">
        <v>453</v>
      </c>
      <c r="G308">
        <v>12.73</v>
      </c>
      <c r="H308">
        <v>12.15</v>
      </c>
      <c r="I308">
        <v>12.7</v>
      </c>
      <c r="J308">
        <v>9.6</v>
      </c>
      <c r="K308">
        <v>6.73</v>
      </c>
      <c r="L308">
        <v>10.86</v>
      </c>
      <c r="M308">
        <v>9.08</v>
      </c>
      <c r="N308">
        <v>12.14</v>
      </c>
      <c r="O308">
        <v>11.47</v>
      </c>
      <c r="P308">
        <v>8.94</v>
      </c>
      <c r="Q308">
        <v>14.31</v>
      </c>
      <c r="R308">
        <v>14.91</v>
      </c>
      <c r="S308">
        <v>15.25</v>
      </c>
      <c r="T308">
        <v>11.63</v>
      </c>
      <c r="U308">
        <v>11.95</v>
      </c>
      <c r="V308">
        <v>10.3</v>
      </c>
      <c r="W308">
        <v>9.52</v>
      </c>
      <c r="X308">
        <v>21.13</v>
      </c>
      <c r="Y308">
        <v>12.32</v>
      </c>
      <c r="Z308">
        <v>12.42</v>
      </c>
    </row>
    <row r="309" spans="1:30" x14ac:dyDescent="0.2">
      <c r="A309" t="s">
        <v>453</v>
      </c>
      <c r="B309" t="s">
        <v>471</v>
      </c>
      <c r="C309" t="s">
        <v>445</v>
      </c>
      <c r="D309" t="s">
        <v>446</v>
      </c>
      <c r="E309" t="s">
        <v>453</v>
      </c>
      <c r="F309" t="s">
        <v>453</v>
      </c>
      <c r="G309">
        <v>14.01</v>
      </c>
      <c r="H309">
        <v>14.77</v>
      </c>
      <c r="I309">
        <v>15.7</v>
      </c>
      <c r="J309">
        <v>16.399999999999999</v>
      </c>
      <c r="K309">
        <v>10.74</v>
      </c>
      <c r="L309">
        <v>16.88</v>
      </c>
      <c r="M309">
        <v>12.83</v>
      </c>
      <c r="N309">
        <v>11.76</v>
      </c>
      <c r="O309">
        <v>8.89</v>
      </c>
      <c r="P309">
        <v>10.17</v>
      </c>
      <c r="Q309">
        <v>14.85</v>
      </c>
      <c r="R309">
        <v>14.11</v>
      </c>
      <c r="S309">
        <v>12.85</v>
      </c>
      <c r="T309">
        <v>11.3</v>
      </c>
      <c r="U309">
        <v>11.29</v>
      </c>
      <c r="V309">
        <v>10.18</v>
      </c>
      <c r="W309">
        <v>11.06</v>
      </c>
      <c r="X309">
        <v>10.76</v>
      </c>
      <c r="Y309">
        <v>9.91</v>
      </c>
      <c r="Z309">
        <v>12.17</v>
      </c>
    </row>
    <row r="310" spans="1:30" x14ac:dyDescent="0.2">
      <c r="A310" t="s">
        <v>453</v>
      </c>
      <c r="B310" t="s">
        <v>471</v>
      </c>
      <c r="C310" t="s">
        <v>445</v>
      </c>
      <c r="D310" t="s">
        <v>446</v>
      </c>
      <c r="E310" t="s">
        <v>453</v>
      </c>
      <c r="F310" t="s">
        <v>453</v>
      </c>
      <c r="G310">
        <v>8.52</v>
      </c>
      <c r="H310">
        <v>8.86</v>
      </c>
      <c r="I310">
        <v>8.1199999999999992</v>
      </c>
      <c r="J310">
        <v>8.7799999999999994</v>
      </c>
    </row>
    <row r="311" spans="1:30" x14ac:dyDescent="0.2">
      <c r="A311" t="s">
        <v>453</v>
      </c>
      <c r="B311" t="s">
        <v>471</v>
      </c>
      <c r="C311" t="s">
        <v>445</v>
      </c>
      <c r="D311" t="s">
        <v>446</v>
      </c>
      <c r="E311" t="s">
        <v>453</v>
      </c>
      <c r="F311" t="s">
        <v>453</v>
      </c>
      <c r="G311">
        <v>16.72</v>
      </c>
      <c r="H311">
        <v>13.59</v>
      </c>
      <c r="I311">
        <v>14.21</v>
      </c>
      <c r="J311">
        <v>13.06</v>
      </c>
      <c r="K311">
        <v>14.31</v>
      </c>
      <c r="L311">
        <v>17.079999999999998</v>
      </c>
      <c r="M311">
        <v>14.37</v>
      </c>
      <c r="N311">
        <v>13.55</v>
      </c>
      <c r="O311">
        <v>16.25</v>
      </c>
      <c r="P311">
        <v>13.89</v>
      </c>
      <c r="Q311">
        <v>13.77</v>
      </c>
      <c r="R311">
        <v>13.85</v>
      </c>
      <c r="S311">
        <v>14.18</v>
      </c>
      <c r="T311">
        <v>13.91</v>
      </c>
      <c r="U311">
        <v>14.74</v>
      </c>
      <c r="V311">
        <v>13.3</v>
      </c>
      <c r="W311">
        <v>15.4</v>
      </c>
      <c r="X311">
        <v>15.73</v>
      </c>
      <c r="Y311">
        <v>15.41</v>
      </c>
      <c r="Z311">
        <v>11.75</v>
      </c>
      <c r="AA311">
        <v>14.88</v>
      </c>
      <c r="AB311">
        <v>18.52</v>
      </c>
      <c r="AC311">
        <v>15.03</v>
      </c>
      <c r="AD311">
        <v>13.09</v>
      </c>
    </row>
    <row r="312" spans="1:30" x14ac:dyDescent="0.2">
      <c r="A312" t="s">
        <v>453</v>
      </c>
      <c r="B312" t="s">
        <v>470</v>
      </c>
      <c r="C312" t="s">
        <v>445</v>
      </c>
      <c r="D312" t="s">
        <v>459</v>
      </c>
      <c r="E312" t="s">
        <v>453</v>
      </c>
      <c r="F312" t="s">
        <v>453</v>
      </c>
      <c r="G312">
        <v>15.14</v>
      </c>
      <c r="H312">
        <v>12.48</v>
      </c>
      <c r="I312">
        <v>11.39</v>
      </c>
      <c r="J312">
        <v>15.71</v>
      </c>
      <c r="K312">
        <v>16.13</v>
      </c>
      <c r="L312">
        <v>13.03</v>
      </c>
      <c r="M312">
        <v>11.26</v>
      </c>
      <c r="N312">
        <v>16.559999999999999</v>
      </c>
      <c r="O312">
        <v>7.7</v>
      </c>
      <c r="P312">
        <v>11.69</v>
      </c>
      <c r="Q312">
        <v>18.489999999999998</v>
      </c>
      <c r="R312">
        <v>14.04</v>
      </c>
      <c r="S312">
        <v>10.119999999999999</v>
      </c>
      <c r="T312">
        <v>11.14</v>
      </c>
      <c r="U312">
        <v>12.54</v>
      </c>
      <c r="V312">
        <v>13.89</v>
      </c>
      <c r="W312">
        <v>8.11</v>
      </c>
      <c r="X312">
        <v>12.48</v>
      </c>
      <c r="Y312" s="380">
        <v>12.94</v>
      </c>
    </row>
    <row r="313" spans="1:30" x14ac:dyDescent="0.2">
      <c r="A313" t="s">
        <v>453</v>
      </c>
      <c r="B313" t="s">
        <v>473</v>
      </c>
      <c r="C313" t="s">
        <v>445</v>
      </c>
      <c r="D313" t="s">
        <v>460</v>
      </c>
      <c r="E313" t="s">
        <v>453</v>
      </c>
      <c r="F313" t="s">
        <v>453</v>
      </c>
      <c r="G313">
        <v>19.09</v>
      </c>
      <c r="H313">
        <v>16.16</v>
      </c>
      <c r="I313">
        <v>16.89</v>
      </c>
      <c r="J313">
        <v>18.79</v>
      </c>
    </row>
    <row r="314" spans="1:30" x14ac:dyDescent="0.2">
      <c r="A314" t="s">
        <v>453</v>
      </c>
      <c r="B314" t="s">
        <v>472</v>
      </c>
      <c r="C314" t="s">
        <v>445</v>
      </c>
      <c r="D314" t="s">
        <v>447</v>
      </c>
      <c r="E314" t="s">
        <v>453</v>
      </c>
      <c r="F314" t="s">
        <v>453</v>
      </c>
      <c r="G314">
        <v>14.33</v>
      </c>
      <c r="H314">
        <v>13.27</v>
      </c>
      <c r="I314">
        <v>19.12</v>
      </c>
      <c r="J314">
        <v>12.01</v>
      </c>
      <c r="K314">
        <v>15.4</v>
      </c>
      <c r="L314">
        <v>13.99</v>
      </c>
      <c r="M314">
        <v>15.13</v>
      </c>
      <c r="N314">
        <v>12.72</v>
      </c>
      <c r="O314">
        <v>14.92</v>
      </c>
      <c r="P314">
        <v>14.18</v>
      </c>
      <c r="Q314">
        <v>16.61</v>
      </c>
      <c r="R314">
        <v>12.75</v>
      </c>
      <c r="S314">
        <v>18.38</v>
      </c>
      <c r="T314">
        <v>13.96</v>
      </c>
      <c r="U314">
        <v>17.510000000000002</v>
      </c>
      <c r="V314">
        <v>14.76</v>
      </c>
      <c r="W314">
        <v>14.95</v>
      </c>
      <c r="X314">
        <v>14.34</v>
      </c>
      <c r="Y314">
        <v>15.77</v>
      </c>
      <c r="Z314">
        <v>15.17</v>
      </c>
      <c r="AA314">
        <v>16.829999999999998</v>
      </c>
      <c r="AB314">
        <v>18.22</v>
      </c>
      <c r="AC314">
        <v>14.9</v>
      </c>
      <c r="AD314">
        <v>13.19</v>
      </c>
    </row>
    <row r="315" spans="1:30" x14ac:dyDescent="0.2">
      <c r="A315" t="s">
        <v>453</v>
      </c>
      <c r="B315" t="s">
        <v>472</v>
      </c>
      <c r="C315" t="s">
        <v>445</v>
      </c>
      <c r="D315" t="s">
        <v>447</v>
      </c>
      <c r="E315" t="s">
        <v>453</v>
      </c>
      <c r="F315" t="s">
        <v>453</v>
      </c>
      <c r="G315">
        <v>18.79</v>
      </c>
      <c r="H315">
        <v>17.59</v>
      </c>
      <c r="I315">
        <v>19.2</v>
      </c>
      <c r="J315">
        <v>15.52</v>
      </c>
      <c r="K315">
        <v>12.2</v>
      </c>
      <c r="L315">
        <v>16.2</v>
      </c>
      <c r="M315">
        <v>16.73</v>
      </c>
      <c r="N315">
        <v>14.69</v>
      </c>
      <c r="O315">
        <v>10.68</v>
      </c>
      <c r="P315">
        <v>16.41</v>
      </c>
      <c r="Q315">
        <v>15.89</v>
      </c>
      <c r="R315">
        <v>12.97</v>
      </c>
      <c r="S315">
        <v>12.97</v>
      </c>
      <c r="T315">
        <v>15.21</v>
      </c>
      <c r="U315">
        <v>14.64</v>
      </c>
      <c r="V315">
        <v>19.66</v>
      </c>
      <c r="W315">
        <v>16.45</v>
      </c>
      <c r="X315">
        <v>18.09</v>
      </c>
      <c r="Y315">
        <v>12.23</v>
      </c>
      <c r="Z315">
        <v>13.68</v>
      </c>
    </row>
    <row r="316" spans="1:30" x14ac:dyDescent="0.2">
      <c r="A316" t="s">
        <v>453</v>
      </c>
      <c r="B316" t="s">
        <v>472</v>
      </c>
      <c r="C316" t="s">
        <v>445</v>
      </c>
      <c r="D316" t="s">
        <v>447</v>
      </c>
      <c r="E316" t="s">
        <v>453</v>
      </c>
      <c r="F316" t="s">
        <v>453</v>
      </c>
      <c r="G316">
        <v>11.98</v>
      </c>
      <c r="H316">
        <v>5.77</v>
      </c>
      <c r="I316">
        <v>15.83</v>
      </c>
      <c r="J316">
        <v>13.26</v>
      </c>
      <c r="K316">
        <v>13.46</v>
      </c>
      <c r="L316">
        <v>11.42</v>
      </c>
      <c r="M316">
        <v>11.95</v>
      </c>
      <c r="N316">
        <v>12.03</v>
      </c>
      <c r="O316">
        <v>13.77</v>
      </c>
      <c r="P316">
        <v>11.74</v>
      </c>
      <c r="Q316">
        <v>12.6</v>
      </c>
      <c r="R316">
        <v>13.62</v>
      </c>
      <c r="S316">
        <v>9.3000000000000007</v>
      </c>
      <c r="T316">
        <v>5.75</v>
      </c>
      <c r="U316">
        <v>13.79</v>
      </c>
      <c r="V316">
        <v>11.57</v>
      </c>
      <c r="W316">
        <v>6.74</v>
      </c>
      <c r="X316">
        <v>9.9600000000000009</v>
      </c>
      <c r="Y316">
        <v>6.09</v>
      </c>
      <c r="Z316">
        <v>8.99</v>
      </c>
    </row>
    <row r="317" spans="1:30" x14ac:dyDescent="0.2">
      <c r="A317" t="s">
        <v>453</v>
      </c>
      <c r="B317" t="s">
        <v>472</v>
      </c>
      <c r="C317" t="s">
        <v>445</v>
      </c>
      <c r="D317" t="s">
        <v>447</v>
      </c>
      <c r="E317" t="s">
        <v>453</v>
      </c>
      <c r="F317" t="s">
        <v>453</v>
      </c>
      <c r="G317">
        <v>10.73</v>
      </c>
      <c r="H317">
        <v>10.8</v>
      </c>
      <c r="I317">
        <v>11.54</v>
      </c>
      <c r="J317">
        <v>6.11</v>
      </c>
      <c r="K317">
        <v>10.77</v>
      </c>
      <c r="L317">
        <v>12.98</v>
      </c>
      <c r="M317">
        <v>10.57</v>
      </c>
      <c r="N317">
        <v>9.26</v>
      </c>
      <c r="O317">
        <v>13.8</v>
      </c>
      <c r="P317">
        <v>9.9700000000000006</v>
      </c>
      <c r="Q317">
        <v>11.45</v>
      </c>
      <c r="R317">
        <v>14.57</v>
      </c>
      <c r="S317">
        <v>11.39</v>
      </c>
      <c r="T317">
        <v>10.73</v>
      </c>
      <c r="U317">
        <v>10.95</v>
      </c>
      <c r="V317">
        <v>10.65</v>
      </c>
      <c r="W317">
        <v>9.48</v>
      </c>
      <c r="X317">
        <v>12.09</v>
      </c>
      <c r="Y317">
        <v>12.15</v>
      </c>
      <c r="Z317">
        <v>8.98</v>
      </c>
    </row>
    <row r="318" spans="1:30" x14ac:dyDescent="0.2">
      <c r="A318" t="s">
        <v>453</v>
      </c>
      <c r="B318" t="s">
        <v>472</v>
      </c>
      <c r="C318" t="s">
        <v>445</v>
      </c>
      <c r="D318" t="s">
        <v>447</v>
      </c>
      <c r="E318" t="s">
        <v>453</v>
      </c>
      <c r="F318" t="s">
        <v>453</v>
      </c>
      <c r="G318">
        <v>10.38</v>
      </c>
      <c r="H318">
        <v>12.17</v>
      </c>
      <c r="I318">
        <v>9</v>
      </c>
      <c r="J318">
        <v>10.71</v>
      </c>
      <c r="K318">
        <v>8.76</v>
      </c>
      <c r="L318">
        <v>11.57</v>
      </c>
      <c r="M318">
        <v>9.91</v>
      </c>
      <c r="N318">
        <v>10.53</v>
      </c>
      <c r="O318">
        <v>8.86</v>
      </c>
      <c r="P318">
        <v>9.2200000000000006</v>
      </c>
      <c r="Q318">
        <v>9.59</v>
      </c>
      <c r="R318">
        <v>7.86</v>
      </c>
      <c r="S318">
        <v>10.71</v>
      </c>
      <c r="T318">
        <v>12.37</v>
      </c>
      <c r="U318">
        <v>9.8699999999999992</v>
      </c>
      <c r="V318">
        <v>9.6199999999999992</v>
      </c>
      <c r="W318">
        <v>9.64</v>
      </c>
      <c r="X318">
        <v>10.27</v>
      </c>
      <c r="Y318">
        <v>11.04</v>
      </c>
      <c r="Z318">
        <v>10.48</v>
      </c>
    </row>
    <row r="319" spans="1:30" x14ac:dyDescent="0.2">
      <c r="A319" t="s">
        <v>453</v>
      </c>
      <c r="B319" t="s">
        <v>472</v>
      </c>
      <c r="C319" t="s">
        <v>445</v>
      </c>
      <c r="D319" t="s">
        <v>447</v>
      </c>
      <c r="E319" t="s">
        <v>453</v>
      </c>
      <c r="F319" t="s">
        <v>453</v>
      </c>
      <c r="G319">
        <v>8.7799999999999994</v>
      </c>
      <c r="H319">
        <v>9.83</v>
      </c>
      <c r="I319">
        <v>9.7899999999999991</v>
      </c>
      <c r="J319">
        <v>10</v>
      </c>
      <c r="K319">
        <v>9.65</v>
      </c>
      <c r="L319">
        <v>8.57</v>
      </c>
      <c r="M319">
        <v>8.2200000000000006</v>
      </c>
      <c r="N319">
        <v>7.41</v>
      </c>
      <c r="O319">
        <v>10.11</v>
      </c>
      <c r="P319">
        <v>11.06</v>
      </c>
      <c r="Q319">
        <v>8.39</v>
      </c>
      <c r="R319">
        <v>9.14</v>
      </c>
      <c r="S319">
        <v>9</v>
      </c>
      <c r="T319">
        <v>8.7899999999999991</v>
      </c>
      <c r="U319">
        <v>9.64</v>
      </c>
      <c r="V319">
        <v>7.78</v>
      </c>
      <c r="W319">
        <v>9.57</v>
      </c>
      <c r="X319">
        <v>9</v>
      </c>
      <c r="Y319">
        <v>8.3699999999999992</v>
      </c>
      <c r="Z319">
        <v>9.1300000000000008</v>
      </c>
    </row>
    <row r="320" spans="1:30" x14ac:dyDescent="0.2">
      <c r="A320" t="s">
        <v>453</v>
      </c>
      <c r="B320" t="s">
        <v>472</v>
      </c>
      <c r="C320" t="s">
        <v>445</v>
      </c>
      <c r="D320" t="s">
        <v>447</v>
      </c>
      <c r="E320" t="s">
        <v>453</v>
      </c>
      <c r="F320" t="s">
        <v>453</v>
      </c>
      <c r="G320">
        <v>11.65</v>
      </c>
      <c r="H320">
        <v>11.74</v>
      </c>
      <c r="I320">
        <v>9.8699999999999992</v>
      </c>
      <c r="J320">
        <v>9.18</v>
      </c>
      <c r="K320">
        <v>7.39</v>
      </c>
      <c r="L320">
        <v>6.72</v>
      </c>
      <c r="M320">
        <v>9.77</v>
      </c>
      <c r="N320">
        <v>10.67</v>
      </c>
      <c r="O320">
        <v>9.1199999999999992</v>
      </c>
      <c r="P320">
        <v>10.72</v>
      </c>
      <c r="Q320">
        <v>9.99</v>
      </c>
      <c r="R320">
        <v>9.31</v>
      </c>
      <c r="S320">
        <v>8.25</v>
      </c>
      <c r="T320">
        <v>9.86</v>
      </c>
      <c r="U320">
        <v>9.1300000000000008</v>
      </c>
      <c r="V320">
        <v>8.99</v>
      </c>
      <c r="W320">
        <v>8.1999999999999993</v>
      </c>
      <c r="X320">
        <v>8.2799999999999994</v>
      </c>
      <c r="Y320">
        <v>7.75</v>
      </c>
      <c r="Z320">
        <v>7.39</v>
      </c>
    </row>
    <row r="321" spans="1:26" x14ac:dyDescent="0.2">
      <c r="A321" t="s">
        <v>453</v>
      </c>
      <c r="B321" t="s">
        <v>472</v>
      </c>
      <c r="C321" t="s">
        <v>445</v>
      </c>
      <c r="D321" t="s">
        <v>447</v>
      </c>
      <c r="E321" t="s">
        <v>453</v>
      </c>
      <c r="F321" t="s">
        <v>453</v>
      </c>
      <c r="G321">
        <v>8.42</v>
      </c>
      <c r="H321">
        <v>7.49</v>
      </c>
      <c r="I321">
        <v>8.25</v>
      </c>
      <c r="J321">
        <v>7.82</v>
      </c>
      <c r="K321">
        <v>6.52</v>
      </c>
      <c r="L321">
        <v>6.49</v>
      </c>
      <c r="M321">
        <v>6.88</v>
      </c>
      <c r="N321">
        <v>8.5399999999999991</v>
      </c>
      <c r="O321">
        <v>6.07</v>
      </c>
      <c r="P321">
        <v>5.26</v>
      </c>
      <c r="Q321">
        <v>5.1100000000000003</v>
      </c>
      <c r="R321">
        <v>8.7200000000000006</v>
      </c>
      <c r="S321">
        <v>8.5500000000000007</v>
      </c>
      <c r="T321">
        <v>7.08</v>
      </c>
      <c r="U321">
        <v>9.0399999999999991</v>
      </c>
      <c r="V321">
        <v>7.53</v>
      </c>
      <c r="W321">
        <v>6.41</v>
      </c>
      <c r="X321">
        <v>7.13</v>
      </c>
      <c r="Y321">
        <v>8.7100000000000009</v>
      </c>
      <c r="Z321">
        <v>9.64</v>
      </c>
    </row>
    <row r="322" spans="1:26" x14ac:dyDescent="0.2">
      <c r="A322" t="s">
        <v>453</v>
      </c>
      <c r="B322" t="s">
        <v>472</v>
      </c>
      <c r="C322" t="s">
        <v>445</v>
      </c>
      <c r="D322" t="s">
        <v>447</v>
      </c>
      <c r="E322" t="s">
        <v>453</v>
      </c>
      <c r="F322" t="s">
        <v>453</v>
      </c>
      <c r="G322">
        <v>8.4700000000000006</v>
      </c>
      <c r="H322">
        <v>6.41</v>
      </c>
      <c r="I322">
        <v>6.6</v>
      </c>
      <c r="J322">
        <v>7.49</v>
      </c>
      <c r="K322">
        <v>8.9</v>
      </c>
      <c r="L322">
        <v>8.31</v>
      </c>
      <c r="M322">
        <v>8.35</v>
      </c>
      <c r="N322">
        <v>8.65</v>
      </c>
      <c r="O322">
        <v>8.1</v>
      </c>
      <c r="P322">
        <v>6.33</v>
      </c>
      <c r="Q322">
        <v>9.0399999999999991</v>
      </c>
      <c r="R322">
        <v>7.73</v>
      </c>
      <c r="S322">
        <v>6.66</v>
      </c>
      <c r="T322">
        <v>5.87</v>
      </c>
      <c r="U322">
        <v>8.39</v>
      </c>
      <c r="V322">
        <v>7.45</v>
      </c>
      <c r="W322">
        <v>7.85</v>
      </c>
      <c r="X322">
        <v>6.82</v>
      </c>
      <c r="Y322">
        <v>4.78</v>
      </c>
      <c r="Z322">
        <v>6.7</v>
      </c>
    </row>
    <row r="323" spans="1:26" x14ac:dyDescent="0.2">
      <c r="A323" t="s">
        <v>453</v>
      </c>
      <c r="B323" t="s">
        <v>472</v>
      </c>
      <c r="C323" t="s">
        <v>445</v>
      </c>
      <c r="D323" t="s">
        <v>447</v>
      </c>
      <c r="E323" t="s">
        <v>453</v>
      </c>
      <c r="F323" t="s">
        <v>453</v>
      </c>
      <c r="G323">
        <v>6.32</v>
      </c>
      <c r="H323">
        <v>6.56</v>
      </c>
      <c r="I323">
        <v>7.45</v>
      </c>
      <c r="J323">
        <v>11.43</v>
      </c>
      <c r="K323">
        <v>8.1199999999999992</v>
      </c>
      <c r="L323">
        <v>7.22</v>
      </c>
      <c r="M323">
        <v>7.32</v>
      </c>
      <c r="N323">
        <v>7.47</v>
      </c>
      <c r="O323">
        <v>5.64</v>
      </c>
      <c r="P323">
        <v>5.9</v>
      </c>
    </row>
    <row r="324" spans="1:26" x14ac:dyDescent="0.2">
      <c r="A324" t="s">
        <v>482</v>
      </c>
    </row>
    <row r="325" spans="1:26" x14ac:dyDescent="0.2">
      <c r="A325">
        <v>160</v>
      </c>
      <c r="B325" t="s">
        <v>464</v>
      </c>
    </row>
    <row r="326" spans="1:26" x14ac:dyDescent="0.2">
      <c r="A326">
        <v>169</v>
      </c>
      <c r="B326" t="s">
        <v>464</v>
      </c>
    </row>
    <row r="327" spans="1:26" x14ac:dyDescent="0.2">
      <c r="A327">
        <v>164</v>
      </c>
      <c r="B327" t="s">
        <v>464</v>
      </c>
    </row>
    <row r="328" spans="1:26" x14ac:dyDescent="0.2">
      <c r="A328">
        <v>159</v>
      </c>
      <c r="B328" t="s">
        <v>464</v>
      </c>
    </row>
    <row r="329" spans="1:26" x14ac:dyDescent="0.2">
      <c r="A329">
        <v>165</v>
      </c>
      <c r="B329" t="s">
        <v>464</v>
      </c>
    </row>
    <row r="330" spans="1:26" x14ac:dyDescent="0.2">
      <c r="A330">
        <v>166</v>
      </c>
      <c r="B330" t="s">
        <v>464</v>
      </c>
    </row>
    <row r="331" spans="1:26" x14ac:dyDescent="0.2">
      <c r="A331">
        <v>162</v>
      </c>
      <c r="B331" t="s">
        <v>464</v>
      </c>
    </row>
    <row r="332" spans="1:26" x14ac:dyDescent="0.2">
      <c r="A332">
        <v>170</v>
      </c>
      <c r="B332" t="s">
        <v>464</v>
      </c>
    </row>
    <row r="333" spans="1:26" x14ac:dyDescent="0.2">
      <c r="A333">
        <v>168</v>
      </c>
      <c r="B333" t="s">
        <v>464</v>
      </c>
    </row>
    <row r="334" spans="1:26" x14ac:dyDescent="0.2">
      <c r="A334">
        <v>161</v>
      </c>
      <c r="B334" t="s">
        <v>464</v>
      </c>
    </row>
    <row r="335" spans="1:26" x14ac:dyDescent="0.2">
      <c r="A335">
        <v>183</v>
      </c>
      <c r="B335" t="s">
        <v>448</v>
      </c>
    </row>
    <row r="336" spans="1:26" x14ac:dyDescent="0.2">
      <c r="A336">
        <v>184</v>
      </c>
      <c r="B336" t="s">
        <v>448</v>
      </c>
    </row>
    <row r="337" spans="1:2" x14ac:dyDescent="0.2">
      <c r="A337">
        <v>185</v>
      </c>
      <c r="B337" t="s">
        <v>448</v>
      </c>
    </row>
    <row r="338" spans="1:2" x14ac:dyDescent="0.2">
      <c r="A338">
        <v>186</v>
      </c>
      <c r="B338" t="s">
        <v>448</v>
      </c>
    </row>
    <row r="339" spans="1:2" x14ac:dyDescent="0.2">
      <c r="A339">
        <v>187</v>
      </c>
      <c r="B339" t="s">
        <v>448</v>
      </c>
    </row>
    <row r="340" spans="1:2" x14ac:dyDescent="0.2">
      <c r="A340">
        <v>188</v>
      </c>
      <c r="B340" t="s">
        <v>448</v>
      </c>
    </row>
    <row r="341" spans="1:2" x14ac:dyDescent="0.2">
      <c r="A341">
        <v>189</v>
      </c>
      <c r="B341" t="s">
        <v>448</v>
      </c>
    </row>
    <row r="342" spans="1:2" x14ac:dyDescent="0.2">
      <c r="A342">
        <v>170</v>
      </c>
      <c r="B342" t="s">
        <v>448</v>
      </c>
    </row>
    <row r="343" spans="1:2" x14ac:dyDescent="0.2">
      <c r="A343">
        <v>174</v>
      </c>
      <c r="B343" t="s">
        <v>448</v>
      </c>
    </row>
  </sheetData>
  <sortState ref="B2:B17">
    <sortCondition ref="B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25"/>
  <sheetViews>
    <sheetView showRuler="0" zoomScale="90" zoomScaleNormal="90" zoomScalePageLayoutView="90" workbookViewId="0">
      <pane ySplit="1140" topLeftCell="A304" activePane="bottomLeft"/>
      <selection activeCell="Q1" sqref="Q1:AD1048576"/>
      <selection pane="bottomLeft" activeCell="P325" sqref="P325"/>
    </sheetView>
  </sheetViews>
  <sheetFormatPr baseColWidth="10" defaultRowHeight="16" x14ac:dyDescent="0.2"/>
  <cols>
    <col min="1" max="1" width="11.6640625" bestFit="1" customWidth="1"/>
    <col min="2" max="2" width="12.1640625" style="47" customWidth="1"/>
    <col min="3" max="3" width="26.6640625" style="30" customWidth="1"/>
    <col min="4" max="4" width="15.1640625" customWidth="1"/>
    <col min="5" max="5" width="10.83203125" customWidth="1"/>
    <col min="6" max="6" width="10.83203125" style="1" customWidth="1"/>
    <col min="7" max="7" width="13.33203125" hidden="1" customWidth="1"/>
    <col min="8" max="15" width="10.83203125" hidden="1" customWidth="1"/>
    <col min="16" max="16" width="16.33203125" style="17" customWidth="1"/>
    <col min="17" max="17" width="16.33203125" style="17" hidden="1" customWidth="1"/>
    <col min="18" max="18" width="19.83203125" style="103" hidden="1" customWidth="1"/>
    <col min="19" max="19" width="16.33203125" style="102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hidden="1" customWidth="1"/>
    <col min="26" max="26" width="14.1640625" style="339" hidden="1" customWidth="1"/>
    <col min="27" max="27" width="15.6640625" style="17" hidden="1" customWidth="1"/>
    <col min="28" max="28" width="18.83203125" style="17" hidden="1" customWidth="1"/>
    <col min="29" max="29" width="16.1640625" hidden="1" customWidth="1"/>
    <col min="30" max="30" width="0" hidden="1" customWidth="1"/>
  </cols>
  <sheetData>
    <row r="1" spans="1:31" s="15" customFormat="1" ht="50" customHeight="1" thickBot="1" x14ac:dyDescent="0.3">
      <c r="A1" s="15" t="s">
        <v>80</v>
      </c>
      <c r="B1" s="114" t="s">
        <v>82</v>
      </c>
      <c r="C1" s="15" t="s">
        <v>159</v>
      </c>
      <c r="D1" s="15" t="s">
        <v>1</v>
      </c>
      <c r="E1" s="15" t="s">
        <v>2</v>
      </c>
      <c r="F1" s="15" t="s">
        <v>68</v>
      </c>
      <c r="G1" s="15" t="s">
        <v>202</v>
      </c>
      <c r="H1" s="15" t="s">
        <v>4</v>
      </c>
      <c r="I1" s="15" t="s">
        <v>140</v>
      </c>
      <c r="J1" s="15" t="s">
        <v>141</v>
      </c>
      <c r="K1" s="15" t="s">
        <v>142</v>
      </c>
      <c r="L1" s="15" t="s">
        <v>143</v>
      </c>
      <c r="M1" s="15" t="s">
        <v>144</v>
      </c>
      <c r="N1" s="15" t="s">
        <v>145</v>
      </c>
      <c r="P1" s="114" t="s">
        <v>161</v>
      </c>
      <c r="Q1" s="114" t="s">
        <v>211</v>
      </c>
      <c r="R1" s="163" t="s">
        <v>212</v>
      </c>
      <c r="S1" s="163" t="s">
        <v>216</v>
      </c>
      <c r="T1" s="15" t="s">
        <v>81</v>
      </c>
      <c r="U1" s="15" t="s">
        <v>203</v>
      </c>
      <c r="V1" s="15" t="s">
        <v>69</v>
      </c>
      <c r="W1" s="15" t="s">
        <v>353</v>
      </c>
      <c r="Y1" s="320" t="s">
        <v>1</v>
      </c>
      <c r="Z1" s="325" t="s">
        <v>364</v>
      </c>
      <c r="AA1" s="114" t="s">
        <v>365</v>
      </c>
      <c r="AB1" s="114" t="s">
        <v>391</v>
      </c>
      <c r="AC1" s="15" t="s">
        <v>363</v>
      </c>
      <c r="AD1" s="15" t="s">
        <v>366</v>
      </c>
    </row>
    <row r="2" spans="1:31" s="19" customFormat="1" x14ac:dyDescent="0.2">
      <c r="A2" s="18">
        <v>42878</v>
      </c>
      <c r="B2" s="89">
        <v>20</v>
      </c>
      <c r="C2" s="54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5">
        <f t="shared" ref="P2:P33" si="0">(AVERAGE(I2:M2)/G2)*H2</f>
        <v>6333.3333333333339</v>
      </c>
      <c r="Q2" s="115"/>
      <c r="R2" s="164"/>
      <c r="S2" s="173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26"/>
      <c r="AA2" s="115"/>
      <c r="AB2" s="115"/>
      <c r="AE2" s="358"/>
    </row>
    <row r="3" spans="1:31" s="23" customFormat="1" x14ac:dyDescent="0.2">
      <c r="A3" s="22">
        <v>42878</v>
      </c>
      <c r="B3" s="90">
        <v>20</v>
      </c>
      <c r="C3" s="55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6">
        <f t="shared" si="0"/>
        <v>2333.333333333333</v>
      </c>
      <c r="Q3" s="116"/>
      <c r="R3" s="165"/>
      <c r="S3" s="174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27"/>
      <c r="AA3" s="116"/>
      <c r="AB3" s="116"/>
      <c r="AE3" s="359"/>
    </row>
    <row r="4" spans="1:31" s="23" customFormat="1" x14ac:dyDescent="0.2">
      <c r="A4" s="22">
        <v>42878</v>
      </c>
      <c r="B4" s="90">
        <v>20</v>
      </c>
      <c r="C4" s="55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6">
        <f t="shared" si="0"/>
        <v>46666.666666666672</v>
      </c>
      <c r="Q4" s="116"/>
      <c r="R4" s="165"/>
      <c r="S4" s="174"/>
      <c r="U4" s="25" t="s">
        <v>70</v>
      </c>
      <c r="V4" s="25" t="e">
        <f>(200000-U4)/#REF!</f>
        <v>#VALUE!</v>
      </c>
      <c r="Y4" s="24" t="str">
        <f t="shared" si="1"/>
        <v>K-6 Low</v>
      </c>
      <c r="Z4" s="327"/>
      <c r="AA4" s="116"/>
      <c r="AB4" s="116"/>
      <c r="AE4" s="359"/>
    </row>
    <row r="5" spans="1:31" s="23" customFormat="1" x14ac:dyDescent="0.2">
      <c r="A5" s="22">
        <v>42878</v>
      </c>
      <c r="B5" s="90">
        <v>22</v>
      </c>
      <c r="C5" s="55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6">
        <f t="shared" si="0"/>
        <v>40133.333333333328</v>
      </c>
      <c r="Q5" s="116"/>
      <c r="R5" s="165"/>
      <c r="S5" s="174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27"/>
      <c r="AA5" s="116"/>
      <c r="AB5" s="116"/>
      <c r="AE5" s="359"/>
    </row>
    <row r="6" spans="1:31" s="23" customFormat="1" x14ac:dyDescent="0.2">
      <c r="A6" s="22">
        <v>42878</v>
      </c>
      <c r="B6" s="90">
        <v>22</v>
      </c>
      <c r="C6" s="55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6">
        <f t="shared" si="0"/>
        <v>81200</v>
      </c>
      <c r="Q6" s="116"/>
      <c r="R6" s="165"/>
      <c r="S6" s="174"/>
      <c r="U6" s="25" t="s">
        <v>70</v>
      </c>
      <c r="V6" s="25" t="e">
        <f>(200000-U6)/#REF!</f>
        <v>#VALUE!</v>
      </c>
      <c r="Y6" s="24" t="str">
        <f t="shared" si="1"/>
        <v>K-10 Amb</v>
      </c>
      <c r="Z6" s="327"/>
      <c r="AA6" s="116"/>
      <c r="AB6" s="116"/>
      <c r="AE6" s="359"/>
    </row>
    <row r="7" spans="1:31" s="23" customFormat="1" x14ac:dyDescent="0.2">
      <c r="A7" s="22">
        <v>42878</v>
      </c>
      <c r="B7" s="90">
        <v>22</v>
      </c>
      <c r="C7" s="55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6">
        <f t="shared" si="0"/>
        <v>2800</v>
      </c>
      <c r="Q7" s="116"/>
      <c r="R7" s="165"/>
      <c r="S7" s="174"/>
      <c r="U7" s="25" t="s">
        <v>70</v>
      </c>
      <c r="V7" s="25" t="e">
        <f>(200000-U7)/#REF!</f>
        <v>#VALUE!</v>
      </c>
      <c r="Y7" s="24" t="str">
        <f t="shared" si="1"/>
        <v>K-10 Amb</v>
      </c>
      <c r="Z7" s="327"/>
      <c r="AA7" s="116"/>
      <c r="AB7" s="116"/>
      <c r="AE7" s="359"/>
    </row>
    <row r="8" spans="1:31" s="23" customFormat="1" x14ac:dyDescent="0.2">
      <c r="A8" s="22">
        <v>42878</v>
      </c>
      <c r="B8" s="90">
        <v>16</v>
      </c>
      <c r="C8" s="55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6">
        <f t="shared" si="0"/>
        <v>800</v>
      </c>
      <c r="Q8" s="116"/>
      <c r="R8" s="165"/>
      <c r="S8" s="174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27"/>
      <c r="AA8" s="116"/>
      <c r="AB8" s="116"/>
      <c r="AE8" s="359"/>
    </row>
    <row r="9" spans="1:31" s="23" customFormat="1" x14ac:dyDescent="0.2">
      <c r="A9" s="22">
        <v>42878</v>
      </c>
      <c r="B9" s="90">
        <v>16</v>
      </c>
      <c r="C9" s="55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6">
        <f t="shared" si="0"/>
        <v>5266.6666666666661</v>
      </c>
      <c r="Q9" s="116"/>
      <c r="R9" s="165"/>
      <c r="S9" s="174"/>
      <c r="U9" s="25" t="s">
        <v>70</v>
      </c>
      <c r="V9" s="25" t="e">
        <f>(200000-U9)/#REF!</f>
        <v>#VALUE!</v>
      </c>
      <c r="Y9" s="24" t="str">
        <f t="shared" si="1"/>
        <v>SN-6 Amb</v>
      </c>
      <c r="Z9" s="327"/>
      <c r="AA9" s="116"/>
      <c r="AB9" s="116"/>
      <c r="AE9" s="359"/>
    </row>
    <row r="10" spans="1:31" s="23" customFormat="1" x14ac:dyDescent="0.2">
      <c r="A10" s="22">
        <v>42878</v>
      </c>
      <c r="B10" s="90">
        <v>16</v>
      </c>
      <c r="C10" s="55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6">
        <f t="shared" si="0"/>
        <v>29466.666666666668</v>
      </c>
      <c r="Q10" s="116"/>
      <c r="R10" s="165"/>
      <c r="S10" s="174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27"/>
      <c r="AA10" s="116"/>
      <c r="AB10" s="116"/>
      <c r="AE10" s="359"/>
    </row>
    <row r="11" spans="1:31" s="23" customFormat="1" x14ac:dyDescent="0.2">
      <c r="A11" s="22">
        <v>42878</v>
      </c>
      <c r="B11" s="90">
        <v>5</v>
      </c>
      <c r="C11" s="55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6">
        <f t="shared" si="0"/>
        <v>145600</v>
      </c>
      <c r="Q11" s="116"/>
      <c r="R11" s="165"/>
      <c r="S11" s="174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27"/>
      <c r="AA11" s="116"/>
      <c r="AB11" s="116"/>
      <c r="AE11" s="359"/>
    </row>
    <row r="12" spans="1:31" s="23" customFormat="1" x14ac:dyDescent="0.2">
      <c r="A12" s="22">
        <v>42878</v>
      </c>
      <c r="B12" s="90">
        <v>7</v>
      </c>
      <c r="C12" s="55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6">
        <f t="shared" si="0"/>
        <v>189000</v>
      </c>
      <c r="Q12" s="116"/>
      <c r="R12" s="165"/>
      <c r="S12" s="174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27"/>
      <c r="AA12" s="116"/>
      <c r="AB12" s="116"/>
      <c r="AE12" s="359"/>
    </row>
    <row r="13" spans="1:31" s="23" customFormat="1" x14ac:dyDescent="0.2">
      <c r="A13" s="22">
        <v>42878</v>
      </c>
      <c r="B13" s="90">
        <v>12</v>
      </c>
      <c r="C13" s="55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6">
        <f t="shared" si="0"/>
        <v>49600</v>
      </c>
      <c r="Q13" s="116"/>
      <c r="R13" s="165"/>
      <c r="S13" s="174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27"/>
      <c r="AA13" s="116"/>
      <c r="AB13" s="116"/>
      <c r="AE13" s="359"/>
    </row>
    <row r="14" spans="1:31" s="23" customFormat="1" x14ac:dyDescent="0.2">
      <c r="A14" s="22">
        <v>42878</v>
      </c>
      <c r="B14" s="90">
        <v>13</v>
      </c>
      <c r="C14" s="55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6">
        <f t="shared" si="0"/>
        <v>135800</v>
      </c>
      <c r="Q14" s="116"/>
      <c r="R14" s="165"/>
      <c r="S14" s="174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27"/>
      <c r="AA14" s="116"/>
      <c r="AB14" s="116"/>
      <c r="AE14" s="359"/>
    </row>
    <row r="15" spans="1:31" s="23" customFormat="1" x14ac:dyDescent="0.2">
      <c r="A15" s="22">
        <v>42878</v>
      </c>
      <c r="B15" s="398">
        <v>1</v>
      </c>
      <c r="C15" s="55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6">
        <f t="shared" si="0"/>
        <v>10000</v>
      </c>
      <c r="Q15" s="116"/>
      <c r="R15" s="165"/>
      <c r="S15" s="174"/>
      <c r="T15" s="23">
        <v>13</v>
      </c>
      <c r="U15" s="25"/>
      <c r="V15" s="25"/>
      <c r="Y15" s="24" t="str">
        <f t="shared" si="1"/>
        <v>SN-6 Low</v>
      </c>
      <c r="Z15" s="327"/>
      <c r="AA15" s="116"/>
      <c r="AB15" s="116"/>
      <c r="AE15" s="359"/>
    </row>
    <row r="16" spans="1:31" s="23" customFormat="1" x14ac:dyDescent="0.2">
      <c r="A16" s="22">
        <v>42878</v>
      </c>
      <c r="B16" s="90">
        <v>11</v>
      </c>
      <c r="C16" s="55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6">
        <f t="shared" si="0"/>
        <v>121666.66666666667</v>
      </c>
      <c r="Q16" s="116"/>
      <c r="R16" s="165"/>
      <c r="S16" s="174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27"/>
      <c r="AA16" s="116"/>
      <c r="AB16" s="116"/>
      <c r="AE16" s="359"/>
    </row>
    <row r="17" spans="1:31" s="23" customFormat="1" x14ac:dyDescent="0.2">
      <c r="A17" s="22">
        <v>42878</v>
      </c>
      <c r="B17" s="90">
        <v>18</v>
      </c>
      <c r="C17" s="55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6">
        <f t="shared" si="0"/>
        <v>15400</v>
      </c>
      <c r="Q17" s="116"/>
      <c r="R17" s="165"/>
      <c r="S17" s="174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27"/>
      <c r="AA17" s="116"/>
      <c r="AB17" s="116"/>
      <c r="AE17" s="359"/>
    </row>
    <row r="18" spans="1:31" s="23" customFormat="1" ht="17" thickBot="1" x14ac:dyDescent="0.25">
      <c r="A18" s="22">
        <v>42878</v>
      </c>
      <c r="B18" s="90">
        <v>17</v>
      </c>
      <c r="C18" s="55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6">
        <f t="shared" si="0"/>
        <v>82333.333333333328</v>
      </c>
      <c r="Q18" s="116"/>
      <c r="R18" s="165"/>
      <c r="S18" s="174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27"/>
      <c r="AA18" s="116"/>
      <c r="AB18" s="116"/>
      <c r="AE18" s="359"/>
    </row>
    <row r="19" spans="1:31" s="19" customFormat="1" x14ac:dyDescent="0.2">
      <c r="A19" s="18">
        <v>42881</v>
      </c>
      <c r="B19" s="89">
        <v>11</v>
      </c>
      <c r="C19" s="54"/>
      <c r="D19" s="19" t="s">
        <v>78</v>
      </c>
      <c r="E19" s="19">
        <v>3</v>
      </c>
      <c r="F19" s="20">
        <v>100</v>
      </c>
      <c r="G19" s="19">
        <v>0.5</v>
      </c>
      <c r="H19" s="19">
        <v>800</v>
      </c>
      <c r="I19" s="19">
        <v>83</v>
      </c>
      <c r="K19" s="19">
        <v>68</v>
      </c>
      <c r="M19" s="19">
        <v>71</v>
      </c>
      <c r="P19" s="115">
        <f t="shared" si="0"/>
        <v>118400</v>
      </c>
      <c r="Q19" s="115"/>
      <c r="R19" s="164"/>
      <c r="S19" s="173"/>
      <c r="T19" s="19">
        <v>11</v>
      </c>
      <c r="U19" s="21">
        <f t="shared" ref="U19:U24" si="2">P19</f>
        <v>118400</v>
      </c>
      <c r="V19" s="21">
        <f>(200000-U19)/4</f>
        <v>20400</v>
      </c>
      <c r="Y19" s="24" t="str">
        <f t="shared" ref="Y19:Y31" si="3">D19</f>
        <v xml:space="preserve">SN-10 Amb </v>
      </c>
      <c r="Z19" s="326"/>
      <c r="AA19" s="115"/>
      <c r="AB19" s="115"/>
      <c r="AE19" s="358"/>
    </row>
    <row r="20" spans="1:31" s="23" customFormat="1" x14ac:dyDescent="0.2">
      <c r="A20" s="22">
        <v>42881</v>
      </c>
      <c r="B20" s="90">
        <v>8</v>
      </c>
      <c r="C20" s="55"/>
      <c r="D20" s="23" t="s">
        <v>101</v>
      </c>
      <c r="E20" s="23">
        <v>3</v>
      </c>
      <c r="F20" s="24">
        <v>100</v>
      </c>
      <c r="G20" s="23">
        <v>0.5</v>
      </c>
      <c r="H20" s="23">
        <v>300</v>
      </c>
      <c r="I20" s="23">
        <v>21</v>
      </c>
      <c r="K20" s="23">
        <v>20</v>
      </c>
      <c r="M20" s="23">
        <v>19</v>
      </c>
      <c r="P20" s="116">
        <f t="shared" si="0"/>
        <v>12000</v>
      </c>
      <c r="Q20" s="116"/>
      <c r="R20" s="165"/>
      <c r="S20" s="174"/>
      <c r="T20" s="23">
        <v>8</v>
      </c>
      <c r="U20" s="25">
        <f t="shared" si="2"/>
        <v>12000</v>
      </c>
      <c r="V20" s="25">
        <f>(200000-U20)/4</f>
        <v>47000</v>
      </c>
      <c r="Y20" s="24" t="str">
        <f t="shared" si="3"/>
        <v xml:space="preserve">NF-6 Amb </v>
      </c>
      <c r="Z20" s="327"/>
      <c r="AA20" s="116"/>
      <c r="AB20" s="116"/>
      <c r="AE20" s="359"/>
    </row>
    <row r="21" spans="1:31" s="23" customFormat="1" x14ac:dyDescent="0.2">
      <c r="A21" s="22">
        <v>42881</v>
      </c>
      <c r="B21" s="90">
        <v>16</v>
      </c>
      <c r="C21" s="55"/>
      <c r="D21" s="23" t="s">
        <v>102</v>
      </c>
      <c r="E21" s="23">
        <v>3</v>
      </c>
      <c r="F21" s="24">
        <v>100</v>
      </c>
      <c r="G21" s="23">
        <v>0.5</v>
      </c>
      <c r="H21" s="23">
        <v>400</v>
      </c>
      <c r="I21" s="23">
        <v>113</v>
      </c>
      <c r="K21" s="23">
        <v>122</v>
      </c>
      <c r="M21" s="23">
        <v>131</v>
      </c>
      <c r="P21" s="116">
        <f t="shared" si="0"/>
        <v>97600</v>
      </c>
      <c r="Q21" s="116"/>
      <c r="R21" s="165"/>
      <c r="S21" s="174"/>
      <c r="T21" s="23">
        <v>16</v>
      </c>
      <c r="U21" s="25">
        <f t="shared" si="2"/>
        <v>97600</v>
      </c>
      <c r="V21" s="25">
        <f t="shared" ref="V21:V33" si="4">(200000-U21)/4</f>
        <v>25600</v>
      </c>
      <c r="Y21" s="24" t="str">
        <f t="shared" si="3"/>
        <v xml:space="preserve">SN-6 Amb </v>
      </c>
      <c r="Z21" s="327"/>
      <c r="AA21" s="116"/>
      <c r="AB21" s="116"/>
      <c r="AE21" s="359"/>
    </row>
    <row r="22" spans="1:31" s="23" customFormat="1" x14ac:dyDescent="0.2">
      <c r="A22" s="22">
        <v>42881</v>
      </c>
      <c r="B22" s="90">
        <v>13</v>
      </c>
      <c r="C22" s="55"/>
      <c r="D22" s="23" t="s">
        <v>77</v>
      </c>
      <c r="E22" s="23">
        <v>3</v>
      </c>
      <c r="F22" s="24">
        <v>100</v>
      </c>
      <c r="G22" s="23">
        <v>0.5</v>
      </c>
      <c r="H22" s="23">
        <v>800</v>
      </c>
      <c r="I22" s="23">
        <v>63</v>
      </c>
      <c r="K22" s="23">
        <v>59</v>
      </c>
      <c r="M22" s="23">
        <v>61</v>
      </c>
      <c r="P22" s="116">
        <f t="shared" si="0"/>
        <v>97600</v>
      </c>
      <c r="Q22" s="116"/>
      <c r="R22" s="165"/>
      <c r="S22" s="174"/>
      <c r="T22" s="23">
        <v>13</v>
      </c>
      <c r="U22" s="25">
        <f t="shared" si="2"/>
        <v>97600</v>
      </c>
      <c r="V22" s="25">
        <f t="shared" si="4"/>
        <v>25600</v>
      </c>
      <c r="Y22" s="24" t="str">
        <f t="shared" si="3"/>
        <v>SN-6 Low</v>
      </c>
      <c r="Z22" s="327"/>
      <c r="AA22" s="116"/>
      <c r="AB22" s="116"/>
      <c r="AE22" s="359"/>
    </row>
    <row r="23" spans="1:31" s="23" customFormat="1" x14ac:dyDescent="0.2">
      <c r="A23" s="22">
        <v>42881</v>
      </c>
      <c r="B23" s="90">
        <v>3</v>
      </c>
      <c r="C23" s="55"/>
      <c r="D23" s="23" t="s">
        <v>103</v>
      </c>
      <c r="E23" s="23">
        <v>3</v>
      </c>
      <c r="F23" s="24">
        <v>100</v>
      </c>
      <c r="G23" s="23">
        <v>0.5</v>
      </c>
      <c r="H23" s="23">
        <v>800</v>
      </c>
      <c r="I23" s="23">
        <v>41</v>
      </c>
      <c r="K23" s="23">
        <v>43</v>
      </c>
      <c r="M23" s="23">
        <v>47</v>
      </c>
      <c r="P23" s="116">
        <f t="shared" si="0"/>
        <v>69866.666666666657</v>
      </c>
      <c r="Q23" s="116"/>
      <c r="R23" s="165"/>
      <c r="S23" s="174"/>
      <c r="T23" s="23">
        <v>3</v>
      </c>
      <c r="U23" s="25">
        <f t="shared" si="2"/>
        <v>69866.666666666657</v>
      </c>
      <c r="V23" s="25">
        <f t="shared" si="4"/>
        <v>32533.333333333336</v>
      </c>
      <c r="Y23" s="24" t="str">
        <f t="shared" si="3"/>
        <v>NF-10 Amb</v>
      </c>
      <c r="Z23" s="327"/>
      <c r="AA23" s="116"/>
      <c r="AB23" s="116"/>
      <c r="AE23" s="359"/>
    </row>
    <row r="24" spans="1:31" s="23" customFormat="1" x14ac:dyDescent="0.2">
      <c r="A24" s="22">
        <v>42881</v>
      </c>
      <c r="B24" s="90">
        <v>5</v>
      </c>
      <c r="C24" s="55"/>
      <c r="D24" s="23" t="s">
        <v>73</v>
      </c>
      <c r="E24" s="23">
        <v>3</v>
      </c>
      <c r="F24" s="24">
        <v>100</v>
      </c>
      <c r="G24" s="23">
        <v>0.5</v>
      </c>
      <c r="H24" s="23">
        <v>800</v>
      </c>
      <c r="I24" s="23">
        <v>70</v>
      </c>
      <c r="K24" s="23">
        <v>67</v>
      </c>
      <c r="M24" s="23">
        <v>73</v>
      </c>
      <c r="P24" s="116">
        <f t="shared" si="0"/>
        <v>112000</v>
      </c>
      <c r="Q24" s="116"/>
      <c r="R24" s="165"/>
      <c r="S24" s="174"/>
      <c r="T24" s="23">
        <v>5</v>
      </c>
      <c r="U24" s="25">
        <f t="shared" si="2"/>
        <v>112000</v>
      </c>
      <c r="V24" s="25">
        <f t="shared" si="4"/>
        <v>22000</v>
      </c>
      <c r="Y24" s="24" t="str">
        <f t="shared" si="3"/>
        <v>SN-10 Amb</v>
      </c>
      <c r="Z24" s="327"/>
      <c r="AA24" s="116"/>
      <c r="AB24" s="116"/>
      <c r="AE24" s="359"/>
    </row>
    <row r="25" spans="1:31" s="23" customFormat="1" x14ac:dyDescent="0.2">
      <c r="A25" s="22">
        <v>42881</v>
      </c>
      <c r="B25" s="90">
        <v>12</v>
      </c>
      <c r="C25" s="55"/>
      <c r="D25" s="23" t="s">
        <v>83</v>
      </c>
      <c r="E25" s="23">
        <v>3</v>
      </c>
      <c r="F25" s="24">
        <v>100</v>
      </c>
      <c r="G25" s="23">
        <v>0.5</v>
      </c>
      <c r="H25" s="23">
        <v>800</v>
      </c>
      <c r="I25" s="23">
        <v>64</v>
      </c>
      <c r="K25" s="23">
        <v>50</v>
      </c>
      <c r="M25" s="23">
        <v>51</v>
      </c>
      <c r="P25" s="116">
        <f t="shared" si="0"/>
        <v>88000</v>
      </c>
      <c r="Q25" s="116"/>
      <c r="R25" s="165"/>
      <c r="S25" s="174"/>
      <c r="T25" s="23">
        <v>12</v>
      </c>
      <c r="U25" s="25">
        <f>P25+P27</f>
        <v>150666.66666666666</v>
      </c>
      <c r="V25" s="25">
        <f t="shared" si="4"/>
        <v>12333.333333333336</v>
      </c>
      <c r="Y25" s="24" t="str">
        <f t="shared" si="3"/>
        <v>NF-10 Low</v>
      </c>
      <c r="Z25" s="327"/>
      <c r="AA25" s="116"/>
      <c r="AB25" s="116"/>
      <c r="AE25" s="359"/>
    </row>
    <row r="26" spans="1:31" s="23" customFormat="1" x14ac:dyDescent="0.2">
      <c r="A26" s="22">
        <v>42881</v>
      </c>
      <c r="B26" s="90">
        <v>7</v>
      </c>
      <c r="C26" s="55"/>
      <c r="D26" s="23" t="s">
        <v>74</v>
      </c>
      <c r="E26" s="23">
        <v>3</v>
      </c>
      <c r="F26" s="24">
        <v>100</v>
      </c>
      <c r="G26" s="23">
        <v>0.5</v>
      </c>
      <c r="H26" s="23">
        <v>900</v>
      </c>
      <c r="I26" s="23">
        <v>111</v>
      </c>
      <c r="K26" s="23">
        <v>76</v>
      </c>
      <c r="M26" s="23">
        <v>112</v>
      </c>
      <c r="P26" s="116">
        <f t="shared" si="0"/>
        <v>179400</v>
      </c>
      <c r="Q26" s="116"/>
      <c r="R26" s="165"/>
      <c r="S26" s="174"/>
      <c r="T26" s="23">
        <v>7</v>
      </c>
      <c r="U26" s="25">
        <f>P26</f>
        <v>179400</v>
      </c>
      <c r="V26" s="25">
        <f t="shared" si="4"/>
        <v>5150</v>
      </c>
      <c r="Y26" s="24" t="str">
        <f t="shared" si="3"/>
        <v>SN-10 Low</v>
      </c>
      <c r="Z26" s="327"/>
      <c r="AA26" s="116"/>
      <c r="AB26" s="116"/>
      <c r="AE26" s="359"/>
    </row>
    <row r="27" spans="1:31" s="23" customFormat="1" x14ac:dyDescent="0.2">
      <c r="A27" s="22">
        <v>42881</v>
      </c>
      <c r="B27" s="398">
        <v>9</v>
      </c>
      <c r="C27" s="55"/>
      <c r="D27" s="23" t="s">
        <v>83</v>
      </c>
      <c r="E27" s="23">
        <v>4</v>
      </c>
      <c r="F27" s="24">
        <v>100</v>
      </c>
      <c r="G27" s="23">
        <v>0.5</v>
      </c>
      <c r="H27" s="23">
        <v>500</v>
      </c>
      <c r="I27" s="23">
        <v>61</v>
      </c>
      <c r="K27" s="23">
        <v>61</v>
      </c>
      <c r="M27" s="23">
        <v>66</v>
      </c>
      <c r="P27" s="116">
        <f t="shared" si="0"/>
        <v>62666.666666666664</v>
      </c>
      <c r="Q27" s="116"/>
      <c r="R27" s="165"/>
      <c r="S27" s="174"/>
      <c r="T27" s="23">
        <v>12</v>
      </c>
      <c r="U27" s="25"/>
      <c r="V27" s="25"/>
      <c r="Y27" s="24" t="str">
        <f t="shared" si="3"/>
        <v>NF-10 Low</v>
      </c>
      <c r="Z27" s="327"/>
      <c r="AA27" s="116"/>
      <c r="AB27" s="116"/>
      <c r="AE27" s="359"/>
    </row>
    <row r="28" spans="1:31" s="23" customFormat="1" x14ac:dyDescent="0.2">
      <c r="A28" s="22">
        <v>42881</v>
      </c>
      <c r="B28" s="90">
        <v>10</v>
      </c>
      <c r="C28" s="55"/>
      <c r="D28" s="23" t="s">
        <v>104</v>
      </c>
      <c r="E28" s="23">
        <v>4</v>
      </c>
      <c r="F28" s="24">
        <v>100</v>
      </c>
      <c r="G28" s="23">
        <v>0.5</v>
      </c>
      <c r="H28" s="23">
        <v>650</v>
      </c>
      <c r="I28" s="23">
        <v>82</v>
      </c>
      <c r="K28" s="23">
        <v>80</v>
      </c>
      <c r="M28" s="23">
        <v>69</v>
      </c>
      <c r="P28" s="116">
        <f t="shared" si="0"/>
        <v>100100</v>
      </c>
      <c r="Q28" s="116"/>
      <c r="R28" s="165"/>
      <c r="S28" s="174"/>
      <c r="T28" s="23">
        <v>10</v>
      </c>
      <c r="U28" s="25">
        <f t="shared" ref="U28:U33" si="5">P28</f>
        <v>100100</v>
      </c>
      <c r="V28" s="25">
        <f t="shared" si="4"/>
        <v>24975</v>
      </c>
      <c r="Y28" s="24" t="str">
        <f t="shared" si="3"/>
        <v>NF-6 Low</v>
      </c>
      <c r="Z28" s="327"/>
      <c r="AA28" s="116"/>
      <c r="AB28" s="116"/>
      <c r="AE28" s="359"/>
    </row>
    <row r="29" spans="1:31" s="23" customFormat="1" x14ac:dyDescent="0.2">
      <c r="A29" s="22">
        <v>42881</v>
      </c>
      <c r="B29" s="90">
        <v>17</v>
      </c>
      <c r="C29" s="55"/>
      <c r="D29" s="23" t="s">
        <v>105</v>
      </c>
      <c r="E29" s="23">
        <v>4</v>
      </c>
      <c r="F29" s="24">
        <v>100</v>
      </c>
      <c r="G29" s="23">
        <v>0.5</v>
      </c>
      <c r="H29" s="23">
        <v>500</v>
      </c>
      <c r="I29" s="23">
        <v>26</v>
      </c>
      <c r="K29" s="23">
        <v>22</v>
      </c>
      <c r="M29" s="23">
        <v>14</v>
      </c>
      <c r="P29" s="116">
        <f t="shared" si="0"/>
        <v>20666.666666666668</v>
      </c>
      <c r="Q29" s="116"/>
      <c r="R29" s="165"/>
      <c r="S29" s="174"/>
      <c r="T29" s="23">
        <v>17</v>
      </c>
      <c r="U29" s="25">
        <f t="shared" si="5"/>
        <v>20666.666666666668</v>
      </c>
      <c r="V29" s="25">
        <f t="shared" si="4"/>
        <v>44833.333333333336</v>
      </c>
      <c r="Y29" s="24" t="str">
        <f t="shared" si="3"/>
        <v>K-6 Amb</v>
      </c>
      <c r="Z29" s="327"/>
      <c r="AA29" s="116"/>
      <c r="AB29" s="116"/>
      <c r="AE29" s="359"/>
    </row>
    <row r="30" spans="1:31" s="23" customFormat="1" x14ac:dyDescent="0.2">
      <c r="A30" s="22">
        <v>42881</v>
      </c>
      <c r="B30" s="90">
        <v>18</v>
      </c>
      <c r="C30" s="55"/>
      <c r="D30" s="23" t="s">
        <v>20</v>
      </c>
      <c r="E30" s="23">
        <v>4</v>
      </c>
      <c r="F30" s="24">
        <v>100</v>
      </c>
      <c r="G30" s="23">
        <v>0.5</v>
      </c>
      <c r="H30" s="23">
        <v>800</v>
      </c>
      <c r="I30" s="23">
        <v>53</v>
      </c>
      <c r="K30" s="23">
        <v>54</v>
      </c>
      <c r="M30" s="23">
        <v>43</v>
      </c>
      <c r="P30" s="116">
        <f t="shared" si="0"/>
        <v>80000</v>
      </c>
      <c r="Q30" s="116"/>
      <c r="R30" s="165"/>
      <c r="S30" s="174"/>
      <c r="T30" s="23">
        <v>18</v>
      </c>
      <c r="U30" s="25">
        <f t="shared" si="5"/>
        <v>80000</v>
      </c>
      <c r="V30" s="25">
        <f t="shared" si="4"/>
        <v>30000</v>
      </c>
      <c r="Y30" s="24" t="str">
        <f t="shared" si="3"/>
        <v>K-10 Low</v>
      </c>
      <c r="Z30" s="327"/>
      <c r="AA30" s="116"/>
      <c r="AB30" s="116"/>
      <c r="AE30" s="359"/>
    </row>
    <row r="31" spans="1:31" s="23" customFormat="1" x14ac:dyDescent="0.2">
      <c r="A31" s="22">
        <v>42881</v>
      </c>
      <c r="B31" s="90">
        <v>19</v>
      </c>
      <c r="C31" s="55"/>
      <c r="D31" s="23" t="s">
        <v>106</v>
      </c>
      <c r="E31" s="23">
        <v>4</v>
      </c>
      <c r="F31" s="24">
        <v>100</v>
      </c>
      <c r="G31" s="23">
        <v>0.5</v>
      </c>
      <c r="H31" s="23">
        <v>800</v>
      </c>
      <c r="I31" s="23">
        <v>47</v>
      </c>
      <c r="K31" s="23">
        <v>40</v>
      </c>
      <c r="M31" s="23">
        <v>47</v>
      </c>
      <c r="P31" s="116">
        <f t="shared" si="0"/>
        <v>71466.666666666657</v>
      </c>
      <c r="Q31" s="116"/>
      <c r="R31" s="165"/>
      <c r="S31" s="174"/>
      <c r="T31" s="23">
        <v>19</v>
      </c>
      <c r="U31" s="25">
        <f t="shared" si="5"/>
        <v>71466.666666666657</v>
      </c>
      <c r="V31" s="25">
        <f t="shared" si="4"/>
        <v>32133.333333333336</v>
      </c>
      <c r="Y31" s="24" t="str">
        <f t="shared" si="3"/>
        <v>HL-10 Amb</v>
      </c>
      <c r="Z31" s="327"/>
      <c r="AA31" s="116"/>
      <c r="AB31" s="116"/>
      <c r="AE31" s="359"/>
    </row>
    <row r="32" spans="1:31" s="23" customFormat="1" x14ac:dyDescent="0.2">
      <c r="A32" s="22">
        <v>42881</v>
      </c>
      <c r="B32" s="90">
        <v>20</v>
      </c>
      <c r="C32" s="55"/>
      <c r="D32" s="23" t="s">
        <v>30</v>
      </c>
      <c r="E32" s="23">
        <v>4</v>
      </c>
      <c r="F32" s="24">
        <v>100</v>
      </c>
      <c r="G32" s="23">
        <v>0.5</v>
      </c>
      <c r="H32" s="23">
        <v>700</v>
      </c>
      <c r="I32" s="23">
        <v>47</v>
      </c>
      <c r="K32" s="23">
        <v>55</v>
      </c>
      <c r="M32" s="23">
        <v>51</v>
      </c>
      <c r="P32" s="116">
        <f t="shared" si="0"/>
        <v>71400</v>
      </c>
      <c r="Q32" s="116"/>
      <c r="R32" s="165"/>
      <c r="S32" s="174"/>
      <c r="T32" s="23">
        <v>20</v>
      </c>
      <c r="U32" s="25">
        <f t="shared" si="5"/>
        <v>71400</v>
      </c>
      <c r="V32" s="25">
        <f t="shared" si="4"/>
        <v>32150</v>
      </c>
      <c r="Y32" s="24" t="str">
        <f>D32</f>
        <v xml:space="preserve">K-6 Low </v>
      </c>
      <c r="Z32" s="327"/>
      <c r="AA32" s="116"/>
      <c r="AB32" s="116"/>
      <c r="AE32" s="359"/>
    </row>
    <row r="33" spans="1:31" s="27" customFormat="1" ht="17" thickBot="1" x14ac:dyDescent="0.25">
      <c r="A33" s="26">
        <v>42881</v>
      </c>
      <c r="B33" s="91">
        <v>22</v>
      </c>
      <c r="C33" s="56"/>
      <c r="D33" s="27" t="s">
        <v>71</v>
      </c>
      <c r="E33" s="27">
        <v>4</v>
      </c>
      <c r="F33" s="28">
        <v>100</v>
      </c>
      <c r="G33" s="27">
        <v>0.5</v>
      </c>
      <c r="H33" s="27">
        <v>800</v>
      </c>
      <c r="I33" s="27">
        <v>52</v>
      </c>
      <c r="K33" s="27">
        <v>62</v>
      </c>
      <c r="M33" s="27">
        <v>49</v>
      </c>
      <c r="P33" s="117">
        <f t="shared" si="0"/>
        <v>86933.333333333343</v>
      </c>
      <c r="Q33" s="117"/>
      <c r="R33" s="166"/>
      <c r="S33" s="175"/>
      <c r="T33" s="27">
        <v>22</v>
      </c>
      <c r="U33" s="29">
        <f t="shared" si="5"/>
        <v>86933.333333333343</v>
      </c>
      <c r="V33" s="29">
        <f t="shared" si="4"/>
        <v>28266.666666666664</v>
      </c>
      <c r="Y33" s="28" t="str">
        <f>D33</f>
        <v>K-10 Amb</v>
      </c>
      <c r="Z33" s="328"/>
      <c r="AA33" s="117"/>
      <c r="AB33" s="117"/>
      <c r="AE33" s="360"/>
    </row>
    <row r="34" spans="1:31" s="60" customFormat="1" x14ac:dyDescent="0.2">
      <c r="A34" s="86">
        <v>42885</v>
      </c>
      <c r="B34" s="399">
        <v>3</v>
      </c>
      <c r="C34" s="58"/>
      <c r="D34" s="60" t="s">
        <v>84</v>
      </c>
      <c r="E34" s="60">
        <v>1</v>
      </c>
      <c r="F34" s="87">
        <v>180</v>
      </c>
      <c r="G34" s="60">
        <v>0.5</v>
      </c>
      <c r="H34" s="60">
        <v>800</v>
      </c>
      <c r="I34" s="60">
        <v>22</v>
      </c>
      <c r="J34" s="60">
        <v>11</v>
      </c>
      <c r="K34" s="60">
        <v>24</v>
      </c>
      <c r="L34" s="60">
        <v>19</v>
      </c>
      <c r="M34" s="60">
        <v>19</v>
      </c>
      <c r="N34" s="60">
        <v>24</v>
      </c>
      <c r="O34" s="104"/>
      <c r="P34" s="118">
        <f>(AVERAGE(I34,K34,M34)/G34)*H34</f>
        <v>34666.666666666672</v>
      </c>
      <c r="Q34" s="118">
        <f>(AVERAGE(J34,L34,N34)/G34)*H34</f>
        <v>28800</v>
      </c>
      <c r="R34" s="104">
        <f>P34/(P34+Q34)</f>
        <v>0.54621848739495804</v>
      </c>
      <c r="S34" s="176"/>
      <c r="T34" s="60">
        <v>3</v>
      </c>
      <c r="U34" s="63"/>
      <c r="V34" s="63"/>
      <c r="Y34" s="87" t="str">
        <f t="shared" ref="Y34:Y48" si="6">D34</f>
        <v>NF-10 Ambient</v>
      </c>
      <c r="Z34" s="329"/>
      <c r="AA34" s="118"/>
      <c r="AB34" s="118"/>
    </row>
    <row r="35" spans="1:31" s="60" customFormat="1" x14ac:dyDescent="0.2">
      <c r="A35" s="86">
        <v>42885</v>
      </c>
      <c r="B35" s="399">
        <v>5</v>
      </c>
      <c r="C35" s="58"/>
      <c r="D35" s="60" t="s">
        <v>86</v>
      </c>
      <c r="E35" s="60">
        <v>2</v>
      </c>
      <c r="F35" s="87">
        <v>100</v>
      </c>
      <c r="G35" s="60">
        <v>0.5</v>
      </c>
      <c r="H35" s="60">
        <v>875</v>
      </c>
      <c r="I35" s="60">
        <v>19</v>
      </c>
      <c r="J35" s="60">
        <v>59</v>
      </c>
      <c r="K35" s="60">
        <v>20</v>
      </c>
      <c r="L35" s="60">
        <v>34</v>
      </c>
      <c r="M35" s="60">
        <v>17</v>
      </c>
      <c r="N35" s="60">
        <v>54</v>
      </c>
      <c r="O35" s="104"/>
      <c r="P35" s="118">
        <f t="shared" ref="P35:P48" si="7">(AVERAGE(I35,K35,M35)/G35)*H35</f>
        <v>32666.666666666668</v>
      </c>
      <c r="Q35" s="118">
        <f t="shared" ref="Q35:Q98" si="8">(AVERAGE(J35,L35,N35)/G35)*H35</f>
        <v>85750</v>
      </c>
      <c r="R35" s="104">
        <f t="shared" ref="R35:R98" si="9">P35/(P35+Q35)</f>
        <v>0.27586206896551724</v>
      </c>
      <c r="S35" s="176"/>
      <c r="T35" s="60">
        <v>5</v>
      </c>
      <c r="U35" s="63"/>
      <c r="V35" s="63"/>
      <c r="Y35" s="87" t="str">
        <f t="shared" si="6"/>
        <v>SN-10 Ambient</v>
      </c>
      <c r="Z35" s="329"/>
      <c r="AA35" s="118"/>
      <c r="AB35" s="118"/>
    </row>
    <row r="36" spans="1:31" s="60" customFormat="1" x14ac:dyDescent="0.2">
      <c r="A36" s="86">
        <v>42885</v>
      </c>
      <c r="B36" s="399">
        <v>7</v>
      </c>
      <c r="C36" s="58"/>
      <c r="D36" s="60" t="s">
        <v>134</v>
      </c>
      <c r="E36" s="60">
        <v>2</v>
      </c>
      <c r="F36" s="87">
        <v>100</v>
      </c>
      <c r="G36" s="60">
        <v>0.5</v>
      </c>
      <c r="H36" s="60">
        <v>800</v>
      </c>
      <c r="I36" s="60">
        <v>34</v>
      </c>
      <c r="J36" s="60">
        <v>65</v>
      </c>
      <c r="K36" s="60">
        <v>18</v>
      </c>
      <c r="L36" s="60">
        <v>74</v>
      </c>
      <c r="M36" s="60">
        <v>19</v>
      </c>
      <c r="N36" s="60">
        <v>92</v>
      </c>
      <c r="O36" s="104"/>
      <c r="P36" s="118">
        <f t="shared" si="7"/>
        <v>37866.666666666672</v>
      </c>
      <c r="Q36" s="118">
        <f t="shared" si="8"/>
        <v>123200</v>
      </c>
      <c r="R36" s="104">
        <f t="shared" si="9"/>
        <v>0.23509933774834438</v>
      </c>
      <c r="S36" s="176"/>
      <c r="T36" s="60">
        <v>7</v>
      </c>
      <c r="U36" s="63"/>
      <c r="V36" s="63"/>
      <c r="Y36" s="87" t="str">
        <f t="shared" si="6"/>
        <v xml:space="preserve">SN-10 Low </v>
      </c>
      <c r="Z36" s="329"/>
      <c r="AA36" s="118"/>
      <c r="AB36" s="118"/>
    </row>
    <row r="37" spans="1:31" s="60" customFormat="1" x14ac:dyDescent="0.2">
      <c r="A37" s="86">
        <v>42885</v>
      </c>
      <c r="B37" s="399">
        <v>8</v>
      </c>
      <c r="C37" s="58"/>
      <c r="D37" s="60" t="s">
        <v>85</v>
      </c>
      <c r="E37" s="60">
        <v>1</v>
      </c>
      <c r="F37" s="87">
        <v>100</v>
      </c>
      <c r="G37" s="60">
        <v>0.5</v>
      </c>
      <c r="H37" s="60">
        <v>800</v>
      </c>
      <c r="I37" s="60">
        <v>22</v>
      </c>
      <c r="J37" s="60">
        <v>10</v>
      </c>
      <c r="K37" s="60">
        <v>31</v>
      </c>
      <c r="L37" s="60">
        <v>22</v>
      </c>
      <c r="M37" s="60">
        <v>16</v>
      </c>
      <c r="N37" s="60">
        <v>17</v>
      </c>
      <c r="O37" s="104"/>
      <c r="P37" s="118">
        <f t="shared" si="7"/>
        <v>36800</v>
      </c>
      <c r="Q37" s="118">
        <f t="shared" si="8"/>
        <v>26133.333333333332</v>
      </c>
      <c r="R37" s="104">
        <f t="shared" si="9"/>
        <v>0.5847457627118644</v>
      </c>
      <c r="S37" s="176"/>
      <c r="T37" s="60">
        <v>8</v>
      </c>
      <c r="U37" s="63"/>
      <c r="V37" s="63"/>
      <c r="Y37" s="87" t="str">
        <f t="shared" si="6"/>
        <v>NF-6 Ambient</v>
      </c>
      <c r="Z37" s="329"/>
      <c r="AA37" s="118"/>
      <c r="AB37" s="118"/>
    </row>
    <row r="38" spans="1:31" s="60" customFormat="1" x14ac:dyDescent="0.2">
      <c r="A38" s="86">
        <v>42885</v>
      </c>
      <c r="B38" s="399">
        <v>9</v>
      </c>
      <c r="C38" s="58"/>
      <c r="D38" s="60" t="s">
        <v>134</v>
      </c>
      <c r="E38" s="60">
        <v>2</v>
      </c>
      <c r="F38" s="87">
        <v>100</v>
      </c>
      <c r="G38" s="60">
        <v>0.5</v>
      </c>
      <c r="H38" s="60">
        <v>800</v>
      </c>
      <c r="I38" s="60">
        <v>46</v>
      </c>
      <c r="J38" s="60">
        <v>2</v>
      </c>
      <c r="K38" s="60">
        <v>54</v>
      </c>
      <c r="L38" s="60">
        <v>3</v>
      </c>
      <c r="M38" s="60">
        <v>45</v>
      </c>
      <c r="N38" s="60">
        <v>3</v>
      </c>
      <c r="O38" s="104"/>
      <c r="P38" s="118">
        <f t="shared" si="7"/>
        <v>77333.333333333343</v>
      </c>
      <c r="Q38" s="118">
        <f t="shared" si="8"/>
        <v>4266.6666666666661</v>
      </c>
      <c r="R38" s="104">
        <f t="shared" si="9"/>
        <v>0.94771241830065356</v>
      </c>
      <c r="S38" s="176"/>
      <c r="T38" s="60">
        <v>7</v>
      </c>
      <c r="U38" s="63"/>
      <c r="V38" s="63"/>
      <c r="Y38" s="87" t="str">
        <f t="shared" si="6"/>
        <v xml:space="preserve">SN-10 Low </v>
      </c>
      <c r="Z38" s="329"/>
      <c r="AA38" s="118"/>
      <c r="AB38" s="118"/>
    </row>
    <row r="39" spans="1:31" s="60" customFormat="1" x14ac:dyDescent="0.2">
      <c r="A39" s="86">
        <v>42885</v>
      </c>
      <c r="B39" s="399">
        <v>10</v>
      </c>
      <c r="C39" s="58"/>
      <c r="D39" s="60" t="s">
        <v>104</v>
      </c>
      <c r="E39" s="60">
        <v>2</v>
      </c>
      <c r="F39" s="87">
        <v>100</v>
      </c>
      <c r="G39" s="60">
        <v>0.5</v>
      </c>
      <c r="H39" s="60">
        <v>800</v>
      </c>
      <c r="I39" s="60">
        <v>19</v>
      </c>
      <c r="J39" s="60">
        <v>47</v>
      </c>
      <c r="K39" s="60">
        <v>26</v>
      </c>
      <c r="L39" s="60">
        <v>44</v>
      </c>
      <c r="M39" s="60">
        <v>21</v>
      </c>
      <c r="N39" s="60">
        <v>52</v>
      </c>
      <c r="O39" s="104"/>
      <c r="P39" s="118">
        <f t="shared" si="7"/>
        <v>35200</v>
      </c>
      <c r="Q39" s="118">
        <f t="shared" si="8"/>
        <v>76266.666666666657</v>
      </c>
      <c r="R39" s="104">
        <f t="shared" si="9"/>
        <v>0.31578947368421056</v>
      </c>
      <c r="S39" s="176"/>
      <c r="T39" s="60">
        <v>10</v>
      </c>
      <c r="U39" s="63"/>
      <c r="V39" s="63"/>
      <c r="Y39" s="87" t="str">
        <f t="shared" si="6"/>
        <v>NF-6 Low</v>
      </c>
      <c r="Z39" s="329"/>
      <c r="AA39" s="118"/>
      <c r="AB39" s="118"/>
    </row>
    <row r="40" spans="1:31" s="60" customFormat="1" x14ac:dyDescent="0.2">
      <c r="A40" s="86">
        <v>42885</v>
      </c>
      <c r="B40" s="399">
        <v>11</v>
      </c>
      <c r="C40" s="58"/>
      <c r="D40" s="60" t="s">
        <v>135</v>
      </c>
      <c r="F40" s="87">
        <v>100</v>
      </c>
      <c r="G40" s="60">
        <v>0.5</v>
      </c>
      <c r="H40" s="60">
        <v>800</v>
      </c>
      <c r="I40" s="60">
        <v>18</v>
      </c>
      <c r="J40" s="60">
        <v>79</v>
      </c>
      <c r="K40" s="60">
        <v>18</v>
      </c>
      <c r="L40" s="60">
        <v>52</v>
      </c>
      <c r="M40" s="60">
        <v>12</v>
      </c>
      <c r="N40" s="60">
        <v>59</v>
      </c>
      <c r="O40" s="104"/>
      <c r="P40" s="118">
        <f t="shared" si="7"/>
        <v>25600</v>
      </c>
      <c r="Q40" s="118">
        <f t="shared" si="8"/>
        <v>101333.33333333334</v>
      </c>
      <c r="R40" s="104">
        <f t="shared" si="9"/>
        <v>0.20168067226890754</v>
      </c>
      <c r="S40" s="176"/>
      <c r="T40" s="60">
        <v>5</v>
      </c>
      <c r="U40" s="63"/>
      <c r="V40" s="63"/>
      <c r="Y40" s="87" t="str">
        <f t="shared" si="6"/>
        <v>SN-10 Amnient</v>
      </c>
      <c r="Z40" s="329"/>
      <c r="AA40" s="118"/>
      <c r="AB40" s="118"/>
    </row>
    <row r="41" spans="1:31" s="60" customFormat="1" x14ac:dyDescent="0.2">
      <c r="A41" s="86">
        <v>42885</v>
      </c>
      <c r="B41" s="399">
        <v>12</v>
      </c>
      <c r="C41" s="58"/>
      <c r="D41" s="60" t="s">
        <v>76</v>
      </c>
      <c r="E41" s="60">
        <v>1</v>
      </c>
      <c r="F41" s="87">
        <v>100</v>
      </c>
      <c r="G41" s="60">
        <v>0.5</v>
      </c>
      <c r="H41" s="60">
        <v>800</v>
      </c>
      <c r="I41" s="60">
        <v>37</v>
      </c>
      <c r="J41" s="60">
        <v>46</v>
      </c>
      <c r="K41" s="60">
        <v>37</v>
      </c>
      <c r="L41" s="60">
        <v>33</v>
      </c>
      <c r="M41" s="60">
        <v>29</v>
      </c>
      <c r="N41" s="60">
        <v>43</v>
      </c>
      <c r="O41" s="104"/>
      <c r="P41" s="118">
        <f t="shared" si="7"/>
        <v>54933.333333333336</v>
      </c>
      <c r="Q41" s="118">
        <f t="shared" si="8"/>
        <v>65066.666666666664</v>
      </c>
      <c r="R41" s="104">
        <f t="shared" si="9"/>
        <v>0.45777777777777778</v>
      </c>
      <c r="S41" s="176"/>
      <c r="T41" s="60">
        <v>12</v>
      </c>
      <c r="U41" s="63"/>
      <c r="V41" s="63"/>
      <c r="Y41" s="87" t="str">
        <f t="shared" si="6"/>
        <v xml:space="preserve">NF-10 Low </v>
      </c>
      <c r="Z41" s="329"/>
      <c r="AA41" s="118"/>
      <c r="AB41" s="118"/>
    </row>
    <row r="42" spans="1:31" s="60" customFormat="1" x14ac:dyDescent="0.2">
      <c r="A42" s="86">
        <v>42885</v>
      </c>
      <c r="B42" s="399">
        <v>13</v>
      </c>
      <c r="C42" s="58"/>
      <c r="D42" s="59" t="s">
        <v>77</v>
      </c>
      <c r="E42" s="60">
        <v>1</v>
      </c>
      <c r="F42" s="87">
        <v>100</v>
      </c>
      <c r="G42" s="60">
        <v>0.5</v>
      </c>
      <c r="H42" s="60">
        <v>800</v>
      </c>
      <c r="I42" s="60">
        <v>65</v>
      </c>
      <c r="J42" s="60">
        <v>85</v>
      </c>
      <c r="K42" s="60">
        <v>63</v>
      </c>
      <c r="L42" s="60">
        <v>83</v>
      </c>
      <c r="M42" s="60">
        <v>57</v>
      </c>
      <c r="N42" s="60">
        <v>88</v>
      </c>
      <c r="O42" s="104"/>
      <c r="P42" s="118">
        <f t="shared" si="7"/>
        <v>98666.666666666657</v>
      </c>
      <c r="Q42" s="118">
        <f t="shared" si="8"/>
        <v>136533.33333333331</v>
      </c>
      <c r="R42" s="104">
        <f t="shared" si="9"/>
        <v>0.41950113378684806</v>
      </c>
      <c r="S42" s="176"/>
      <c r="T42" s="60">
        <v>13</v>
      </c>
      <c r="U42" s="63"/>
      <c r="V42" s="63"/>
      <c r="Y42" s="87" t="str">
        <f t="shared" si="6"/>
        <v>SN-6 Low</v>
      </c>
      <c r="Z42" s="329"/>
      <c r="AA42" s="118"/>
      <c r="AB42" s="118"/>
    </row>
    <row r="43" spans="1:31" s="60" customFormat="1" x14ac:dyDescent="0.2">
      <c r="A43" s="57">
        <v>42885</v>
      </c>
      <c r="B43" s="399">
        <v>16</v>
      </c>
      <c r="C43" s="58"/>
      <c r="D43" s="60" t="s">
        <v>87</v>
      </c>
      <c r="E43" s="60">
        <v>1</v>
      </c>
      <c r="F43" s="87">
        <v>100</v>
      </c>
      <c r="G43" s="60">
        <v>0.5</v>
      </c>
      <c r="H43" s="60">
        <v>800</v>
      </c>
      <c r="I43" s="60">
        <v>10</v>
      </c>
      <c r="J43" s="60">
        <v>44</v>
      </c>
      <c r="K43" s="60">
        <v>12</v>
      </c>
      <c r="L43" s="60">
        <v>25</v>
      </c>
      <c r="M43" s="60">
        <v>15</v>
      </c>
      <c r="N43" s="60">
        <v>26</v>
      </c>
      <c r="O43" s="104"/>
      <c r="P43" s="118">
        <f t="shared" si="7"/>
        <v>19733.333333333336</v>
      </c>
      <c r="Q43" s="118">
        <f t="shared" si="8"/>
        <v>50666.666666666672</v>
      </c>
      <c r="R43" s="104">
        <f t="shared" si="9"/>
        <v>0.28030303030303033</v>
      </c>
      <c r="S43" s="176"/>
      <c r="T43" s="60">
        <v>16</v>
      </c>
      <c r="U43" s="63">
        <f>P43</f>
        <v>19733.333333333336</v>
      </c>
      <c r="V43" s="63"/>
      <c r="Y43" s="87" t="str">
        <f t="shared" si="6"/>
        <v>SN-6 Ambient</v>
      </c>
      <c r="Z43" s="329"/>
      <c r="AA43" s="118"/>
      <c r="AB43" s="118"/>
    </row>
    <row r="44" spans="1:31" s="60" customFormat="1" x14ac:dyDescent="0.2">
      <c r="A44" s="57">
        <v>42885</v>
      </c>
      <c r="B44" s="399">
        <v>17</v>
      </c>
      <c r="C44" s="58"/>
      <c r="D44" s="60" t="s">
        <v>38</v>
      </c>
      <c r="E44" s="60">
        <v>2</v>
      </c>
      <c r="F44" s="87">
        <v>100</v>
      </c>
      <c r="G44" s="60">
        <v>0.5</v>
      </c>
      <c r="H44" s="60">
        <v>800</v>
      </c>
      <c r="I44" s="60">
        <v>5</v>
      </c>
      <c r="J44" s="60">
        <v>17</v>
      </c>
      <c r="K44" s="60">
        <v>13</v>
      </c>
      <c r="L44" s="60">
        <v>13</v>
      </c>
      <c r="M44" s="60">
        <v>15</v>
      </c>
      <c r="N44" s="60">
        <v>13</v>
      </c>
      <c r="O44" s="104"/>
      <c r="P44" s="118">
        <f t="shared" si="7"/>
        <v>17600</v>
      </c>
      <c r="Q44" s="118">
        <f t="shared" si="8"/>
        <v>22933.333333333336</v>
      </c>
      <c r="R44" s="104">
        <f t="shared" si="9"/>
        <v>0.43421052631578944</v>
      </c>
      <c r="S44" s="176"/>
      <c r="T44" s="60">
        <v>17</v>
      </c>
      <c r="U44" s="63"/>
      <c r="V44" s="63"/>
      <c r="Y44" s="87" t="str">
        <f t="shared" si="6"/>
        <v>K-6 Ambient</v>
      </c>
      <c r="Z44" s="329"/>
      <c r="AA44" s="118"/>
      <c r="AB44" s="118"/>
    </row>
    <row r="45" spans="1:31" s="60" customFormat="1" x14ac:dyDescent="0.2">
      <c r="A45" s="57">
        <v>42885</v>
      </c>
      <c r="B45" s="399">
        <v>18</v>
      </c>
      <c r="C45" s="58"/>
      <c r="D45" s="60" t="s">
        <v>37</v>
      </c>
      <c r="E45" s="60">
        <v>3</v>
      </c>
      <c r="F45" s="87">
        <v>100</v>
      </c>
      <c r="G45" s="60">
        <v>0.5</v>
      </c>
      <c r="H45" s="60">
        <v>800</v>
      </c>
      <c r="I45" s="60">
        <v>38</v>
      </c>
      <c r="J45" s="60">
        <v>41</v>
      </c>
      <c r="K45" s="60">
        <v>37</v>
      </c>
      <c r="L45" s="60">
        <v>30</v>
      </c>
      <c r="M45" s="60">
        <v>56</v>
      </c>
      <c r="N45" s="60">
        <v>39</v>
      </c>
      <c r="O45" s="104"/>
      <c r="P45" s="118">
        <f t="shared" si="7"/>
        <v>69866.666666666657</v>
      </c>
      <c r="Q45" s="118">
        <f t="shared" si="8"/>
        <v>58666.666666666664</v>
      </c>
      <c r="R45" s="104">
        <f t="shared" si="9"/>
        <v>0.54356846473029041</v>
      </c>
      <c r="S45" s="176"/>
      <c r="T45" s="60">
        <v>18</v>
      </c>
      <c r="Y45" s="87" t="str">
        <f t="shared" si="6"/>
        <v xml:space="preserve">K-10 Low </v>
      </c>
      <c r="Z45" s="329"/>
      <c r="AA45" s="118"/>
      <c r="AB45" s="118"/>
    </row>
    <row r="46" spans="1:31" s="60" customFormat="1" x14ac:dyDescent="0.2">
      <c r="A46" s="57">
        <v>42885</v>
      </c>
      <c r="B46" s="399">
        <v>19</v>
      </c>
      <c r="C46" s="58"/>
      <c r="D46" s="60" t="s">
        <v>88</v>
      </c>
      <c r="E46" s="60">
        <v>2</v>
      </c>
      <c r="F46" s="87">
        <v>100</v>
      </c>
      <c r="G46" s="60">
        <v>0.5</v>
      </c>
      <c r="H46" s="60">
        <v>800</v>
      </c>
      <c r="I46" s="60">
        <v>42</v>
      </c>
      <c r="J46" s="60">
        <v>2</v>
      </c>
      <c r="K46" s="60">
        <v>38</v>
      </c>
      <c r="L46" s="60">
        <v>6</v>
      </c>
      <c r="M46" s="60">
        <v>33</v>
      </c>
      <c r="N46" s="60">
        <v>4</v>
      </c>
      <c r="O46" s="104"/>
      <c r="P46" s="118">
        <f t="shared" si="7"/>
        <v>60266.666666666664</v>
      </c>
      <c r="Q46" s="118">
        <f t="shared" si="8"/>
        <v>6400</v>
      </c>
      <c r="R46" s="104">
        <f t="shared" si="9"/>
        <v>0.90400000000000014</v>
      </c>
      <c r="S46" s="176"/>
      <c r="T46" s="60">
        <v>19</v>
      </c>
      <c r="Y46" s="87" t="str">
        <f t="shared" si="6"/>
        <v>HL-10 Ambient</v>
      </c>
      <c r="Z46" s="329"/>
      <c r="AA46" s="118"/>
      <c r="AB46" s="118"/>
    </row>
    <row r="47" spans="1:31" s="60" customFormat="1" x14ac:dyDescent="0.2">
      <c r="A47" s="57">
        <v>42885</v>
      </c>
      <c r="B47" s="399">
        <v>20</v>
      </c>
      <c r="C47" s="58"/>
      <c r="D47" s="59" t="s">
        <v>46</v>
      </c>
      <c r="E47" s="60">
        <v>2</v>
      </c>
      <c r="F47" s="87">
        <v>100</v>
      </c>
      <c r="G47" s="60">
        <v>0.5</v>
      </c>
      <c r="H47" s="60">
        <v>800</v>
      </c>
      <c r="I47" s="60">
        <v>46</v>
      </c>
      <c r="J47" s="60">
        <v>6</v>
      </c>
      <c r="K47" s="60">
        <v>54</v>
      </c>
      <c r="L47" s="60">
        <v>8</v>
      </c>
      <c r="M47" s="60">
        <v>56</v>
      </c>
      <c r="N47" s="60">
        <v>6</v>
      </c>
      <c r="O47" s="104"/>
      <c r="P47" s="118">
        <f t="shared" si="7"/>
        <v>83200</v>
      </c>
      <c r="Q47" s="118">
        <f t="shared" si="8"/>
        <v>10666.666666666668</v>
      </c>
      <c r="R47" s="104">
        <f t="shared" si="9"/>
        <v>0.88636363636363635</v>
      </c>
      <c r="S47" s="176"/>
      <c r="T47" s="60">
        <v>20</v>
      </c>
      <c r="Y47" s="87" t="str">
        <f t="shared" si="6"/>
        <v>K-6 Low</v>
      </c>
      <c r="Z47" s="329"/>
      <c r="AA47" s="118"/>
      <c r="AB47" s="118"/>
    </row>
    <row r="48" spans="1:31" s="60" customFormat="1" x14ac:dyDescent="0.2">
      <c r="A48" s="57">
        <v>42885</v>
      </c>
      <c r="B48" s="399">
        <v>21</v>
      </c>
      <c r="C48" s="58"/>
      <c r="D48" s="60" t="s">
        <v>133</v>
      </c>
      <c r="E48" s="60">
        <v>3</v>
      </c>
      <c r="F48" s="87">
        <v>100</v>
      </c>
      <c r="G48" s="60">
        <v>0.5</v>
      </c>
      <c r="H48" s="60">
        <v>800</v>
      </c>
      <c r="I48" s="60">
        <v>53</v>
      </c>
      <c r="J48" s="60">
        <v>39</v>
      </c>
      <c r="K48" s="60">
        <v>45</v>
      </c>
      <c r="L48" s="60">
        <v>48</v>
      </c>
      <c r="M48" s="60">
        <v>83</v>
      </c>
      <c r="N48" s="60">
        <v>23</v>
      </c>
      <c r="O48" s="104"/>
      <c r="P48" s="118">
        <f t="shared" si="7"/>
        <v>96533.333333333343</v>
      </c>
      <c r="Q48" s="118">
        <f t="shared" si="8"/>
        <v>58666.666666666664</v>
      </c>
      <c r="R48" s="104">
        <f t="shared" si="9"/>
        <v>0.62199312714776633</v>
      </c>
      <c r="S48" s="176"/>
      <c r="T48" s="60">
        <v>21</v>
      </c>
      <c r="Y48" s="87" t="str">
        <f t="shared" si="6"/>
        <v xml:space="preserve">HL-10 Low </v>
      </c>
      <c r="Z48" s="329"/>
      <c r="AA48" s="118"/>
      <c r="AB48" s="118"/>
    </row>
    <row r="49" spans="1:28" s="60" customFormat="1" x14ac:dyDescent="0.2">
      <c r="A49" s="57">
        <v>42885</v>
      </c>
      <c r="B49" s="399">
        <v>22</v>
      </c>
      <c r="C49" s="58"/>
      <c r="D49" s="60" t="s">
        <v>17</v>
      </c>
      <c r="E49" s="60">
        <v>2</v>
      </c>
      <c r="F49" s="87">
        <v>100</v>
      </c>
      <c r="G49" s="60">
        <v>0.5</v>
      </c>
      <c r="H49" s="60">
        <v>800</v>
      </c>
      <c r="I49" s="60">
        <v>47</v>
      </c>
      <c r="J49" s="60">
        <v>20</v>
      </c>
      <c r="K49" s="60">
        <v>51</v>
      </c>
      <c r="L49" s="60">
        <v>24</v>
      </c>
      <c r="M49" s="60">
        <v>41</v>
      </c>
      <c r="N49" s="60">
        <v>20</v>
      </c>
      <c r="O49" s="104"/>
      <c r="P49" s="118">
        <f>(AVERAGE(I49,K49,M49)/G49)*H49</f>
        <v>74133.333333333343</v>
      </c>
      <c r="Q49" s="118">
        <f t="shared" si="8"/>
        <v>34133.333333333328</v>
      </c>
      <c r="R49" s="104">
        <f t="shared" si="9"/>
        <v>0.68472906403940892</v>
      </c>
      <c r="S49" s="176"/>
      <c r="T49" s="63">
        <v>22</v>
      </c>
      <c r="Y49" s="87" t="str">
        <f>D49</f>
        <v>K-10 Ambient</v>
      </c>
      <c r="Z49" s="329"/>
      <c r="AA49" s="118"/>
      <c r="AB49" s="118"/>
    </row>
    <row r="50" spans="1:28" s="108" customFormat="1" x14ac:dyDescent="0.2">
      <c r="A50" s="106">
        <v>42886</v>
      </c>
      <c r="B50" s="400">
        <v>3</v>
      </c>
      <c r="C50" s="107">
        <v>5</v>
      </c>
      <c r="D50" s="108" t="s">
        <v>84</v>
      </c>
      <c r="F50" s="109">
        <v>180</v>
      </c>
      <c r="G50" s="112">
        <v>1</v>
      </c>
      <c r="H50" s="108">
        <v>800</v>
      </c>
      <c r="I50" s="108">
        <v>5</v>
      </c>
      <c r="J50" s="108">
        <v>68</v>
      </c>
      <c r="O50" s="110"/>
      <c r="P50" s="119">
        <f t="shared" ref="P50:P56" si="10">I50/G50*H50</f>
        <v>4000</v>
      </c>
      <c r="Q50" s="119">
        <f t="shared" si="8"/>
        <v>54400</v>
      </c>
      <c r="R50" s="110">
        <f t="shared" si="9"/>
        <v>6.8493150684931503E-2</v>
      </c>
      <c r="S50" s="113">
        <f>I50/(I50+I51)</f>
        <v>0.25</v>
      </c>
      <c r="T50" s="111"/>
      <c r="Y50" s="361" t="s">
        <v>133</v>
      </c>
      <c r="Z50" s="330"/>
      <c r="AA50" s="119"/>
      <c r="AB50" s="119"/>
    </row>
    <row r="51" spans="1:28" s="108" customFormat="1" x14ac:dyDescent="0.2">
      <c r="A51" s="106">
        <v>42886</v>
      </c>
      <c r="B51" s="400">
        <v>3</v>
      </c>
      <c r="C51" s="107">
        <v>2</v>
      </c>
      <c r="F51" s="109"/>
      <c r="G51" s="112">
        <v>1</v>
      </c>
      <c r="H51" s="108">
        <v>800</v>
      </c>
      <c r="I51" s="108">
        <v>15</v>
      </c>
      <c r="J51" s="108">
        <v>0</v>
      </c>
      <c r="O51" s="110"/>
      <c r="P51" s="119">
        <f t="shared" si="10"/>
        <v>12000</v>
      </c>
      <c r="Q51" s="119">
        <f t="shared" si="8"/>
        <v>0</v>
      </c>
      <c r="R51" s="110">
        <f t="shared" si="9"/>
        <v>1</v>
      </c>
      <c r="S51" s="113">
        <f>I51/(I50+I51)</f>
        <v>0.75</v>
      </c>
      <c r="T51" s="111">
        <v>3</v>
      </c>
      <c r="Y51" s="109"/>
      <c r="Z51" s="330"/>
      <c r="AA51" s="119"/>
      <c r="AB51" s="119"/>
    </row>
    <row r="52" spans="1:28" s="108" customFormat="1" x14ac:dyDescent="0.2">
      <c r="A52" s="106">
        <v>42886</v>
      </c>
      <c r="B52" s="400">
        <v>5</v>
      </c>
      <c r="C52" s="107">
        <v>5</v>
      </c>
      <c r="D52" s="108" t="s">
        <v>86</v>
      </c>
      <c r="F52" s="109">
        <v>100</v>
      </c>
      <c r="G52" s="112">
        <v>1</v>
      </c>
      <c r="H52" s="108">
        <v>800</v>
      </c>
      <c r="I52" s="108">
        <v>0</v>
      </c>
      <c r="J52" s="108">
        <v>124</v>
      </c>
      <c r="O52" s="110"/>
      <c r="P52" s="119">
        <f t="shared" si="10"/>
        <v>0</v>
      </c>
      <c r="Q52" s="119">
        <f t="shared" si="8"/>
        <v>99200</v>
      </c>
      <c r="R52" s="110">
        <f t="shared" si="9"/>
        <v>0</v>
      </c>
      <c r="S52" s="113">
        <f>I52/(I52+I53)</f>
        <v>0</v>
      </c>
      <c r="T52" s="111"/>
      <c r="Y52" s="361" t="s">
        <v>133</v>
      </c>
      <c r="Z52" s="330"/>
      <c r="AA52" s="119"/>
      <c r="AB52" s="119"/>
    </row>
    <row r="53" spans="1:28" s="108" customFormat="1" x14ac:dyDescent="0.2">
      <c r="A53" s="106">
        <v>42886</v>
      </c>
      <c r="B53" s="400">
        <v>5</v>
      </c>
      <c r="C53" s="107">
        <v>2</v>
      </c>
      <c r="F53" s="109"/>
      <c r="G53" s="112">
        <v>1</v>
      </c>
      <c r="H53" s="108">
        <v>800</v>
      </c>
      <c r="I53" s="108">
        <v>2</v>
      </c>
      <c r="J53" s="108">
        <v>7</v>
      </c>
      <c r="O53" s="110"/>
      <c r="P53" s="119">
        <f t="shared" si="10"/>
        <v>1600</v>
      </c>
      <c r="Q53" s="119">
        <f t="shared" si="8"/>
        <v>5600</v>
      </c>
      <c r="R53" s="110">
        <f t="shared" si="9"/>
        <v>0.22222222222222221</v>
      </c>
      <c r="S53" s="113">
        <f>I53/(I52+I53)</f>
        <v>1</v>
      </c>
      <c r="T53" s="111">
        <v>5</v>
      </c>
      <c r="Y53" s="109"/>
      <c r="Z53" s="330"/>
      <c r="AA53" s="119"/>
      <c r="AB53" s="119"/>
    </row>
    <row r="54" spans="1:28" s="108" customFormat="1" x14ac:dyDescent="0.2">
      <c r="A54" s="106">
        <v>42886</v>
      </c>
      <c r="B54" s="400">
        <v>7</v>
      </c>
      <c r="C54" s="107">
        <v>5</v>
      </c>
      <c r="D54" s="108" t="s">
        <v>134</v>
      </c>
      <c r="F54" s="109">
        <v>100</v>
      </c>
      <c r="G54" s="112">
        <v>1</v>
      </c>
      <c r="H54" s="108">
        <v>800</v>
      </c>
      <c r="I54" s="108">
        <v>2</v>
      </c>
      <c r="J54" s="108">
        <v>177</v>
      </c>
      <c r="O54" s="110"/>
      <c r="P54" s="119">
        <f t="shared" si="10"/>
        <v>1600</v>
      </c>
      <c r="Q54" s="119">
        <f t="shared" si="8"/>
        <v>141600</v>
      </c>
      <c r="R54" s="110">
        <f t="shared" si="9"/>
        <v>1.11731843575419E-2</v>
      </c>
      <c r="S54" s="113">
        <f>I54/(I54+I55)</f>
        <v>0.15384615384615385</v>
      </c>
      <c r="Y54" s="361" t="s">
        <v>133</v>
      </c>
      <c r="Z54" s="330"/>
      <c r="AA54" s="119"/>
      <c r="AB54" s="119"/>
    </row>
    <row r="55" spans="1:28" s="108" customFormat="1" x14ac:dyDescent="0.2">
      <c r="A55" s="106">
        <v>42886</v>
      </c>
      <c r="B55" s="400">
        <v>7</v>
      </c>
      <c r="C55" s="107">
        <v>2</v>
      </c>
      <c r="F55" s="109"/>
      <c r="G55" s="112">
        <v>1</v>
      </c>
      <c r="H55" s="108">
        <v>800</v>
      </c>
      <c r="I55" s="108">
        <v>11</v>
      </c>
      <c r="J55" s="108">
        <v>1</v>
      </c>
      <c r="O55" s="110"/>
      <c r="P55" s="119">
        <f t="shared" si="10"/>
        <v>8800</v>
      </c>
      <c r="Q55" s="119">
        <f t="shared" si="8"/>
        <v>800</v>
      </c>
      <c r="R55" s="110">
        <f t="shared" si="9"/>
        <v>0.91666666666666663</v>
      </c>
      <c r="S55" s="113">
        <f>I55/(I54+I55)</f>
        <v>0.84615384615384615</v>
      </c>
      <c r="T55" s="111">
        <v>7</v>
      </c>
      <c r="Y55" s="109"/>
      <c r="Z55" s="330"/>
      <c r="AA55" s="119"/>
      <c r="AB55" s="119"/>
    </row>
    <row r="56" spans="1:28" s="108" customFormat="1" x14ac:dyDescent="0.2">
      <c r="A56" s="106">
        <v>42886</v>
      </c>
      <c r="B56" s="400">
        <v>8</v>
      </c>
      <c r="C56" s="107">
        <v>5</v>
      </c>
      <c r="D56" s="108" t="s">
        <v>85</v>
      </c>
      <c r="F56" s="109">
        <v>100</v>
      </c>
      <c r="G56" s="112">
        <v>1</v>
      </c>
      <c r="H56" s="108">
        <v>800</v>
      </c>
      <c r="I56" s="108">
        <v>4</v>
      </c>
      <c r="J56" s="108">
        <v>69</v>
      </c>
      <c r="O56" s="110"/>
      <c r="P56" s="119">
        <f t="shared" si="10"/>
        <v>3200</v>
      </c>
      <c r="Q56" s="119">
        <f t="shared" si="8"/>
        <v>55200</v>
      </c>
      <c r="R56" s="110">
        <f t="shared" si="9"/>
        <v>5.4794520547945202E-2</v>
      </c>
      <c r="S56" s="113">
        <f>I56/(I56+I57)</f>
        <v>4.7619047619047616E-2</v>
      </c>
      <c r="Y56" s="361" t="s">
        <v>133</v>
      </c>
      <c r="Z56" s="330"/>
      <c r="AA56" s="119"/>
      <c r="AB56" s="119"/>
    </row>
    <row r="57" spans="1:28" s="108" customFormat="1" x14ac:dyDescent="0.2">
      <c r="A57" s="106">
        <v>42886</v>
      </c>
      <c r="B57" s="400">
        <v>8</v>
      </c>
      <c r="C57" s="107">
        <v>2</v>
      </c>
      <c r="F57" s="109"/>
      <c r="G57" s="112">
        <v>1</v>
      </c>
      <c r="H57" s="108">
        <v>800</v>
      </c>
      <c r="I57" s="108">
        <v>80</v>
      </c>
      <c r="J57" s="108">
        <v>6</v>
      </c>
      <c r="O57" s="110"/>
      <c r="P57" s="119">
        <f>I57/G57*H57</f>
        <v>64000</v>
      </c>
      <c r="Q57" s="119">
        <f t="shared" si="8"/>
        <v>4800</v>
      </c>
      <c r="R57" s="110">
        <f t="shared" si="9"/>
        <v>0.93023255813953487</v>
      </c>
      <c r="S57" s="113">
        <f>I57/(I56+I57)</f>
        <v>0.95238095238095233</v>
      </c>
      <c r="T57" s="111">
        <v>8</v>
      </c>
      <c r="Y57" s="109"/>
      <c r="Z57" s="330"/>
      <c r="AA57" s="119"/>
      <c r="AB57" s="119"/>
    </row>
    <row r="58" spans="1:28" s="108" customFormat="1" x14ac:dyDescent="0.2">
      <c r="A58" s="106">
        <v>42886</v>
      </c>
      <c r="B58" s="400">
        <v>9</v>
      </c>
      <c r="C58" s="107">
        <v>5</v>
      </c>
      <c r="D58" s="108" t="s">
        <v>134</v>
      </c>
      <c r="F58" s="109">
        <v>100</v>
      </c>
      <c r="G58" s="112">
        <v>1</v>
      </c>
      <c r="H58" s="108">
        <v>800</v>
      </c>
      <c r="I58" s="108">
        <v>20</v>
      </c>
      <c r="J58" s="108">
        <v>15</v>
      </c>
      <c r="O58" s="110"/>
      <c r="P58" s="119">
        <f>I58/G58*H58</f>
        <v>16000</v>
      </c>
      <c r="Q58" s="119">
        <f t="shared" si="8"/>
        <v>12000</v>
      </c>
      <c r="R58" s="110">
        <f t="shared" si="9"/>
        <v>0.5714285714285714</v>
      </c>
      <c r="S58" s="113">
        <f>I58/(I58+I59)</f>
        <v>0.32786885245901637</v>
      </c>
      <c r="T58" s="108" t="s">
        <v>162</v>
      </c>
      <c r="Y58" s="361" t="s">
        <v>133</v>
      </c>
      <c r="Z58" s="330"/>
      <c r="AA58" s="119"/>
      <c r="AB58" s="119"/>
    </row>
    <row r="59" spans="1:28" s="108" customFormat="1" x14ac:dyDescent="0.2">
      <c r="A59" s="106">
        <v>42886</v>
      </c>
      <c r="B59" s="400">
        <v>9</v>
      </c>
      <c r="C59" s="107">
        <v>2</v>
      </c>
      <c r="F59" s="109"/>
      <c r="G59" s="112">
        <v>1</v>
      </c>
      <c r="H59" s="108">
        <v>800</v>
      </c>
      <c r="I59" s="108">
        <v>41</v>
      </c>
      <c r="J59" s="108">
        <v>0</v>
      </c>
      <c r="O59" s="110"/>
      <c r="P59" s="119">
        <f t="shared" ref="P59:P81" si="11">I59/G59*H59</f>
        <v>32800</v>
      </c>
      <c r="Q59" s="119">
        <f t="shared" si="8"/>
        <v>0</v>
      </c>
      <c r="R59" s="110">
        <f t="shared" si="9"/>
        <v>1</v>
      </c>
      <c r="S59" s="113">
        <f>I59/(I58+I59)</f>
        <v>0.67213114754098358</v>
      </c>
      <c r="T59" s="111">
        <v>7</v>
      </c>
      <c r="Y59" s="109"/>
      <c r="Z59" s="330"/>
      <c r="AA59" s="119"/>
      <c r="AB59" s="119"/>
    </row>
    <row r="60" spans="1:28" s="108" customFormat="1" x14ac:dyDescent="0.2">
      <c r="A60" s="106">
        <v>42886</v>
      </c>
      <c r="B60" s="400">
        <v>10</v>
      </c>
      <c r="C60" s="107">
        <v>5</v>
      </c>
      <c r="D60" s="108" t="s">
        <v>104</v>
      </c>
      <c r="F60" s="109">
        <v>100</v>
      </c>
      <c r="G60" s="112">
        <v>1</v>
      </c>
      <c r="H60" s="108">
        <v>800</v>
      </c>
      <c r="I60" s="108">
        <v>3</v>
      </c>
      <c r="J60" s="108">
        <v>89</v>
      </c>
      <c r="O60" s="110"/>
      <c r="P60" s="119">
        <f t="shared" si="11"/>
        <v>2400</v>
      </c>
      <c r="Q60" s="119">
        <f t="shared" si="8"/>
        <v>71200</v>
      </c>
      <c r="R60" s="110">
        <f t="shared" si="9"/>
        <v>3.2608695652173912E-2</v>
      </c>
      <c r="S60" s="113">
        <f>I60/(I60+I61)</f>
        <v>0.14285714285714285</v>
      </c>
      <c r="Y60" s="361" t="s">
        <v>133</v>
      </c>
      <c r="Z60" s="330"/>
      <c r="AA60" s="119"/>
      <c r="AB60" s="119"/>
    </row>
    <row r="61" spans="1:28" s="108" customFormat="1" x14ac:dyDescent="0.2">
      <c r="A61" s="106">
        <v>42886</v>
      </c>
      <c r="B61" s="400">
        <v>10</v>
      </c>
      <c r="C61" s="107">
        <v>2</v>
      </c>
      <c r="F61" s="109"/>
      <c r="G61" s="112">
        <v>1</v>
      </c>
      <c r="H61" s="108">
        <v>800</v>
      </c>
      <c r="I61" s="108">
        <v>18</v>
      </c>
      <c r="J61" s="108">
        <v>8</v>
      </c>
      <c r="O61" s="110"/>
      <c r="P61" s="119">
        <f t="shared" si="11"/>
        <v>14400</v>
      </c>
      <c r="Q61" s="119">
        <f t="shared" si="8"/>
        <v>6400</v>
      </c>
      <c r="R61" s="110">
        <f t="shared" si="9"/>
        <v>0.69230769230769229</v>
      </c>
      <c r="S61" s="113">
        <f>I61/(I60+I61)</f>
        <v>0.8571428571428571</v>
      </c>
      <c r="T61" s="111">
        <v>10</v>
      </c>
      <c r="Y61" s="109"/>
      <c r="Z61" s="330"/>
      <c r="AA61" s="119"/>
      <c r="AB61" s="119"/>
    </row>
    <row r="62" spans="1:28" s="108" customFormat="1" x14ac:dyDescent="0.2">
      <c r="A62" s="106">
        <v>42886</v>
      </c>
      <c r="B62" s="401">
        <v>11</v>
      </c>
      <c r="C62" s="107">
        <v>5</v>
      </c>
      <c r="D62" s="108" t="s">
        <v>135</v>
      </c>
      <c r="F62" s="109">
        <v>100</v>
      </c>
      <c r="G62" s="112">
        <v>1</v>
      </c>
      <c r="H62" s="108">
        <v>800</v>
      </c>
      <c r="I62" s="108">
        <v>1</v>
      </c>
      <c r="J62" s="108">
        <v>114</v>
      </c>
      <c r="O62" s="110"/>
      <c r="P62" s="119">
        <f t="shared" si="11"/>
        <v>800</v>
      </c>
      <c r="Q62" s="119">
        <f t="shared" si="8"/>
        <v>91200</v>
      </c>
      <c r="R62" s="110">
        <f t="shared" si="9"/>
        <v>8.6956521739130436E-3</v>
      </c>
      <c r="S62" s="113">
        <f>I62/(I62+I63)</f>
        <v>0.25</v>
      </c>
      <c r="Y62" s="361" t="s">
        <v>133</v>
      </c>
      <c r="Z62" s="330"/>
      <c r="AA62" s="119"/>
      <c r="AB62" s="119"/>
    </row>
    <row r="63" spans="1:28" s="108" customFormat="1" x14ac:dyDescent="0.2">
      <c r="A63" s="106">
        <v>42886</v>
      </c>
      <c r="B63" s="401">
        <v>11</v>
      </c>
      <c r="C63" s="107">
        <v>2</v>
      </c>
      <c r="F63" s="109"/>
      <c r="G63" s="112">
        <v>1</v>
      </c>
      <c r="H63" s="108">
        <v>800</v>
      </c>
      <c r="I63" s="108">
        <v>3</v>
      </c>
      <c r="J63" s="108">
        <v>0</v>
      </c>
      <c r="O63" s="110"/>
      <c r="P63" s="119">
        <f t="shared" si="11"/>
        <v>2400</v>
      </c>
      <c r="Q63" s="119">
        <f t="shared" si="8"/>
        <v>0</v>
      </c>
      <c r="R63" s="110">
        <f t="shared" si="9"/>
        <v>1</v>
      </c>
      <c r="S63" s="113">
        <f>I63/(I62+I63)</f>
        <v>0.75</v>
      </c>
      <c r="T63" s="111">
        <v>5</v>
      </c>
      <c r="Y63" s="109"/>
      <c r="Z63" s="330"/>
      <c r="AA63" s="119"/>
      <c r="AB63" s="119"/>
    </row>
    <row r="64" spans="1:28" s="108" customFormat="1" x14ac:dyDescent="0.2">
      <c r="A64" s="106">
        <v>42886</v>
      </c>
      <c r="B64" s="400">
        <v>12</v>
      </c>
      <c r="C64" s="107">
        <v>5</v>
      </c>
      <c r="D64" s="108" t="s">
        <v>76</v>
      </c>
      <c r="F64" s="109">
        <v>100</v>
      </c>
      <c r="G64" s="112">
        <v>1</v>
      </c>
      <c r="H64" s="108">
        <v>800</v>
      </c>
      <c r="I64" s="108">
        <v>10</v>
      </c>
      <c r="J64" s="108">
        <v>119</v>
      </c>
      <c r="O64" s="110"/>
      <c r="P64" s="119">
        <f t="shared" si="11"/>
        <v>8000</v>
      </c>
      <c r="Q64" s="119">
        <f t="shared" si="8"/>
        <v>95200</v>
      </c>
      <c r="R64" s="110">
        <f t="shared" si="9"/>
        <v>7.7519379844961239E-2</v>
      </c>
      <c r="S64" s="113">
        <f>I64/(I64+I65)</f>
        <v>0.58823529411764708</v>
      </c>
      <c r="Y64" s="361" t="s">
        <v>133</v>
      </c>
      <c r="Z64" s="330"/>
      <c r="AA64" s="119"/>
      <c r="AB64" s="119"/>
    </row>
    <row r="65" spans="1:28" s="108" customFormat="1" x14ac:dyDescent="0.2">
      <c r="A65" s="106">
        <v>42886</v>
      </c>
      <c r="B65" s="400">
        <v>12</v>
      </c>
      <c r="C65" s="107">
        <v>2</v>
      </c>
      <c r="F65" s="109"/>
      <c r="G65" s="112">
        <v>1</v>
      </c>
      <c r="H65" s="108">
        <v>800</v>
      </c>
      <c r="I65" s="108">
        <v>7</v>
      </c>
      <c r="J65" s="108">
        <v>7</v>
      </c>
      <c r="O65" s="110"/>
      <c r="P65" s="119">
        <f t="shared" si="11"/>
        <v>5600</v>
      </c>
      <c r="Q65" s="119">
        <f t="shared" si="8"/>
        <v>5600</v>
      </c>
      <c r="R65" s="110">
        <f t="shared" si="9"/>
        <v>0.5</v>
      </c>
      <c r="S65" s="113">
        <f>I65/(I64+I65)</f>
        <v>0.41176470588235292</v>
      </c>
      <c r="T65" s="111">
        <v>12</v>
      </c>
      <c r="Y65" s="109"/>
      <c r="Z65" s="330"/>
      <c r="AA65" s="119"/>
      <c r="AB65" s="119"/>
    </row>
    <row r="66" spans="1:28" s="108" customFormat="1" x14ac:dyDescent="0.2">
      <c r="A66" s="106">
        <v>42886</v>
      </c>
      <c r="B66" s="400">
        <v>13</v>
      </c>
      <c r="C66" s="107">
        <v>5</v>
      </c>
      <c r="D66" s="108" t="s">
        <v>77</v>
      </c>
      <c r="F66" s="109">
        <v>100</v>
      </c>
      <c r="G66" s="112">
        <v>1</v>
      </c>
      <c r="H66" s="108">
        <v>800</v>
      </c>
      <c r="I66" s="108">
        <v>13</v>
      </c>
      <c r="J66" s="108">
        <v>127</v>
      </c>
      <c r="O66" s="110"/>
      <c r="P66" s="119">
        <f>I66/G66*H66</f>
        <v>10400</v>
      </c>
      <c r="Q66" s="119">
        <f t="shared" si="8"/>
        <v>101600</v>
      </c>
      <c r="R66" s="110">
        <f t="shared" si="9"/>
        <v>9.285714285714286E-2</v>
      </c>
      <c r="S66" s="113" t="e">
        <f>I66/(I66+I67)</f>
        <v>#VALUE!</v>
      </c>
      <c r="Y66" s="361" t="s">
        <v>133</v>
      </c>
      <c r="Z66" s="330"/>
      <c r="AA66" s="119"/>
      <c r="AB66" s="119"/>
    </row>
    <row r="67" spans="1:28" s="108" customFormat="1" x14ac:dyDescent="0.2">
      <c r="A67" s="106">
        <v>42886</v>
      </c>
      <c r="B67" s="400">
        <v>13</v>
      </c>
      <c r="C67" s="107">
        <v>2</v>
      </c>
      <c r="F67" s="109"/>
      <c r="G67" s="112">
        <v>1</v>
      </c>
      <c r="H67" s="108">
        <v>800</v>
      </c>
      <c r="I67" s="108" t="s">
        <v>160</v>
      </c>
      <c r="J67" s="108" t="s">
        <v>160</v>
      </c>
      <c r="O67" s="110"/>
      <c r="P67" s="119" t="e">
        <f t="shared" si="11"/>
        <v>#VALUE!</v>
      </c>
      <c r="Q67" s="119" t="e">
        <f t="shared" si="8"/>
        <v>#DIV/0!</v>
      </c>
      <c r="R67" s="110" t="e">
        <f t="shared" si="9"/>
        <v>#VALUE!</v>
      </c>
      <c r="S67" s="113" t="e">
        <f>I67/(I66+I67)</f>
        <v>#VALUE!</v>
      </c>
      <c r="T67" s="111">
        <v>13</v>
      </c>
      <c r="Y67" s="109"/>
      <c r="Z67" s="330"/>
      <c r="AA67" s="119"/>
      <c r="AB67" s="119"/>
    </row>
    <row r="68" spans="1:28" s="108" customFormat="1" x14ac:dyDescent="0.2">
      <c r="A68" s="106">
        <v>42886</v>
      </c>
      <c r="B68" s="400">
        <v>16</v>
      </c>
      <c r="C68" s="107">
        <v>5</v>
      </c>
      <c r="D68" s="108" t="s">
        <v>87</v>
      </c>
      <c r="F68" s="109">
        <v>100</v>
      </c>
      <c r="G68" s="112">
        <v>1</v>
      </c>
      <c r="H68" s="108">
        <v>800</v>
      </c>
      <c r="I68" s="108">
        <v>0</v>
      </c>
      <c r="J68" s="108">
        <v>82</v>
      </c>
      <c r="O68" s="110"/>
      <c r="P68" s="119">
        <f t="shared" si="11"/>
        <v>0</v>
      </c>
      <c r="Q68" s="119">
        <f t="shared" si="8"/>
        <v>65600</v>
      </c>
      <c r="R68" s="110">
        <f t="shared" si="9"/>
        <v>0</v>
      </c>
      <c r="S68" s="113">
        <f>I68/(I68+I69)</f>
        <v>0</v>
      </c>
      <c r="Y68" s="109" t="str">
        <f>D68</f>
        <v>SN-6 Ambient</v>
      </c>
      <c r="Z68" s="330"/>
      <c r="AA68" s="119"/>
      <c r="AB68" s="119"/>
    </row>
    <row r="69" spans="1:28" s="108" customFormat="1" x14ac:dyDescent="0.2">
      <c r="A69" s="106">
        <v>42886</v>
      </c>
      <c r="B69" s="400">
        <v>16</v>
      </c>
      <c r="C69" s="107">
        <v>2</v>
      </c>
      <c r="F69" s="109"/>
      <c r="G69" s="112">
        <v>1</v>
      </c>
      <c r="H69" s="108">
        <v>400</v>
      </c>
      <c r="I69" s="108">
        <v>1</v>
      </c>
      <c r="J69" s="108">
        <v>6</v>
      </c>
      <c r="O69" s="110"/>
      <c r="P69" s="119">
        <f t="shared" si="11"/>
        <v>400</v>
      </c>
      <c r="Q69" s="119">
        <f t="shared" si="8"/>
        <v>2400</v>
      </c>
      <c r="R69" s="110">
        <f t="shared" si="9"/>
        <v>0.14285714285714285</v>
      </c>
      <c r="S69" s="113">
        <f>I69/(I68+I69)</f>
        <v>1</v>
      </c>
      <c r="T69" s="111">
        <v>16</v>
      </c>
      <c r="Y69" s="109"/>
      <c r="Z69" s="330"/>
      <c r="AA69" s="119"/>
      <c r="AB69" s="119"/>
    </row>
    <row r="70" spans="1:28" s="108" customFormat="1" x14ac:dyDescent="0.2">
      <c r="A70" s="106">
        <v>42886</v>
      </c>
      <c r="B70" s="400">
        <v>17</v>
      </c>
      <c r="C70" s="107">
        <v>5</v>
      </c>
      <c r="D70" s="108" t="s">
        <v>38</v>
      </c>
      <c r="F70" s="109">
        <v>100</v>
      </c>
      <c r="G70" s="112">
        <v>1</v>
      </c>
      <c r="H70" s="108">
        <v>800</v>
      </c>
      <c r="I70" s="108">
        <v>4</v>
      </c>
      <c r="J70" s="108">
        <v>40</v>
      </c>
      <c r="O70" s="110"/>
      <c r="P70" s="119">
        <f>I70/G70*H70</f>
        <v>3200</v>
      </c>
      <c r="Q70" s="119">
        <f t="shared" si="8"/>
        <v>32000</v>
      </c>
      <c r="R70" s="110">
        <f t="shared" si="9"/>
        <v>9.0909090909090912E-2</v>
      </c>
      <c r="S70" s="113">
        <f>I70/(I70+I71)</f>
        <v>0.19047619047619047</v>
      </c>
      <c r="Y70" s="109" t="str">
        <f>D70</f>
        <v>K-6 Ambient</v>
      </c>
      <c r="Z70" s="330"/>
      <c r="AA70" s="119"/>
      <c r="AB70" s="119"/>
    </row>
    <row r="71" spans="1:28" s="108" customFormat="1" x14ac:dyDescent="0.2">
      <c r="A71" s="106">
        <v>42886</v>
      </c>
      <c r="B71" s="400">
        <v>17</v>
      </c>
      <c r="C71" s="107">
        <v>2</v>
      </c>
      <c r="F71" s="109"/>
      <c r="G71" s="112">
        <v>1</v>
      </c>
      <c r="H71" s="108">
        <v>800</v>
      </c>
      <c r="I71" s="108">
        <v>17</v>
      </c>
      <c r="J71" s="108">
        <v>5</v>
      </c>
      <c r="O71" s="110"/>
      <c r="P71" s="119">
        <f t="shared" si="11"/>
        <v>13600</v>
      </c>
      <c r="Q71" s="119">
        <f t="shared" si="8"/>
        <v>4000</v>
      </c>
      <c r="R71" s="110">
        <f t="shared" si="9"/>
        <v>0.77272727272727271</v>
      </c>
      <c r="S71" s="113">
        <f>I71/(I70+I71)</f>
        <v>0.80952380952380953</v>
      </c>
      <c r="T71" s="111">
        <v>17</v>
      </c>
      <c r="Y71" s="109"/>
      <c r="Z71" s="330"/>
      <c r="AA71" s="119"/>
      <c r="AB71" s="119"/>
    </row>
    <row r="72" spans="1:28" s="108" customFormat="1" x14ac:dyDescent="0.2">
      <c r="A72" s="106">
        <v>42886</v>
      </c>
      <c r="B72" s="400">
        <v>18</v>
      </c>
      <c r="C72" s="107">
        <v>5</v>
      </c>
      <c r="D72" s="108" t="s">
        <v>37</v>
      </c>
      <c r="F72" s="109">
        <v>100</v>
      </c>
      <c r="G72" s="112">
        <v>1</v>
      </c>
      <c r="H72" s="108">
        <v>800</v>
      </c>
      <c r="I72" s="108">
        <v>6</v>
      </c>
      <c r="J72" s="108">
        <v>35</v>
      </c>
      <c r="O72" s="110"/>
      <c r="P72" s="119">
        <f t="shared" si="11"/>
        <v>4800</v>
      </c>
      <c r="Q72" s="119">
        <f t="shared" si="8"/>
        <v>28000</v>
      </c>
      <c r="R72" s="110">
        <f t="shared" si="9"/>
        <v>0.14634146341463414</v>
      </c>
      <c r="S72" s="113">
        <f>I72/(I72+I73)</f>
        <v>8.9552238805970144E-2</v>
      </c>
      <c r="Y72" s="109" t="str">
        <f>D72</f>
        <v xml:space="preserve">K-10 Low </v>
      </c>
      <c r="Z72" s="330"/>
      <c r="AA72" s="119"/>
      <c r="AB72" s="119"/>
    </row>
    <row r="73" spans="1:28" s="108" customFormat="1" x14ac:dyDescent="0.2">
      <c r="A73" s="106">
        <v>42886</v>
      </c>
      <c r="B73" s="400">
        <v>18</v>
      </c>
      <c r="C73" s="107">
        <v>2</v>
      </c>
      <c r="F73" s="109"/>
      <c r="G73" s="112">
        <v>1</v>
      </c>
      <c r="H73" s="108">
        <v>800</v>
      </c>
      <c r="I73" s="108">
        <v>61</v>
      </c>
      <c r="J73" s="108">
        <v>3</v>
      </c>
      <c r="O73" s="110"/>
      <c r="P73" s="119">
        <f>I73/G73*H73</f>
        <v>48800</v>
      </c>
      <c r="Q73" s="119">
        <f t="shared" si="8"/>
        <v>2400</v>
      </c>
      <c r="R73" s="110">
        <f t="shared" si="9"/>
        <v>0.953125</v>
      </c>
      <c r="S73" s="113">
        <f>I73/(I72+I73)</f>
        <v>0.91044776119402981</v>
      </c>
      <c r="T73" s="111">
        <v>18</v>
      </c>
      <c r="Y73" s="109"/>
      <c r="Z73" s="330"/>
      <c r="AA73" s="119"/>
      <c r="AB73" s="119"/>
    </row>
    <row r="74" spans="1:28" s="108" customFormat="1" x14ac:dyDescent="0.2">
      <c r="A74" s="106">
        <v>42886</v>
      </c>
      <c r="B74" s="400">
        <v>19</v>
      </c>
      <c r="C74" s="107">
        <v>5</v>
      </c>
      <c r="D74" s="108" t="s">
        <v>88</v>
      </c>
      <c r="F74" s="109">
        <v>100</v>
      </c>
      <c r="G74" s="112">
        <v>1</v>
      </c>
      <c r="H74" s="108">
        <v>800</v>
      </c>
      <c r="I74" s="108">
        <v>0</v>
      </c>
      <c r="J74" s="108">
        <v>4</v>
      </c>
      <c r="O74" s="110"/>
      <c r="P74" s="119">
        <f t="shared" si="11"/>
        <v>0</v>
      </c>
      <c r="Q74" s="119">
        <f t="shared" si="8"/>
        <v>3200</v>
      </c>
      <c r="R74" s="110">
        <f t="shared" si="9"/>
        <v>0</v>
      </c>
      <c r="S74" s="113" t="e">
        <f>I74/(I74+I75)</f>
        <v>#VALUE!</v>
      </c>
      <c r="Y74" s="109" t="str">
        <f>D74</f>
        <v>HL-10 Ambient</v>
      </c>
      <c r="Z74" s="330"/>
      <c r="AA74" s="119"/>
      <c r="AB74" s="119"/>
    </row>
    <row r="75" spans="1:28" s="108" customFormat="1" x14ac:dyDescent="0.2">
      <c r="A75" s="106">
        <v>42886</v>
      </c>
      <c r="B75" s="400">
        <v>19</v>
      </c>
      <c r="C75" s="107">
        <v>2</v>
      </c>
      <c r="F75" s="109"/>
      <c r="G75" s="112">
        <v>1</v>
      </c>
      <c r="H75" s="108">
        <v>800</v>
      </c>
      <c r="I75" s="108" t="s">
        <v>160</v>
      </c>
      <c r="J75" s="108" t="s">
        <v>160</v>
      </c>
      <c r="O75" s="110"/>
      <c r="P75" s="119" t="e">
        <f t="shared" si="11"/>
        <v>#VALUE!</v>
      </c>
      <c r="Q75" s="119" t="e">
        <f t="shared" si="8"/>
        <v>#DIV/0!</v>
      </c>
      <c r="R75" s="110" t="e">
        <f t="shared" si="9"/>
        <v>#VALUE!</v>
      </c>
      <c r="S75" s="113" t="e">
        <f>I75/(I74+I75)</f>
        <v>#VALUE!</v>
      </c>
      <c r="T75" s="111">
        <v>19</v>
      </c>
      <c r="Y75" s="109"/>
      <c r="Z75" s="330"/>
      <c r="AA75" s="119"/>
      <c r="AB75" s="119"/>
    </row>
    <row r="76" spans="1:28" s="108" customFormat="1" x14ac:dyDescent="0.2">
      <c r="A76" s="106">
        <v>42886</v>
      </c>
      <c r="B76" s="400">
        <v>20</v>
      </c>
      <c r="C76" s="107">
        <v>5</v>
      </c>
      <c r="D76" s="108" t="s">
        <v>46</v>
      </c>
      <c r="F76" s="109">
        <v>100</v>
      </c>
      <c r="G76" s="112">
        <v>1</v>
      </c>
      <c r="H76" s="108">
        <v>800</v>
      </c>
      <c r="I76" s="108">
        <v>21</v>
      </c>
      <c r="J76" s="108">
        <v>24</v>
      </c>
      <c r="O76" s="110"/>
      <c r="P76" s="119">
        <f>I76/G76*H76</f>
        <v>16800</v>
      </c>
      <c r="Q76" s="119">
        <f t="shared" si="8"/>
        <v>19200</v>
      </c>
      <c r="R76" s="110">
        <f t="shared" si="9"/>
        <v>0.46666666666666667</v>
      </c>
      <c r="S76" s="113">
        <f>I76/(I76+I77)</f>
        <v>0.80769230769230771</v>
      </c>
      <c r="T76" s="108" t="s">
        <v>162</v>
      </c>
      <c r="Y76" s="109" t="str">
        <f>D76</f>
        <v>K-6 Low</v>
      </c>
      <c r="Z76" s="330"/>
      <c r="AA76" s="119"/>
      <c r="AB76" s="119"/>
    </row>
    <row r="77" spans="1:28" s="108" customFormat="1" x14ac:dyDescent="0.2">
      <c r="A77" s="106">
        <v>42886</v>
      </c>
      <c r="B77" s="400">
        <v>20</v>
      </c>
      <c r="C77" s="107">
        <v>2</v>
      </c>
      <c r="F77" s="109"/>
      <c r="G77" s="112">
        <v>1</v>
      </c>
      <c r="H77" s="108">
        <v>800</v>
      </c>
      <c r="I77" s="108">
        <v>5</v>
      </c>
      <c r="J77" s="108">
        <v>1</v>
      </c>
      <c r="O77" s="110"/>
      <c r="P77" s="119">
        <f>I77/G77*H77</f>
        <v>4000</v>
      </c>
      <c r="Q77" s="119">
        <f t="shared" si="8"/>
        <v>800</v>
      </c>
      <c r="R77" s="110">
        <f t="shared" si="9"/>
        <v>0.83333333333333337</v>
      </c>
      <c r="S77" s="113">
        <f>I77/(I76+I77)</f>
        <v>0.19230769230769232</v>
      </c>
      <c r="T77" s="111">
        <v>20</v>
      </c>
      <c r="Y77" s="109"/>
      <c r="Z77" s="330"/>
      <c r="AA77" s="119"/>
      <c r="AB77" s="119"/>
    </row>
    <row r="78" spans="1:28" s="108" customFormat="1" x14ac:dyDescent="0.2">
      <c r="A78" s="106">
        <v>42886</v>
      </c>
      <c r="B78" s="400">
        <v>21</v>
      </c>
      <c r="C78" s="107">
        <v>5</v>
      </c>
      <c r="D78" s="108" t="s">
        <v>133</v>
      </c>
      <c r="F78" s="109">
        <v>100</v>
      </c>
      <c r="G78" s="112">
        <v>1</v>
      </c>
      <c r="H78" s="108">
        <v>800</v>
      </c>
      <c r="I78" s="108">
        <v>1</v>
      </c>
      <c r="J78" s="108">
        <v>177</v>
      </c>
      <c r="O78" s="110"/>
      <c r="P78" s="119">
        <f>I78/G78*H78</f>
        <v>800</v>
      </c>
      <c r="Q78" s="119">
        <f t="shared" si="8"/>
        <v>141600</v>
      </c>
      <c r="R78" s="110">
        <f t="shared" si="9"/>
        <v>5.6179775280898875E-3</v>
      </c>
      <c r="S78" s="113">
        <f>I78/(I78+I79)</f>
        <v>1.5873015873015872E-2</v>
      </c>
      <c r="Y78" s="109" t="str">
        <f>D78</f>
        <v xml:space="preserve">HL-10 Low </v>
      </c>
      <c r="Z78" s="330"/>
      <c r="AA78" s="119"/>
      <c r="AB78" s="119"/>
    </row>
    <row r="79" spans="1:28" s="108" customFormat="1" x14ac:dyDescent="0.2">
      <c r="A79" s="106">
        <v>42886</v>
      </c>
      <c r="B79" s="400">
        <v>21</v>
      </c>
      <c r="C79" s="107">
        <v>2</v>
      </c>
      <c r="F79" s="109"/>
      <c r="G79" s="112">
        <v>1</v>
      </c>
      <c r="H79" s="108">
        <v>800</v>
      </c>
      <c r="I79" s="108">
        <v>62</v>
      </c>
      <c r="J79" s="108">
        <v>0</v>
      </c>
      <c r="O79" s="110"/>
      <c r="P79" s="119">
        <f>I79/G79*H79</f>
        <v>49600</v>
      </c>
      <c r="Q79" s="119">
        <f t="shared" si="8"/>
        <v>0</v>
      </c>
      <c r="R79" s="110">
        <f t="shared" si="9"/>
        <v>1</v>
      </c>
      <c r="S79" s="113">
        <f>I79/(I78+I79)</f>
        <v>0.98412698412698407</v>
      </c>
      <c r="T79" s="111">
        <v>21</v>
      </c>
      <c r="Y79" s="109"/>
      <c r="Z79" s="330"/>
      <c r="AA79" s="119"/>
      <c r="AB79" s="119"/>
    </row>
    <row r="80" spans="1:28" s="108" customFormat="1" x14ac:dyDescent="0.2">
      <c r="A80" s="106">
        <v>42886</v>
      </c>
      <c r="B80" s="400">
        <v>22</v>
      </c>
      <c r="C80" s="107">
        <v>5</v>
      </c>
      <c r="F80" s="109"/>
      <c r="G80" s="112">
        <v>1</v>
      </c>
      <c r="H80" s="108">
        <v>800</v>
      </c>
      <c r="I80" s="108">
        <v>5</v>
      </c>
      <c r="J80" s="108">
        <v>58</v>
      </c>
      <c r="O80" s="110"/>
      <c r="P80" s="119">
        <f>I80/G80*H80</f>
        <v>4000</v>
      </c>
      <c r="Q80" s="119">
        <f t="shared" si="8"/>
        <v>46400</v>
      </c>
      <c r="R80" s="110">
        <f t="shared" si="9"/>
        <v>7.9365079365079361E-2</v>
      </c>
      <c r="S80" s="113">
        <f>I80/(I80+I81)</f>
        <v>5.5555555555555552E-2</v>
      </c>
      <c r="T80" s="111"/>
      <c r="Y80" s="109"/>
      <c r="Z80" s="330"/>
      <c r="AA80" s="119"/>
      <c r="AB80" s="119"/>
    </row>
    <row r="81" spans="1:28" s="125" customFormat="1" ht="17" thickBot="1" x14ac:dyDescent="0.25">
      <c r="A81" s="123">
        <v>42886</v>
      </c>
      <c r="B81" s="402">
        <v>22</v>
      </c>
      <c r="C81" s="124">
        <v>2</v>
      </c>
      <c r="D81" s="125" t="s">
        <v>17</v>
      </c>
      <c r="F81" s="126">
        <v>100</v>
      </c>
      <c r="G81" s="127">
        <v>1</v>
      </c>
      <c r="H81" s="125">
        <v>800</v>
      </c>
      <c r="I81" s="125">
        <v>85</v>
      </c>
      <c r="J81" s="125">
        <v>2</v>
      </c>
      <c r="O81" s="128"/>
      <c r="P81" s="129">
        <f t="shared" si="11"/>
        <v>68000</v>
      </c>
      <c r="Q81" s="129">
        <f t="shared" si="8"/>
        <v>1600</v>
      </c>
      <c r="R81" s="128">
        <f t="shared" si="9"/>
        <v>0.97701149425287359</v>
      </c>
      <c r="S81" s="130">
        <f>I81/(I80+I81)</f>
        <v>0.94444444444444442</v>
      </c>
      <c r="T81" s="131">
        <v>22</v>
      </c>
      <c r="Y81" s="126" t="str">
        <f>D81</f>
        <v>K-10 Ambient</v>
      </c>
      <c r="Z81" s="331"/>
      <c r="AA81" s="129"/>
      <c r="AB81" s="129"/>
    </row>
    <row r="82" spans="1:28" s="73" customFormat="1" x14ac:dyDescent="0.2">
      <c r="A82" s="70">
        <v>42891</v>
      </c>
      <c r="B82" s="403">
        <v>7</v>
      </c>
      <c r="C82" s="71"/>
      <c r="D82" s="72" t="s">
        <v>134</v>
      </c>
      <c r="E82" s="73">
        <v>1</v>
      </c>
      <c r="F82" s="84">
        <v>224</v>
      </c>
      <c r="G82" s="84">
        <v>2</v>
      </c>
      <c r="H82" s="73">
        <v>695</v>
      </c>
      <c r="I82" s="73">
        <v>0</v>
      </c>
      <c r="J82" s="73">
        <v>0</v>
      </c>
      <c r="K82" s="73">
        <v>1</v>
      </c>
      <c r="L82" s="73">
        <v>0</v>
      </c>
      <c r="M82" s="73">
        <v>0</v>
      </c>
      <c r="N82" s="73">
        <v>0</v>
      </c>
      <c r="P82" s="322">
        <f>(AVERAGE(I82,K82,M82)/G82)*H82</f>
        <v>115.83333333333333</v>
      </c>
      <c r="Q82" s="120">
        <f t="shared" si="8"/>
        <v>0</v>
      </c>
      <c r="R82" s="157">
        <f t="shared" si="9"/>
        <v>1</v>
      </c>
      <c r="S82" s="170" t="str">
        <f>D82</f>
        <v xml:space="preserve">SN-10 Low </v>
      </c>
      <c r="T82" s="74"/>
      <c r="U82" s="74"/>
      <c r="V82" s="74"/>
      <c r="W82" s="73" t="s">
        <v>209</v>
      </c>
      <c r="Y82" s="85" t="str">
        <f>D82</f>
        <v xml:space="preserve">SN-10 Low </v>
      </c>
      <c r="Z82" s="332"/>
      <c r="AA82" s="120"/>
      <c r="AB82" s="120"/>
    </row>
    <row r="83" spans="1:28" s="78" customFormat="1" x14ac:dyDescent="0.2">
      <c r="A83" s="75">
        <v>42891</v>
      </c>
      <c r="B83" s="404">
        <v>7</v>
      </c>
      <c r="C83" s="76"/>
      <c r="D83" s="77" t="s">
        <v>134</v>
      </c>
      <c r="E83" s="78">
        <v>1</v>
      </c>
      <c r="F83" s="85">
        <v>180</v>
      </c>
      <c r="G83" s="85">
        <v>1</v>
      </c>
      <c r="H83" s="78">
        <v>660</v>
      </c>
      <c r="I83" s="78">
        <v>5</v>
      </c>
      <c r="J83" s="78">
        <v>0</v>
      </c>
      <c r="K83" s="78">
        <v>1</v>
      </c>
      <c r="L83" s="78">
        <v>0</v>
      </c>
      <c r="M83" s="78">
        <v>2</v>
      </c>
      <c r="N83" s="78">
        <v>0</v>
      </c>
      <c r="P83" s="122">
        <f t="shared" ref="P83:P128" si="12">(AVERAGE(I83,K83,M83)/G83)*H83</f>
        <v>1760</v>
      </c>
      <c r="Q83" s="122">
        <f t="shared" si="8"/>
        <v>0</v>
      </c>
      <c r="R83" s="158">
        <f t="shared" si="9"/>
        <v>1</v>
      </c>
      <c r="S83" s="171">
        <f>(P82+P83+P84)/(P82+P83+P84+Q82+Q83+Q84)</f>
        <v>0.87502557140466053</v>
      </c>
      <c r="T83" s="79"/>
      <c r="U83" s="79"/>
      <c r="V83" s="79"/>
      <c r="Y83" s="85"/>
      <c r="Z83" s="333"/>
      <c r="AA83" s="122"/>
      <c r="AB83" s="122"/>
    </row>
    <row r="84" spans="1:28" s="78" customFormat="1" x14ac:dyDescent="0.2">
      <c r="A84" s="75">
        <v>42891</v>
      </c>
      <c r="B84" s="404">
        <v>7</v>
      </c>
      <c r="C84" s="76"/>
      <c r="D84" s="77" t="s">
        <v>134</v>
      </c>
      <c r="E84" s="78">
        <v>1</v>
      </c>
      <c r="F84" s="85">
        <v>100</v>
      </c>
      <c r="G84" s="85">
        <v>1</v>
      </c>
      <c r="H84" s="78">
        <v>800</v>
      </c>
      <c r="I84" s="78">
        <v>40</v>
      </c>
      <c r="J84" s="78">
        <v>7</v>
      </c>
      <c r="K84" s="78">
        <v>41</v>
      </c>
      <c r="L84" s="78">
        <v>7</v>
      </c>
      <c r="M84" s="78">
        <v>59</v>
      </c>
      <c r="N84" s="78">
        <v>7</v>
      </c>
      <c r="P84" s="122">
        <f t="shared" si="12"/>
        <v>37333.333333333328</v>
      </c>
      <c r="Q84" s="122">
        <f t="shared" si="8"/>
        <v>5600</v>
      </c>
      <c r="R84" s="158">
        <f t="shared" si="9"/>
        <v>0.86956521739130432</v>
      </c>
      <c r="S84" s="171"/>
      <c r="T84" s="79"/>
      <c r="U84" s="79"/>
      <c r="V84" s="79"/>
      <c r="Y84" s="85"/>
      <c r="Z84" s="333"/>
      <c r="AA84" s="122"/>
      <c r="AB84" s="122"/>
    </row>
    <row r="85" spans="1:28" s="78" customFormat="1" x14ac:dyDescent="0.2">
      <c r="A85" s="75">
        <v>42891</v>
      </c>
      <c r="B85" s="404">
        <v>10</v>
      </c>
      <c r="C85" s="76"/>
      <c r="D85" s="78" t="s">
        <v>104</v>
      </c>
      <c r="E85" s="78">
        <v>1</v>
      </c>
      <c r="F85" s="85">
        <v>224</v>
      </c>
      <c r="G85" s="85">
        <v>3</v>
      </c>
      <c r="H85" s="78">
        <v>350</v>
      </c>
      <c r="I85" s="78">
        <v>0</v>
      </c>
      <c r="J85" s="78">
        <v>0</v>
      </c>
      <c r="K85" s="78">
        <v>1</v>
      </c>
      <c r="L85" s="78">
        <v>0</v>
      </c>
      <c r="M85" s="78">
        <v>0</v>
      </c>
      <c r="N85" s="78">
        <v>0</v>
      </c>
      <c r="P85" s="122">
        <f t="shared" si="12"/>
        <v>38.888888888888886</v>
      </c>
      <c r="Q85" s="122">
        <f t="shared" si="8"/>
        <v>0</v>
      </c>
      <c r="R85" s="158">
        <f t="shared" si="9"/>
        <v>1</v>
      </c>
      <c r="S85" s="171" t="str">
        <f>D85</f>
        <v>NF-6 Low</v>
      </c>
      <c r="T85" s="79"/>
      <c r="U85" s="79"/>
      <c r="V85" s="79"/>
      <c r="Y85" s="85" t="str">
        <f>D85</f>
        <v>NF-6 Low</v>
      </c>
      <c r="Z85" s="333"/>
      <c r="AA85" s="122"/>
      <c r="AB85" s="122"/>
    </row>
    <row r="86" spans="1:28" s="78" customFormat="1" x14ac:dyDescent="0.2">
      <c r="A86" s="75">
        <v>42891</v>
      </c>
      <c r="B86" s="404">
        <v>10</v>
      </c>
      <c r="C86" s="76"/>
      <c r="D86" s="78" t="s">
        <v>104</v>
      </c>
      <c r="E86" s="78">
        <v>1</v>
      </c>
      <c r="F86" s="85">
        <v>180</v>
      </c>
      <c r="G86" s="85">
        <v>2</v>
      </c>
      <c r="H86" s="78">
        <v>420</v>
      </c>
      <c r="I86" s="78">
        <v>0</v>
      </c>
      <c r="J86" s="78">
        <v>0</v>
      </c>
      <c r="K86" s="78">
        <v>0</v>
      </c>
      <c r="L86" s="78">
        <v>0</v>
      </c>
      <c r="M86" s="78">
        <v>1</v>
      </c>
      <c r="N86" s="78">
        <v>0</v>
      </c>
      <c r="P86" s="122">
        <f t="shared" si="12"/>
        <v>70</v>
      </c>
      <c r="Q86" s="122">
        <f t="shared" si="8"/>
        <v>0</v>
      </c>
      <c r="R86" s="158">
        <f t="shared" si="9"/>
        <v>1</v>
      </c>
      <c r="S86" s="171">
        <f>(P85+P86+P87)/(P85+P86+P87+Q85+Q86+Q87)</f>
        <v>0.44459712679575258</v>
      </c>
      <c r="T86" s="79"/>
      <c r="U86" s="79"/>
      <c r="V86" s="79"/>
      <c r="Y86" s="85"/>
      <c r="Z86" s="333"/>
      <c r="AA86" s="122"/>
      <c r="AB86" s="122"/>
    </row>
    <row r="87" spans="1:28" s="78" customFormat="1" x14ac:dyDescent="0.2">
      <c r="A87" s="75">
        <v>42891</v>
      </c>
      <c r="B87" s="404">
        <v>10</v>
      </c>
      <c r="C87" s="76"/>
      <c r="D87" s="78" t="s">
        <v>104</v>
      </c>
      <c r="E87" s="78">
        <v>1</v>
      </c>
      <c r="F87" s="85">
        <v>100</v>
      </c>
      <c r="G87" s="85">
        <v>0.5</v>
      </c>
      <c r="H87" s="78">
        <v>780</v>
      </c>
      <c r="I87" s="78">
        <v>5</v>
      </c>
      <c r="J87" s="78">
        <v>9</v>
      </c>
      <c r="K87" s="78">
        <v>4</v>
      </c>
      <c r="L87" s="78">
        <v>5</v>
      </c>
      <c r="M87" s="78">
        <v>6</v>
      </c>
      <c r="N87" s="78">
        <v>5</v>
      </c>
      <c r="P87" s="122">
        <f t="shared" si="12"/>
        <v>7800</v>
      </c>
      <c r="Q87" s="122">
        <f t="shared" si="8"/>
        <v>9880</v>
      </c>
      <c r="R87" s="158">
        <f t="shared" si="9"/>
        <v>0.44117647058823528</v>
      </c>
      <c r="S87" s="171"/>
      <c r="T87" s="79"/>
      <c r="U87" s="79"/>
      <c r="V87" s="79"/>
      <c r="Y87" s="85"/>
      <c r="Z87" s="333"/>
      <c r="AA87" s="122"/>
      <c r="AB87" s="122"/>
    </row>
    <row r="88" spans="1:28" s="78" customFormat="1" x14ac:dyDescent="0.2">
      <c r="A88" s="75">
        <v>42891</v>
      </c>
      <c r="B88" s="404">
        <v>5</v>
      </c>
      <c r="C88" s="76"/>
      <c r="D88" s="78" t="s">
        <v>86</v>
      </c>
      <c r="E88" s="78">
        <v>1</v>
      </c>
      <c r="F88" s="85">
        <v>224</v>
      </c>
      <c r="G88" s="85">
        <v>3</v>
      </c>
      <c r="H88" s="78">
        <v>470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P88" s="122">
        <f t="shared" ref="P88:P93" si="13">(AVERAGE(I88,K88,M88)/G88)*H88</f>
        <v>0</v>
      </c>
      <c r="Q88" s="122">
        <f t="shared" si="8"/>
        <v>0</v>
      </c>
      <c r="R88" s="158" t="e">
        <f t="shared" si="9"/>
        <v>#DIV/0!</v>
      </c>
      <c r="S88" s="171" t="str">
        <f>D88</f>
        <v>SN-10 Ambient</v>
      </c>
      <c r="T88" s="79"/>
      <c r="U88" s="79"/>
      <c r="V88" s="79"/>
      <c r="Y88" s="85" t="str">
        <f>D88</f>
        <v>SN-10 Ambient</v>
      </c>
      <c r="Z88" s="333"/>
      <c r="AA88" s="122"/>
      <c r="AB88" s="122"/>
    </row>
    <row r="89" spans="1:28" s="78" customFormat="1" x14ac:dyDescent="0.2">
      <c r="A89" s="75">
        <v>42891</v>
      </c>
      <c r="B89" s="404">
        <v>5</v>
      </c>
      <c r="C89" s="76"/>
      <c r="D89" s="78" t="s">
        <v>86</v>
      </c>
      <c r="E89" s="78">
        <v>1</v>
      </c>
      <c r="F89" s="85">
        <v>180</v>
      </c>
      <c r="G89" s="85">
        <v>1</v>
      </c>
      <c r="H89" s="78">
        <v>590</v>
      </c>
      <c r="I89" s="78">
        <v>1</v>
      </c>
      <c r="J89" s="78">
        <v>1</v>
      </c>
      <c r="K89" s="78">
        <v>1</v>
      </c>
      <c r="L89" s="78">
        <v>1</v>
      </c>
      <c r="M89" s="78">
        <v>2</v>
      </c>
      <c r="N89" s="78">
        <v>0</v>
      </c>
      <c r="P89" s="122">
        <f t="shared" si="13"/>
        <v>786.66666666666663</v>
      </c>
      <c r="Q89" s="122">
        <f t="shared" si="8"/>
        <v>393.33333333333331</v>
      </c>
      <c r="R89" s="158">
        <f t="shared" si="9"/>
        <v>0.66666666666666663</v>
      </c>
      <c r="S89" s="171">
        <f>(P88+P89+P90)/(P88+P89+P90+Q88+Q89+Q90)</f>
        <v>0.81344419721278838</v>
      </c>
      <c r="T89" s="79"/>
      <c r="U89" s="79"/>
      <c r="V89" s="79"/>
      <c r="Y89" s="85"/>
      <c r="Z89" s="333"/>
      <c r="AA89" s="122"/>
      <c r="AB89" s="122"/>
    </row>
    <row r="90" spans="1:28" s="78" customFormat="1" x14ac:dyDescent="0.2">
      <c r="A90" s="75">
        <v>42891</v>
      </c>
      <c r="B90" s="404">
        <v>5</v>
      </c>
      <c r="C90" s="76"/>
      <c r="D90" s="78" t="s">
        <v>86</v>
      </c>
      <c r="E90" s="78">
        <v>2</v>
      </c>
      <c r="F90" s="85">
        <v>100</v>
      </c>
      <c r="G90" s="85">
        <v>0.5</v>
      </c>
      <c r="H90" s="78">
        <v>800</v>
      </c>
      <c r="I90" s="78">
        <v>87</v>
      </c>
      <c r="J90" s="78">
        <v>16</v>
      </c>
      <c r="K90" s="78">
        <v>85</v>
      </c>
      <c r="L90" s="78">
        <v>22</v>
      </c>
      <c r="M90" s="78">
        <v>87</v>
      </c>
      <c r="N90" s="78">
        <v>21</v>
      </c>
      <c r="P90" s="122">
        <f t="shared" si="13"/>
        <v>138133.33333333331</v>
      </c>
      <c r="Q90" s="122">
        <f t="shared" si="8"/>
        <v>31466.666666666668</v>
      </c>
      <c r="R90" s="158">
        <f t="shared" si="9"/>
        <v>0.81446540880503149</v>
      </c>
      <c r="S90" s="171"/>
      <c r="T90" s="79"/>
      <c r="U90" s="79"/>
      <c r="V90" s="79"/>
      <c r="Y90" s="85"/>
      <c r="Z90" s="333"/>
      <c r="AA90" s="122"/>
      <c r="AB90" s="122"/>
    </row>
    <row r="91" spans="1:28" s="78" customFormat="1" x14ac:dyDescent="0.2">
      <c r="A91" s="75">
        <v>42891</v>
      </c>
      <c r="B91" s="404">
        <v>12</v>
      </c>
      <c r="C91" s="76"/>
      <c r="D91" s="78" t="s">
        <v>83</v>
      </c>
      <c r="E91" s="78">
        <v>2</v>
      </c>
      <c r="F91" s="85">
        <v>224</v>
      </c>
      <c r="G91" s="85">
        <v>3</v>
      </c>
      <c r="H91" s="78">
        <v>270</v>
      </c>
      <c r="I91" s="78">
        <v>1</v>
      </c>
      <c r="J91" s="78">
        <v>0</v>
      </c>
      <c r="K91" s="78">
        <v>1</v>
      </c>
      <c r="L91" s="78">
        <v>0</v>
      </c>
      <c r="M91" s="78">
        <v>1</v>
      </c>
      <c r="N91" s="78">
        <v>0</v>
      </c>
      <c r="P91" s="122">
        <f t="shared" si="13"/>
        <v>90</v>
      </c>
      <c r="Q91" s="122">
        <f t="shared" si="8"/>
        <v>0</v>
      </c>
      <c r="R91" s="158">
        <f t="shared" si="9"/>
        <v>1</v>
      </c>
      <c r="S91" s="171" t="str">
        <f>D91</f>
        <v>NF-10 Low</v>
      </c>
      <c r="T91" s="79"/>
      <c r="U91" s="79"/>
      <c r="V91" s="79"/>
      <c r="Y91" s="85" t="str">
        <f>D91</f>
        <v>NF-10 Low</v>
      </c>
      <c r="Z91" s="333"/>
      <c r="AA91" s="122"/>
      <c r="AB91" s="122"/>
    </row>
    <row r="92" spans="1:28" s="78" customFormat="1" x14ac:dyDescent="0.2">
      <c r="A92" s="75">
        <v>42891</v>
      </c>
      <c r="B92" s="404">
        <v>12</v>
      </c>
      <c r="C92" s="76"/>
      <c r="D92" s="78" t="s">
        <v>83</v>
      </c>
      <c r="E92" s="78">
        <v>2</v>
      </c>
      <c r="F92" s="85">
        <v>180</v>
      </c>
      <c r="G92" s="85">
        <v>1</v>
      </c>
      <c r="H92" s="78">
        <v>360</v>
      </c>
      <c r="I92" s="78">
        <v>4</v>
      </c>
      <c r="J92" s="78">
        <v>3</v>
      </c>
      <c r="K92" s="78">
        <v>2</v>
      </c>
      <c r="L92" s="78">
        <v>0</v>
      </c>
      <c r="M92" s="78">
        <v>1</v>
      </c>
      <c r="N92" s="78">
        <v>1</v>
      </c>
      <c r="P92" s="122">
        <f t="shared" si="13"/>
        <v>840</v>
      </c>
      <c r="Q92" s="122">
        <f t="shared" si="8"/>
        <v>480</v>
      </c>
      <c r="R92" s="158">
        <f t="shared" si="9"/>
        <v>0.63636363636363635</v>
      </c>
      <c r="S92" s="171">
        <f>(P91+P92+P93)/(P91+P92+P93+Q91+Q92+Q93)</f>
        <v>0.82014347850646796</v>
      </c>
      <c r="T92" s="79"/>
      <c r="U92" s="79"/>
      <c r="V92" s="79"/>
      <c r="Y92" s="85"/>
      <c r="Z92" s="333"/>
      <c r="AA92" s="122"/>
      <c r="AB92" s="122"/>
    </row>
    <row r="93" spans="1:28" s="78" customFormat="1" x14ac:dyDescent="0.2">
      <c r="A93" s="75">
        <v>42891</v>
      </c>
      <c r="B93" s="404">
        <v>12</v>
      </c>
      <c r="C93" s="76"/>
      <c r="D93" s="78" t="s">
        <v>83</v>
      </c>
      <c r="E93" s="78">
        <v>2</v>
      </c>
      <c r="F93" s="85">
        <v>100</v>
      </c>
      <c r="G93" s="85">
        <v>0.5</v>
      </c>
      <c r="H93" s="78">
        <v>800</v>
      </c>
      <c r="I93" s="78">
        <v>30</v>
      </c>
      <c r="J93" s="78">
        <v>8</v>
      </c>
      <c r="K93" s="78">
        <v>24</v>
      </c>
      <c r="L93" s="78">
        <v>3</v>
      </c>
      <c r="M93" s="78">
        <v>35</v>
      </c>
      <c r="N93" s="78">
        <v>8</v>
      </c>
      <c r="P93" s="122">
        <f t="shared" si="13"/>
        <v>47466.666666666672</v>
      </c>
      <c r="Q93" s="122">
        <f t="shared" si="8"/>
        <v>10133.333333333332</v>
      </c>
      <c r="R93" s="158">
        <f t="shared" si="9"/>
        <v>0.82407407407407418</v>
      </c>
      <c r="S93" s="171"/>
      <c r="T93" s="79"/>
      <c r="U93" s="79"/>
      <c r="V93" s="79"/>
      <c r="Y93" s="85"/>
      <c r="Z93" s="333"/>
      <c r="AA93" s="122"/>
      <c r="AB93" s="122"/>
    </row>
    <row r="94" spans="1:28" s="78" customFormat="1" x14ac:dyDescent="0.2">
      <c r="A94" s="75">
        <v>42891</v>
      </c>
      <c r="B94" s="404">
        <v>13</v>
      </c>
      <c r="C94" s="76"/>
      <c r="D94" s="77" t="s">
        <v>77</v>
      </c>
      <c r="E94" s="78">
        <v>2</v>
      </c>
      <c r="F94" s="85">
        <v>224</v>
      </c>
      <c r="G94" s="85">
        <v>3</v>
      </c>
      <c r="H94" s="78">
        <v>245</v>
      </c>
      <c r="I94" s="78">
        <v>0</v>
      </c>
      <c r="J94" s="78">
        <v>0</v>
      </c>
      <c r="K94" s="78">
        <v>1</v>
      </c>
      <c r="L94" s="78">
        <v>2</v>
      </c>
      <c r="M94" s="78">
        <v>0</v>
      </c>
      <c r="N94" s="78">
        <v>0</v>
      </c>
      <c r="P94" s="122">
        <f t="shared" si="12"/>
        <v>27.222222222222221</v>
      </c>
      <c r="Q94" s="122">
        <f t="shared" si="8"/>
        <v>54.444444444444443</v>
      </c>
      <c r="R94" s="158">
        <f t="shared" si="9"/>
        <v>0.33333333333333337</v>
      </c>
      <c r="S94" s="171" t="str">
        <f>D94</f>
        <v>SN-6 Low</v>
      </c>
      <c r="T94" s="79"/>
      <c r="U94" s="79"/>
      <c r="V94" s="79"/>
      <c r="Y94" s="85" t="str">
        <f>D94</f>
        <v>SN-6 Low</v>
      </c>
      <c r="Z94" s="333"/>
      <c r="AA94" s="122"/>
      <c r="AB94" s="122"/>
    </row>
    <row r="95" spans="1:28" s="78" customFormat="1" x14ac:dyDescent="0.2">
      <c r="A95" s="75">
        <v>42891</v>
      </c>
      <c r="B95" s="404">
        <v>13</v>
      </c>
      <c r="C95" s="76"/>
      <c r="D95" s="77" t="s">
        <v>77</v>
      </c>
      <c r="E95" s="78">
        <v>2</v>
      </c>
      <c r="F95" s="85">
        <v>180</v>
      </c>
      <c r="G95" s="85">
        <v>1</v>
      </c>
      <c r="H95" s="78">
        <v>420</v>
      </c>
      <c r="I95" s="78">
        <v>4</v>
      </c>
      <c r="J95" s="78">
        <v>1</v>
      </c>
      <c r="K95" s="78">
        <v>6</v>
      </c>
      <c r="L95" s="78">
        <v>0</v>
      </c>
      <c r="M95" s="78">
        <v>3</v>
      </c>
      <c r="N95" s="78">
        <v>0</v>
      </c>
      <c r="P95" s="122">
        <f t="shared" si="12"/>
        <v>1819.9999999999998</v>
      </c>
      <c r="Q95" s="122">
        <f t="shared" si="8"/>
        <v>140</v>
      </c>
      <c r="R95" s="158">
        <f t="shared" si="9"/>
        <v>0.9285714285714286</v>
      </c>
      <c r="S95" s="171">
        <f>(P94+P95+P96)/(P94+P95+P96+Q94+Q95+Q96)</f>
        <v>0.83877037362852191</v>
      </c>
      <c r="T95" s="79"/>
      <c r="U95" s="79"/>
      <c r="V95" s="79"/>
      <c r="Y95" s="85"/>
      <c r="Z95" s="333"/>
      <c r="AA95" s="122"/>
      <c r="AB95" s="122"/>
    </row>
    <row r="96" spans="1:28" s="78" customFormat="1" x14ac:dyDescent="0.2">
      <c r="A96" s="75">
        <v>42891</v>
      </c>
      <c r="B96" s="404">
        <v>13</v>
      </c>
      <c r="C96" s="76"/>
      <c r="D96" s="77" t="s">
        <v>77</v>
      </c>
      <c r="E96" s="78">
        <v>2</v>
      </c>
      <c r="F96" s="85">
        <v>100</v>
      </c>
      <c r="G96" s="85">
        <v>0.5</v>
      </c>
      <c r="H96" s="78">
        <v>850</v>
      </c>
      <c r="I96" s="78">
        <v>57</v>
      </c>
      <c r="J96" s="78">
        <v>12</v>
      </c>
      <c r="K96" s="78">
        <v>49</v>
      </c>
      <c r="L96" s="78">
        <v>11</v>
      </c>
      <c r="M96" s="78">
        <v>59</v>
      </c>
      <c r="N96" s="78">
        <v>9</v>
      </c>
      <c r="P96" s="122">
        <f t="shared" si="12"/>
        <v>93500</v>
      </c>
      <c r="Q96" s="122">
        <f t="shared" si="8"/>
        <v>18133.333333333332</v>
      </c>
      <c r="R96" s="158">
        <f t="shared" si="9"/>
        <v>0.83756345177664981</v>
      </c>
      <c r="S96" s="171"/>
      <c r="T96" s="79"/>
      <c r="U96" s="79"/>
      <c r="V96" s="79"/>
      <c r="Y96" s="85"/>
      <c r="Z96" s="333"/>
      <c r="AA96" s="122"/>
      <c r="AB96" s="122"/>
    </row>
    <row r="97" spans="1:28" s="78" customFormat="1" x14ac:dyDescent="0.2">
      <c r="A97" s="75">
        <v>42891</v>
      </c>
      <c r="B97" s="404">
        <v>8</v>
      </c>
      <c r="C97" s="76"/>
      <c r="D97" s="78" t="s">
        <v>85</v>
      </c>
      <c r="E97" s="78">
        <v>2</v>
      </c>
      <c r="F97" s="85">
        <v>224</v>
      </c>
      <c r="G97" s="85">
        <v>2</v>
      </c>
      <c r="H97" s="78">
        <v>270</v>
      </c>
      <c r="I97" s="78">
        <v>0</v>
      </c>
      <c r="J97" s="78">
        <v>0</v>
      </c>
      <c r="K97" s="78">
        <v>1</v>
      </c>
      <c r="L97" s="78">
        <v>0</v>
      </c>
      <c r="M97" s="78">
        <v>1</v>
      </c>
      <c r="N97" s="78">
        <v>1</v>
      </c>
      <c r="P97" s="122">
        <f t="shared" si="12"/>
        <v>90</v>
      </c>
      <c r="Q97" s="122">
        <f t="shared" si="8"/>
        <v>45</v>
      </c>
      <c r="R97" s="158">
        <f t="shared" si="9"/>
        <v>0.66666666666666663</v>
      </c>
      <c r="S97" s="171" t="str">
        <f>D97</f>
        <v>NF-6 Ambient</v>
      </c>
      <c r="T97" s="79"/>
      <c r="U97" s="79"/>
      <c r="V97" s="79"/>
      <c r="Y97" s="85" t="str">
        <f>D97</f>
        <v>NF-6 Ambient</v>
      </c>
      <c r="Z97" s="333"/>
      <c r="AA97" s="122"/>
      <c r="AB97" s="122"/>
    </row>
    <row r="98" spans="1:28" s="78" customFormat="1" x14ac:dyDescent="0.2">
      <c r="A98" s="75">
        <v>42891</v>
      </c>
      <c r="B98" s="404">
        <v>8</v>
      </c>
      <c r="C98" s="76"/>
      <c r="D98" s="78" t="s">
        <v>85</v>
      </c>
      <c r="E98" s="78">
        <v>3</v>
      </c>
      <c r="F98" s="85">
        <v>180</v>
      </c>
      <c r="G98" s="85">
        <v>1</v>
      </c>
      <c r="H98" s="78">
        <v>495</v>
      </c>
      <c r="I98" s="78">
        <v>3</v>
      </c>
      <c r="J98" s="78">
        <v>0</v>
      </c>
      <c r="K98" s="78">
        <v>2</v>
      </c>
      <c r="L98" s="78">
        <v>0</v>
      </c>
      <c r="M98" s="78">
        <v>4</v>
      </c>
      <c r="N98" s="78">
        <v>0</v>
      </c>
      <c r="P98" s="122">
        <f t="shared" si="12"/>
        <v>1485</v>
      </c>
      <c r="Q98" s="122">
        <f t="shared" si="8"/>
        <v>0</v>
      </c>
      <c r="R98" s="158">
        <f t="shared" si="9"/>
        <v>1</v>
      </c>
      <c r="S98" s="171">
        <f>(P97+P98+P99)/(P97+P98+P99+Q97+Q98+Q99)</f>
        <v>0.86138640525692123</v>
      </c>
      <c r="T98" s="79"/>
      <c r="Y98" s="85"/>
      <c r="Z98" s="333"/>
      <c r="AA98" s="122"/>
      <c r="AB98" s="122"/>
    </row>
    <row r="99" spans="1:28" s="78" customFormat="1" x14ac:dyDescent="0.2">
      <c r="A99" s="75">
        <v>42891</v>
      </c>
      <c r="B99" s="404">
        <v>8</v>
      </c>
      <c r="C99" s="76"/>
      <c r="D99" s="78" t="s">
        <v>85</v>
      </c>
      <c r="E99" s="78">
        <v>3</v>
      </c>
      <c r="F99" s="85">
        <v>100</v>
      </c>
      <c r="G99" s="85">
        <v>0.5</v>
      </c>
      <c r="H99" s="78">
        <v>800</v>
      </c>
      <c r="I99" s="78">
        <v>24</v>
      </c>
      <c r="J99" s="78">
        <v>4</v>
      </c>
      <c r="K99" s="78">
        <v>31</v>
      </c>
      <c r="L99" s="78">
        <v>4</v>
      </c>
      <c r="M99" s="78">
        <v>42</v>
      </c>
      <c r="N99" s="78">
        <v>8</v>
      </c>
      <c r="P99" s="122">
        <f t="shared" si="12"/>
        <v>51733.333333333336</v>
      </c>
      <c r="Q99" s="122">
        <f t="shared" ref="Q99:Q159" si="14">(AVERAGE(J99,L99,N99)/G99)*H99</f>
        <v>8533.3333333333321</v>
      </c>
      <c r="R99" s="158">
        <f t="shared" ref="R99:R159" si="15">P99/(P99+Q99)</f>
        <v>0.8584070796460177</v>
      </c>
      <c r="S99" s="171"/>
      <c r="T99" s="79"/>
      <c r="Y99" s="85"/>
      <c r="Z99" s="333"/>
      <c r="AA99" s="122"/>
      <c r="AB99" s="122"/>
    </row>
    <row r="100" spans="1:28" s="78" customFormat="1" x14ac:dyDescent="0.2">
      <c r="A100" s="75">
        <v>42891</v>
      </c>
      <c r="B100" s="404">
        <v>16</v>
      </c>
      <c r="C100" s="76"/>
      <c r="D100" s="77" t="s">
        <v>87</v>
      </c>
      <c r="E100" s="78">
        <v>3</v>
      </c>
      <c r="F100" s="85">
        <v>224</v>
      </c>
      <c r="G100" s="85">
        <v>3</v>
      </c>
      <c r="H100" s="78">
        <v>370</v>
      </c>
      <c r="I100" s="78">
        <v>3</v>
      </c>
      <c r="J100" s="78">
        <v>1</v>
      </c>
      <c r="K100" s="78">
        <v>0</v>
      </c>
      <c r="L100" s="78">
        <v>0</v>
      </c>
      <c r="M100" s="78">
        <v>0</v>
      </c>
      <c r="N100" s="78">
        <v>0</v>
      </c>
      <c r="P100" s="122">
        <f t="shared" si="12"/>
        <v>123.33333333333333</v>
      </c>
      <c r="Q100" s="122">
        <f t="shared" si="14"/>
        <v>41.111111111111107</v>
      </c>
      <c r="R100" s="158">
        <f t="shared" si="15"/>
        <v>0.75</v>
      </c>
      <c r="S100" s="171" t="str">
        <f>D100</f>
        <v>SN-6 Ambient</v>
      </c>
      <c r="T100" s="79"/>
      <c r="Y100" s="85" t="str">
        <f>D100</f>
        <v>SN-6 Ambient</v>
      </c>
      <c r="Z100" s="333"/>
      <c r="AA100" s="122"/>
      <c r="AB100" s="122"/>
    </row>
    <row r="101" spans="1:28" s="78" customFormat="1" x14ac:dyDescent="0.2">
      <c r="A101" s="75">
        <v>42891</v>
      </c>
      <c r="B101" s="404">
        <v>16</v>
      </c>
      <c r="C101" s="76"/>
      <c r="D101" s="77" t="s">
        <v>87</v>
      </c>
      <c r="E101" s="78">
        <v>3</v>
      </c>
      <c r="F101" s="85">
        <v>180</v>
      </c>
      <c r="G101" s="85">
        <v>3</v>
      </c>
      <c r="H101" s="78">
        <v>260</v>
      </c>
      <c r="I101" s="78">
        <v>0</v>
      </c>
      <c r="J101" s="78">
        <v>0</v>
      </c>
      <c r="K101" s="78">
        <v>0</v>
      </c>
      <c r="L101" s="78">
        <v>0</v>
      </c>
      <c r="M101" s="78">
        <v>0</v>
      </c>
      <c r="N101" s="78">
        <v>0</v>
      </c>
      <c r="P101" s="122">
        <f t="shared" si="12"/>
        <v>0</v>
      </c>
      <c r="Q101" s="122">
        <f t="shared" si="14"/>
        <v>0</v>
      </c>
      <c r="R101" s="158" t="e">
        <f t="shared" si="15"/>
        <v>#DIV/0!</v>
      </c>
      <c r="S101" s="171">
        <f>(P100+P101+P102)/(P100+P101+P102+Q100+Q101+Q102)</f>
        <v>0.75958466453674123</v>
      </c>
      <c r="T101" s="79"/>
      <c r="Y101" s="85"/>
      <c r="Z101" s="333"/>
      <c r="AA101" s="122"/>
      <c r="AB101" s="122"/>
    </row>
    <row r="102" spans="1:28" s="78" customFormat="1" x14ac:dyDescent="0.2">
      <c r="A102" s="75">
        <v>42891</v>
      </c>
      <c r="B102" s="404">
        <v>16</v>
      </c>
      <c r="C102" s="76"/>
      <c r="D102" s="77" t="s">
        <v>87</v>
      </c>
      <c r="E102" s="78">
        <v>3</v>
      </c>
      <c r="F102" s="85">
        <v>100</v>
      </c>
      <c r="G102" s="85">
        <v>0.5</v>
      </c>
      <c r="H102" s="78">
        <v>740</v>
      </c>
      <c r="I102" s="78">
        <v>24</v>
      </c>
      <c r="J102" s="78">
        <v>9</v>
      </c>
      <c r="K102" s="78">
        <v>31</v>
      </c>
      <c r="L102" s="78">
        <v>8</v>
      </c>
      <c r="M102" s="78">
        <v>24</v>
      </c>
      <c r="N102" s="78">
        <v>8</v>
      </c>
      <c r="P102" s="122">
        <f t="shared" si="12"/>
        <v>38973.333333333328</v>
      </c>
      <c r="Q102" s="122">
        <f t="shared" si="14"/>
        <v>12333.333333333334</v>
      </c>
      <c r="R102" s="158">
        <f t="shared" si="15"/>
        <v>0.75961538461538458</v>
      </c>
      <c r="S102" s="171"/>
      <c r="T102" s="79"/>
      <c r="Y102" s="85"/>
      <c r="Z102" s="333"/>
      <c r="AA102" s="122"/>
      <c r="AB102" s="122"/>
    </row>
    <row r="103" spans="1:28" s="78" customFormat="1" x14ac:dyDescent="0.2">
      <c r="A103" s="75">
        <v>42891</v>
      </c>
      <c r="B103" s="404">
        <v>3</v>
      </c>
      <c r="C103" s="76"/>
      <c r="D103" s="78" t="s">
        <v>84</v>
      </c>
      <c r="E103" s="78">
        <v>3</v>
      </c>
      <c r="F103" s="85">
        <v>224</v>
      </c>
      <c r="G103" s="78">
        <v>3</v>
      </c>
      <c r="H103" s="78">
        <v>550</v>
      </c>
      <c r="I103" s="78">
        <v>0</v>
      </c>
      <c r="J103" s="78">
        <v>0</v>
      </c>
      <c r="K103" s="78">
        <v>0</v>
      </c>
      <c r="L103" s="78">
        <v>0</v>
      </c>
      <c r="M103" s="78">
        <v>0</v>
      </c>
      <c r="N103" s="78">
        <v>0</v>
      </c>
      <c r="P103" s="122">
        <f t="shared" si="12"/>
        <v>0</v>
      </c>
      <c r="Q103" s="122">
        <f t="shared" si="14"/>
        <v>0</v>
      </c>
      <c r="R103" s="158" t="e">
        <f t="shared" si="15"/>
        <v>#DIV/0!</v>
      </c>
      <c r="S103" s="171" t="str">
        <f>D103</f>
        <v>NF-10 Ambient</v>
      </c>
      <c r="Y103" s="85" t="str">
        <f>D103</f>
        <v>NF-10 Ambient</v>
      </c>
      <c r="Z103" s="333"/>
      <c r="AA103" s="122"/>
      <c r="AB103" s="122"/>
    </row>
    <row r="104" spans="1:28" s="78" customFormat="1" x14ac:dyDescent="0.2">
      <c r="A104" s="75">
        <v>42891</v>
      </c>
      <c r="B104" s="404">
        <v>3</v>
      </c>
      <c r="C104" s="76"/>
      <c r="D104" s="78" t="s">
        <v>84</v>
      </c>
      <c r="E104" s="78">
        <v>3</v>
      </c>
      <c r="F104" s="85">
        <v>180</v>
      </c>
      <c r="G104" s="78">
        <v>1</v>
      </c>
      <c r="H104" s="78">
        <v>300</v>
      </c>
      <c r="I104" s="78">
        <v>3</v>
      </c>
      <c r="J104" s="78">
        <v>0</v>
      </c>
      <c r="K104" s="78">
        <v>7</v>
      </c>
      <c r="L104" s="78">
        <v>0</v>
      </c>
      <c r="M104" s="78">
        <v>4</v>
      </c>
      <c r="N104" s="78">
        <v>1</v>
      </c>
      <c r="P104" s="122">
        <f t="shared" si="12"/>
        <v>1400</v>
      </c>
      <c r="Q104" s="122">
        <f t="shared" si="14"/>
        <v>100</v>
      </c>
      <c r="R104" s="158">
        <f t="shared" si="15"/>
        <v>0.93333333333333335</v>
      </c>
      <c r="S104" s="171">
        <f>(P103+P104+P105)/(P103+P104+P105+Q103+Q104+Q105)</f>
        <v>0.8665880734846253</v>
      </c>
      <c r="Y104" s="85"/>
      <c r="Z104" s="333"/>
      <c r="AA104" s="122"/>
      <c r="AB104" s="122"/>
    </row>
    <row r="105" spans="1:28" s="78" customFormat="1" x14ac:dyDescent="0.2">
      <c r="A105" s="75">
        <v>42891</v>
      </c>
      <c r="B105" s="404">
        <v>3</v>
      </c>
      <c r="C105" s="76"/>
      <c r="D105" s="78" t="s">
        <v>84</v>
      </c>
      <c r="E105" s="78">
        <v>3</v>
      </c>
      <c r="F105" s="85">
        <v>100</v>
      </c>
      <c r="G105" s="78">
        <v>0.5</v>
      </c>
      <c r="H105" s="78">
        <v>790</v>
      </c>
      <c r="I105" s="78">
        <v>36</v>
      </c>
      <c r="J105" s="78">
        <v>5</v>
      </c>
      <c r="K105" s="78">
        <v>44</v>
      </c>
      <c r="L105" s="78">
        <v>4</v>
      </c>
      <c r="M105" s="78">
        <v>29</v>
      </c>
      <c r="N105" s="78">
        <v>8</v>
      </c>
      <c r="P105" s="122">
        <f t="shared" si="12"/>
        <v>57406.666666666672</v>
      </c>
      <c r="Q105" s="122">
        <f t="shared" si="14"/>
        <v>8953.3333333333339</v>
      </c>
      <c r="R105" s="158">
        <f t="shared" si="15"/>
        <v>0.86507936507936511</v>
      </c>
      <c r="S105" s="171"/>
      <c r="Y105" s="85"/>
      <c r="Z105" s="333"/>
      <c r="AA105" s="122"/>
      <c r="AB105" s="122"/>
    </row>
    <row r="106" spans="1:28" s="78" customFormat="1" x14ac:dyDescent="0.2">
      <c r="A106" s="75">
        <v>42891</v>
      </c>
      <c r="B106" s="404">
        <v>9</v>
      </c>
      <c r="C106" s="76"/>
      <c r="D106" s="77" t="s">
        <v>134</v>
      </c>
      <c r="E106" s="78">
        <v>4</v>
      </c>
      <c r="F106" s="85">
        <v>224</v>
      </c>
      <c r="G106" s="85">
        <v>3</v>
      </c>
      <c r="H106" s="78">
        <v>200</v>
      </c>
      <c r="I106" s="78">
        <v>2</v>
      </c>
      <c r="J106" s="78">
        <v>1</v>
      </c>
      <c r="K106" s="78">
        <v>4</v>
      </c>
      <c r="L106" s="78">
        <v>0</v>
      </c>
      <c r="M106" s="78">
        <v>1</v>
      </c>
      <c r="N106" s="78">
        <v>0</v>
      </c>
      <c r="P106" s="318">
        <f t="shared" si="12"/>
        <v>155.55555555555557</v>
      </c>
      <c r="Q106" s="122">
        <f t="shared" si="14"/>
        <v>22.222222222222221</v>
      </c>
      <c r="R106" s="158">
        <f t="shared" si="15"/>
        <v>0.875</v>
      </c>
      <c r="S106" s="171" t="str">
        <f>D106</f>
        <v xml:space="preserve">SN-10 Low </v>
      </c>
      <c r="T106" s="79"/>
      <c r="U106" s="79"/>
      <c r="V106" s="79"/>
      <c r="W106" s="78" t="s">
        <v>169</v>
      </c>
      <c r="Y106" s="85" t="str">
        <f>D106</f>
        <v xml:space="preserve">SN-10 Low </v>
      </c>
      <c r="Z106" s="333"/>
      <c r="AA106" s="122"/>
      <c r="AB106" s="122"/>
    </row>
    <row r="107" spans="1:28" s="78" customFormat="1" x14ac:dyDescent="0.2">
      <c r="A107" s="75">
        <v>42891</v>
      </c>
      <c r="B107" s="404">
        <v>9</v>
      </c>
      <c r="C107" s="76"/>
      <c r="D107" s="77" t="s">
        <v>134</v>
      </c>
      <c r="E107" s="78">
        <v>4</v>
      </c>
      <c r="F107" s="85">
        <v>180</v>
      </c>
      <c r="G107" s="85">
        <v>1</v>
      </c>
      <c r="H107" s="78">
        <v>350</v>
      </c>
      <c r="I107" s="78">
        <v>4</v>
      </c>
      <c r="J107" s="78">
        <v>0</v>
      </c>
      <c r="K107" s="78">
        <v>2</v>
      </c>
      <c r="L107" s="78">
        <v>1</v>
      </c>
      <c r="M107" s="78">
        <v>2</v>
      </c>
      <c r="N107" s="78">
        <v>0</v>
      </c>
      <c r="P107" s="122">
        <f t="shared" si="12"/>
        <v>933.33333333333326</v>
      </c>
      <c r="Q107" s="122">
        <f t="shared" si="14"/>
        <v>116.66666666666666</v>
      </c>
      <c r="R107" s="158">
        <f t="shared" si="15"/>
        <v>0.88888888888888884</v>
      </c>
      <c r="S107" s="171">
        <f>(P106+P107+P108)/(P106+P107+P108+Q106+Q107+Q108)</f>
        <v>0.32666632564325543</v>
      </c>
      <c r="T107" s="79"/>
      <c r="U107" s="79"/>
      <c r="V107" s="79"/>
      <c r="Y107" s="85"/>
      <c r="Z107" s="333"/>
      <c r="AA107" s="122"/>
      <c r="AB107" s="122"/>
    </row>
    <row r="108" spans="1:28" s="78" customFormat="1" x14ac:dyDescent="0.2">
      <c r="A108" s="75">
        <v>42891</v>
      </c>
      <c r="B108" s="404">
        <v>9</v>
      </c>
      <c r="C108" s="76"/>
      <c r="D108" s="77" t="s">
        <v>134</v>
      </c>
      <c r="E108" s="78">
        <v>4</v>
      </c>
      <c r="F108" s="85">
        <v>100</v>
      </c>
      <c r="G108" s="85">
        <v>0.5</v>
      </c>
      <c r="H108" s="78">
        <v>530</v>
      </c>
      <c r="I108" s="78">
        <v>5</v>
      </c>
      <c r="J108" s="78">
        <v>13</v>
      </c>
      <c r="K108" s="78">
        <v>7</v>
      </c>
      <c r="L108" s="78">
        <v>14</v>
      </c>
      <c r="M108" s="78">
        <v>5</v>
      </c>
      <c r="N108" s="78">
        <v>14</v>
      </c>
      <c r="P108" s="122">
        <f t="shared" si="12"/>
        <v>6006.666666666667</v>
      </c>
      <c r="Q108" s="122">
        <f t="shared" si="14"/>
        <v>14486.666666666666</v>
      </c>
      <c r="R108" s="158">
        <f t="shared" si="15"/>
        <v>0.2931034482758621</v>
      </c>
      <c r="S108" s="171"/>
      <c r="T108" s="79"/>
      <c r="U108" s="79"/>
      <c r="V108" s="79"/>
      <c r="Y108" s="85"/>
      <c r="Z108" s="333"/>
      <c r="AA108" s="122"/>
      <c r="AB108" s="122"/>
    </row>
    <row r="109" spans="1:28" s="78" customFormat="1" x14ac:dyDescent="0.2">
      <c r="A109" s="75">
        <v>42891</v>
      </c>
      <c r="B109" s="404">
        <v>18</v>
      </c>
      <c r="C109" s="76"/>
      <c r="D109" s="78" t="s">
        <v>37</v>
      </c>
      <c r="E109" s="78">
        <v>4</v>
      </c>
      <c r="F109" s="85">
        <v>224</v>
      </c>
      <c r="G109" s="85">
        <v>3</v>
      </c>
      <c r="H109" s="78">
        <v>240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P109" s="122">
        <f t="shared" si="12"/>
        <v>0</v>
      </c>
      <c r="Q109" s="122">
        <f t="shared" si="14"/>
        <v>0</v>
      </c>
      <c r="R109" s="158" t="e">
        <f t="shared" si="15"/>
        <v>#DIV/0!</v>
      </c>
      <c r="S109" s="171" t="str">
        <f>D109</f>
        <v xml:space="preserve">K-10 Low </v>
      </c>
      <c r="T109" s="79"/>
      <c r="U109" s="79"/>
      <c r="V109" s="79"/>
      <c r="W109" s="78" t="s">
        <v>170</v>
      </c>
      <c r="Y109" s="85" t="str">
        <f>D109</f>
        <v xml:space="preserve">K-10 Low </v>
      </c>
      <c r="Z109" s="333"/>
      <c r="AA109" s="122"/>
      <c r="AB109" s="122"/>
    </row>
    <row r="110" spans="1:28" s="78" customFormat="1" x14ac:dyDescent="0.2">
      <c r="A110" s="75">
        <v>42891</v>
      </c>
      <c r="B110" s="404">
        <v>18</v>
      </c>
      <c r="C110" s="76"/>
      <c r="D110" s="78" t="s">
        <v>37</v>
      </c>
      <c r="E110" s="78">
        <v>4</v>
      </c>
      <c r="F110" s="85">
        <v>180</v>
      </c>
      <c r="G110" s="85">
        <v>1</v>
      </c>
      <c r="H110" s="78">
        <v>400</v>
      </c>
      <c r="I110" s="78">
        <v>0</v>
      </c>
      <c r="J110" s="78">
        <v>1</v>
      </c>
      <c r="K110" s="78">
        <v>1</v>
      </c>
      <c r="L110" s="78">
        <v>0</v>
      </c>
      <c r="M110" s="78">
        <v>2</v>
      </c>
      <c r="N110" s="78">
        <v>0</v>
      </c>
      <c r="P110" s="122">
        <f t="shared" si="12"/>
        <v>400</v>
      </c>
      <c r="Q110" s="122">
        <f t="shared" si="14"/>
        <v>133.33333333333331</v>
      </c>
      <c r="R110" s="158">
        <f t="shared" si="15"/>
        <v>0.75000000000000011</v>
      </c>
      <c r="S110" s="171">
        <f>(P109+P110+P111)/(P109+P110+P111+Q109+Q110+Q111)</f>
        <v>9.2578305817003562E-3</v>
      </c>
      <c r="T110" s="79"/>
      <c r="U110" s="79"/>
      <c r="V110" s="79"/>
      <c r="Y110" s="85"/>
      <c r="Z110" s="333"/>
      <c r="AA110" s="122"/>
      <c r="AB110" s="122"/>
    </row>
    <row r="111" spans="1:28" s="78" customFormat="1" x14ac:dyDescent="0.2">
      <c r="A111" s="75">
        <v>42891</v>
      </c>
      <c r="B111" s="404">
        <v>18</v>
      </c>
      <c r="C111" s="76"/>
      <c r="D111" s="78" t="s">
        <v>37</v>
      </c>
      <c r="E111" s="78">
        <v>5</v>
      </c>
      <c r="F111" s="85">
        <v>100</v>
      </c>
      <c r="G111" s="85">
        <v>0.5</v>
      </c>
      <c r="H111" s="78">
        <v>370</v>
      </c>
      <c r="I111" s="78">
        <v>0</v>
      </c>
      <c r="J111" s="78">
        <v>55</v>
      </c>
      <c r="K111" s="78">
        <v>0</v>
      </c>
      <c r="L111" s="78">
        <v>69</v>
      </c>
      <c r="M111" s="78">
        <v>0</v>
      </c>
      <c r="N111" s="78">
        <v>49</v>
      </c>
      <c r="P111" s="122">
        <f t="shared" si="12"/>
        <v>0</v>
      </c>
      <c r="Q111" s="122">
        <f t="shared" si="14"/>
        <v>42673.333333333328</v>
      </c>
      <c r="R111" s="158">
        <f t="shared" si="15"/>
        <v>0</v>
      </c>
      <c r="S111" s="171"/>
      <c r="T111" s="79"/>
      <c r="U111" s="79"/>
      <c r="V111" s="79"/>
      <c r="Y111" s="85"/>
      <c r="Z111" s="333"/>
      <c r="AA111" s="122"/>
      <c r="AB111" s="122"/>
    </row>
    <row r="112" spans="1:28" s="78" customFormat="1" x14ac:dyDescent="0.2">
      <c r="A112" s="75">
        <v>42891</v>
      </c>
      <c r="B112" s="404">
        <v>21</v>
      </c>
      <c r="C112" s="76"/>
      <c r="D112" s="78" t="s">
        <v>133</v>
      </c>
      <c r="E112" s="78">
        <v>5</v>
      </c>
      <c r="F112" s="85">
        <v>224</v>
      </c>
      <c r="G112" s="85">
        <v>3</v>
      </c>
      <c r="H112" s="78">
        <v>270</v>
      </c>
      <c r="I112" s="78">
        <v>0</v>
      </c>
      <c r="J112" s="78">
        <v>0</v>
      </c>
      <c r="K112" s="78">
        <v>0</v>
      </c>
      <c r="L112" s="78">
        <v>0</v>
      </c>
      <c r="M112" s="78">
        <v>0</v>
      </c>
      <c r="N112" s="78">
        <v>0</v>
      </c>
      <c r="P112" s="122">
        <f>(AVERAGE(I112,K112,M112)/G112)*H112</f>
        <v>0</v>
      </c>
      <c r="Q112" s="122">
        <f t="shared" si="14"/>
        <v>0</v>
      </c>
      <c r="R112" s="158" t="e">
        <f t="shared" si="15"/>
        <v>#DIV/0!</v>
      </c>
      <c r="S112" s="171" t="str">
        <f>D112</f>
        <v xml:space="preserve">HL-10 Low </v>
      </c>
      <c r="T112" s="79"/>
      <c r="U112" s="79"/>
      <c r="V112" s="79"/>
      <c r="Y112" s="85" t="str">
        <f>D112</f>
        <v xml:space="preserve">HL-10 Low </v>
      </c>
      <c r="Z112" s="333"/>
      <c r="AA112" s="122"/>
      <c r="AB112" s="122"/>
    </row>
    <row r="113" spans="1:28" s="78" customFormat="1" x14ac:dyDescent="0.2">
      <c r="A113" s="75">
        <v>42891</v>
      </c>
      <c r="B113" s="404">
        <v>21</v>
      </c>
      <c r="C113" s="76"/>
      <c r="D113" s="78" t="s">
        <v>133</v>
      </c>
      <c r="E113" s="78">
        <v>5</v>
      </c>
      <c r="F113" s="85">
        <v>180</v>
      </c>
      <c r="G113" s="85">
        <v>2</v>
      </c>
      <c r="H113" s="78">
        <v>500</v>
      </c>
      <c r="I113" s="78">
        <v>1</v>
      </c>
      <c r="J113" s="78">
        <v>0</v>
      </c>
      <c r="K113" s="78">
        <v>2</v>
      </c>
      <c r="L113" s="78">
        <v>0</v>
      </c>
      <c r="M113" s="78">
        <v>0</v>
      </c>
      <c r="N113" s="78">
        <v>0</v>
      </c>
      <c r="P113" s="122">
        <f>(AVERAGE(I113,K113,M113)/G113)*H113</f>
        <v>250</v>
      </c>
      <c r="Q113" s="122">
        <f t="shared" si="14"/>
        <v>0</v>
      </c>
      <c r="R113" s="158">
        <f t="shared" si="15"/>
        <v>1</v>
      </c>
      <c r="S113" s="171">
        <f>(P112+P113+P114)/(P112+P113+P114+Q112+Q113+Q114)</f>
        <v>0.90077017999234077</v>
      </c>
      <c r="T113" s="79"/>
      <c r="U113" s="79"/>
      <c r="V113" s="79"/>
      <c r="Y113" s="85"/>
      <c r="Z113" s="333"/>
      <c r="AA113" s="122"/>
      <c r="AB113" s="122"/>
    </row>
    <row r="114" spans="1:28" s="78" customFormat="1" x14ac:dyDescent="0.2">
      <c r="A114" s="75">
        <v>42891</v>
      </c>
      <c r="B114" s="404">
        <v>21</v>
      </c>
      <c r="C114" s="76"/>
      <c r="D114" s="78" t="s">
        <v>133</v>
      </c>
      <c r="E114" s="78">
        <v>5</v>
      </c>
      <c r="F114" s="85">
        <v>100</v>
      </c>
      <c r="G114" s="85">
        <v>0.5</v>
      </c>
      <c r="H114" s="78">
        <v>530</v>
      </c>
      <c r="I114" s="78">
        <v>58</v>
      </c>
      <c r="J114" s="78">
        <v>5</v>
      </c>
      <c r="K114" s="78">
        <v>62</v>
      </c>
      <c r="L114" s="78">
        <v>5</v>
      </c>
      <c r="M114" s="78">
        <v>79</v>
      </c>
      <c r="N114" s="78">
        <v>12</v>
      </c>
      <c r="P114" s="122">
        <f>(AVERAGE(I114,K114,M114)/G114)*H114</f>
        <v>70313.333333333328</v>
      </c>
      <c r="Q114" s="122">
        <f t="shared" si="14"/>
        <v>7773.333333333333</v>
      </c>
      <c r="R114" s="158">
        <f t="shared" si="15"/>
        <v>0.90045248868778283</v>
      </c>
      <c r="S114" s="171"/>
      <c r="T114" s="79"/>
      <c r="U114" s="79"/>
      <c r="V114" s="79"/>
      <c r="Y114" s="85"/>
      <c r="Z114" s="333"/>
      <c r="AA114" s="122"/>
      <c r="AB114" s="122"/>
    </row>
    <row r="115" spans="1:28" s="78" customFormat="1" x14ac:dyDescent="0.2">
      <c r="A115" s="75">
        <v>42891</v>
      </c>
      <c r="B115" s="404">
        <v>18</v>
      </c>
      <c r="C115" s="76"/>
      <c r="D115" s="78" t="s">
        <v>37</v>
      </c>
      <c r="E115" s="78">
        <v>5</v>
      </c>
      <c r="F115" s="85">
        <v>224</v>
      </c>
      <c r="G115" s="85">
        <v>3</v>
      </c>
      <c r="H115" s="78">
        <v>470</v>
      </c>
      <c r="I115" s="78">
        <v>5</v>
      </c>
      <c r="J115" s="78">
        <v>2</v>
      </c>
      <c r="K115" s="78">
        <v>4</v>
      </c>
      <c r="L115" s="78">
        <v>0</v>
      </c>
      <c r="M115" s="78">
        <v>9</v>
      </c>
      <c r="N115" s="78">
        <v>2</v>
      </c>
      <c r="P115" s="122">
        <f t="shared" si="12"/>
        <v>940</v>
      </c>
      <c r="Q115" s="122">
        <f t="shared" si="14"/>
        <v>208.88888888888889</v>
      </c>
      <c r="R115" s="158">
        <f t="shared" si="15"/>
        <v>0.81818181818181812</v>
      </c>
      <c r="S115" s="171" t="str">
        <f>D115</f>
        <v xml:space="preserve">K-10 Low </v>
      </c>
      <c r="T115" s="79"/>
      <c r="U115" s="79"/>
      <c r="V115" s="79"/>
      <c r="Y115" s="85" t="str">
        <f>D115</f>
        <v xml:space="preserve">K-10 Low </v>
      </c>
      <c r="Z115" s="333"/>
      <c r="AA115" s="122"/>
      <c r="AB115" s="122"/>
    </row>
    <row r="116" spans="1:28" s="78" customFormat="1" x14ac:dyDescent="0.2">
      <c r="A116" s="75">
        <v>42891</v>
      </c>
      <c r="B116" s="404">
        <v>18</v>
      </c>
      <c r="C116" s="76"/>
      <c r="D116" s="78" t="s">
        <v>37</v>
      </c>
      <c r="E116" s="78">
        <v>5</v>
      </c>
      <c r="F116" s="85">
        <v>180</v>
      </c>
      <c r="G116" s="85">
        <v>1</v>
      </c>
      <c r="H116" s="78">
        <v>460</v>
      </c>
      <c r="I116" s="78">
        <v>50</v>
      </c>
      <c r="J116" s="78">
        <v>3</v>
      </c>
      <c r="K116" s="78">
        <v>47</v>
      </c>
      <c r="L116" s="78">
        <v>0</v>
      </c>
      <c r="M116" s="78">
        <v>43</v>
      </c>
      <c r="N116" s="78">
        <v>1</v>
      </c>
      <c r="P116" s="122">
        <f t="shared" si="12"/>
        <v>21466.666666666664</v>
      </c>
      <c r="Q116" s="122">
        <f t="shared" si="14"/>
        <v>613.33333333333326</v>
      </c>
      <c r="R116" s="158">
        <f t="shared" si="15"/>
        <v>0.97222222222222232</v>
      </c>
      <c r="S116" s="171">
        <f>(P115+P116+P117)/(P115+P116+P117+Q115+Q116+Q117)</f>
        <v>0.89954659323823527</v>
      </c>
      <c r="T116" s="79"/>
      <c r="U116" s="79"/>
      <c r="V116" s="79"/>
      <c r="Y116" s="85"/>
      <c r="Z116" s="333"/>
      <c r="AA116" s="122"/>
      <c r="AB116" s="122"/>
    </row>
    <row r="117" spans="1:28" s="78" customFormat="1" x14ac:dyDescent="0.2">
      <c r="A117" s="75">
        <v>42891</v>
      </c>
      <c r="B117" s="404">
        <v>18</v>
      </c>
      <c r="C117" s="76"/>
      <c r="D117" s="78" t="s">
        <v>37</v>
      </c>
      <c r="E117" s="78">
        <v>5</v>
      </c>
      <c r="F117" s="85">
        <v>100</v>
      </c>
      <c r="G117" s="85">
        <v>0.5</v>
      </c>
      <c r="H117" s="78">
        <v>830</v>
      </c>
      <c r="I117" s="78">
        <v>49</v>
      </c>
      <c r="J117" s="78">
        <v>5</v>
      </c>
      <c r="K117" s="78">
        <v>46</v>
      </c>
      <c r="L117" s="78">
        <v>5</v>
      </c>
      <c r="M117" s="78">
        <v>39</v>
      </c>
      <c r="N117" s="78">
        <v>8</v>
      </c>
      <c r="P117" s="122">
        <f t="shared" si="12"/>
        <v>74146.666666666657</v>
      </c>
      <c r="Q117" s="122">
        <f t="shared" si="14"/>
        <v>9960</v>
      </c>
      <c r="R117" s="158">
        <f t="shared" si="15"/>
        <v>0.88157894736842102</v>
      </c>
      <c r="S117" s="171"/>
      <c r="T117" s="79"/>
      <c r="U117" s="79"/>
      <c r="V117" s="79"/>
      <c r="Y117" s="85"/>
      <c r="Z117" s="333"/>
      <c r="AA117" s="122"/>
      <c r="AB117" s="122"/>
    </row>
    <row r="118" spans="1:28" s="78" customFormat="1" x14ac:dyDescent="0.2">
      <c r="A118" s="75">
        <v>42891</v>
      </c>
      <c r="B118" s="404">
        <v>19</v>
      </c>
      <c r="C118" s="76"/>
      <c r="D118" s="78" t="s">
        <v>88</v>
      </c>
      <c r="E118" s="78">
        <v>6</v>
      </c>
      <c r="F118" s="85">
        <v>224</v>
      </c>
      <c r="G118" s="85">
        <v>3</v>
      </c>
      <c r="H118" s="78">
        <v>380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P118" s="122">
        <f t="shared" si="12"/>
        <v>0</v>
      </c>
      <c r="Q118" s="122">
        <f t="shared" si="14"/>
        <v>0</v>
      </c>
      <c r="R118" s="158" t="e">
        <f t="shared" si="15"/>
        <v>#DIV/0!</v>
      </c>
      <c r="S118" s="171" t="str">
        <f>D118</f>
        <v>HL-10 Ambient</v>
      </c>
      <c r="T118" s="79"/>
      <c r="U118" s="79"/>
      <c r="V118" s="79"/>
      <c r="Y118" s="85" t="str">
        <f>D118</f>
        <v>HL-10 Ambient</v>
      </c>
      <c r="Z118" s="333"/>
      <c r="AA118" s="122"/>
      <c r="AB118" s="122"/>
    </row>
    <row r="119" spans="1:28" s="78" customFormat="1" x14ac:dyDescent="0.2">
      <c r="A119" s="75">
        <v>42891</v>
      </c>
      <c r="B119" s="404">
        <v>19</v>
      </c>
      <c r="C119" s="76"/>
      <c r="D119" s="78" t="s">
        <v>88</v>
      </c>
      <c r="E119" s="78">
        <v>6</v>
      </c>
      <c r="F119" s="85">
        <v>180</v>
      </c>
      <c r="G119" s="85">
        <v>0.5</v>
      </c>
      <c r="H119" s="78">
        <v>490</v>
      </c>
      <c r="I119" s="78">
        <v>2</v>
      </c>
      <c r="J119" s="78">
        <v>0</v>
      </c>
      <c r="K119" s="78">
        <v>4</v>
      </c>
      <c r="L119" s="78">
        <v>0</v>
      </c>
      <c r="M119" s="78">
        <v>4</v>
      </c>
      <c r="N119" s="78">
        <v>0</v>
      </c>
      <c r="P119" s="122">
        <f t="shared" si="12"/>
        <v>3266.666666666667</v>
      </c>
      <c r="Q119" s="122">
        <f t="shared" si="14"/>
        <v>0</v>
      </c>
      <c r="R119" s="158">
        <f t="shared" si="15"/>
        <v>1</v>
      </c>
      <c r="S119" s="171">
        <f>(P118+P119+P120)/(P118+P119+P120+Q118+Q119+Q120)</f>
        <v>0.95704367949088809</v>
      </c>
      <c r="T119" s="79"/>
      <c r="Y119" s="85"/>
      <c r="Z119" s="333"/>
      <c r="AA119" s="122"/>
      <c r="AB119" s="122"/>
    </row>
    <row r="120" spans="1:28" s="78" customFormat="1" x14ac:dyDescent="0.2">
      <c r="A120" s="75">
        <v>42891</v>
      </c>
      <c r="B120" s="404">
        <v>19</v>
      </c>
      <c r="C120" s="76"/>
      <c r="D120" s="78" t="s">
        <v>88</v>
      </c>
      <c r="E120" s="78">
        <v>6</v>
      </c>
      <c r="F120" s="85">
        <v>100</v>
      </c>
      <c r="G120" s="85">
        <v>0.5</v>
      </c>
      <c r="H120" s="78">
        <v>540</v>
      </c>
      <c r="I120" s="78">
        <v>75</v>
      </c>
      <c r="J120" s="78">
        <v>4</v>
      </c>
      <c r="K120" s="78">
        <v>83</v>
      </c>
      <c r="L120" s="78">
        <v>3</v>
      </c>
      <c r="M120" s="78">
        <v>78</v>
      </c>
      <c r="N120" s="78">
        <v>4</v>
      </c>
      <c r="P120" s="122">
        <f t="shared" si="12"/>
        <v>84960</v>
      </c>
      <c r="Q120" s="122">
        <f t="shared" si="14"/>
        <v>3960</v>
      </c>
      <c r="R120" s="158">
        <f t="shared" si="15"/>
        <v>0.95546558704453444</v>
      </c>
      <c r="S120" s="171"/>
      <c r="T120" s="79"/>
      <c r="Y120" s="85"/>
      <c r="Z120" s="333"/>
      <c r="AA120" s="122"/>
      <c r="AB120" s="122"/>
    </row>
    <row r="121" spans="1:28" s="78" customFormat="1" x14ac:dyDescent="0.2">
      <c r="A121" s="75">
        <v>42891</v>
      </c>
      <c r="B121" s="404">
        <v>17</v>
      </c>
      <c r="C121" s="76"/>
      <c r="D121" s="77" t="s">
        <v>38</v>
      </c>
      <c r="E121" s="78">
        <v>6</v>
      </c>
      <c r="F121" s="85">
        <v>224</v>
      </c>
      <c r="G121" s="85">
        <v>3</v>
      </c>
      <c r="H121" s="78">
        <v>250</v>
      </c>
      <c r="I121" s="78">
        <v>0</v>
      </c>
      <c r="J121" s="78">
        <v>0</v>
      </c>
      <c r="K121" s="78">
        <v>0</v>
      </c>
      <c r="L121" s="78">
        <v>0</v>
      </c>
      <c r="M121" s="78">
        <v>2</v>
      </c>
      <c r="N121" s="78">
        <v>0</v>
      </c>
      <c r="P121" s="122">
        <f t="shared" si="12"/>
        <v>55.55555555555555</v>
      </c>
      <c r="Q121" s="122">
        <f t="shared" si="14"/>
        <v>0</v>
      </c>
      <c r="R121" s="158">
        <f t="shared" si="15"/>
        <v>1</v>
      </c>
      <c r="S121" s="171" t="str">
        <f>D121</f>
        <v>K-6 Ambient</v>
      </c>
      <c r="T121" s="79"/>
      <c r="Y121" s="85" t="str">
        <f>D121</f>
        <v>K-6 Ambient</v>
      </c>
      <c r="Z121" s="333"/>
      <c r="AA121" s="122"/>
      <c r="AB121" s="122"/>
    </row>
    <row r="122" spans="1:28" s="78" customFormat="1" x14ac:dyDescent="0.2">
      <c r="A122" s="75">
        <v>42891</v>
      </c>
      <c r="B122" s="404">
        <v>17</v>
      </c>
      <c r="C122" s="76"/>
      <c r="D122" s="77" t="s">
        <v>38</v>
      </c>
      <c r="E122" s="78">
        <v>6</v>
      </c>
      <c r="F122" s="85">
        <v>180</v>
      </c>
      <c r="G122" s="85">
        <v>1</v>
      </c>
      <c r="H122" s="78">
        <v>440</v>
      </c>
      <c r="I122" s="78">
        <v>7</v>
      </c>
      <c r="J122" s="78">
        <v>0</v>
      </c>
      <c r="K122" s="78">
        <v>9</v>
      </c>
      <c r="L122" s="78">
        <v>0</v>
      </c>
      <c r="M122" s="78">
        <v>10</v>
      </c>
      <c r="N122" s="78">
        <v>0</v>
      </c>
      <c r="P122" s="122">
        <f t="shared" si="12"/>
        <v>3813.333333333333</v>
      </c>
      <c r="Q122" s="122">
        <f t="shared" si="14"/>
        <v>0</v>
      </c>
      <c r="R122" s="158">
        <f t="shared" si="15"/>
        <v>1</v>
      </c>
      <c r="S122" s="171">
        <f>(P121+P122+P123)/(P121+P122+P123+Q121+Q122+Q123)</f>
        <v>0.88352628524299726</v>
      </c>
      <c r="T122" s="79"/>
      <c r="Y122" s="85"/>
      <c r="Z122" s="333"/>
      <c r="AA122" s="122"/>
      <c r="AB122" s="122"/>
    </row>
    <row r="123" spans="1:28" s="78" customFormat="1" x14ac:dyDescent="0.2">
      <c r="A123" s="75">
        <v>42891</v>
      </c>
      <c r="B123" s="404">
        <v>17</v>
      </c>
      <c r="C123" s="76"/>
      <c r="D123" s="77" t="s">
        <v>38</v>
      </c>
      <c r="E123" s="78">
        <v>6</v>
      </c>
      <c r="F123" s="85">
        <v>100</v>
      </c>
      <c r="G123" s="85">
        <v>0.5</v>
      </c>
      <c r="H123" s="78">
        <v>410</v>
      </c>
      <c r="I123" s="78">
        <v>14</v>
      </c>
      <c r="J123" s="78">
        <v>15</v>
      </c>
      <c r="K123" s="78">
        <v>105</v>
      </c>
      <c r="L123" s="78">
        <v>9</v>
      </c>
      <c r="M123" s="78">
        <v>102</v>
      </c>
      <c r="N123" s="78">
        <v>7</v>
      </c>
      <c r="P123" s="122">
        <f t="shared" si="12"/>
        <v>60406.666666666672</v>
      </c>
      <c r="Q123" s="122">
        <f t="shared" si="14"/>
        <v>8473.3333333333339</v>
      </c>
      <c r="R123" s="158">
        <f t="shared" si="15"/>
        <v>0.87698412698412709</v>
      </c>
      <c r="S123" s="171"/>
      <c r="T123" s="79"/>
      <c r="Y123" s="85"/>
      <c r="Z123" s="333"/>
      <c r="AA123" s="122"/>
      <c r="AB123" s="122"/>
    </row>
    <row r="124" spans="1:28" s="78" customFormat="1" x14ac:dyDescent="0.2">
      <c r="A124" s="75">
        <v>42891</v>
      </c>
      <c r="B124" s="404">
        <v>20</v>
      </c>
      <c r="C124" s="76"/>
      <c r="D124" s="78" t="s">
        <v>46</v>
      </c>
      <c r="E124" s="78">
        <v>6</v>
      </c>
      <c r="F124" s="85">
        <v>224</v>
      </c>
      <c r="G124" s="78">
        <v>3</v>
      </c>
      <c r="H124" s="78">
        <v>250</v>
      </c>
      <c r="I124" s="78">
        <v>0</v>
      </c>
      <c r="J124" s="78">
        <v>0</v>
      </c>
      <c r="K124" s="78">
        <v>0</v>
      </c>
      <c r="L124" s="78">
        <v>0</v>
      </c>
      <c r="M124" s="78">
        <v>0</v>
      </c>
      <c r="N124" s="78">
        <v>0</v>
      </c>
      <c r="P124" s="122">
        <f>(AVERAGE(I124,K124,M124)/G124)*H124</f>
        <v>0</v>
      </c>
      <c r="Q124" s="122">
        <f t="shared" si="14"/>
        <v>0</v>
      </c>
      <c r="R124" s="158" t="e">
        <f t="shared" si="15"/>
        <v>#DIV/0!</v>
      </c>
      <c r="S124" s="171" t="str">
        <f>D124</f>
        <v>K-6 Low</v>
      </c>
      <c r="Y124" s="85" t="str">
        <f>D124</f>
        <v>K-6 Low</v>
      </c>
      <c r="Z124" s="333"/>
      <c r="AA124" s="122"/>
      <c r="AB124" s="122"/>
    </row>
    <row r="125" spans="1:28" s="78" customFormat="1" x14ac:dyDescent="0.2">
      <c r="A125" s="75">
        <v>42891</v>
      </c>
      <c r="B125" s="404">
        <v>20</v>
      </c>
      <c r="C125" s="76"/>
      <c r="D125" s="78" t="s">
        <v>46</v>
      </c>
      <c r="E125" s="78">
        <v>6</v>
      </c>
      <c r="F125" s="85">
        <v>180</v>
      </c>
      <c r="G125" s="78">
        <v>2</v>
      </c>
      <c r="H125" s="78">
        <v>250</v>
      </c>
      <c r="I125" s="78">
        <v>3</v>
      </c>
      <c r="J125" s="78">
        <v>0</v>
      </c>
      <c r="K125" s="78">
        <v>5</v>
      </c>
      <c r="L125" s="78">
        <v>0</v>
      </c>
      <c r="M125" s="78">
        <v>1</v>
      </c>
      <c r="N125" s="78">
        <v>0</v>
      </c>
      <c r="P125" s="122">
        <f>(AVERAGE(I125,K125,M125)/G125)*H125</f>
        <v>375</v>
      </c>
      <c r="Q125" s="122">
        <f t="shared" si="14"/>
        <v>0</v>
      </c>
      <c r="R125" s="158">
        <f t="shared" si="15"/>
        <v>1</v>
      </c>
      <c r="S125" s="171">
        <f>(P124+P125+P126)/(P124+P125+P126+Q124+Q125+Q126)</f>
        <v>0.91578947368421049</v>
      </c>
      <c r="Y125" s="85"/>
      <c r="Z125" s="333"/>
      <c r="AA125" s="122"/>
      <c r="AB125" s="122"/>
    </row>
    <row r="126" spans="1:28" s="78" customFormat="1" x14ac:dyDescent="0.2">
      <c r="A126" s="75">
        <v>42891</v>
      </c>
      <c r="B126" s="404">
        <v>20</v>
      </c>
      <c r="C126" s="76"/>
      <c r="D126" s="78" t="s">
        <v>46</v>
      </c>
      <c r="E126" s="78">
        <v>6</v>
      </c>
      <c r="F126" s="85">
        <v>100</v>
      </c>
      <c r="G126" s="78">
        <v>0.5</v>
      </c>
      <c r="H126" s="78">
        <v>300</v>
      </c>
      <c r="I126" s="78">
        <v>4</v>
      </c>
      <c r="J126" s="78">
        <v>1</v>
      </c>
      <c r="K126" s="78">
        <v>5</v>
      </c>
      <c r="L126" s="78">
        <v>0</v>
      </c>
      <c r="M126" s="78">
        <v>0</v>
      </c>
      <c r="N126" s="78">
        <v>0</v>
      </c>
      <c r="P126" s="122">
        <f>(AVERAGE(I126,K126,M126)/G126)*H126</f>
        <v>1800</v>
      </c>
      <c r="Q126" s="122">
        <f t="shared" si="14"/>
        <v>200</v>
      </c>
      <c r="R126" s="158">
        <f t="shared" si="15"/>
        <v>0.9</v>
      </c>
      <c r="S126" s="171"/>
      <c r="Y126" s="85"/>
      <c r="Z126" s="333"/>
      <c r="AA126" s="122"/>
      <c r="AB126" s="122"/>
    </row>
    <row r="127" spans="1:28" s="78" customFormat="1" x14ac:dyDescent="0.2">
      <c r="A127" s="75">
        <v>42891</v>
      </c>
      <c r="B127" s="404">
        <v>22</v>
      </c>
      <c r="C127" s="76"/>
      <c r="D127" s="78" t="s">
        <v>17</v>
      </c>
      <c r="E127" s="78">
        <v>7</v>
      </c>
      <c r="F127" s="85">
        <v>224</v>
      </c>
      <c r="G127" s="78">
        <v>3</v>
      </c>
      <c r="H127" s="78">
        <v>450</v>
      </c>
      <c r="I127" s="78">
        <v>1</v>
      </c>
      <c r="J127" s="78">
        <v>0</v>
      </c>
      <c r="K127" s="78">
        <v>2</v>
      </c>
      <c r="L127" s="78">
        <v>0</v>
      </c>
      <c r="M127" s="78">
        <v>1</v>
      </c>
      <c r="N127" s="78">
        <v>0</v>
      </c>
      <c r="P127" s="122">
        <f t="shared" si="12"/>
        <v>200</v>
      </c>
      <c r="Q127" s="122">
        <f t="shared" si="14"/>
        <v>0</v>
      </c>
      <c r="R127" s="158">
        <f t="shared" si="15"/>
        <v>1</v>
      </c>
      <c r="S127" s="171" t="str">
        <f>D127</f>
        <v>K-10 Ambient</v>
      </c>
      <c r="Y127" s="85" t="str">
        <f>D127</f>
        <v>K-10 Ambient</v>
      </c>
      <c r="Z127" s="333"/>
      <c r="AA127" s="122"/>
      <c r="AB127" s="122"/>
    </row>
    <row r="128" spans="1:28" s="78" customFormat="1" x14ac:dyDescent="0.2">
      <c r="A128" s="75">
        <v>42891</v>
      </c>
      <c r="B128" s="404">
        <v>22</v>
      </c>
      <c r="C128" s="76"/>
      <c r="D128" s="78" t="s">
        <v>17</v>
      </c>
      <c r="E128" s="78">
        <v>7</v>
      </c>
      <c r="F128" s="85">
        <v>180</v>
      </c>
      <c r="G128" s="78">
        <v>1</v>
      </c>
      <c r="H128" s="78">
        <v>500</v>
      </c>
      <c r="I128" s="78">
        <v>47</v>
      </c>
      <c r="J128" s="78">
        <v>10</v>
      </c>
      <c r="K128" s="78">
        <v>34</v>
      </c>
      <c r="L128" s="78">
        <v>6</v>
      </c>
      <c r="M128" s="78">
        <v>26</v>
      </c>
      <c r="N128" s="78">
        <v>6</v>
      </c>
      <c r="P128" s="122">
        <f t="shared" si="12"/>
        <v>17833.333333333332</v>
      </c>
      <c r="Q128" s="122">
        <f t="shared" si="14"/>
        <v>3666.6666666666665</v>
      </c>
      <c r="R128" s="158">
        <f t="shared" si="15"/>
        <v>0.82945736434108519</v>
      </c>
      <c r="S128" s="171">
        <f>(P127+P128+P129)/(P127+P128+P129+Q127+Q128+Q129)</f>
        <v>0.762990335417851</v>
      </c>
      <c r="Y128" s="85"/>
      <c r="Z128" s="333"/>
      <c r="AA128" s="122"/>
      <c r="AB128" s="122"/>
    </row>
    <row r="129" spans="1:29" s="154" customFormat="1" x14ac:dyDescent="0.2">
      <c r="A129" s="152">
        <v>42891</v>
      </c>
      <c r="B129" s="405">
        <v>22</v>
      </c>
      <c r="C129" s="153"/>
      <c r="D129" s="154" t="s">
        <v>17</v>
      </c>
      <c r="E129" s="154">
        <v>7</v>
      </c>
      <c r="F129" s="155">
        <v>100</v>
      </c>
      <c r="G129" s="154">
        <v>0.5</v>
      </c>
      <c r="H129" s="154">
        <v>470</v>
      </c>
      <c r="I129" s="154">
        <v>74</v>
      </c>
      <c r="J129" s="154">
        <v>20</v>
      </c>
      <c r="K129" s="154">
        <v>70</v>
      </c>
      <c r="L129" s="154">
        <v>34</v>
      </c>
      <c r="M129" s="154">
        <v>84</v>
      </c>
      <c r="N129" s="154">
        <v>23</v>
      </c>
      <c r="P129" s="122">
        <f>(AVERAGE(I129,K129,M129)/G129)*H129</f>
        <v>71440</v>
      </c>
      <c r="Q129" s="156">
        <f t="shared" si="14"/>
        <v>24126.666666666668</v>
      </c>
      <c r="R129" s="159">
        <f t="shared" si="15"/>
        <v>0.7475409836065573</v>
      </c>
      <c r="S129" s="171"/>
      <c r="Y129" s="155"/>
      <c r="Z129" s="334"/>
      <c r="AA129" s="156"/>
      <c r="AB129" s="156"/>
    </row>
    <row r="130" spans="1:29" s="83" customFormat="1" ht="17" thickBot="1" x14ac:dyDescent="0.25">
      <c r="A130" s="80">
        <v>42891</v>
      </c>
      <c r="B130" s="406">
        <v>2</v>
      </c>
      <c r="C130" s="81" t="s">
        <v>210</v>
      </c>
      <c r="D130" s="154" t="s">
        <v>17</v>
      </c>
      <c r="F130" s="138">
        <v>100</v>
      </c>
      <c r="G130" s="83">
        <v>0.5</v>
      </c>
      <c r="H130" s="83">
        <v>520</v>
      </c>
      <c r="I130" s="83">
        <v>34</v>
      </c>
      <c r="J130" s="83">
        <v>0</v>
      </c>
      <c r="K130" s="83">
        <v>45</v>
      </c>
      <c r="L130" s="83">
        <v>0</v>
      </c>
      <c r="M130" s="83">
        <v>38</v>
      </c>
      <c r="N130" s="83">
        <v>0</v>
      </c>
      <c r="P130" s="139">
        <f>(AVERAGE(I130,K130,M130)/G130)*H130</f>
        <v>40560</v>
      </c>
      <c r="Q130" s="139">
        <f t="shared" si="14"/>
        <v>0</v>
      </c>
      <c r="R130" s="161">
        <f t="shared" si="15"/>
        <v>1</v>
      </c>
      <c r="S130" s="172"/>
      <c r="Y130" s="138"/>
      <c r="Z130" s="335"/>
      <c r="AA130" s="139"/>
      <c r="AB130" s="139"/>
    </row>
    <row r="131" spans="1:29" s="135" customFormat="1" x14ac:dyDescent="0.2">
      <c r="A131" s="132">
        <v>42895</v>
      </c>
      <c r="B131" s="407">
        <v>13</v>
      </c>
      <c r="C131" s="133"/>
      <c r="D131" s="134" t="s">
        <v>77</v>
      </c>
      <c r="E131" s="135">
        <v>1</v>
      </c>
      <c r="F131" s="151">
        <v>224</v>
      </c>
      <c r="G131" s="136">
        <v>1</v>
      </c>
      <c r="H131" s="136">
        <v>375</v>
      </c>
      <c r="I131" s="136">
        <v>1</v>
      </c>
      <c r="J131" s="136">
        <v>0</v>
      </c>
      <c r="K131" s="136">
        <v>2</v>
      </c>
      <c r="L131" s="136">
        <v>0</v>
      </c>
      <c r="M131" s="136">
        <v>1</v>
      </c>
      <c r="N131" s="136">
        <v>0</v>
      </c>
      <c r="O131" s="136"/>
      <c r="P131" s="137">
        <f>(AVERAGE(I131,K131,M131)/G131)*H131</f>
        <v>500</v>
      </c>
      <c r="Q131" s="137">
        <f t="shared" si="14"/>
        <v>0</v>
      </c>
      <c r="R131" s="160">
        <f t="shared" si="15"/>
        <v>1</v>
      </c>
      <c r="S131" s="177" t="str">
        <f>D131</f>
        <v>SN-6 Low</v>
      </c>
      <c r="Y131" s="87" t="str">
        <f>D131</f>
        <v>SN-6 Low</v>
      </c>
      <c r="Z131" s="336"/>
      <c r="AA131" s="195"/>
      <c r="AB131" s="195"/>
    </row>
    <row r="132" spans="1:29" s="60" customFormat="1" x14ac:dyDescent="0.2">
      <c r="A132" s="132">
        <v>42895</v>
      </c>
      <c r="B132" s="399">
        <v>13</v>
      </c>
      <c r="C132" s="58"/>
      <c r="D132" s="134" t="s">
        <v>77</v>
      </c>
      <c r="E132" s="135">
        <v>1</v>
      </c>
      <c r="F132" s="87">
        <v>180</v>
      </c>
      <c r="G132" s="62">
        <v>0.5</v>
      </c>
      <c r="H132" s="62">
        <v>800</v>
      </c>
      <c r="I132" s="62">
        <v>13</v>
      </c>
      <c r="J132" s="62">
        <v>0</v>
      </c>
      <c r="K132" s="62">
        <v>14</v>
      </c>
      <c r="L132" s="62">
        <v>1</v>
      </c>
      <c r="M132" s="62">
        <v>16</v>
      </c>
      <c r="N132" s="62">
        <v>0</v>
      </c>
      <c r="O132" s="62"/>
      <c r="P132" s="137">
        <f t="shared" ref="P132:P188" si="16">(AVERAGE(I132,K132,M132)/G132)*H132</f>
        <v>22933.333333333336</v>
      </c>
      <c r="Q132" s="137">
        <f t="shared" si="14"/>
        <v>533.33333333333326</v>
      </c>
      <c r="R132" s="160">
        <f t="shared" si="15"/>
        <v>0.97727272727272729</v>
      </c>
      <c r="S132" s="178">
        <f>(SUM(P131:P134)/(SUM(P131:Q134)))</f>
        <v>0.43924592973436166</v>
      </c>
      <c r="U132" s="63"/>
      <c r="V132" s="63"/>
      <c r="Y132" s="87"/>
      <c r="Z132" s="329"/>
      <c r="AA132" s="118"/>
      <c r="AB132" s="118"/>
    </row>
    <row r="133" spans="1:29" s="60" customFormat="1" x14ac:dyDescent="0.2">
      <c r="A133" s="132">
        <v>42895</v>
      </c>
      <c r="B133" s="399">
        <v>13</v>
      </c>
      <c r="C133" s="58"/>
      <c r="D133" s="134" t="s">
        <v>77</v>
      </c>
      <c r="E133" s="135">
        <v>1</v>
      </c>
      <c r="F133" s="87">
        <v>100</v>
      </c>
      <c r="G133" s="62">
        <v>0.5</v>
      </c>
      <c r="H133" s="62">
        <v>325</v>
      </c>
      <c r="I133" s="62">
        <v>35</v>
      </c>
      <c r="J133" s="62">
        <v>0</v>
      </c>
      <c r="K133" s="62">
        <v>28</v>
      </c>
      <c r="L133" s="62">
        <v>0</v>
      </c>
      <c r="M133" s="62">
        <v>26</v>
      </c>
      <c r="N133" s="62">
        <v>0</v>
      </c>
      <c r="O133" s="62"/>
      <c r="P133" s="137">
        <f t="shared" si="16"/>
        <v>19283.333333333336</v>
      </c>
      <c r="Q133" s="137">
        <f t="shared" si="14"/>
        <v>0</v>
      </c>
      <c r="R133" s="160">
        <f t="shared" si="15"/>
        <v>1</v>
      </c>
      <c r="S133" s="176"/>
      <c r="U133" s="63"/>
      <c r="V133" s="63"/>
      <c r="Y133" s="87"/>
      <c r="Z133" s="329"/>
      <c r="AA133" s="118"/>
      <c r="AB133" s="118"/>
    </row>
    <row r="134" spans="1:29" s="60" customFormat="1" x14ac:dyDescent="0.2">
      <c r="A134" s="132">
        <v>42895</v>
      </c>
      <c r="B134" s="399">
        <v>13</v>
      </c>
      <c r="C134" s="58"/>
      <c r="D134" s="134" t="s">
        <v>77</v>
      </c>
      <c r="E134" s="135">
        <v>1</v>
      </c>
      <c r="F134" s="87" t="s">
        <v>201</v>
      </c>
      <c r="G134" s="62">
        <v>0.5</v>
      </c>
      <c r="H134" s="62">
        <v>500</v>
      </c>
      <c r="I134" s="62">
        <v>0</v>
      </c>
      <c r="J134" s="62">
        <v>52</v>
      </c>
      <c r="K134" s="62">
        <v>0</v>
      </c>
      <c r="L134" s="62">
        <v>80</v>
      </c>
      <c r="M134" s="62">
        <v>0</v>
      </c>
      <c r="N134" s="62">
        <v>30</v>
      </c>
      <c r="O134" s="62"/>
      <c r="P134" s="137">
        <f t="shared" si="16"/>
        <v>0</v>
      </c>
      <c r="Q134" s="137">
        <f t="shared" si="14"/>
        <v>54000</v>
      </c>
      <c r="R134" s="160">
        <f t="shared" si="15"/>
        <v>0</v>
      </c>
      <c r="S134" s="179"/>
      <c r="U134" s="63"/>
      <c r="V134" s="63"/>
      <c r="Y134" s="87"/>
      <c r="Z134" s="329"/>
      <c r="AA134" s="118"/>
      <c r="AB134" s="118"/>
    </row>
    <row r="135" spans="1:29" s="60" customFormat="1" x14ac:dyDescent="0.2">
      <c r="A135" s="132">
        <v>42895</v>
      </c>
      <c r="B135" s="399">
        <v>10</v>
      </c>
      <c r="C135" s="58"/>
      <c r="D135" s="60" t="s">
        <v>104</v>
      </c>
      <c r="E135" s="135">
        <v>1</v>
      </c>
      <c r="F135" s="87">
        <v>224</v>
      </c>
      <c r="G135" s="62">
        <v>2</v>
      </c>
      <c r="H135" s="62">
        <v>525</v>
      </c>
      <c r="I135" s="62">
        <v>0</v>
      </c>
      <c r="J135" s="62">
        <v>0</v>
      </c>
      <c r="K135" s="62">
        <v>0</v>
      </c>
      <c r="L135" s="62">
        <v>0</v>
      </c>
      <c r="M135" s="62">
        <v>0</v>
      </c>
      <c r="N135" s="62">
        <v>0</v>
      </c>
      <c r="O135" s="62"/>
      <c r="P135" s="137">
        <f t="shared" si="16"/>
        <v>0</v>
      </c>
      <c r="Q135" s="137">
        <f t="shared" si="14"/>
        <v>0</v>
      </c>
      <c r="R135" s="160" t="e">
        <f t="shared" si="15"/>
        <v>#DIV/0!</v>
      </c>
      <c r="S135" s="180" t="str">
        <f>D135</f>
        <v>NF-6 Low</v>
      </c>
      <c r="U135" s="63"/>
      <c r="V135" s="63"/>
      <c r="Y135" s="87" t="str">
        <f>D135</f>
        <v>NF-6 Low</v>
      </c>
      <c r="Z135" s="329"/>
      <c r="AA135" s="118"/>
      <c r="AB135" s="118"/>
    </row>
    <row r="136" spans="1:29" s="60" customFormat="1" x14ac:dyDescent="0.2">
      <c r="A136" s="132">
        <v>42895</v>
      </c>
      <c r="B136" s="399">
        <v>10</v>
      </c>
      <c r="C136" s="58"/>
      <c r="D136" s="60" t="s">
        <v>104</v>
      </c>
      <c r="E136" s="135">
        <v>1</v>
      </c>
      <c r="F136" s="87">
        <v>180</v>
      </c>
      <c r="G136" s="62">
        <v>0.5</v>
      </c>
      <c r="H136" s="62">
        <v>525</v>
      </c>
      <c r="I136" s="62">
        <v>3</v>
      </c>
      <c r="J136" s="62">
        <v>1</v>
      </c>
      <c r="K136" s="62">
        <v>1</v>
      </c>
      <c r="L136" s="62">
        <v>1</v>
      </c>
      <c r="M136" s="62">
        <v>1</v>
      </c>
      <c r="N136" s="62">
        <v>0</v>
      </c>
      <c r="O136" s="62"/>
      <c r="P136" s="137">
        <f t="shared" si="16"/>
        <v>1750</v>
      </c>
      <c r="Q136" s="137">
        <f t="shared" si="14"/>
        <v>700</v>
      </c>
      <c r="R136" s="160">
        <f t="shared" si="15"/>
        <v>0.7142857142857143</v>
      </c>
      <c r="S136" s="178">
        <f>(SUM(P135:P138)/(SUM(P135:Q138)))</f>
        <v>0.37013089418072853</v>
      </c>
      <c r="U136" s="63"/>
      <c r="V136" s="63"/>
      <c r="Y136" s="87"/>
      <c r="Z136" s="329"/>
      <c r="AA136" s="118"/>
      <c r="AB136" s="118"/>
    </row>
    <row r="137" spans="1:29" s="60" customFormat="1" x14ac:dyDescent="0.2">
      <c r="A137" s="132">
        <v>42895</v>
      </c>
      <c r="B137" s="399">
        <v>10</v>
      </c>
      <c r="C137" s="58"/>
      <c r="D137" s="60" t="s">
        <v>104</v>
      </c>
      <c r="E137" s="135">
        <v>1</v>
      </c>
      <c r="F137" s="87">
        <v>100</v>
      </c>
      <c r="G137" s="62">
        <v>0.5</v>
      </c>
      <c r="H137" s="62">
        <v>750</v>
      </c>
      <c r="I137" s="62">
        <v>26</v>
      </c>
      <c r="J137" s="62">
        <v>25</v>
      </c>
      <c r="K137" s="62">
        <v>25</v>
      </c>
      <c r="L137" s="62">
        <v>11</v>
      </c>
      <c r="M137" s="62">
        <v>23</v>
      </c>
      <c r="N137" s="62">
        <v>7</v>
      </c>
      <c r="O137" s="62"/>
      <c r="P137" s="137">
        <f t="shared" si="16"/>
        <v>37000</v>
      </c>
      <c r="Q137" s="137">
        <f t="shared" si="14"/>
        <v>21500</v>
      </c>
      <c r="R137" s="160">
        <f t="shared" si="15"/>
        <v>0.63247863247863245</v>
      </c>
      <c r="S137" s="179"/>
      <c r="U137" s="63"/>
      <c r="V137" s="63"/>
      <c r="Y137" s="87"/>
      <c r="Z137" s="329"/>
      <c r="AA137" s="118"/>
      <c r="AB137" s="118"/>
    </row>
    <row r="138" spans="1:29" s="60" customFormat="1" x14ac:dyDescent="0.2">
      <c r="A138" s="132">
        <v>42895</v>
      </c>
      <c r="B138" s="399">
        <v>10</v>
      </c>
      <c r="C138" s="58"/>
      <c r="D138" s="60" t="s">
        <v>104</v>
      </c>
      <c r="E138" s="135">
        <v>1</v>
      </c>
      <c r="F138" s="87" t="s">
        <v>201</v>
      </c>
      <c r="G138" s="62">
        <v>0.5</v>
      </c>
      <c r="H138" s="62">
        <v>550</v>
      </c>
      <c r="I138" s="62">
        <v>0</v>
      </c>
      <c r="J138" s="62">
        <v>45</v>
      </c>
      <c r="K138" s="62">
        <v>1</v>
      </c>
      <c r="L138" s="62">
        <v>34</v>
      </c>
      <c r="M138" s="62">
        <v>0</v>
      </c>
      <c r="N138" s="62">
        <v>42</v>
      </c>
      <c r="O138" s="62"/>
      <c r="P138" s="137">
        <f t="shared" si="16"/>
        <v>366.66666666666663</v>
      </c>
      <c r="Q138" s="137">
        <f t="shared" si="14"/>
        <v>44366.666666666672</v>
      </c>
      <c r="R138" s="160">
        <f t="shared" si="15"/>
        <v>8.1967213114754085E-3</v>
      </c>
      <c r="S138" s="179"/>
      <c r="U138" s="63"/>
      <c r="V138" s="63"/>
      <c r="Y138" s="87"/>
      <c r="Z138" s="329"/>
      <c r="AA138" s="118"/>
      <c r="AB138" s="118"/>
    </row>
    <row r="139" spans="1:29" s="60" customFormat="1" x14ac:dyDescent="0.2">
      <c r="A139" s="132">
        <v>42895</v>
      </c>
      <c r="B139" s="399">
        <v>5</v>
      </c>
      <c r="C139" s="58"/>
      <c r="D139" s="60" t="s">
        <v>86</v>
      </c>
      <c r="E139" s="60">
        <v>2</v>
      </c>
      <c r="F139" s="87">
        <v>224</v>
      </c>
      <c r="G139" s="62">
        <v>1</v>
      </c>
      <c r="H139" s="62">
        <v>450</v>
      </c>
      <c r="I139" s="62">
        <v>1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2"/>
      <c r="P139" s="137">
        <f t="shared" ref="P139:P144" si="17">(AVERAGE(I139,K139,M139)/G139)*H139</f>
        <v>150</v>
      </c>
      <c r="Q139" s="137">
        <f t="shared" si="14"/>
        <v>0</v>
      </c>
      <c r="R139" s="160">
        <f t="shared" si="15"/>
        <v>1</v>
      </c>
      <c r="S139" s="180" t="str">
        <f>D139</f>
        <v>SN-10 Ambient</v>
      </c>
      <c r="U139" s="63"/>
      <c r="V139" s="63"/>
      <c r="Y139" s="87" t="str">
        <f>D139</f>
        <v>SN-10 Ambient</v>
      </c>
      <c r="Z139" s="329"/>
      <c r="AA139" s="118"/>
      <c r="AB139" s="118"/>
      <c r="AC139" s="319"/>
    </row>
    <row r="140" spans="1:29" s="60" customFormat="1" x14ac:dyDescent="0.2">
      <c r="A140" s="132">
        <v>42895</v>
      </c>
      <c r="B140" s="399">
        <v>5</v>
      </c>
      <c r="C140" s="58"/>
      <c r="D140" s="60" t="s">
        <v>86</v>
      </c>
      <c r="E140" s="60">
        <v>2</v>
      </c>
      <c r="F140" s="87">
        <v>180</v>
      </c>
      <c r="G140" s="62">
        <v>0.5</v>
      </c>
      <c r="H140" s="62">
        <v>810</v>
      </c>
      <c r="I140" s="62">
        <v>51</v>
      </c>
      <c r="J140" s="62">
        <v>2</v>
      </c>
      <c r="K140" s="62">
        <v>57</v>
      </c>
      <c r="L140" s="62">
        <v>1</v>
      </c>
      <c r="M140" s="62">
        <v>67</v>
      </c>
      <c r="N140" s="62">
        <v>0</v>
      </c>
      <c r="O140" s="62"/>
      <c r="P140" s="137">
        <f t="shared" si="17"/>
        <v>94500</v>
      </c>
      <c r="Q140" s="137">
        <f t="shared" si="14"/>
        <v>1620</v>
      </c>
      <c r="R140" s="160">
        <f t="shared" si="15"/>
        <v>0.9831460674157303</v>
      </c>
      <c r="S140" s="178">
        <f>(SUM(P139:P142)/(SUM(P139:Q142)))</f>
        <v>0.62550352645192298</v>
      </c>
      <c r="U140" s="63"/>
      <c r="V140" s="63"/>
      <c r="Y140" s="87"/>
      <c r="Z140" s="329"/>
      <c r="AA140" s="118"/>
      <c r="AB140" s="118"/>
    </row>
    <row r="141" spans="1:29" s="60" customFormat="1" x14ac:dyDescent="0.2">
      <c r="A141" s="132">
        <v>42895</v>
      </c>
      <c r="B141" s="399">
        <v>5</v>
      </c>
      <c r="C141" s="58"/>
      <c r="D141" s="60" t="s">
        <v>86</v>
      </c>
      <c r="E141" s="60">
        <v>2</v>
      </c>
      <c r="F141" s="87">
        <v>100</v>
      </c>
      <c r="G141" s="62">
        <v>0.5</v>
      </c>
      <c r="H141" s="62">
        <v>625</v>
      </c>
      <c r="I141" s="62">
        <v>46</v>
      </c>
      <c r="J141" s="62">
        <v>2</v>
      </c>
      <c r="K141" s="62">
        <v>51</v>
      </c>
      <c r="L141" s="62">
        <v>5</v>
      </c>
      <c r="M141" s="62">
        <v>27</v>
      </c>
      <c r="N141" s="62">
        <v>11</v>
      </c>
      <c r="O141" s="62"/>
      <c r="P141" s="137">
        <f t="shared" si="17"/>
        <v>51666.666666666672</v>
      </c>
      <c r="Q141" s="137">
        <f t="shared" si="14"/>
        <v>7500</v>
      </c>
      <c r="R141" s="160">
        <f t="shared" si="15"/>
        <v>0.87323943661971837</v>
      </c>
      <c r="S141" s="179"/>
      <c r="U141" s="63"/>
      <c r="V141" s="63"/>
      <c r="Y141" s="87"/>
      <c r="Z141" s="329"/>
      <c r="AA141" s="118"/>
      <c r="AB141" s="118"/>
    </row>
    <row r="142" spans="1:29" s="60" customFormat="1" x14ac:dyDescent="0.2">
      <c r="A142" s="132">
        <v>42895</v>
      </c>
      <c r="B142" s="399">
        <v>5</v>
      </c>
      <c r="C142" s="58"/>
      <c r="D142" s="60" t="s">
        <v>86</v>
      </c>
      <c r="E142" s="60">
        <v>2</v>
      </c>
      <c r="F142" s="87" t="s">
        <v>201</v>
      </c>
      <c r="G142" s="62">
        <v>0.5</v>
      </c>
      <c r="H142" s="62">
        <v>600</v>
      </c>
      <c r="I142" s="62">
        <v>0</v>
      </c>
      <c r="J142" s="62">
        <v>62</v>
      </c>
      <c r="K142" s="62">
        <v>2</v>
      </c>
      <c r="L142" s="62">
        <v>63</v>
      </c>
      <c r="M142" s="62">
        <v>1</v>
      </c>
      <c r="N142" s="62">
        <v>73</v>
      </c>
      <c r="O142" s="62"/>
      <c r="P142" s="137">
        <f t="shared" si="17"/>
        <v>1200</v>
      </c>
      <c r="Q142" s="137">
        <f t="shared" si="14"/>
        <v>79200</v>
      </c>
      <c r="R142" s="160">
        <f t="shared" si="15"/>
        <v>1.4925373134328358E-2</v>
      </c>
      <c r="S142" s="179"/>
      <c r="U142" s="63"/>
      <c r="V142" s="63"/>
      <c r="Y142" s="87"/>
      <c r="Z142" s="329"/>
      <c r="AA142" s="118"/>
      <c r="AB142" s="118"/>
    </row>
    <row r="143" spans="1:29" s="60" customFormat="1" x14ac:dyDescent="0.2">
      <c r="A143" s="132">
        <v>42895</v>
      </c>
      <c r="B143" s="399">
        <v>8</v>
      </c>
      <c r="C143" s="58"/>
      <c r="D143" s="59" t="s">
        <v>85</v>
      </c>
      <c r="E143" s="60">
        <v>2</v>
      </c>
      <c r="F143" s="87">
        <v>224</v>
      </c>
      <c r="G143" s="62">
        <v>1</v>
      </c>
      <c r="H143" s="62">
        <v>460</v>
      </c>
      <c r="I143" s="62">
        <v>2</v>
      </c>
      <c r="J143" s="62">
        <v>0</v>
      </c>
      <c r="K143" s="62">
        <v>1</v>
      </c>
      <c r="L143" s="62">
        <v>0</v>
      </c>
      <c r="M143" s="62">
        <v>1</v>
      </c>
      <c r="N143" s="62">
        <v>0</v>
      </c>
      <c r="O143" s="62"/>
      <c r="P143" s="137">
        <f t="shared" si="17"/>
        <v>613.33333333333326</v>
      </c>
      <c r="Q143" s="137">
        <f t="shared" si="14"/>
        <v>0</v>
      </c>
      <c r="R143" s="160">
        <f t="shared" si="15"/>
        <v>1</v>
      </c>
      <c r="S143" s="180" t="str">
        <f>D143</f>
        <v>NF-6 Ambient</v>
      </c>
      <c r="U143" s="63"/>
      <c r="V143" s="63"/>
      <c r="Y143" s="87" t="str">
        <f>D143</f>
        <v>NF-6 Ambient</v>
      </c>
      <c r="Z143" s="329"/>
      <c r="AA143" s="118"/>
      <c r="AB143" s="118"/>
    </row>
    <row r="144" spans="1:29" s="60" customFormat="1" x14ac:dyDescent="0.2">
      <c r="A144" s="132">
        <v>42895</v>
      </c>
      <c r="B144" s="399">
        <v>8</v>
      </c>
      <c r="C144" s="58"/>
      <c r="D144" s="59" t="s">
        <v>85</v>
      </c>
      <c r="E144" s="60">
        <v>2</v>
      </c>
      <c r="F144" s="87">
        <v>180</v>
      </c>
      <c r="G144" s="62">
        <v>0.5</v>
      </c>
      <c r="H144" s="62">
        <v>850</v>
      </c>
      <c r="I144" s="62">
        <v>24</v>
      </c>
      <c r="J144" s="62">
        <v>0</v>
      </c>
      <c r="K144" s="62">
        <v>14</v>
      </c>
      <c r="L144" s="62">
        <v>1</v>
      </c>
      <c r="M144" s="62">
        <v>17</v>
      </c>
      <c r="N144" s="62">
        <v>0</v>
      </c>
      <c r="O144" s="62"/>
      <c r="P144" s="137">
        <f t="shared" si="17"/>
        <v>31166.666666666664</v>
      </c>
      <c r="Q144" s="137">
        <f t="shared" si="14"/>
        <v>566.66666666666663</v>
      </c>
      <c r="R144" s="160">
        <f t="shared" si="15"/>
        <v>0.9821428571428571</v>
      </c>
      <c r="S144" s="178">
        <f>(SUM(P143:P146)/(SUM(P143:Q146)))</f>
        <v>0.71986596457635232</v>
      </c>
      <c r="U144" s="63"/>
      <c r="V144" s="63"/>
      <c r="Y144" s="87"/>
      <c r="Z144" s="329"/>
      <c r="AA144" s="118"/>
      <c r="AB144" s="118"/>
    </row>
    <row r="145" spans="1:28" s="60" customFormat="1" x14ac:dyDescent="0.2">
      <c r="A145" s="132">
        <v>42895</v>
      </c>
      <c r="B145" s="399">
        <v>8</v>
      </c>
      <c r="C145" s="58"/>
      <c r="D145" s="59" t="s">
        <v>85</v>
      </c>
      <c r="E145" s="60">
        <v>2</v>
      </c>
      <c r="F145" s="87">
        <v>100</v>
      </c>
      <c r="G145" s="62">
        <v>0.5</v>
      </c>
      <c r="H145" s="62">
        <v>640</v>
      </c>
      <c r="I145" s="62">
        <v>18</v>
      </c>
      <c r="J145" s="62">
        <v>1</v>
      </c>
      <c r="K145" s="62">
        <v>16</v>
      </c>
      <c r="L145" s="62">
        <v>2</v>
      </c>
      <c r="M145" s="62">
        <v>9</v>
      </c>
      <c r="N145" s="62">
        <v>1</v>
      </c>
      <c r="O145" s="62"/>
      <c r="P145" s="137">
        <f t="shared" si="16"/>
        <v>18346.666666666668</v>
      </c>
      <c r="Q145" s="137">
        <f t="shared" si="14"/>
        <v>1706.6666666666665</v>
      </c>
      <c r="R145" s="160">
        <f t="shared" si="15"/>
        <v>0.91489361702127658</v>
      </c>
      <c r="S145" s="179"/>
      <c r="U145" s="63"/>
      <c r="V145" s="63"/>
      <c r="Y145" s="87"/>
      <c r="Z145" s="329"/>
      <c r="AA145" s="118"/>
      <c r="AB145" s="118"/>
    </row>
    <row r="146" spans="1:28" s="60" customFormat="1" x14ac:dyDescent="0.2">
      <c r="A146" s="132">
        <v>42895</v>
      </c>
      <c r="B146" s="399">
        <v>8</v>
      </c>
      <c r="C146" s="58"/>
      <c r="D146" s="59" t="s">
        <v>85</v>
      </c>
      <c r="E146" s="60">
        <v>2</v>
      </c>
      <c r="F146" s="87" t="s">
        <v>201</v>
      </c>
      <c r="G146" s="62">
        <v>0.5</v>
      </c>
      <c r="H146" s="62">
        <v>550</v>
      </c>
      <c r="I146" s="62">
        <v>0</v>
      </c>
      <c r="J146" s="62">
        <v>17</v>
      </c>
      <c r="K146" s="62">
        <v>0</v>
      </c>
      <c r="L146" s="62">
        <v>13</v>
      </c>
      <c r="M146" s="62">
        <v>0</v>
      </c>
      <c r="N146" s="62">
        <v>17</v>
      </c>
      <c r="O146" s="62"/>
      <c r="P146" s="137">
        <f>(AVERAGE(I146,K146,M146)/G146)*H146</f>
        <v>0</v>
      </c>
      <c r="Q146" s="137">
        <f t="shared" si="14"/>
        <v>17233.333333333332</v>
      </c>
      <c r="R146" s="160">
        <f t="shared" si="15"/>
        <v>0</v>
      </c>
      <c r="S146" s="179"/>
      <c r="U146" s="63"/>
      <c r="V146" s="63"/>
      <c r="Y146" s="87"/>
      <c r="Z146" s="329"/>
      <c r="AA146" s="118"/>
      <c r="AB146" s="118"/>
    </row>
    <row r="147" spans="1:28" s="60" customFormat="1" x14ac:dyDescent="0.2">
      <c r="A147" s="132">
        <v>42895</v>
      </c>
      <c r="B147" s="399">
        <v>7</v>
      </c>
      <c r="C147" s="58"/>
      <c r="D147" s="60" t="s">
        <v>74</v>
      </c>
      <c r="E147" s="60">
        <v>3</v>
      </c>
      <c r="F147" s="87">
        <v>224</v>
      </c>
      <c r="G147" s="62">
        <v>1</v>
      </c>
      <c r="H147" s="62">
        <v>490</v>
      </c>
      <c r="I147" s="62">
        <v>1</v>
      </c>
      <c r="J147" s="62">
        <v>0</v>
      </c>
      <c r="K147" s="62">
        <v>1</v>
      </c>
      <c r="L147" s="62">
        <v>0</v>
      </c>
      <c r="M147" s="62">
        <v>0</v>
      </c>
      <c r="N147" s="62">
        <v>0</v>
      </c>
      <c r="O147" s="62"/>
      <c r="P147" s="321">
        <f>(AVERAGE(I147,K147,M147)/G147)*H147</f>
        <v>326.66666666666663</v>
      </c>
      <c r="Q147" s="137">
        <f t="shared" si="14"/>
        <v>0</v>
      </c>
      <c r="R147" s="160">
        <f t="shared" si="15"/>
        <v>1</v>
      </c>
      <c r="S147" s="180" t="str">
        <f>D147</f>
        <v>SN-10 Low</v>
      </c>
      <c r="U147" s="63"/>
      <c r="V147" s="63"/>
      <c r="Y147" s="87" t="str">
        <f>D147</f>
        <v>SN-10 Low</v>
      </c>
      <c r="Z147" s="329"/>
      <c r="AA147" s="118"/>
      <c r="AB147" s="118"/>
    </row>
    <row r="148" spans="1:28" s="60" customFormat="1" x14ac:dyDescent="0.2">
      <c r="A148" s="132">
        <v>42895</v>
      </c>
      <c r="B148" s="399">
        <v>7</v>
      </c>
      <c r="C148" s="58"/>
      <c r="D148" s="60" t="s">
        <v>74</v>
      </c>
      <c r="E148" s="60">
        <v>3</v>
      </c>
      <c r="F148" s="87">
        <v>180</v>
      </c>
      <c r="G148" s="62">
        <v>0.5</v>
      </c>
      <c r="H148" s="62">
        <v>850</v>
      </c>
      <c r="I148" s="62">
        <v>21</v>
      </c>
      <c r="J148" s="62">
        <v>0</v>
      </c>
      <c r="K148" s="62">
        <v>23</v>
      </c>
      <c r="L148" s="62">
        <v>0</v>
      </c>
      <c r="M148" s="62">
        <v>16</v>
      </c>
      <c r="N148" s="62">
        <v>0</v>
      </c>
      <c r="O148" s="62"/>
      <c r="P148" s="137">
        <f>(AVERAGE(I148,K148,M148)/G148)*H148</f>
        <v>34000</v>
      </c>
      <c r="Q148" s="137">
        <f t="shared" si="14"/>
        <v>0</v>
      </c>
      <c r="R148" s="160">
        <f t="shared" si="15"/>
        <v>1</v>
      </c>
      <c r="S148" s="178">
        <f>(SUM(P147:P150)/(SUM(P147:Q150)))</f>
        <v>0.6721273756384889</v>
      </c>
      <c r="Y148" s="87"/>
      <c r="Z148" s="329"/>
      <c r="AA148" s="118"/>
      <c r="AB148" s="118"/>
    </row>
    <row r="149" spans="1:28" s="60" customFormat="1" x14ac:dyDescent="0.2">
      <c r="A149" s="132">
        <v>42895</v>
      </c>
      <c r="B149" s="399">
        <v>7</v>
      </c>
      <c r="C149" s="58"/>
      <c r="D149" s="60" t="s">
        <v>74</v>
      </c>
      <c r="E149" s="60">
        <v>3</v>
      </c>
      <c r="F149" s="87">
        <v>100</v>
      </c>
      <c r="G149" s="62">
        <v>0.5</v>
      </c>
      <c r="H149" s="62">
        <v>525</v>
      </c>
      <c r="I149" s="62">
        <v>14</v>
      </c>
      <c r="J149" s="62">
        <v>1</v>
      </c>
      <c r="K149" s="62">
        <v>10</v>
      </c>
      <c r="L149" s="62">
        <v>0</v>
      </c>
      <c r="M149" s="62">
        <v>16</v>
      </c>
      <c r="N149" s="62">
        <v>0</v>
      </c>
      <c r="O149" s="62"/>
      <c r="P149" s="137">
        <f t="shared" si="16"/>
        <v>14000</v>
      </c>
      <c r="Q149" s="137">
        <f t="shared" si="14"/>
        <v>350</v>
      </c>
      <c r="R149" s="160">
        <f t="shared" si="15"/>
        <v>0.97560975609756095</v>
      </c>
      <c r="S149" s="179"/>
      <c r="Y149" s="87"/>
      <c r="Z149" s="329"/>
      <c r="AA149" s="118"/>
      <c r="AB149" s="118"/>
    </row>
    <row r="150" spans="1:28" s="60" customFormat="1" x14ac:dyDescent="0.2">
      <c r="A150" s="132">
        <v>42895</v>
      </c>
      <c r="B150" s="399">
        <v>7</v>
      </c>
      <c r="C150" s="58"/>
      <c r="D150" s="60" t="s">
        <v>74</v>
      </c>
      <c r="E150" s="60">
        <v>3</v>
      </c>
      <c r="F150" s="87" t="s">
        <v>201</v>
      </c>
      <c r="G150" s="62">
        <v>1</v>
      </c>
      <c r="H150" s="62">
        <v>540</v>
      </c>
      <c r="I150" s="62">
        <v>1</v>
      </c>
      <c r="J150" s="62">
        <v>47</v>
      </c>
      <c r="K150" s="62">
        <v>1</v>
      </c>
      <c r="L150" s="62">
        <v>33</v>
      </c>
      <c r="M150" s="62">
        <v>0</v>
      </c>
      <c r="N150" s="62">
        <v>50</v>
      </c>
      <c r="O150" s="62"/>
      <c r="P150" s="137">
        <f t="shared" si="16"/>
        <v>360</v>
      </c>
      <c r="Q150" s="137">
        <f t="shared" si="14"/>
        <v>23400</v>
      </c>
      <c r="R150" s="160">
        <f t="shared" si="15"/>
        <v>1.5151515151515152E-2</v>
      </c>
      <c r="S150" s="179"/>
      <c r="Y150" s="87"/>
      <c r="Z150" s="329"/>
      <c r="AA150" s="118"/>
      <c r="AB150" s="118"/>
    </row>
    <row r="151" spans="1:28" s="60" customFormat="1" x14ac:dyDescent="0.2">
      <c r="A151" s="132">
        <v>42895</v>
      </c>
      <c r="B151" s="399">
        <v>12</v>
      </c>
      <c r="C151" s="58"/>
      <c r="D151" s="60" t="s">
        <v>83</v>
      </c>
      <c r="E151" s="60">
        <v>3</v>
      </c>
      <c r="F151" s="87">
        <v>224</v>
      </c>
      <c r="G151" s="62">
        <v>2</v>
      </c>
      <c r="H151" s="62">
        <v>430</v>
      </c>
      <c r="I151" s="62">
        <v>0</v>
      </c>
      <c r="J151" s="62">
        <v>0</v>
      </c>
      <c r="K151" s="62">
        <v>2</v>
      </c>
      <c r="L151" s="62">
        <v>0</v>
      </c>
      <c r="M151" s="62">
        <v>0</v>
      </c>
      <c r="N151" s="62">
        <v>0</v>
      </c>
      <c r="O151" s="62"/>
      <c r="P151" s="137">
        <f>(AVERAGE(I151,K151,M151)/G151)*H151</f>
        <v>143.33333333333331</v>
      </c>
      <c r="Q151" s="137">
        <f t="shared" si="14"/>
        <v>0</v>
      </c>
      <c r="R151" s="160">
        <f t="shared" si="15"/>
        <v>1</v>
      </c>
      <c r="S151" s="180" t="str">
        <f>D151</f>
        <v>NF-10 Low</v>
      </c>
      <c r="Y151" s="87" t="str">
        <f>D151</f>
        <v>NF-10 Low</v>
      </c>
      <c r="Z151" s="329"/>
      <c r="AA151" s="118"/>
      <c r="AB151" s="118"/>
    </row>
    <row r="152" spans="1:28" s="60" customFormat="1" x14ac:dyDescent="0.2">
      <c r="A152" s="132">
        <v>42895</v>
      </c>
      <c r="B152" s="399">
        <v>12</v>
      </c>
      <c r="C152" s="58"/>
      <c r="D152" s="60" t="s">
        <v>83</v>
      </c>
      <c r="E152" s="60">
        <v>3</v>
      </c>
      <c r="F152" s="87">
        <v>180</v>
      </c>
      <c r="G152" s="62">
        <v>0.5</v>
      </c>
      <c r="H152" s="62">
        <v>700</v>
      </c>
      <c r="I152" s="62">
        <v>30</v>
      </c>
      <c r="J152" s="62">
        <v>0</v>
      </c>
      <c r="K152" s="62">
        <v>25</v>
      </c>
      <c r="L152" s="62">
        <v>0</v>
      </c>
      <c r="M152" s="62">
        <v>31</v>
      </c>
      <c r="N152" s="62">
        <v>0</v>
      </c>
      <c r="O152" s="62"/>
      <c r="P152" s="137">
        <f>(AVERAGE(I152,K152,M152)/G152)*H152</f>
        <v>40133.333333333336</v>
      </c>
      <c r="Q152" s="137">
        <f t="shared" si="14"/>
        <v>0</v>
      </c>
      <c r="R152" s="160">
        <f t="shared" si="15"/>
        <v>1</v>
      </c>
      <c r="S152" s="178">
        <f>(SUM(P151:P154)/(SUM(P151:Q154)))</f>
        <v>0.84220869481857819</v>
      </c>
      <c r="Y152" s="87"/>
      <c r="Z152" s="329"/>
      <c r="AA152" s="118"/>
      <c r="AB152" s="118"/>
    </row>
    <row r="153" spans="1:28" s="60" customFormat="1" x14ac:dyDescent="0.2">
      <c r="A153" s="132">
        <v>42895</v>
      </c>
      <c r="B153" s="399">
        <v>12</v>
      </c>
      <c r="C153" s="58"/>
      <c r="D153" s="60" t="s">
        <v>83</v>
      </c>
      <c r="E153" s="60">
        <v>3</v>
      </c>
      <c r="F153" s="87">
        <v>100</v>
      </c>
      <c r="G153" s="62">
        <v>0.5</v>
      </c>
      <c r="H153" s="62">
        <v>560</v>
      </c>
      <c r="I153" s="62">
        <v>14</v>
      </c>
      <c r="J153" s="62">
        <v>1</v>
      </c>
      <c r="K153" s="62">
        <v>20</v>
      </c>
      <c r="L153" s="62">
        <v>0</v>
      </c>
      <c r="M153" s="62">
        <v>15</v>
      </c>
      <c r="N153" s="62">
        <v>0</v>
      </c>
      <c r="O153" s="62"/>
      <c r="P153" s="137">
        <f>(AVERAGE(I153,K153,M153)/G153)*H153</f>
        <v>18293.333333333332</v>
      </c>
      <c r="Q153" s="137">
        <f t="shared" si="14"/>
        <v>373.33333333333331</v>
      </c>
      <c r="R153" s="160">
        <f t="shared" si="15"/>
        <v>0.98000000000000009</v>
      </c>
      <c r="S153" s="179"/>
      <c r="Y153" s="87"/>
      <c r="Z153" s="329"/>
      <c r="AA153" s="118"/>
      <c r="AB153" s="118"/>
    </row>
    <row r="154" spans="1:28" s="60" customFormat="1" x14ac:dyDescent="0.2">
      <c r="A154" s="57">
        <v>42895</v>
      </c>
      <c r="B154" s="399">
        <v>12</v>
      </c>
      <c r="C154" s="58"/>
      <c r="D154" s="60" t="s">
        <v>83</v>
      </c>
      <c r="E154" s="60">
        <v>3</v>
      </c>
      <c r="F154" s="61" t="s">
        <v>201</v>
      </c>
      <c r="G154" s="62">
        <v>1</v>
      </c>
      <c r="H154" s="62">
        <v>600</v>
      </c>
      <c r="I154" s="62">
        <v>0</v>
      </c>
      <c r="J154" s="62">
        <v>18</v>
      </c>
      <c r="K154" s="62">
        <v>0</v>
      </c>
      <c r="L154" s="62">
        <v>12</v>
      </c>
      <c r="M154" s="62">
        <v>0</v>
      </c>
      <c r="N154" s="62">
        <v>23</v>
      </c>
      <c r="O154" s="62"/>
      <c r="P154" s="137">
        <f t="shared" si="16"/>
        <v>0</v>
      </c>
      <c r="Q154" s="137">
        <f t="shared" si="14"/>
        <v>10600</v>
      </c>
      <c r="R154" s="160">
        <f t="shared" si="15"/>
        <v>0</v>
      </c>
      <c r="S154" s="179"/>
      <c r="Y154" s="87"/>
      <c r="Z154" s="329"/>
      <c r="AA154" s="118"/>
      <c r="AB154" s="118"/>
    </row>
    <row r="155" spans="1:28" s="60" customFormat="1" x14ac:dyDescent="0.2">
      <c r="A155" s="132">
        <v>42895</v>
      </c>
      <c r="B155" s="399">
        <v>23</v>
      </c>
      <c r="C155" s="58"/>
      <c r="D155" s="134" t="s">
        <v>21</v>
      </c>
      <c r="E155" s="60">
        <v>4</v>
      </c>
      <c r="F155" s="87">
        <v>180</v>
      </c>
      <c r="G155" s="62">
        <v>2</v>
      </c>
      <c r="H155" s="62"/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1</v>
      </c>
      <c r="O155" s="62"/>
      <c r="P155" s="137">
        <f t="shared" si="16"/>
        <v>0</v>
      </c>
      <c r="Q155" s="137">
        <f t="shared" si="14"/>
        <v>0</v>
      </c>
      <c r="R155" s="160" t="e">
        <f t="shared" si="15"/>
        <v>#DIV/0!</v>
      </c>
      <c r="S155" s="181" t="str">
        <f>D155</f>
        <v>HL-6 Low</v>
      </c>
      <c r="U155" s="63"/>
      <c r="V155" s="63"/>
      <c r="Y155" s="87" t="str">
        <f>D155</f>
        <v>HL-6 Low</v>
      </c>
      <c r="Z155" s="329"/>
      <c r="AA155" s="118"/>
      <c r="AB155" s="118"/>
    </row>
    <row r="156" spans="1:28" s="60" customFormat="1" x14ac:dyDescent="0.2">
      <c r="A156" s="132">
        <v>42895</v>
      </c>
      <c r="B156" s="399">
        <v>23</v>
      </c>
      <c r="C156" s="58"/>
      <c r="D156" s="134" t="s">
        <v>21</v>
      </c>
      <c r="E156" s="60">
        <v>4</v>
      </c>
      <c r="F156" s="87">
        <v>100</v>
      </c>
      <c r="G156" s="62">
        <v>0.5</v>
      </c>
      <c r="H156" s="62">
        <v>800</v>
      </c>
      <c r="I156" s="62">
        <v>39</v>
      </c>
      <c r="J156" s="62">
        <v>0</v>
      </c>
      <c r="K156" s="62">
        <v>35</v>
      </c>
      <c r="L156" s="62">
        <v>0</v>
      </c>
      <c r="M156" s="62">
        <v>47</v>
      </c>
      <c r="N156" s="62">
        <v>0</v>
      </c>
      <c r="O156" s="62"/>
      <c r="P156" s="137">
        <f t="shared" si="16"/>
        <v>64533.333333333336</v>
      </c>
      <c r="Q156" s="137">
        <f t="shared" si="14"/>
        <v>0</v>
      </c>
      <c r="R156" s="160">
        <f t="shared" si="15"/>
        <v>1</v>
      </c>
      <c r="S156" s="179">
        <f>SUM(P155:P156)/(SUM(P155:Q156))</f>
        <v>1</v>
      </c>
      <c r="U156" s="63"/>
      <c r="V156" s="63"/>
      <c r="Y156" s="87"/>
      <c r="Z156" s="329"/>
      <c r="AA156" s="118"/>
      <c r="AB156" s="118"/>
    </row>
    <row r="157" spans="1:28" s="60" customFormat="1" x14ac:dyDescent="0.2">
      <c r="A157" s="132">
        <v>42895</v>
      </c>
      <c r="B157" s="399">
        <v>3</v>
      </c>
      <c r="C157" s="58"/>
      <c r="D157" s="60" t="s">
        <v>84</v>
      </c>
      <c r="E157" s="60">
        <v>4</v>
      </c>
      <c r="F157" s="87">
        <v>224</v>
      </c>
      <c r="G157" s="62">
        <v>1</v>
      </c>
      <c r="H157" s="62">
        <v>470</v>
      </c>
      <c r="I157" s="62">
        <v>0</v>
      </c>
      <c r="J157" s="62">
        <v>0</v>
      </c>
      <c r="K157" s="62">
        <v>0</v>
      </c>
      <c r="L157" s="62">
        <v>0</v>
      </c>
      <c r="M157" s="62">
        <v>1</v>
      </c>
      <c r="N157" s="62">
        <v>0</v>
      </c>
      <c r="O157" s="62"/>
      <c r="P157" s="137">
        <f t="shared" si="16"/>
        <v>156.66666666666666</v>
      </c>
      <c r="Q157" s="137">
        <f t="shared" si="14"/>
        <v>0</v>
      </c>
      <c r="R157" s="160">
        <f t="shared" si="15"/>
        <v>1</v>
      </c>
      <c r="S157" s="180" t="str">
        <f>D157</f>
        <v>NF-10 Ambient</v>
      </c>
      <c r="U157" s="63"/>
      <c r="V157" s="63"/>
      <c r="Y157" s="87" t="str">
        <f>D157</f>
        <v>NF-10 Ambient</v>
      </c>
      <c r="Z157" s="329"/>
      <c r="AA157" s="118"/>
      <c r="AB157" s="118"/>
    </row>
    <row r="158" spans="1:28" s="60" customFormat="1" x14ac:dyDescent="0.2">
      <c r="A158" s="132">
        <v>42895</v>
      </c>
      <c r="B158" s="399">
        <v>3</v>
      </c>
      <c r="C158" s="58"/>
      <c r="D158" s="60" t="s">
        <v>84</v>
      </c>
      <c r="E158" s="60">
        <v>4</v>
      </c>
      <c r="F158" s="87">
        <v>180</v>
      </c>
      <c r="G158" s="62">
        <v>0.5</v>
      </c>
      <c r="H158" s="62">
        <v>440</v>
      </c>
      <c r="I158" s="62">
        <v>12</v>
      </c>
      <c r="J158" s="62">
        <v>2</v>
      </c>
      <c r="K158" s="62">
        <v>8</v>
      </c>
      <c r="L158" s="62">
        <v>0</v>
      </c>
      <c r="M158" s="62">
        <v>8</v>
      </c>
      <c r="N158" s="62">
        <v>0</v>
      </c>
      <c r="O158" s="62"/>
      <c r="P158" s="137">
        <f t="shared" si="16"/>
        <v>8213.3333333333339</v>
      </c>
      <c r="Q158" s="137">
        <f t="shared" si="14"/>
        <v>586.66666666666663</v>
      </c>
      <c r="R158" s="160">
        <f t="shared" si="15"/>
        <v>0.93333333333333335</v>
      </c>
      <c r="S158" s="178">
        <f>(SUM(P157:P160)/(SUM(P157:Q160)))</f>
        <v>0.78777032514211809</v>
      </c>
      <c r="U158" s="63"/>
      <c r="V158" s="63"/>
      <c r="Y158" s="87"/>
      <c r="Z158" s="329"/>
      <c r="AA158" s="118"/>
      <c r="AB158" s="118"/>
    </row>
    <row r="159" spans="1:28" s="60" customFormat="1" x14ac:dyDescent="0.2">
      <c r="A159" s="132">
        <v>42895</v>
      </c>
      <c r="B159" s="399">
        <v>3</v>
      </c>
      <c r="C159" s="58"/>
      <c r="D159" s="60" t="s">
        <v>84</v>
      </c>
      <c r="E159" s="60">
        <v>4</v>
      </c>
      <c r="F159" s="87">
        <v>100</v>
      </c>
      <c r="G159" s="62">
        <v>0.5</v>
      </c>
      <c r="H159" s="62">
        <v>800</v>
      </c>
      <c r="I159" s="62">
        <v>54</v>
      </c>
      <c r="J159" s="62">
        <v>3</v>
      </c>
      <c r="K159" s="62">
        <v>47</v>
      </c>
      <c r="L159" s="62">
        <v>1</v>
      </c>
      <c r="M159" s="62">
        <v>47</v>
      </c>
      <c r="N159" s="62">
        <v>3</v>
      </c>
      <c r="O159" s="62"/>
      <c r="P159" s="137">
        <f t="shared" si="16"/>
        <v>78933.333333333343</v>
      </c>
      <c r="Q159" s="137">
        <f t="shared" si="14"/>
        <v>3733.3333333333335</v>
      </c>
      <c r="R159" s="160">
        <f t="shared" si="15"/>
        <v>0.95483870967741946</v>
      </c>
      <c r="S159" s="179"/>
      <c r="U159" s="63"/>
      <c r="V159" s="63"/>
      <c r="Y159" s="87"/>
      <c r="Z159" s="329"/>
      <c r="AA159" s="118"/>
      <c r="AB159" s="118"/>
    </row>
    <row r="160" spans="1:28" s="60" customFormat="1" x14ac:dyDescent="0.2">
      <c r="A160" s="132">
        <v>42895</v>
      </c>
      <c r="B160" s="399">
        <v>3</v>
      </c>
      <c r="C160" s="58"/>
      <c r="D160" s="60" t="s">
        <v>84</v>
      </c>
      <c r="E160" s="60">
        <v>4</v>
      </c>
      <c r="F160" s="87" t="s">
        <v>201</v>
      </c>
      <c r="G160" s="62">
        <v>1</v>
      </c>
      <c r="H160" s="62">
        <v>600</v>
      </c>
      <c r="I160" s="62">
        <v>0</v>
      </c>
      <c r="J160" s="62">
        <v>29</v>
      </c>
      <c r="K160" s="62">
        <v>0</v>
      </c>
      <c r="L160" s="62">
        <v>23</v>
      </c>
      <c r="M160" s="62">
        <v>0</v>
      </c>
      <c r="N160" s="62">
        <v>44</v>
      </c>
      <c r="O160" s="62"/>
      <c r="P160" s="137">
        <f t="shared" si="16"/>
        <v>0</v>
      </c>
      <c r="Q160" s="137">
        <f t="shared" ref="Q160:Q223" si="18">(AVERAGE(J160,L160,N160)/G160)*H160</f>
        <v>19200</v>
      </c>
      <c r="R160" s="160">
        <f t="shared" ref="R160:R223" si="19">P160/(P160+Q160)</f>
        <v>0</v>
      </c>
      <c r="S160" s="179"/>
      <c r="U160" s="63"/>
      <c r="V160" s="63"/>
      <c r="Y160" s="87"/>
      <c r="Z160" s="329"/>
      <c r="AA160" s="118"/>
      <c r="AB160" s="118"/>
    </row>
    <row r="161" spans="1:28" s="60" customFormat="1" x14ac:dyDescent="0.2">
      <c r="A161" s="132">
        <v>42895</v>
      </c>
      <c r="B161" s="399">
        <v>16</v>
      </c>
      <c r="C161" s="58"/>
      <c r="D161" s="60" t="s">
        <v>87</v>
      </c>
      <c r="E161" s="60">
        <v>5</v>
      </c>
      <c r="F161" s="87">
        <v>224</v>
      </c>
      <c r="G161" s="62">
        <v>1</v>
      </c>
      <c r="H161" s="62">
        <v>375</v>
      </c>
      <c r="I161" s="62">
        <v>0</v>
      </c>
      <c r="J161" s="62">
        <v>0</v>
      </c>
      <c r="K161" s="62">
        <v>0</v>
      </c>
      <c r="L161" s="62">
        <v>0</v>
      </c>
      <c r="M161" s="62">
        <v>0</v>
      </c>
      <c r="N161" s="62">
        <v>0</v>
      </c>
      <c r="O161" s="62"/>
      <c r="P161" s="137">
        <f t="shared" si="16"/>
        <v>0</v>
      </c>
      <c r="Q161" s="137">
        <f t="shared" si="18"/>
        <v>0</v>
      </c>
      <c r="R161" s="160" t="e">
        <f t="shared" si="19"/>
        <v>#DIV/0!</v>
      </c>
      <c r="S161" s="180" t="str">
        <f>D161</f>
        <v>SN-6 Ambient</v>
      </c>
      <c r="U161" s="63"/>
      <c r="V161" s="63"/>
      <c r="Y161" s="87" t="str">
        <f>D161</f>
        <v>SN-6 Ambient</v>
      </c>
      <c r="Z161" s="329"/>
      <c r="AA161" s="118"/>
      <c r="AB161" s="118"/>
    </row>
    <row r="162" spans="1:28" s="60" customFormat="1" x14ac:dyDescent="0.2">
      <c r="A162" s="132">
        <v>42895</v>
      </c>
      <c r="B162" s="399">
        <v>16</v>
      </c>
      <c r="C162" s="58"/>
      <c r="D162" s="60" t="s">
        <v>87</v>
      </c>
      <c r="E162" s="60">
        <v>5</v>
      </c>
      <c r="F162" s="87">
        <v>180</v>
      </c>
      <c r="G162" s="62">
        <v>1</v>
      </c>
      <c r="H162" s="62">
        <v>400</v>
      </c>
      <c r="I162" s="62">
        <v>2</v>
      </c>
      <c r="J162" s="62">
        <v>0</v>
      </c>
      <c r="K162" s="62">
        <v>1</v>
      </c>
      <c r="L162" s="62">
        <v>0</v>
      </c>
      <c r="M162" s="62">
        <v>2</v>
      </c>
      <c r="N162" s="62">
        <v>0</v>
      </c>
      <c r="O162" s="62"/>
      <c r="P162" s="137">
        <f t="shared" si="16"/>
        <v>666.66666666666674</v>
      </c>
      <c r="Q162" s="137">
        <f t="shared" si="18"/>
        <v>0</v>
      </c>
      <c r="R162" s="160">
        <f t="shared" si="19"/>
        <v>1</v>
      </c>
      <c r="S162" s="178">
        <f>(SUM(P161:P164)/(SUM(P161:Q164)))</f>
        <v>0.21549354618818303</v>
      </c>
      <c r="U162" s="63"/>
      <c r="V162" s="63"/>
      <c r="Y162" s="87"/>
      <c r="Z162" s="329"/>
      <c r="AA162" s="118"/>
      <c r="AB162" s="118"/>
    </row>
    <row r="163" spans="1:28" s="60" customFormat="1" x14ac:dyDescent="0.2">
      <c r="A163" s="132">
        <v>42895</v>
      </c>
      <c r="B163" s="399">
        <v>16</v>
      </c>
      <c r="C163" s="58"/>
      <c r="D163" s="60" t="s">
        <v>87</v>
      </c>
      <c r="E163" s="60">
        <v>5</v>
      </c>
      <c r="F163" s="87">
        <v>100</v>
      </c>
      <c r="G163" s="62">
        <v>0.5</v>
      </c>
      <c r="H163" s="62">
        <v>640</v>
      </c>
      <c r="I163" s="62">
        <v>26</v>
      </c>
      <c r="J163" s="62">
        <v>2</v>
      </c>
      <c r="K163" s="62">
        <v>26</v>
      </c>
      <c r="L163" s="62">
        <v>1</v>
      </c>
      <c r="M163" s="62">
        <v>23</v>
      </c>
      <c r="N163" s="62">
        <v>1</v>
      </c>
      <c r="O163" s="62"/>
      <c r="P163" s="137">
        <f t="shared" si="16"/>
        <v>32000</v>
      </c>
      <c r="Q163" s="137">
        <f t="shared" si="18"/>
        <v>1706.6666666666665</v>
      </c>
      <c r="R163" s="160">
        <f t="shared" si="19"/>
        <v>0.949367088607595</v>
      </c>
      <c r="S163" s="179"/>
      <c r="U163" s="63"/>
      <c r="V163" s="63"/>
      <c r="Y163" s="87"/>
      <c r="Z163" s="329"/>
      <c r="AA163" s="118"/>
      <c r="AB163" s="118"/>
    </row>
    <row r="164" spans="1:28" s="60" customFormat="1" x14ac:dyDescent="0.2">
      <c r="A164" s="132">
        <v>42895</v>
      </c>
      <c r="B164" s="399">
        <v>16</v>
      </c>
      <c r="C164" s="58"/>
      <c r="D164" s="60" t="s">
        <v>87</v>
      </c>
      <c r="E164" s="60">
        <v>5</v>
      </c>
      <c r="F164" s="87" t="s">
        <v>201</v>
      </c>
      <c r="G164" s="62">
        <v>1</v>
      </c>
      <c r="H164" s="62">
        <v>650</v>
      </c>
      <c r="I164" s="62">
        <v>0</v>
      </c>
      <c r="J164" s="62">
        <v>156</v>
      </c>
      <c r="K164" s="62">
        <v>0</v>
      </c>
      <c r="L164" s="62">
        <v>200</v>
      </c>
      <c r="M164" s="62">
        <v>0</v>
      </c>
      <c r="N164" s="62">
        <v>185</v>
      </c>
      <c r="O164" s="62"/>
      <c r="P164" s="137">
        <f t="shared" si="16"/>
        <v>0</v>
      </c>
      <c r="Q164" s="137">
        <f t="shared" si="18"/>
        <v>117216.66666666667</v>
      </c>
      <c r="R164" s="160">
        <f t="shared" si="19"/>
        <v>0</v>
      </c>
      <c r="S164" s="179"/>
      <c r="U164" s="63"/>
      <c r="V164" s="63"/>
      <c r="Y164" s="87"/>
      <c r="Z164" s="329"/>
      <c r="AA164" s="118"/>
      <c r="AB164" s="118"/>
    </row>
    <row r="165" spans="1:28" s="60" customFormat="1" x14ac:dyDescent="0.2">
      <c r="A165" s="132">
        <v>42895</v>
      </c>
      <c r="B165" s="399">
        <v>18</v>
      </c>
      <c r="C165" s="58"/>
      <c r="D165" s="59" t="s">
        <v>20</v>
      </c>
      <c r="E165" s="60">
        <v>5</v>
      </c>
      <c r="F165" s="87">
        <v>224</v>
      </c>
      <c r="G165" s="62">
        <v>1</v>
      </c>
      <c r="H165" s="62">
        <v>350</v>
      </c>
      <c r="I165" s="62">
        <v>4</v>
      </c>
      <c r="J165" s="62">
        <v>0</v>
      </c>
      <c r="K165" s="62">
        <v>6</v>
      </c>
      <c r="L165" s="62">
        <v>0</v>
      </c>
      <c r="M165" s="62">
        <v>2</v>
      </c>
      <c r="N165" s="62">
        <v>2</v>
      </c>
      <c r="O165" s="62"/>
      <c r="P165" s="137">
        <f t="shared" si="16"/>
        <v>1400</v>
      </c>
      <c r="Q165" s="137">
        <f t="shared" si="18"/>
        <v>233.33333333333331</v>
      </c>
      <c r="R165" s="160">
        <f t="shared" si="19"/>
        <v>0.85714285714285721</v>
      </c>
      <c r="S165" s="180" t="str">
        <f>D165</f>
        <v>K-10 Low</v>
      </c>
      <c r="U165" s="63"/>
      <c r="V165" s="63"/>
      <c r="Y165" s="87" t="str">
        <f>D165</f>
        <v>K-10 Low</v>
      </c>
      <c r="Z165" s="329"/>
      <c r="AA165" s="118"/>
      <c r="AB165" s="118"/>
    </row>
    <row r="166" spans="1:28" s="60" customFormat="1" x14ac:dyDescent="0.2">
      <c r="A166" s="132">
        <v>42895</v>
      </c>
      <c r="B166" s="399">
        <v>18</v>
      </c>
      <c r="C166" s="58"/>
      <c r="D166" s="59" t="s">
        <v>20</v>
      </c>
      <c r="E166" s="60">
        <v>5</v>
      </c>
      <c r="F166" s="87">
        <v>180</v>
      </c>
      <c r="G166" s="62">
        <v>0.5</v>
      </c>
      <c r="H166" s="62">
        <v>500</v>
      </c>
      <c r="I166" s="62">
        <v>9</v>
      </c>
      <c r="J166" s="62">
        <v>2</v>
      </c>
      <c r="K166" s="62">
        <v>8</v>
      </c>
      <c r="L166" s="62">
        <v>3</v>
      </c>
      <c r="M166" s="62">
        <v>16</v>
      </c>
      <c r="N166" s="62">
        <v>5</v>
      </c>
      <c r="O166" s="62"/>
      <c r="P166" s="137">
        <f t="shared" si="16"/>
        <v>11000</v>
      </c>
      <c r="Q166" s="137">
        <f t="shared" si="18"/>
        <v>3333.3333333333335</v>
      </c>
      <c r="R166" s="160">
        <f t="shared" si="19"/>
        <v>0.7674418604651162</v>
      </c>
      <c r="S166" s="178">
        <f>(SUM(P165:P168)/(SUM(P165:Q168)))</f>
        <v>0.54103019538188279</v>
      </c>
      <c r="U166" s="63"/>
      <c r="V166" s="63"/>
      <c r="Y166" s="87"/>
      <c r="Z166" s="329"/>
      <c r="AA166" s="118"/>
      <c r="AB166" s="118"/>
    </row>
    <row r="167" spans="1:28" s="60" customFormat="1" x14ac:dyDescent="0.2">
      <c r="A167" s="132">
        <v>42895</v>
      </c>
      <c r="B167" s="399">
        <v>18</v>
      </c>
      <c r="C167" s="58"/>
      <c r="D167" s="59" t="s">
        <v>20</v>
      </c>
      <c r="E167" s="60">
        <v>5</v>
      </c>
      <c r="F167" s="87">
        <v>100</v>
      </c>
      <c r="G167" s="62">
        <v>0.5</v>
      </c>
      <c r="H167" s="62">
        <v>730</v>
      </c>
      <c r="I167" s="62">
        <v>35</v>
      </c>
      <c r="J167" s="62">
        <v>2</v>
      </c>
      <c r="K167" s="62">
        <v>27</v>
      </c>
      <c r="L167" s="62">
        <v>3</v>
      </c>
      <c r="M167" s="62">
        <v>32</v>
      </c>
      <c r="N167" s="62">
        <v>4</v>
      </c>
      <c r="O167" s="62"/>
      <c r="P167" s="137">
        <f t="shared" si="16"/>
        <v>45746.666666666664</v>
      </c>
      <c r="Q167" s="137">
        <f t="shared" si="18"/>
        <v>4380</v>
      </c>
      <c r="R167" s="160">
        <f t="shared" si="19"/>
        <v>0.91262135922330101</v>
      </c>
      <c r="S167" s="179"/>
      <c r="U167" s="63"/>
      <c r="V167" s="63"/>
      <c r="Y167" s="87"/>
      <c r="Z167" s="329"/>
      <c r="AA167" s="118"/>
      <c r="AB167" s="118"/>
    </row>
    <row r="168" spans="1:28" s="60" customFormat="1" x14ac:dyDescent="0.2">
      <c r="A168" s="132">
        <v>42895</v>
      </c>
      <c r="B168" s="399">
        <v>18</v>
      </c>
      <c r="C168" s="58"/>
      <c r="D168" s="59" t="s">
        <v>20</v>
      </c>
      <c r="E168" s="60">
        <v>5</v>
      </c>
      <c r="F168" s="87" t="s">
        <v>201</v>
      </c>
      <c r="G168" s="62">
        <v>1</v>
      </c>
      <c r="H168" s="62">
        <v>640</v>
      </c>
      <c r="I168" s="62">
        <v>5</v>
      </c>
      <c r="J168" s="62">
        <v>79</v>
      </c>
      <c r="K168" s="62">
        <v>4</v>
      </c>
      <c r="L168" s="62">
        <v>64</v>
      </c>
      <c r="M168" s="62">
        <v>4</v>
      </c>
      <c r="N168" s="62">
        <v>62</v>
      </c>
      <c r="O168" s="62"/>
      <c r="P168" s="137">
        <f t="shared" si="16"/>
        <v>2773.333333333333</v>
      </c>
      <c r="Q168" s="137">
        <f t="shared" si="18"/>
        <v>43733.333333333328</v>
      </c>
      <c r="R168" s="160">
        <f t="shared" si="19"/>
        <v>5.9633027522935776E-2</v>
      </c>
      <c r="S168" s="179"/>
      <c r="U168" s="63"/>
      <c r="V168" s="63"/>
      <c r="Y168" s="87"/>
      <c r="Z168" s="329"/>
      <c r="AA168" s="118"/>
      <c r="AB168" s="118"/>
    </row>
    <row r="169" spans="1:28" s="60" customFormat="1" x14ac:dyDescent="0.2">
      <c r="A169" s="132">
        <v>42895</v>
      </c>
      <c r="B169" s="399">
        <v>19</v>
      </c>
      <c r="C169" s="58"/>
      <c r="D169" s="60" t="s">
        <v>88</v>
      </c>
      <c r="E169" s="60">
        <v>6</v>
      </c>
      <c r="F169" s="87">
        <v>224</v>
      </c>
      <c r="G169" s="62">
        <v>3</v>
      </c>
      <c r="H169" s="62">
        <v>275</v>
      </c>
      <c r="I169" s="62">
        <v>0</v>
      </c>
      <c r="J169" s="62">
        <v>0</v>
      </c>
      <c r="K169" s="62">
        <v>1</v>
      </c>
      <c r="L169" s="62">
        <v>0</v>
      </c>
      <c r="M169" s="62">
        <v>0</v>
      </c>
      <c r="N169" s="62">
        <v>0</v>
      </c>
      <c r="O169" s="62"/>
      <c r="P169" s="137">
        <f t="shared" si="16"/>
        <v>30.555555555555554</v>
      </c>
      <c r="Q169" s="137">
        <f t="shared" si="18"/>
        <v>0</v>
      </c>
      <c r="R169" s="160">
        <f t="shared" si="19"/>
        <v>1</v>
      </c>
      <c r="S169" s="180" t="str">
        <f>D169</f>
        <v>HL-10 Ambient</v>
      </c>
      <c r="U169" s="63"/>
      <c r="V169" s="63"/>
      <c r="Y169" s="87" t="str">
        <f>D169</f>
        <v>HL-10 Ambient</v>
      </c>
      <c r="Z169" s="329"/>
      <c r="AA169" s="118"/>
      <c r="AB169" s="118"/>
    </row>
    <row r="170" spans="1:28" s="60" customFormat="1" x14ac:dyDescent="0.2">
      <c r="A170" s="132">
        <v>42895</v>
      </c>
      <c r="B170" s="399">
        <v>19</v>
      </c>
      <c r="C170" s="58"/>
      <c r="D170" s="60" t="s">
        <v>88</v>
      </c>
      <c r="E170" s="60">
        <v>6</v>
      </c>
      <c r="F170" s="87">
        <v>180</v>
      </c>
      <c r="G170" s="62">
        <v>0.5</v>
      </c>
      <c r="H170" s="62">
        <v>800</v>
      </c>
      <c r="I170" s="62">
        <v>35</v>
      </c>
      <c r="J170" s="62">
        <v>0</v>
      </c>
      <c r="K170" s="62">
        <v>32</v>
      </c>
      <c r="L170" s="62">
        <v>0</v>
      </c>
      <c r="M170" s="62">
        <v>25</v>
      </c>
      <c r="N170" s="62">
        <v>0</v>
      </c>
      <c r="O170" s="62"/>
      <c r="P170" s="137">
        <f t="shared" si="16"/>
        <v>49066.666666666672</v>
      </c>
      <c r="Q170" s="137">
        <f t="shared" si="18"/>
        <v>0</v>
      </c>
      <c r="R170" s="160">
        <f t="shared" si="19"/>
        <v>1</v>
      </c>
      <c r="S170" s="178">
        <f>(SUM(P169:P172)/(SUM(P169:Q172)))</f>
        <v>0.89880529579209911</v>
      </c>
      <c r="U170" s="63"/>
      <c r="V170" s="63"/>
      <c r="Y170" s="87"/>
      <c r="Z170" s="329"/>
      <c r="AA170" s="118"/>
      <c r="AB170" s="118"/>
    </row>
    <row r="171" spans="1:28" s="60" customFormat="1" x14ac:dyDescent="0.2">
      <c r="A171" s="132">
        <v>42895</v>
      </c>
      <c r="B171" s="399">
        <v>19</v>
      </c>
      <c r="C171" s="58"/>
      <c r="D171" s="60" t="s">
        <v>88</v>
      </c>
      <c r="E171" s="60">
        <v>6</v>
      </c>
      <c r="F171" s="87">
        <v>100</v>
      </c>
      <c r="G171" s="62">
        <v>0.5</v>
      </c>
      <c r="H171" s="62">
        <v>740</v>
      </c>
      <c r="I171" s="62">
        <v>36</v>
      </c>
      <c r="J171" s="62">
        <v>1</v>
      </c>
      <c r="K171" s="62">
        <v>29</v>
      </c>
      <c r="L171" s="62">
        <v>0</v>
      </c>
      <c r="M171" s="62">
        <v>25</v>
      </c>
      <c r="N171" s="62">
        <v>0</v>
      </c>
      <c r="O171" s="62"/>
      <c r="P171" s="137">
        <f t="shared" si="16"/>
        <v>44400</v>
      </c>
      <c r="Q171" s="137">
        <f t="shared" si="18"/>
        <v>493.33333333333331</v>
      </c>
      <c r="R171" s="160">
        <f t="shared" si="19"/>
        <v>0.98901098901098894</v>
      </c>
      <c r="S171" s="179"/>
      <c r="U171" s="63"/>
      <c r="V171" s="63"/>
      <c r="Y171" s="87"/>
      <c r="Z171" s="329"/>
      <c r="AA171" s="118"/>
      <c r="AB171" s="118"/>
    </row>
    <row r="172" spans="1:28" s="60" customFormat="1" x14ac:dyDescent="0.2">
      <c r="A172" s="132">
        <v>42895</v>
      </c>
      <c r="B172" s="399">
        <v>19</v>
      </c>
      <c r="C172" s="58"/>
      <c r="D172" s="60" t="s">
        <v>88</v>
      </c>
      <c r="E172" s="60">
        <v>6</v>
      </c>
      <c r="F172" s="87" t="s">
        <v>201</v>
      </c>
      <c r="G172" s="62">
        <v>1</v>
      </c>
      <c r="H172" s="62">
        <v>700</v>
      </c>
      <c r="I172" s="62">
        <v>0</v>
      </c>
      <c r="J172" s="62">
        <v>21</v>
      </c>
      <c r="K172" s="62">
        <v>0</v>
      </c>
      <c r="L172" s="62">
        <v>10</v>
      </c>
      <c r="M172" s="62">
        <v>0</v>
      </c>
      <c r="N172" s="62">
        <v>12</v>
      </c>
      <c r="O172" s="62"/>
      <c r="P172" s="137">
        <f t="shared" si="16"/>
        <v>0</v>
      </c>
      <c r="Q172" s="137">
        <f t="shared" si="18"/>
        <v>10033.333333333334</v>
      </c>
      <c r="R172" s="160">
        <f t="shared" si="19"/>
        <v>0</v>
      </c>
      <c r="S172" s="179"/>
      <c r="U172" s="63"/>
      <c r="V172" s="63"/>
      <c r="Y172" s="87"/>
      <c r="Z172" s="329"/>
      <c r="AA172" s="118"/>
      <c r="AB172" s="118"/>
    </row>
    <row r="173" spans="1:28" s="60" customFormat="1" x14ac:dyDescent="0.2">
      <c r="A173" s="132">
        <v>42895</v>
      </c>
      <c r="B173" s="399">
        <v>21</v>
      </c>
      <c r="C173" s="58"/>
      <c r="D173" s="60" t="s">
        <v>108</v>
      </c>
      <c r="E173" s="60">
        <v>6</v>
      </c>
      <c r="F173" s="87">
        <v>224</v>
      </c>
      <c r="G173" s="62">
        <v>2</v>
      </c>
      <c r="H173" s="62">
        <v>525</v>
      </c>
      <c r="I173" s="62">
        <v>0</v>
      </c>
      <c r="J173" s="62">
        <v>0</v>
      </c>
      <c r="K173" s="62">
        <v>1</v>
      </c>
      <c r="L173" s="62">
        <v>0</v>
      </c>
      <c r="M173" s="62">
        <v>0</v>
      </c>
      <c r="N173" s="62">
        <v>0</v>
      </c>
      <c r="O173" s="62"/>
      <c r="P173" s="137">
        <f t="shared" si="16"/>
        <v>87.5</v>
      </c>
      <c r="Q173" s="137">
        <f t="shared" si="18"/>
        <v>0</v>
      </c>
      <c r="R173" s="160">
        <f t="shared" si="19"/>
        <v>1</v>
      </c>
      <c r="S173" s="180" t="str">
        <f>D173</f>
        <v>HL-10 Low</v>
      </c>
      <c r="U173" s="63"/>
      <c r="V173" s="63"/>
      <c r="Y173" s="87" t="str">
        <f>D173</f>
        <v>HL-10 Low</v>
      </c>
      <c r="Z173" s="329"/>
      <c r="AA173" s="118"/>
      <c r="AB173" s="118"/>
    </row>
    <row r="174" spans="1:28" s="60" customFormat="1" x14ac:dyDescent="0.2">
      <c r="A174" s="132">
        <v>42895</v>
      </c>
      <c r="B174" s="399">
        <v>21</v>
      </c>
      <c r="C174" s="58"/>
      <c r="D174" s="60" t="s">
        <v>108</v>
      </c>
      <c r="E174" s="60">
        <v>6</v>
      </c>
      <c r="F174" s="87">
        <v>180</v>
      </c>
      <c r="G174" s="62">
        <v>0.5</v>
      </c>
      <c r="H174" s="62">
        <v>790</v>
      </c>
      <c r="I174" s="62">
        <v>25</v>
      </c>
      <c r="J174" s="62">
        <v>0</v>
      </c>
      <c r="K174" s="62">
        <v>30</v>
      </c>
      <c r="L174" s="62">
        <v>0</v>
      </c>
      <c r="M174" s="62">
        <v>23</v>
      </c>
      <c r="N174" s="62">
        <v>0</v>
      </c>
      <c r="O174" s="62"/>
      <c r="P174" s="137">
        <f t="shared" si="16"/>
        <v>41080</v>
      </c>
      <c r="Q174" s="137">
        <f t="shared" si="18"/>
        <v>0</v>
      </c>
      <c r="R174" s="160">
        <f t="shared" si="19"/>
        <v>1</v>
      </c>
      <c r="S174" s="178">
        <f>(SUM(P173:P176)/(SUM(P173:Q176)))</f>
        <v>0.85446251937349593</v>
      </c>
      <c r="U174" s="63"/>
      <c r="V174" s="63"/>
      <c r="Y174" s="87"/>
      <c r="Z174" s="329"/>
      <c r="AA174" s="118"/>
      <c r="AB174" s="118"/>
    </row>
    <row r="175" spans="1:28" s="60" customFormat="1" x14ac:dyDescent="0.2">
      <c r="A175" s="132">
        <v>42895</v>
      </c>
      <c r="B175" s="399">
        <v>21</v>
      </c>
      <c r="C175" s="58"/>
      <c r="D175" s="60" t="s">
        <v>108</v>
      </c>
      <c r="E175" s="60">
        <v>6</v>
      </c>
      <c r="F175" s="87">
        <v>100</v>
      </c>
      <c r="G175" s="62">
        <v>0.5</v>
      </c>
      <c r="H175" s="62">
        <v>650</v>
      </c>
      <c r="I175" s="62">
        <v>10</v>
      </c>
      <c r="J175" s="62">
        <v>0</v>
      </c>
      <c r="K175" s="62">
        <v>12</v>
      </c>
      <c r="L175" s="62">
        <v>0</v>
      </c>
      <c r="M175" s="62">
        <v>13</v>
      </c>
      <c r="N175" s="62">
        <v>0</v>
      </c>
      <c r="O175" s="62"/>
      <c r="P175" s="137">
        <f t="shared" si="16"/>
        <v>15166.666666666666</v>
      </c>
      <c r="Q175" s="137">
        <f t="shared" si="18"/>
        <v>0</v>
      </c>
      <c r="R175" s="160">
        <f t="shared" si="19"/>
        <v>1</v>
      </c>
      <c r="S175" s="179"/>
      <c r="U175" s="63"/>
      <c r="V175" s="63"/>
      <c r="Y175" s="87"/>
      <c r="Z175" s="329"/>
      <c r="AA175" s="118"/>
      <c r="AB175" s="118"/>
    </row>
    <row r="176" spans="1:28" s="60" customFormat="1" x14ac:dyDescent="0.2">
      <c r="A176" s="132">
        <v>42895</v>
      </c>
      <c r="B176" s="399">
        <v>21</v>
      </c>
      <c r="C176" s="58"/>
      <c r="D176" s="60" t="s">
        <v>108</v>
      </c>
      <c r="E176" s="60">
        <v>6</v>
      </c>
      <c r="F176" s="61" t="s">
        <v>201</v>
      </c>
      <c r="G176" s="62">
        <v>1</v>
      </c>
      <c r="H176" s="62">
        <v>525</v>
      </c>
      <c r="I176" s="62">
        <v>1</v>
      </c>
      <c r="J176" s="62">
        <v>13</v>
      </c>
      <c r="K176" s="62">
        <v>0</v>
      </c>
      <c r="L176" s="62">
        <v>18</v>
      </c>
      <c r="M176" s="62">
        <v>0</v>
      </c>
      <c r="N176" s="62">
        <v>24</v>
      </c>
      <c r="O176" s="62"/>
      <c r="P176" s="137">
        <f t="shared" si="16"/>
        <v>175</v>
      </c>
      <c r="Q176" s="137">
        <f t="shared" si="18"/>
        <v>9625</v>
      </c>
      <c r="R176" s="160">
        <f t="shared" si="19"/>
        <v>1.7857142857142856E-2</v>
      </c>
      <c r="S176" s="179"/>
      <c r="U176" s="63"/>
      <c r="V176" s="63"/>
      <c r="Y176" s="87"/>
      <c r="Z176" s="329"/>
      <c r="AA176" s="118"/>
      <c r="AB176" s="118"/>
    </row>
    <row r="177" spans="1:30" s="60" customFormat="1" x14ac:dyDescent="0.2">
      <c r="A177" s="132">
        <v>42895</v>
      </c>
      <c r="B177" s="399">
        <v>22</v>
      </c>
      <c r="C177" s="58"/>
      <c r="D177" s="60" t="s">
        <v>17</v>
      </c>
      <c r="E177" s="60">
        <v>7</v>
      </c>
      <c r="F177" s="87">
        <v>224</v>
      </c>
      <c r="G177" s="62">
        <v>1</v>
      </c>
      <c r="H177" s="62">
        <v>300</v>
      </c>
      <c r="I177" s="62">
        <v>10</v>
      </c>
      <c r="J177" s="62">
        <v>0</v>
      </c>
      <c r="K177" s="62">
        <v>9</v>
      </c>
      <c r="L177" s="62">
        <v>0</v>
      </c>
      <c r="M177" s="62">
        <v>7</v>
      </c>
      <c r="N177" s="62">
        <v>0</v>
      </c>
      <c r="O177" s="62"/>
      <c r="P177" s="137">
        <f t="shared" si="16"/>
        <v>2600</v>
      </c>
      <c r="Q177" s="137">
        <f t="shared" si="18"/>
        <v>0</v>
      </c>
      <c r="R177" s="160">
        <f t="shared" si="19"/>
        <v>1</v>
      </c>
      <c r="S177" s="180" t="str">
        <f>D177</f>
        <v>K-10 Ambient</v>
      </c>
      <c r="U177" s="63"/>
      <c r="V177" s="63"/>
      <c r="Y177" s="87" t="str">
        <f>D177</f>
        <v>K-10 Ambient</v>
      </c>
      <c r="Z177" s="329"/>
      <c r="AA177" s="118"/>
      <c r="AB177" s="118"/>
    </row>
    <row r="178" spans="1:30" s="60" customFormat="1" x14ac:dyDescent="0.2">
      <c r="A178" s="132">
        <v>42895</v>
      </c>
      <c r="B178" s="399">
        <v>22</v>
      </c>
      <c r="C178" s="58"/>
      <c r="D178" s="60" t="s">
        <v>17</v>
      </c>
      <c r="E178" s="60">
        <v>7</v>
      </c>
      <c r="F178" s="87">
        <v>180</v>
      </c>
      <c r="G178" s="62">
        <v>0.5</v>
      </c>
      <c r="H178" s="62">
        <v>625</v>
      </c>
      <c r="I178" s="62">
        <v>27</v>
      </c>
      <c r="J178" s="62">
        <v>0</v>
      </c>
      <c r="K178" s="62">
        <v>22</v>
      </c>
      <c r="L178" s="62">
        <v>0</v>
      </c>
      <c r="M178" s="62">
        <v>21</v>
      </c>
      <c r="N178" s="62">
        <v>0</v>
      </c>
      <c r="O178" s="62"/>
      <c r="P178" s="137">
        <f t="shared" si="16"/>
        <v>29166.666666666664</v>
      </c>
      <c r="Q178" s="137">
        <f t="shared" si="18"/>
        <v>0</v>
      </c>
      <c r="R178" s="160">
        <f t="shared" si="19"/>
        <v>1</v>
      </c>
      <c r="S178" s="178">
        <f>(SUM(P177:P180)/(SUM(P177:Q180)))</f>
        <v>0.53214003164556967</v>
      </c>
      <c r="U178" s="63"/>
      <c r="V178" s="63"/>
      <c r="Y178" s="87"/>
      <c r="Z178" s="329"/>
      <c r="AA178" s="118"/>
      <c r="AB178" s="118"/>
    </row>
    <row r="179" spans="1:30" s="60" customFormat="1" x14ac:dyDescent="0.2">
      <c r="A179" s="132">
        <v>42895</v>
      </c>
      <c r="B179" s="399">
        <v>22</v>
      </c>
      <c r="C179" s="58"/>
      <c r="D179" s="60" t="s">
        <v>17</v>
      </c>
      <c r="E179" s="60">
        <v>7</v>
      </c>
      <c r="F179" s="87">
        <v>100</v>
      </c>
      <c r="G179" s="62">
        <v>0.5</v>
      </c>
      <c r="H179" s="62">
        <v>650</v>
      </c>
      <c r="I179" s="62">
        <v>40</v>
      </c>
      <c r="J179" s="62">
        <v>2</v>
      </c>
      <c r="K179" s="62">
        <v>47</v>
      </c>
      <c r="L179" s="62">
        <v>1</v>
      </c>
      <c r="M179" s="62">
        <v>38</v>
      </c>
      <c r="N179" s="62">
        <v>3</v>
      </c>
      <c r="O179" s="62"/>
      <c r="P179" s="137">
        <f t="shared" si="16"/>
        <v>54166.666666666664</v>
      </c>
      <c r="Q179" s="137">
        <f t="shared" si="18"/>
        <v>2600</v>
      </c>
      <c r="R179" s="160">
        <f t="shared" si="19"/>
        <v>0.95419847328244278</v>
      </c>
      <c r="S179" s="179"/>
      <c r="U179" s="63"/>
      <c r="V179" s="63"/>
      <c r="Y179" s="87"/>
      <c r="Z179" s="329"/>
      <c r="AA179" s="118"/>
      <c r="AB179" s="118"/>
    </row>
    <row r="180" spans="1:30" s="60" customFormat="1" x14ac:dyDescent="0.2">
      <c r="A180" s="132">
        <v>42895</v>
      </c>
      <c r="B180" s="399">
        <v>22</v>
      </c>
      <c r="C180" s="58"/>
      <c r="D180" s="60" t="s">
        <v>17</v>
      </c>
      <c r="E180" s="60">
        <v>7</v>
      </c>
      <c r="F180" s="87" t="s">
        <v>201</v>
      </c>
      <c r="G180" s="62">
        <v>0.5</v>
      </c>
      <c r="H180" s="62">
        <v>625</v>
      </c>
      <c r="I180" s="62">
        <v>2</v>
      </c>
      <c r="J180" s="62">
        <v>48</v>
      </c>
      <c r="K180" s="62">
        <v>6</v>
      </c>
      <c r="L180" s="62">
        <v>89</v>
      </c>
      <c r="M180" s="62">
        <v>1</v>
      </c>
      <c r="N180" s="62">
        <v>46</v>
      </c>
      <c r="O180" s="62"/>
      <c r="P180" s="137">
        <f t="shared" si="16"/>
        <v>3750</v>
      </c>
      <c r="Q180" s="137">
        <f t="shared" si="18"/>
        <v>76250</v>
      </c>
      <c r="R180" s="160">
        <f t="shared" si="19"/>
        <v>4.6875E-2</v>
      </c>
      <c r="S180" s="179"/>
      <c r="U180" s="63"/>
      <c r="V180" s="63"/>
      <c r="Y180" s="87"/>
      <c r="Z180" s="329"/>
      <c r="AA180" s="118"/>
      <c r="AB180" s="118"/>
    </row>
    <row r="181" spans="1:30" s="60" customFormat="1" x14ac:dyDescent="0.2">
      <c r="A181" s="132">
        <v>42895</v>
      </c>
      <c r="B181" s="399">
        <v>17</v>
      </c>
      <c r="C181" s="58"/>
      <c r="D181" s="59" t="s">
        <v>38</v>
      </c>
      <c r="E181" s="60">
        <v>7</v>
      </c>
      <c r="F181" s="87">
        <v>224</v>
      </c>
      <c r="G181" s="60">
        <v>1</v>
      </c>
      <c r="H181" s="62">
        <v>350</v>
      </c>
      <c r="I181" s="62">
        <v>4</v>
      </c>
      <c r="J181" s="62">
        <v>0</v>
      </c>
      <c r="K181" s="62">
        <v>3</v>
      </c>
      <c r="L181" s="62">
        <v>0</v>
      </c>
      <c r="M181" s="62">
        <v>2</v>
      </c>
      <c r="N181" s="62">
        <v>0</v>
      </c>
      <c r="O181" s="62"/>
      <c r="P181" s="137">
        <f t="shared" si="16"/>
        <v>1050</v>
      </c>
      <c r="Q181" s="137">
        <f t="shared" si="18"/>
        <v>0</v>
      </c>
      <c r="R181" s="160">
        <f t="shared" si="19"/>
        <v>1</v>
      </c>
      <c r="S181" s="180" t="str">
        <f>D181</f>
        <v>K-6 Ambient</v>
      </c>
      <c r="U181" s="63"/>
      <c r="V181" s="63"/>
      <c r="Y181" s="87" t="str">
        <f>D181</f>
        <v>K-6 Ambient</v>
      </c>
      <c r="Z181" s="329"/>
      <c r="AA181" s="118"/>
      <c r="AB181" s="118"/>
    </row>
    <row r="182" spans="1:30" s="60" customFormat="1" x14ac:dyDescent="0.2">
      <c r="A182" s="132">
        <v>42895</v>
      </c>
      <c r="B182" s="399">
        <v>17</v>
      </c>
      <c r="C182" s="58"/>
      <c r="D182" s="59" t="s">
        <v>38</v>
      </c>
      <c r="E182" s="60">
        <v>7</v>
      </c>
      <c r="F182" s="87">
        <v>180</v>
      </c>
      <c r="G182" s="60">
        <v>5</v>
      </c>
      <c r="H182" s="62">
        <v>625</v>
      </c>
      <c r="I182" s="62">
        <v>17</v>
      </c>
      <c r="J182" s="62">
        <v>0</v>
      </c>
      <c r="K182" s="62">
        <v>15</v>
      </c>
      <c r="L182" s="62">
        <v>0</v>
      </c>
      <c r="M182" s="62">
        <v>20</v>
      </c>
      <c r="N182" s="62">
        <v>0</v>
      </c>
      <c r="O182" s="62"/>
      <c r="P182" s="137">
        <f t="shared" si="16"/>
        <v>2166.6666666666665</v>
      </c>
      <c r="Q182" s="137">
        <f t="shared" si="18"/>
        <v>0</v>
      </c>
      <c r="R182" s="160">
        <f t="shared" si="19"/>
        <v>1</v>
      </c>
      <c r="S182" s="178">
        <f>(SUM(P181:P184)/(SUM(P181:Q184)))</f>
        <v>0.64942345380793953</v>
      </c>
      <c r="Y182" s="87"/>
      <c r="Z182" s="329"/>
      <c r="AA182" s="118"/>
      <c r="AB182" s="118"/>
    </row>
    <row r="183" spans="1:30" s="60" customFormat="1" x14ac:dyDescent="0.2">
      <c r="A183" s="132">
        <v>42895</v>
      </c>
      <c r="B183" s="399">
        <v>17</v>
      </c>
      <c r="C183" s="58"/>
      <c r="D183" s="59" t="s">
        <v>38</v>
      </c>
      <c r="E183" s="60">
        <v>7</v>
      </c>
      <c r="F183" s="87">
        <v>100</v>
      </c>
      <c r="G183" s="62">
        <v>0.5</v>
      </c>
      <c r="H183" s="62">
        <v>540</v>
      </c>
      <c r="I183" s="62">
        <v>43</v>
      </c>
      <c r="J183" s="62">
        <v>0</v>
      </c>
      <c r="K183" s="62">
        <v>40</v>
      </c>
      <c r="L183" s="62">
        <v>2</v>
      </c>
      <c r="M183" s="62">
        <v>40</v>
      </c>
      <c r="N183" s="62">
        <v>2</v>
      </c>
      <c r="O183" s="62"/>
      <c r="P183" s="137">
        <f t="shared" si="16"/>
        <v>44280</v>
      </c>
      <c r="Q183" s="137">
        <f t="shared" si="18"/>
        <v>1440</v>
      </c>
      <c r="R183" s="160">
        <f t="shared" si="19"/>
        <v>0.96850393700787396</v>
      </c>
      <c r="S183" s="179"/>
      <c r="Y183" s="87"/>
      <c r="Z183" s="329"/>
      <c r="AA183" s="118"/>
      <c r="AB183" s="118"/>
    </row>
    <row r="184" spans="1:30" s="60" customFormat="1" x14ac:dyDescent="0.2">
      <c r="A184" s="132">
        <v>42895</v>
      </c>
      <c r="B184" s="399">
        <v>17</v>
      </c>
      <c r="C184" s="58"/>
      <c r="D184" s="59" t="s">
        <v>38</v>
      </c>
      <c r="E184" s="60">
        <v>7</v>
      </c>
      <c r="F184" s="87" t="s">
        <v>201</v>
      </c>
      <c r="G184" s="62">
        <v>0.5</v>
      </c>
      <c r="H184" s="62">
        <v>550</v>
      </c>
      <c r="I184" s="62">
        <v>0</v>
      </c>
      <c r="J184" s="62">
        <v>24</v>
      </c>
      <c r="K184" s="62">
        <v>0</v>
      </c>
      <c r="L184" s="62">
        <v>21</v>
      </c>
      <c r="M184" s="62">
        <v>0</v>
      </c>
      <c r="N184" s="62">
        <v>21</v>
      </c>
      <c r="O184" s="62"/>
      <c r="P184" s="137">
        <f t="shared" si="16"/>
        <v>0</v>
      </c>
      <c r="Q184" s="137">
        <f t="shared" si="18"/>
        <v>24200</v>
      </c>
      <c r="R184" s="160">
        <f t="shared" si="19"/>
        <v>0</v>
      </c>
      <c r="S184" s="179"/>
      <c r="Y184" s="87"/>
      <c r="Z184" s="329"/>
      <c r="AA184" s="118"/>
      <c r="AB184" s="118"/>
    </row>
    <row r="185" spans="1:30" s="60" customFormat="1" x14ac:dyDescent="0.2">
      <c r="A185" s="132">
        <v>42895</v>
      </c>
      <c r="B185" s="399">
        <v>20</v>
      </c>
      <c r="C185" s="58"/>
      <c r="D185" s="60" t="s">
        <v>46</v>
      </c>
      <c r="E185" s="60">
        <v>8</v>
      </c>
      <c r="F185" s="87">
        <v>224</v>
      </c>
      <c r="G185" s="62">
        <v>1</v>
      </c>
      <c r="H185" s="62">
        <v>275</v>
      </c>
      <c r="I185" s="62">
        <v>2</v>
      </c>
      <c r="J185" s="62">
        <v>0</v>
      </c>
      <c r="K185" s="62">
        <v>0</v>
      </c>
      <c r="L185" s="62">
        <v>0</v>
      </c>
      <c r="M185" s="62">
        <v>0</v>
      </c>
      <c r="N185" s="62">
        <v>0</v>
      </c>
      <c r="O185" s="62"/>
      <c r="P185" s="137">
        <f t="shared" si="16"/>
        <v>183.33333333333331</v>
      </c>
      <c r="Q185" s="137">
        <f t="shared" si="18"/>
        <v>0</v>
      </c>
      <c r="R185" s="160">
        <f t="shared" si="19"/>
        <v>1</v>
      </c>
      <c r="S185" s="180" t="str">
        <f>D185</f>
        <v>K-6 Low</v>
      </c>
      <c r="Y185" s="87" t="str">
        <f>D185</f>
        <v>K-6 Low</v>
      </c>
      <c r="Z185" s="329"/>
      <c r="AA185" s="118"/>
      <c r="AB185" s="118"/>
    </row>
    <row r="186" spans="1:30" s="60" customFormat="1" x14ac:dyDescent="0.2">
      <c r="A186" s="132">
        <v>42895</v>
      </c>
      <c r="B186" s="399">
        <v>20</v>
      </c>
      <c r="C186" s="58"/>
      <c r="D186" s="60" t="s">
        <v>46</v>
      </c>
      <c r="E186" s="60">
        <v>8</v>
      </c>
      <c r="F186" s="87">
        <v>180</v>
      </c>
      <c r="G186" s="62">
        <v>1</v>
      </c>
      <c r="H186" s="62">
        <v>450</v>
      </c>
      <c r="I186" s="62">
        <v>6</v>
      </c>
      <c r="J186" s="62">
        <v>0</v>
      </c>
      <c r="K186" s="62">
        <v>0</v>
      </c>
      <c r="L186" s="62">
        <v>0</v>
      </c>
      <c r="M186" s="62">
        <v>4</v>
      </c>
      <c r="N186" s="62">
        <v>0</v>
      </c>
      <c r="O186" s="62"/>
      <c r="P186" s="137">
        <f t="shared" si="16"/>
        <v>1500</v>
      </c>
      <c r="Q186" s="137">
        <f t="shared" si="18"/>
        <v>0</v>
      </c>
      <c r="R186" s="160">
        <f t="shared" si="19"/>
        <v>1</v>
      </c>
      <c r="S186" s="178">
        <f>(SUM(P185:P188)/(SUM(P185:Q188)))</f>
        <v>0.9923641703377386</v>
      </c>
      <c r="Y186" s="87"/>
      <c r="Z186" s="329"/>
      <c r="AA186" s="118"/>
      <c r="AB186" s="118"/>
    </row>
    <row r="187" spans="1:30" s="60" customFormat="1" x14ac:dyDescent="0.2">
      <c r="A187" s="132">
        <v>42895</v>
      </c>
      <c r="B187" s="399">
        <v>20</v>
      </c>
      <c r="C187" s="58"/>
      <c r="D187" s="60" t="s">
        <v>46</v>
      </c>
      <c r="E187" s="60">
        <v>8</v>
      </c>
      <c r="F187" s="87">
        <v>100</v>
      </c>
      <c r="G187" s="62">
        <v>0.5</v>
      </c>
      <c r="H187" s="62">
        <v>525</v>
      </c>
      <c r="I187" s="62">
        <v>53</v>
      </c>
      <c r="J187" s="62">
        <v>0</v>
      </c>
      <c r="K187" s="62">
        <v>49</v>
      </c>
      <c r="L187" s="62">
        <v>0</v>
      </c>
      <c r="M187" s="62">
        <v>51</v>
      </c>
      <c r="N187" s="62">
        <v>0</v>
      </c>
      <c r="O187" s="62"/>
      <c r="P187" s="137">
        <f t="shared" si="16"/>
        <v>53550</v>
      </c>
      <c r="Q187" s="137">
        <f t="shared" si="18"/>
        <v>0</v>
      </c>
      <c r="R187" s="160">
        <f t="shared" si="19"/>
        <v>1</v>
      </c>
      <c r="S187" s="179"/>
      <c r="Y187" s="87"/>
      <c r="Z187" s="329"/>
      <c r="AA187" s="118"/>
      <c r="AB187" s="118"/>
    </row>
    <row r="188" spans="1:30" s="67" customFormat="1" ht="17" thickBot="1" x14ac:dyDescent="0.25">
      <c r="A188" s="64">
        <v>42895</v>
      </c>
      <c r="B188" s="399">
        <v>20</v>
      </c>
      <c r="C188" s="65"/>
      <c r="D188" s="67" t="s">
        <v>46</v>
      </c>
      <c r="E188" s="67">
        <v>8</v>
      </c>
      <c r="F188" s="68" t="s">
        <v>201</v>
      </c>
      <c r="G188" s="69">
        <v>1</v>
      </c>
      <c r="H188" s="69">
        <v>650</v>
      </c>
      <c r="I188" s="69">
        <v>5</v>
      </c>
      <c r="J188" s="69">
        <v>0</v>
      </c>
      <c r="K188" s="69">
        <v>0</v>
      </c>
      <c r="L188" s="69">
        <v>1</v>
      </c>
      <c r="M188" s="69">
        <v>0</v>
      </c>
      <c r="N188" s="69">
        <v>1</v>
      </c>
      <c r="O188" s="69"/>
      <c r="P188" s="121">
        <f t="shared" si="16"/>
        <v>1083.3333333333335</v>
      </c>
      <c r="Q188" s="121">
        <f t="shared" si="18"/>
        <v>433.33333333333331</v>
      </c>
      <c r="R188" s="169">
        <f t="shared" si="19"/>
        <v>0.7142857142857143</v>
      </c>
      <c r="S188" s="193"/>
      <c r="Y188" s="146"/>
      <c r="Z188" s="337"/>
      <c r="AA188" s="147"/>
      <c r="AB188" s="147"/>
    </row>
    <row r="189" spans="1:30" s="144" customFormat="1" x14ac:dyDescent="0.2">
      <c r="A189" s="187">
        <v>42898</v>
      </c>
      <c r="B189" s="408">
        <v>13</v>
      </c>
      <c r="C189" s="188"/>
      <c r="D189" s="145" t="s">
        <v>77</v>
      </c>
      <c r="E189" s="144">
        <v>1</v>
      </c>
      <c r="F189" s="189">
        <v>224</v>
      </c>
      <c r="G189" s="189">
        <v>1</v>
      </c>
      <c r="H189" s="144">
        <v>260</v>
      </c>
      <c r="I189" s="144">
        <v>2</v>
      </c>
      <c r="J189" s="144">
        <v>0</v>
      </c>
      <c r="K189" s="144">
        <v>0</v>
      </c>
      <c r="L189" s="144">
        <v>0</v>
      </c>
      <c r="M189" s="144">
        <v>1</v>
      </c>
      <c r="N189" s="144">
        <v>0</v>
      </c>
      <c r="P189" s="190">
        <f>(AVERAGE(I189,K189,M189)/G189)*H189</f>
        <v>260</v>
      </c>
      <c r="Q189" s="190">
        <f t="shared" si="18"/>
        <v>0</v>
      </c>
      <c r="R189" s="191">
        <f t="shared" si="19"/>
        <v>1</v>
      </c>
      <c r="S189" s="183" t="str">
        <f>D189</f>
        <v>SN-6 Low</v>
      </c>
      <c r="T189" s="192"/>
      <c r="U189" s="192"/>
      <c r="V189" s="192"/>
      <c r="Y189" s="85" t="str">
        <f>D189</f>
        <v>SN-6 Low</v>
      </c>
      <c r="Z189" s="333">
        <f>SUMIFS($P$131:$P$188, $D$131:$D$188, Y189, $F$131:$F$188, "&lt;200") + SUMIFS($Q$131:$Q$188, $D$131:$D$188, Y189, $F$131:$F$188, "&lt;200")</f>
        <v>42750.000000000007</v>
      </c>
      <c r="AA189" s="122">
        <f>SUM(P189:Q192)</f>
        <v>59556.666666666664</v>
      </c>
      <c r="AB189" s="122">
        <f>SUMIFS(Collection!O:O, Collection!B:B, "*" &amp; 'Bucket Counts'!Y189 &amp; "*", Collection!A:A, "&lt;" &amp; 'Bucket Counts'!A189,Collection!A:A,  "&gt;=" &amp; 'Bucket Counts'!$A$131)</f>
        <v>0</v>
      </c>
      <c r="AC189" s="158">
        <f>AA189/(Z189+AB189)</f>
        <v>1.3931384015594539</v>
      </c>
      <c r="AD189" s="341">
        <f>AVERAGE(AC189:AC248)</f>
        <v>0.98152865595374195</v>
      </c>
    </row>
    <row r="190" spans="1:30" s="78" customFormat="1" x14ac:dyDescent="0.2">
      <c r="A190" s="75">
        <v>42898</v>
      </c>
      <c r="B190" s="404">
        <v>13</v>
      </c>
      <c r="C190" s="76"/>
      <c r="D190" s="77" t="s">
        <v>77</v>
      </c>
      <c r="E190" s="78">
        <v>1</v>
      </c>
      <c r="F190" s="85">
        <v>180</v>
      </c>
      <c r="G190" s="85">
        <v>0.5</v>
      </c>
      <c r="H190" s="78">
        <v>790</v>
      </c>
      <c r="I190" s="78">
        <v>18</v>
      </c>
      <c r="J190" s="78">
        <v>0</v>
      </c>
      <c r="K190" s="78">
        <v>16</v>
      </c>
      <c r="L190" s="78">
        <v>0</v>
      </c>
      <c r="M190" s="78">
        <v>9</v>
      </c>
      <c r="N190" s="78">
        <v>0</v>
      </c>
      <c r="P190" s="122">
        <f t="shared" ref="P190:P248" si="20">(AVERAGE(I190,K190,M190)/G190)*H190</f>
        <v>22646.666666666668</v>
      </c>
      <c r="Q190" s="122">
        <f t="shared" si="18"/>
        <v>0</v>
      </c>
      <c r="R190" s="158">
        <f t="shared" si="19"/>
        <v>1</v>
      </c>
      <c r="S190" s="184">
        <f>(SUM(P189:P192)/(SUM(P189:Q192)))</f>
        <v>0.9168858789947949</v>
      </c>
      <c r="T190" s="79"/>
      <c r="U190" s="79"/>
      <c r="V190" s="79"/>
      <c r="Y190" s="85"/>
      <c r="Z190" s="333"/>
      <c r="AA190" s="122"/>
      <c r="AB190" s="122"/>
    </row>
    <row r="191" spans="1:30" s="78" customFormat="1" x14ac:dyDescent="0.2">
      <c r="A191" s="75">
        <v>42898</v>
      </c>
      <c r="B191" s="404">
        <v>13</v>
      </c>
      <c r="C191" s="76"/>
      <c r="D191" s="77" t="s">
        <v>77</v>
      </c>
      <c r="E191" s="78">
        <v>1</v>
      </c>
      <c r="F191" s="85">
        <v>100</v>
      </c>
      <c r="G191" s="85">
        <v>0.5</v>
      </c>
      <c r="H191" s="78">
        <v>840</v>
      </c>
      <c r="I191" s="78">
        <v>19</v>
      </c>
      <c r="J191" s="78">
        <v>0</v>
      </c>
      <c r="K191" s="78">
        <v>20</v>
      </c>
      <c r="L191" s="78">
        <v>0</v>
      </c>
      <c r="M191" s="78">
        <v>16</v>
      </c>
      <c r="N191" s="78">
        <v>0</v>
      </c>
      <c r="P191" s="122">
        <f t="shared" si="20"/>
        <v>30799.999999999996</v>
      </c>
      <c r="Q191" s="122">
        <f t="shared" si="18"/>
        <v>0</v>
      </c>
      <c r="R191" s="158">
        <f t="shared" si="19"/>
        <v>1</v>
      </c>
      <c r="S191" s="182"/>
      <c r="T191" s="79"/>
      <c r="U191" s="79"/>
      <c r="V191" s="79"/>
      <c r="Y191" s="85"/>
      <c r="Z191" s="333"/>
      <c r="AA191" s="122"/>
      <c r="AB191" s="122"/>
    </row>
    <row r="192" spans="1:30" s="78" customFormat="1" x14ac:dyDescent="0.2">
      <c r="A192" s="75">
        <v>42898</v>
      </c>
      <c r="B192" s="404">
        <v>13</v>
      </c>
      <c r="C192" s="76"/>
      <c r="D192" s="77" t="s">
        <v>77</v>
      </c>
      <c r="E192" s="78">
        <v>1</v>
      </c>
      <c r="F192" s="85" t="s">
        <v>201</v>
      </c>
      <c r="G192" s="85">
        <v>1</v>
      </c>
      <c r="H192" s="78">
        <v>450</v>
      </c>
      <c r="I192" s="78">
        <v>0</v>
      </c>
      <c r="J192" s="78">
        <v>11</v>
      </c>
      <c r="K192" s="78">
        <v>0</v>
      </c>
      <c r="L192" s="78">
        <v>9</v>
      </c>
      <c r="M192" s="78">
        <v>6</v>
      </c>
      <c r="N192" s="78">
        <v>13</v>
      </c>
      <c r="P192" s="122">
        <f t="shared" si="20"/>
        <v>900</v>
      </c>
      <c r="Q192" s="122">
        <f t="shared" si="18"/>
        <v>4950</v>
      </c>
      <c r="R192" s="158">
        <f t="shared" si="19"/>
        <v>0.15384615384615385</v>
      </c>
      <c r="S192" s="185"/>
      <c r="T192" s="79"/>
      <c r="U192" s="79"/>
      <c r="V192" s="79"/>
      <c r="Y192" s="85"/>
      <c r="Z192" s="333"/>
      <c r="AA192" s="122"/>
      <c r="AB192" s="122"/>
    </row>
    <row r="193" spans="1:29" s="78" customFormat="1" x14ac:dyDescent="0.2">
      <c r="A193" s="75">
        <v>42898</v>
      </c>
      <c r="B193" s="404">
        <v>10</v>
      </c>
      <c r="C193" s="76"/>
      <c r="D193" s="78" t="s">
        <v>104</v>
      </c>
      <c r="E193" s="78">
        <v>1</v>
      </c>
      <c r="F193" s="85">
        <v>224</v>
      </c>
      <c r="G193" s="85">
        <v>2</v>
      </c>
      <c r="H193" s="78">
        <v>300</v>
      </c>
      <c r="I193" s="78">
        <v>0</v>
      </c>
      <c r="J193" s="78">
        <v>0</v>
      </c>
      <c r="K193" s="78">
        <v>2</v>
      </c>
      <c r="L193" s="78">
        <v>0</v>
      </c>
      <c r="M193" s="78">
        <v>1</v>
      </c>
      <c r="N193" s="78">
        <v>0</v>
      </c>
      <c r="P193" s="122">
        <f t="shared" si="20"/>
        <v>150</v>
      </c>
      <c r="Q193" s="122">
        <f t="shared" si="18"/>
        <v>0</v>
      </c>
      <c r="R193" s="158">
        <f t="shared" si="19"/>
        <v>1</v>
      </c>
      <c r="S193" s="186" t="str">
        <f>D193</f>
        <v>NF-6 Low</v>
      </c>
      <c r="T193" s="79"/>
      <c r="U193" s="79"/>
      <c r="V193" s="79"/>
      <c r="Y193" s="85" t="str">
        <f>D193</f>
        <v>NF-6 Low</v>
      </c>
      <c r="Z193" s="333">
        <f>SUMIFS($P$131:$P$188, $D$131:$D$188, Y193, $F$131:$F$188, "&lt;200") + SUMIFS($Q$131:$Q$188, $D$131:$D$188, Y193, $F$131:$F$188, "&lt;200")</f>
        <v>60950</v>
      </c>
      <c r="AA193" s="122">
        <f>SUM(P193:Q196)</f>
        <v>104444.44444444445</v>
      </c>
      <c r="AB193" s="122">
        <f>SUMIFS(Collection!O:O, Collection!B:B, "*" &amp; 'Bucket Counts'!Y193 &amp; "*", Collection!A:A, "&lt;" &amp; 'Bucket Counts'!A193,Collection!A:A,  "&gt;=" &amp; 'Bucket Counts'!$A$131)</f>
        <v>61733.333333333336</v>
      </c>
      <c r="AC193" s="158">
        <f>AA193/(Z193+AB193)</f>
        <v>0.85133360503554767</v>
      </c>
    </row>
    <row r="194" spans="1:29" s="78" customFormat="1" x14ac:dyDescent="0.2">
      <c r="A194" s="75">
        <v>42898</v>
      </c>
      <c r="B194" s="404">
        <v>10</v>
      </c>
      <c r="C194" s="76"/>
      <c r="D194" s="78" t="s">
        <v>104</v>
      </c>
      <c r="E194" s="78">
        <v>1</v>
      </c>
      <c r="F194" s="85">
        <v>180</v>
      </c>
      <c r="G194" s="85">
        <v>1.5</v>
      </c>
      <c r="H194" s="78">
        <v>625</v>
      </c>
      <c r="I194" s="78">
        <v>4</v>
      </c>
      <c r="J194" s="78">
        <v>1</v>
      </c>
      <c r="K194" s="78">
        <v>7</v>
      </c>
      <c r="L194" s="78">
        <v>1</v>
      </c>
      <c r="M194" s="78">
        <v>3</v>
      </c>
      <c r="N194" s="78">
        <v>1</v>
      </c>
      <c r="P194" s="122">
        <f t="shared" si="20"/>
        <v>1944.4444444444446</v>
      </c>
      <c r="Q194" s="122">
        <f t="shared" si="18"/>
        <v>416.66666666666663</v>
      </c>
      <c r="R194" s="158">
        <f t="shared" si="19"/>
        <v>0.82352941176470584</v>
      </c>
      <c r="S194" s="184">
        <f>(SUM(P193:P196)/(SUM(P193:Q196)))</f>
        <v>0.67031914893617017</v>
      </c>
      <c r="T194" s="79"/>
      <c r="U194" s="79"/>
      <c r="V194" s="79"/>
      <c r="Y194" s="85"/>
      <c r="Z194" s="333"/>
      <c r="AA194" s="122"/>
      <c r="AB194" s="122"/>
    </row>
    <row r="195" spans="1:29" s="78" customFormat="1" x14ac:dyDescent="0.2">
      <c r="A195" s="75">
        <v>42898</v>
      </c>
      <c r="B195" s="404">
        <v>10</v>
      </c>
      <c r="C195" s="76"/>
      <c r="D195" s="78" t="s">
        <v>104</v>
      </c>
      <c r="E195" s="78">
        <v>1</v>
      </c>
      <c r="F195" s="85">
        <v>100</v>
      </c>
      <c r="G195" s="85">
        <v>0.5</v>
      </c>
      <c r="H195" s="78">
        <v>800</v>
      </c>
      <c r="I195" s="78">
        <v>49</v>
      </c>
      <c r="J195" s="78">
        <v>0</v>
      </c>
      <c r="K195" s="78">
        <v>42</v>
      </c>
      <c r="L195" s="78">
        <v>2</v>
      </c>
      <c r="M195" s="78">
        <v>36</v>
      </c>
      <c r="N195" s="78">
        <v>3</v>
      </c>
      <c r="P195" s="122">
        <f t="shared" si="20"/>
        <v>67733.333333333343</v>
      </c>
      <c r="Q195" s="122">
        <f t="shared" si="18"/>
        <v>2666.666666666667</v>
      </c>
      <c r="R195" s="158">
        <f t="shared" si="19"/>
        <v>0.96212121212121204</v>
      </c>
      <c r="S195" s="185"/>
      <c r="T195" s="79"/>
      <c r="U195" s="79"/>
      <c r="V195" s="79"/>
      <c r="Y195" s="85"/>
      <c r="Z195" s="333"/>
      <c r="AA195" s="122"/>
      <c r="AB195" s="122"/>
    </row>
    <row r="196" spans="1:29" s="78" customFormat="1" x14ac:dyDescent="0.2">
      <c r="A196" s="75">
        <v>42898</v>
      </c>
      <c r="B196" s="404">
        <v>10</v>
      </c>
      <c r="C196" s="76"/>
      <c r="D196" s="78" t="s">
        <v>104</v>
      </c>
      <c r="E196" s="78">
        <v>1</v>
      </c>
      <c r="F196" s="85" t="s">
        <v>201</v>
      </c>
      <c r="G196" s="85">
        <v>1</v>
      </c>
      <c r="H196" s="78">
        <v>550</v>
      </c>
      <c r="I196" s="78">
        <v>0</v>
      </c>
      <c r="J196" s="78">
        <v>49</v>
      </c>
      <c r="K196" s="78">
        <v>1</v>
      </c>
      <c r="L196" s="78">
        <v>61</v>
      </c>
      <c r="M196" s="78">
        <v>0</v>
      </c>
      <c r="N196" s="78">
        <v>61</v>
      </c>
      <c r="P196" s="122">
        <f t="shared" si="20"/>
        <v>183.33333333333331</v>
      </c>
      <c r="Q196" s="122">
        <f t="shared" si="18"/>
        <v>31350</v>
      </c>
      <c r="R196" s="158">
        <f t="shared" si="19"/>
        <v>5.8139534883720929E-3</v>
      </c>
      <c r="S196" s="185"/>
      <c r="T196" s="79"/>
      <c r="U196" s="79"/>
      <c r="V196" s="79"/>
      <c r="Y196" s="85"/>
      <c r="Z196" s="333"/>
      <c r="AA196" s="122"/>
      <c r="AB196" s="122"/>
    </row>
    <row r="197" spans="1:29" s="78" customFormat="1" x14ac:dyDescent="0.2">
      <c r="A197" s="75">
        <v>42898</v>
      </c>
      <c r="B197" s="404">
        <v>5</v>
      </c>
      <c r="C197" s="76"/>
      <c r="D197" s="78" t="s">
        <v>86</v>
      </c>
      <c r="E197" s="78">
        <v>2</v>
      </c>
      <c r="F197" s="85">
        <v>224</v>
      </c>
      <c r="G197" s="85">
        <v>1</v>
      </c>
      <c r="H197" s="78">
        <v>425</v>
      </c>
      <c r="I197" s="78">
        <v>1</v>
      </c>
      <c r="J197" s="78">
        <v>0</v>
      </c>
      <c r="K197" s="78">
        <v>3</v>
      </c>
      <c r="L197" s="78">
        <v>0</v>
      </c>
      <c r="M197" s="78">
        <v>3</v>
      </c>
      <c r="N197" s="78">
        <v>0</v>
      </c>
      <c r="P197" s="122">
        <f t="shared" si="20"/>
        <v>991.66666666666674</v>
      </c>
      <c r="Q197" s="122">
        <f t="shared" si="18"/>
        <v>0</v>
      </c>
      <c r="R197" s="158">
        <f t="shared" si="19"/>
        <v>1</v>
      </c>
      <c r="S197" s="186" t="str">
        <f>D197</f>
        <v>SN-10 Ambient</v>
      </c>
      <c r="T197" s="79"/>
      <c r="U197" s="79"/>
      <c r="V197" s="79"/>
      <c r="Y197" s="85" t="str">
        <f>D197</f>
        <v>SN-10 Ambient</v>
      </c>
      <c r="Z197" s="333">
        <f>SUMIFS($P$131:$P$188, $D$131:$D$188, Y197, $F$131:$F$188, "&lt;200") + SUMIFS($Q$131:$Q$188, $D$131:$D$188, Y197, $F$131:$F$188, "&lt;200")</f>
        <v>155286.66666666669</v>
      </c>
      <c r="AA197" s="122">
        <f>SUM(P197:Q200)</f>
        <v>134158.33333333331</v>
      </c>
      <c r="AB197" s="122">
        <f>SUMIFS(Collection!O:O, Collection!B:B, "*" &amp; 'Bucket Counts'!Y197 &amp; "*", Collection!A:A, "&lt;" &amp; 'Bucket Counts'!A197,Collection!A:A,  "&gt;=" &amp; 'Bucket Counts'!$A$131)</f>
        <v>0</v>
      </c>
      <c r="AC197" s="158">
        <f>AA197/(Z197+AB197)</f>
        <v>0.86393981024342059</v>
      </c>
    </row>
    <row r="198" spans="1:29" s="78" customFormat="1" x14ac:dyDescent="0.2">
      <c r="A198" s="75">
        <v>42898</v>
      </c>
      <c r="B198" s="404">
        <v>5</v>
      </c>
      <c r="C198" s="76"/>
      <c r="D198" s="78" t="s">
        <v>86</v>
      </c>
      <c r="E198" s="78">
        <v>2</v>
      </c>
      <c r="F198" s="85">
        <v>180</v>
      </c>
      <c r="G198" s="85">
        <v>0.5</v>
      </c>
      <c r="H198" s="78">
        <v>900</v>
      </c>
      <c r="I198" s="78">
        <v>62</v>
      </c>
      <c r="J198" s="78">
        <v>1</v>
      </c>
      <c r="K198" s="78">
        <v>54</v>
      </c>
      <c r="L198" s="78">
        <v>0</v>
      </c>
      <c r="M198" s="78">
        <v>51</v>
      </c>
      <c r="N198" s="78">
        <v>1</v>
      </c>
      <c r="P198" s="122">
        <f t="shared" si="20"/>
        <v>100200</v>
      </c>
      <c r="Q198" s="122">
        <f t="shared" si="18"/>
        <v>1200</v>
      </c>
      <c r="R198" s="158">
        <f t="shared" si="19"/>
        <v>0.98816568047337283</v>
      </c>
      <c r="S198" s="184">
        <f>(SUM(P197:P200)/(SUM(P197:Q200)))</f>
        <v>0.8342754208335923</v>
      </c>
      <c r="T198" s="79"/>
      <c r="U198" s="79"/>
      <c r="V198" s="79"/>
      <c r="Y198" s="85"/>
      <c r="Z198" s="333"/>
      <c r="AA198" s="122"/>
      <c r="AB198" s="122"/>
    </row>
    <row r="199" spans="1:29" s="78" customFormat="1" x14ac:dyDescent="0.2">
      <c r="A199" s="75">
        <v>42898</v>
      </c>
      <c r="B199" s="404">
        <v>5</v>
      </c>
      <c r="C199" s="76"/>
      <c r="D199" s="78" t="s">
        <v>86</v>
      </c>
      <c r="E199" s="78">
        <v>2</v>
      </c>
      <c r="F199" s="85">
        <v>100</v>
      </c>
      <c r="G199" s="85">
        <v>1</v>
      </c>
      <c r="H199" s="78">
        <v>725</v>
      </c>
      <c r="I199" s="78">
        <v>13</v>
      </c>
      <c r="J199" s="78">
        <v>10</v>
      </c>
      <c r="K199" s="78">
        <v>11</v>
      </c>
      <c r="L199" s="78">
        <v>10</v>
      </c>
      <c r="M199" s="78">
        <v>8</v>
      </c>
      <c r="N199" s="78">
        <v>6</v>
      </c>
      <c r="P199" s="122">
        <f t="shared" si="20"/>
        <v>7733.333333333333</v>
      </c>
      <c r="Q199" s="122">
        <f t="shared" si="18"/>
        <v>6283.333333333333</v>
      </c>
      <c r="R199" s="158">
        <f t="shared" si="19"/>
        <v>0.55172413793103448</v>
      </c>
      <c r="S199" s="185"/>
      <c r="T199" s="79"/>
      <c r="U199" s="79"/>
      <c r="V199" s="79"/>
      <c r="Y199" s="85"/>
      <c r="Z199" s="333"/>
      <c r="AA199" s="122"/>
      <c r="AB199" s="122"/>
    </row>
    <row r="200" spans="1:29" s="78" customFormat="1" x14ac:dyDescent="0.2">
      <c r="A200" s="75">
        <v>42898</v>
      </c>
      <c r="B200" s="404">
        <v>5</v>
      </c>
      <c r="C200" s="76"/>
      <c r="D200" s="78" t="s">
        <v>86</v>
      </c>
      <c r="E200" s="78">
        <v>2</v>
      </c>
      <c r="F200" s="85" t="s">
        <v>201</v>
      </c>
      <c r="G200" s="85">
        <v>1</v>
      </c>
      <c r="H200" s="78">
        <v>750</v>
      </c>
      <c r="I200" s="78">
        <v>4</v>
      </c>
      <c r="J200" s="78">
        <v>22</v>
      </c>
      <c r="K200" s="78">
        <v>3</v>
      </c>
      <c r="L200" s="78">
        <v>28</v>
      </c>
      <c r="M200" s="78">
        <v>5</v>
      </c>
      <c r="N200" s="78">
        <v>9</v>
      </c>
      <c r="P200" s="122">
        <f t="shared" si="20"/>
        <v>3000</v>
      </c>
      <c r="Q200" s="122">
        <f t="shared" si="18"/>
        <v>14750</v>
      </c>
      <c r="R200" s="158">
        <f t="shared" si="19"/>
        <v>0.16901408450704225</v>
      </c>
      <c r="S200" s="185"/>
      <c r="T200" s="79"/>
      <c r="U200" s="79"/>
      <c r="V200" s="79"/>
      <c r="Y200" s="85"/>
      <c r="Z200" s="333"/>
      <c r="AA200" s="122"/>
      <c r="AB200" s="122"/>
    </row>
    <row r="201" spans="1:29" s="78" customFormat="1" x14ac:dyDescent="0.2">
      <c r="A201" s="75">
        <v>42898</v>
      </c>
      <c r="B201" s="404">
        <v>8</v>
      </c>
      <c r="C201" s="76"/>
      <c r="D201" s="78" t="s">
        <v>85</v>
      </c>
      <c r="E201" s="78">
        <v>2</v>
      </c>
      <c r="F201" s="85">
        <v>224</v>
      </c>
      <c r="G201" s="85">
        <v>1</v>
      </c>
      <c r="H201" s="78">
        <v>670</v>
      </c>
      <c r="I201" s="78">
        <v>4</v>
      </c>
      <c r="J201" s="78">
        <v>0</v>
      </c>
      <c r="K201" s="78">
        <v>1</v>
      </c>
      <c r="L201" s="78">
        <v>0</v>
      </c>
      <c r="M201" s="78">
        <v>4</v>
      </c>
      <c r="N201" s="78">
        <v>0</v>
      </c>
      <c r="P201" s="122">
        <f t="shared" si="20"/>
        <v>2010</v>
      </c>
      <c r="Q201" s="122">
        <f t="shared" si="18"/>
        <v>0</v>
      </c>
      <c r="R201" s="158">
        <f t="shared" si="19"/>
        <v>1</v>
      </c>
      <c r="S201" s="186" t="str">
        <f>D201</f>
        <v>NF-6 Ambient</v>
      </c>
      <c r="T201" s="79"/>
      <c r="U201" s="79"/>
      <c r="V201" s="79"/>
      <c r="Y201" s="85" t="str">
        <f>D201</f>
        <v>NF-6 Ambient</v>
      </c>
      <c r="Z201" s="333">
        <f>SUMIFS($P$131:$P$188, $D$131:$D$188, Y201, $F$131:$F$188, "&lt;200") + SUMIFS($Q$131:$Q$188, $D$131:$D$188, Y201, $F$131:$F$188, "&lt;200")</f>
        <v>51786.666666666664</v>
      </c>
      <c r="AA201" s="122">
        <f>SUM(P201:Q204)</f>
        <v>51813.333333333336</v>
      </c>
      <c r="AB201" s="122">
        <f>SUMIFS(Collection!O:O, Collection!B:B, "*" &amp; 'Bucket Counts'!Y201 &amp; "*", Collection!A:A, "&lt;" &amp; 'Bucket Counts'!A201,Collection!A:A,  "&gt;=" &amp; 'Bucket Counts'!$A$131)</f>
        <v>0</v>
      </c>
      <c r="AC201" s="158">
        <f>AA201/(Z201+AB201)</f>
        <v>1.0005149330587024</v>
      </c>
    </row>
    <row r="202" spans="1:29" s="78" customFormat="1" x14ac:dyDescent="0.2">
      <c r="A202" s="75">
        <v>42898</v>
      </c>
      <c r="B202" s="404">
        <v>8</v>
      </c>
      <c r="C202" s="76"/>
      <c r="D202" s="78" t="s">
        <v>85</v>
      </c>
      <c r="E202" s="78">
        <v>2</v>
      </c>
      <c r="F202" s="85">
        <v>180</v>
      </c>
      <c r="G202" s="85">
        <v>0.5</v>
      </c>
      <c r="H202" s="78">
        <v>900</v>
      </c>
      <c r="I202" s="78">
        <v>18</v>
      </c>
      <c r="J202" s="78">
        <v>0</v>
      </c>
      <c r="K202" s="78">
        <v>16</v>
      </c>
      <c r="L202" s="78">
        <v>0</v>
      </c>
      <c r="M202" s="78">
        <v>25</v>
      </c>
      <c r="N202" s="78">
        <v>2</v>
      </c>
      <c r="P202" s="122">
        <f t="shared" si="20"/>
        <v>35400</v>
      </c>
      <c r="Q202" s="122">
        <f t="shared" si="18"/>
        <v>1200</v>
      </c>
      <c r="R202" s="158">
        <f t="shared" si="19"/>
        <v>0.96721311475409832</v>
      </c>
      <c r="S202" s="184">
        <f>(SUM(P201:P204)/(SUM(P201:Q204)))</f>
        <v>0.88979670612454964</v>
      </c>
      <c r="T202" s="79"/>
      <c r="U202" s="79"/>
      <c r="V202" s="79"/>
      <c r="Y202" s="85"/>
      <c r="Z202" s="333"/>
      <c r="AA202" s="122"/>
      <c r="AB202" s="122"/>
    </row>
    <row r="203" spans="1:29" s="78" customFormat="1" x14ac:dyDescent="0.2">
      <c r="A203" s="75">
        <v>42898</v>
      </c>
      <c r="B203" s="404">
        <v>8</v>
      </c>
      <c r="C203" s="76"/>
      <c r="D203" s="78" t="s">
        <v>85</v>
      </c>
      <c r="E203" s="78">
        <v>2</v>
      </c>
      <c r="F203" s="85">
        <v>100</v>
      </c>
      <c r="G203" s="85">
        <v>1</v>
      </c>
      <c r="H203" s="78">
        <v>580</v>
      </c>
      <c r="I203" s="78">
        <v>14</v>
      </c>
      <c r="J203" s="78">
        <v>2</v>
      </c>
      <c r="K203" s="78">
        <v>14</v>
      </c>
      <c r="L203" s="78">
        <v>1</v>
      </c>
      <c r="M203" s="78">
        <v>15</v>
      </c>
      <c r="N203" s="78">
        <v>1</v>
      </c>
      <c r="P203" s="122">
        <f t="shared" si="20"/>
        <v>8313.3333333333339</v>
      </c>
      <c r="Q203" s="122">
        <f t="shared" si="18"/>
        <v>773.33333333333326</v>
      </c>
      <c r="R203" s="158">
        <f t="shared" si="19"/>
        <v>0.91489361702127658</v>
      </c>
      <c r="S203" s="185"/>
      <c r="T203" s="79"/>
      <c r="U203" s="79"/>
      <c r="V203" s="79"/>
      <c r="Y203" s="85"/>
      <c r="Z203" s="333"/>
      <c r="AA203" s="122"/>
      <c r="AB203" s="122"/>
    </row>
    <row r="204" spans="1:29" s="78" customFormat="1" x14ac:dyDescent="0.2">
      <c r="A204" s="75">
        <v>42898</v>
      </c>
      <c r="B204" s="404">
        <v>8</v>
      </c>
      <c r="C204" s="76"/>
      <c r="D204" s="78" t="s">
        <v>85</v>
      </c>
      <c r="E204" s="78">
        <v>2</v>
      </c>
      <c r="F204" s="85" t="s">
        <v>201</v>
      </c>
      <c r="G204" s="85">
        <v>1</v>
      </c>
      <c r="H204" s="78">
        <v>190</v>
      </c>
      <c r="I204" s="78">
        <v>4</v>
      </c>
      <c r="J204" s="78">
        <v>30</v>
      </c>
      <c r="K204" s="78">
        <v>2</v>
      </c>
      <c r="L204" s="78">
        <v>15</v>
      </c>
      <c r="M204" s="78">
        <v>0</v>
      </c>
      <c r="N204" s="78">
        <v>14</v>
      </c>
      <c r="P204" s="122">
        <f t="shared" si="20"/>
        <v>380</v>
      </c>
      <c r="Q204" s="122">
        <f t="shared" si="18"/>
        <v>3736.666666666667</v>
      </c>
      <c r="R204" s="158">
        <f t="shared" si="19"/>
        <v>9.2307692307692299E-2</v>
      </c>
      <c r="S204" s="185"/>
      <c r="T204" s="79"/>
      <c r="U204" s="79"/>
      <c r="V204" s="79"/>
      <c r="Y204" s="85"/>
      <c r="Z204" s="333"/>
      <c r="AA204" s="122"/>
      <c r="AB204" s="122"/>
    </row>
    <row r="205" spans="1:29" s="78" customFormat="1" x14ac:dyDescent="0.2">
      <c r="A205" s="75">
        <v>42898</v>
      </c>
      <c r="B205" s="404">
        <v>7</v>
      </c>
      <c r="C205" s="76"/>
      <c r="D205" s="77" t="s">
        <v>74</v>
      </c>
      <c r="E205" s="78">
        <v>3</v>
      </c>
      <c r="F205" s="85">
        <v>224</v>
      </c>
      <c r="G205" s="85">
        <v>1</v>
      </c>
      <c r="H205" s="78">
        <v>450</v>
      </c>
      <c r="I205" s="78">
        <v>7</v>
      </c>
      <c r="J205" s="78">
        <v>0</v>
      </c>
      <c r="K205" s="78">
        <v>9</v>
      </c>
      <c r="L205" s="78">
        <v>0</v>
      </c>
      <c r="M205" s="78">
        <v>9</v>
      </c>
      <c r="N205" s="78">
        <v>0</v>
      </c>
      <c r="P205" s="318">
        <f t="shared" si="20"/>
        <v>3750.0000000000005</v>
      </c>
      <c r="Q205" s="122">
        <f t="shared" si="18"/>
        <v>0</v>
      </c>
      <c r="R205" s="158">
        <f t="shared" si="19"/>
        <v>1</v>
      </c>
      <c r="S205" s="186" t="str">
        <f>D205</f>
        <v>SN-10 Low</v>
      </c>
      <c r="T205" s="79"/>
      <c r="U205" s="79"/>
      <c r="V205" s="79"/>
      <c r="Y205" s="85" t="str">
        <f>D205</f>
        <v>SN-10 Low</v>
      </c>
      <c r="Z205" s="333">
        <f>SUMIFS($P$131:$P$188, $D$131:$D$188, Y205, $F$131:$F$188, "&lt;200") + SUMIFS($Q$131:$Q$188, $D$131:$D$188, Y205, $F$131:$F$188, "&lt;200")</f>
        <v>48350</v>
      </c>
      <c r="AA205" s="122">
        <f>SUM(P205:Q208)</f>
        <v>44310.000000000007</v>
      </c>
      <c r="AB205" s="122">
        <f>SUMIFS(Collection!O:O, Collection!B:B, "*" &amp; 'Bucket Counts'!Y205 &amp; "*", Collection!A:A, "&lt;" &amp; 'Bucket Counts'!A205,Collection!A:A,  "&gt;=" &amp; 'Bucket Counts'!$A$131)</f>
        <v>0</v>
      </c>
      <c r="AC205" s="158">
        <f>AA205/(Z205+AB205)</f>
        <v>0.91644260599793193</v>
      </c>
    </row>
    <row r="206" spans="1:29" s="78" customFormat="1" x14ac:dyDescent="0.2">
      <c r="A206" s="75">
        <v>42898</v>
      </c>
      <c r="B206" s="404">
        <v>7</v>
      </c>
      <c r="C206" s="76"/>
      <c r="D206" s="77" t="s">
        <v>74</v>
      </c>
      <c r="E206" s="78">
        <v>3</v>
      </c>
      <c r="F206" s="85">
        <v>180</v>
      </c>
      <c r="G206" s="85">
        <v>0.5</v>
      </c>
      <c r="H206" s="78">
        <v>720</v>
      </c>
      <c r="I206" s="78">
        <v>15</v>
      </c>
      <c r="J206" s="78">
        <v>1</v>
      </c>
      <c r="K206" s="78">
        <v>26</v>
      </c>
      <c r="L206" s="78">
        <v>1</v>
      </c>
      <c r="M206" s="78">
        <v>28</v>
      </c>
      <c r="N206" s="78">
        <v>0</v>
      </c>
      <c r="P206" s="122">
        <f t="shared" si="20"/>
        <v>33120</v>
      </c>
      <c r="Q206" s="122">
        <f t="shared" si="18"/>
        <v>960</v>
      </c>
      <c r="R206" s="158">
        <f t="shared" si="19"/>
        <v>0.971830985915493</v>
      </c>
      <c r="S206" s="184">
        <f>(SUM(P205:P208)/(SUM(P205:Q208)))</f>
        <v>0.90220416760701116</v>
      </c>
      <c r="T206" s="79"/>
      <c r="U206" s="79"/>
      <c r="V206" s="79"/>
      <c r="Y206" s="85"/>
      <c r="Z206" s="333"/>
      <c r="AA206" s="122"/>
      <c r="AB206" s="122"/>
    </row>
    <row r="207" spans="1:29" s="78" customFormat="1" x14ac:dyDescent="0.2">
      <c r="A207" s="75">
        <v>42898</v>
      </c>
      <c r="B207" s="404">
        <v>7</v>
      </c>
      <c r="C207" s="76"/>
      <c r="D207" s="77" t="s">
        <v>74</v>
      </c>
      <c r="E207" s="78">
        <v>3</v>
      </c>
      <c r="F207" s="85">
        <v>100</v>
      </c>
      <c r="G207" s="85">
        <v>1</v>
      </c>
      <c r="H207" s="78">
        <v>520</v>
      </c>
      <c r="I207" s="78">
        <v>5</v>
      </c>
      <c r="J207" s="78">
        <v>0</v>
      </c>
      <c r="K207" s="78">
        <v>4</v>
      </c>
      <c r="L207" s="78">
        <v>3</v>
      </c>
      <c r="M207" s="78">
        <v>7</v>
      </c>
      <c r="N207" s="78">
        <v>3</v>
      </c>
      <c r="P207" s="122">
        <f t="shared" si="20"/>
        <v>2773.333333333333</v>
      </c>
      <c r="Q207" s="122">
        <f t="shared" si="18"/>
        <v>1040</v>
      </c>
      <c r="R207" s="158">
        <f t="shared" si="19"/>
        <v>0.72727272727272729</v>
      </c>
      <c r="S207" s="185"/>
      <c r="T207" s="79"/>
      <c r="U207" s="79"/>
      <c r="V207" s="79"/>
      <c r="Y207" s="85"/>
      <c r="Z207" s="333"/>
      <c r="AA207" s="122"/>
      <c r="AB207" s="122"/>
    </row>
    <row r="208" spans="1:29" s="78" customFormat="1" x14ac:dyDescent="0.2">
      <c r="A208" s="75">
        <v>42898</v>
      </c>
      <c r="B208" s="404">
        <v>7</v>
      </c>
      <c r="C208" s="76"/>
      <c r="D208" s="77" t="s">
        <v>74</v>
      </c>
      <c r="E208" s="78">
        <v>3</v>
      </c>
      <c r="F208" s="85" t="s">
        <v>201</v>
      </c>
      <c r="G208" s="85">
        <v>1</v>
      </c>
      <c r="H208" s="78">
        <v>500</v>
      </c>
      <c r="I208" s="78">
        <v>1</v>
      </c>
      <c r="J208" s="78">
        <v>6</v>
      </c>
      <c r="K208" s="78">
        <v>0</v>
      </c>
      <c r="L208" s="78">
        <v>4</v>
      </c>
      <c r="M208" s="78">
        <v>1</v>
      </c>
      <c r="N208" s="78">
        <v>4</v>
      </c>
      <c r="P208" s="122">
        <f t="shared" si="20"/>
        <v>333.33333333333331</v>
      </c>
      <c r="Q208" s="122">
        <f t="shared" si="18"/>
        <v>2333.3333333333335</v>
      </c>
      <c r="R208" s="158">
        <f t="shared" si="19"/>
        <v>0.12499999999999997</v>
      </c>
      <c r="S208" s="185"/>
      <c r="T208" s="79"/>
      <c r="U208" s="79"/>
      <c r="V208" s="79"/>
      <c r="Y208" s="85"/>
      <c r="Z208" s="333"/>
      <c r="AA208" s="122"/>
      <c r="AB208" s="122"/>
    </row>
    <row r="209" spans="1:29" s="78" customFormat="1" x14ac:dyDescent="0.2">
      <c r="A209" s="75">
        <v>42898</v>
      </c>
      <c r="B209" s="404">
        <v>12</v>
      </c>
      <c r="C209" s="76"/>
      <c r="D209" s="78" t="s">
        <v>83</v>
      </c>
      <c r="E209" s="78">
        <v>3</v>
      </c>
      <c r="F209" s="85">
        <v>224</v>
      </c>
      <c r="G209" s="85">
        <v>2</v>
      </c>
      <c r="H209" s="78">
        <v>300</v>
      </c>
      <c r="I209" s="78">
        <v>0</v>
      </c>
      <c r="J209" s="78">
        <v>0</v>
      </c>
      <c r="K209" s="78">
        <v>3</v>
      </c>
      <c r="L209" s="78">
        <v>0</v>
      </c>
      <c r="M209" s="78">
        <v>3</v>
      </c>
      <c r="N209" s="78">
        <v>0</v>
      </c>
      <c r="P209" s="122">
        <f t="shared" si="20"/>
        <v>300</v>
      </c>
      <c r="Q209" s="122">
        <f t="shared" si="18"/>
        <v>0</v>
      </c>
      <c r="R209" s="158">
        <f t="shared" si="19"/>
        <v>1</v>
      </c>
      <c r="S209" s="186" t="str">
        <f>D209</f>
        <v>NF-10 Low</v>
      </c>
      <c r="T209" s="79"/>
      <c r="U209" s="79"/>
      <c r="V209" s="79"/>
      <c r="Y209" s="85" t="str">
        <f>D209</f>
        <v>NF-10 Low</v>
      </c>
      <c r="Z209" s="333">
        <f>SUMIFS($P$131:$P$188, $D$131:$D$188, Y209, $F$131:$F$188, "&lt;200") + SUMIFS($Q$131:$Q$188, $D$131:$D$188, Y209, $F$131:$F$188, "&lt;200")</f>
        <v>58800.000000000007</v>
      </c>
      <c r="AA209" s="122">
        <f>SUM(P209:Q212)</f>
        <v>49230.000000000007</v>
      </c>
      <c r="AB209" s="122">
        <f>SUMIFS(Collection!O:O, Collection!B:B, "*" &amp; 'Bucket Counts'!Y209 &amp; "*", Collection!A:A, "&lt;" &amp; 'Bucket Counts'!A209,Collection!A:A,  "&gt;=" &amp; 'Bucket Counts'!$A$131)</f>
        <v>0</v>
      </c>
      <c r="AC209" s="158">
        <f>AA209/(Z209+AB209)</f>
        <v>0.83724489795918366</v>
      </c>
    </row>
    <row r="210" spans="1:29" s="78" customFormat="1" x14ac:dyDescent="0.2">
      <c r="A210" s="75">
        <v>42898</v>
      </c>
      <c r="B210" s="404">
        <v>12</v>
      </c>
      <c r="C210" s="76"/>
      <c r="D210" s="78" t="s">
        <v>83</v>
      </c>
      <c r="E210" s="78">
        <v>3</v>
      </c>
      <c r="F210" s="85">
        <v>180</v>
      </c>
      <c r="G210" s="85">
        <v>0.5</v>
      </c>
      <c r="H210" s="78">
        <v>820</v>
      </c>
      <c r="I210" s="78">
        <v>23</v>
      </c>
      <c r="J210" s="78">
        <v>0</v>
      </c>
      <c r="K210" s="78">
        <v>34</v>
      </c>
      <c r="L210" s="78">
        <v>0</v>
      </c>
      <c r="M210" s="78">
        <v>24</v>
      </c>
      <c r="N210" s="78">
        <v>0</v>
      </c>
      <c r="P210" s="122">
        <f t="shared" si="20"/>
        <v>44280</v>
      </c>
      <c r="Q210" s="122">
        <f t="shared" si="18"/>
        <v>0</v>
      </c>
      <c r="R210" s="158">
        <f t="shared" si="19"/>
        <v>1</v>
      </c>
      <c r="S210" s="184">
        <f>(SUM(P209:P212)/(SUM(P209:Q212)))</f>
        <v>0.96783803913602817</v>
      </c>
      <c r="T210" s="79"/>
      <c r="Y210" s="85"/>
      <c r="Z210" s="333"/>
      <c r="AA210" s="122"/>
      <c r="AB210" s="122"/>
    </row>
    <row r="211" spans="1:29" s="78" customFormat="1" x14ac:dyDescent="0.2">
      <c r="A211" s="75">
        <v>42898</v>
      </c>
      <c r="B211" s="404">
        <v>12</v>
      </c>
      <c r="C211" s="76"/>
      <c r="D211" s="78" t="s">
        <v>83</v>
      </c>
      <c r="E211" s="78">
        <v>3</v>
      </c>
      <c r="F211" s="85">
        <v>100</v>
      </c>
      <c r="G211" s="85">
        <v>1</v>
      </c>
      <c r="H211" s="78">
        <v>500</v>
      </c>
      <c r="I211" s="78">
        <v>6</v>
      </c>
      <c r="J211" s="78">
        <v>1</v>
      </c>
      <c r="K211" s="78">
        <v>6</v>
      </c>
      <c r="L211" s="78">
        <v>4</v>
      </c>
      <c r="M211" s="78">
        <v>5</v>
      </c>
      <c r="N211" s="78">
        <v>1</v>
      </c>
      <c r="P211" s="122">
        <f t="shared" si="20"/>
        <v>2833.3333333333335</v>
      </c>
      <c r="Q211" s="122">
        <f t="shared" si="18"/>
        <v>1000</v>
      </c>
      <c r="R211" s="158">
        <f t="shared" si="19"/>
        <v>0.73913043478260876</v>
      </c>
      <c r="S211" s="185"/>
      <c r="T211" s="79"/>
      <c r="Y211" s="85"/>
      <c r="Z211" s="333"/>
      <c r="AA211" s="122"/>
      <c r="AB211" s="122"/>
    </row>
    <row r="212" spans="1:29" s="78" customFormat="1" x14ac:dyDescent="0.2">
      <c r="A212" s="75">
        <v>42898</v>
      </c>
      <c r="B212" s="404">
        <v>12</v>
      </c>
      <c r="C212" s="76"/>
      <c r="D212" s="78" t="s">
        <v>83</v>
      </c>
      <c r="E212" s="78">
        <v>3</v>
      </c>
      <c r="F212" s="85" t="s">
        <v>201</v>
      </c>
      <c r="G212" s="85">
        <v>1</v>
      </c>
      <c r="H212" s="78">
        <v>350</v>
      </c>
      <c r="I212" s="78">
        <v>0</v>
      </c>
      <c r="J212" s="78">
        <v>2</v>
      </c>
      <c r="K212" s="78">
        <v>1</v>
      </c>
      <c r="L212" s="78">
        <v>3</v>
      </c>
      <c r="M212" s="78">
        <v>1</v>
      </c>
      <c r="N212" s="78">
        <v>0</v>
      </c>
      <c r="P212" s="122">
        <f t="shared" si="20"/>
        <v>233.33333333333331</v>
      </c>
      <c r="Q212" s="122">
        <f t="shared" si="18"/>
        <v>583.33333333333337</v>
      </c>
      <c r="R212" s="158">
        <f t="shared" si="19"/>
        <v>0.28571428571428564</v>
      </c>
      <c r="S212" s="185"/>
      <c r="T212" s="79"/>
      <c r="Y212" s="85"/>
      <c r="Z212" s="333"/>
      <c r="AA212" s="122"/>
      <c r="AB212" s="122"/>
    </row>
    <row r="213" spans="1:29" s="78" customFormat="1" x14ac:dyDescent="0.2">
      <c r="A213" s="75">
        <v>42898</v>
      </c>
      <c r="B213" s="404">
        <v>23</v>
      </c>
      <c r="C213" s="76"/>
      <c r="D213" s="77" t="s">
        <v>21</v>
      </c>
      <c r="E213" s="78">
        <v>4</v>
      </c>
      <c r="F213" s="85">
        <v>224</v>
      </c>
      <c r="G213" s="85">
        <v>1</v>
      </c>
      <c r="H213" s="78">
        <v>300</v>
      </c>
      <c r="I213" s="78">
        <v>0</v>
      </c>
      <c r="J213" s="78">
        <v>0</v>
      </c>
      <c r="K213" s="78">
        <v>0</v>
      </c>
      <c r="L213" s="78">
        <v>0</v>
      </c>
      <c r="M213" s="78">
        <v>0</v>
      </c>
      <c r="N213" s="78">
        <v>0</v>
      </c>
      <c r="P213" s="122">
        <f t="shared" si="20"/>
        <v>0</v>
      </c>
      <c r="Q213" s="122">
        <f t="shared" si="18"/>
        <v>0</v>
      </c>
      <c r="R213" s="158" t="e">
        <f t="shared" si="19"/>
        <v>#DIV/0!</v>
      </c>
      <c r="S213" s="183" t="str">
        <f>D213</f>
        <v>HL-6 Low</v>
      </c>
      <c r="T213" s="79"/>
      <c r="W213" s="78" t="s">
        <v>185</v>
      </c>
      <c r="Y213" s="85" t="str">
        <f>D213</f>
        <v>HL-6 Low</v>
      </c>
      <c r="Z213" s="333">
        <f>SUMIFS($P$131:$P$188, $D$131:$D$188, Y213, $F$131:$F$188, "&lt;200") + SUMIFS($Q$131:$Q$188, $D$131:$D$188, Y213, $F$131:$F$188, "&lt;200")</f>
        <v>64533.333333333336</v>
      </c>
      <c r="AA213" s="122">
        <f>SUM(P213:Q216)</f>
        <v>72976.666666666657</v>
      </c>
      <c r="AB213" s="122">
        <f>SUMIFS(Collection!O:O, Collection!B:B, "*" &amp; 'Bucket Counts'!Y213 &amp; "*", Collection!A:A, "&lt;" &amp; 'Bucket Counts'!A213,Collection!A:A,  "&gt;=" &amp; 'Bucket Counts'!$A$131)</f>
        <v>0</v>
      </c>
      <c r="AC213" s="158">
        <f>AA213/(Z213+AB213)</f>
        <v>1.130836776859504</v>
      </c>
    </row>
    <row r="214" spans="1:29" s="78" customFormat="1" x14ac:dyDescent="0.2">
      <c r="A214" s="75">
        <v>42898</v>
      </c>
      <c r="B214" s="404">
        <v>23</v>
      </c>
      <c r="C214" s="76"/>
      <c r="D214" s="77" t="s">
        <v>21</v>
      </c>
      <c r="E214" s="78">
        <v>4</v>
      </c>
      <c r="F214" s="85">
        <v>180</v>
      </c>
      <c r="G214" s="85">
        <v>1</v>
      </c>
      <c r="H214" s="78">
        <v>300</v>
      </c>
      <c r="I214" s="78">
        <v>0</v>
      </c>
      <c r="J214" s="78">
        <v>0</v>
      </c>
      <c r="K214" s="78">
        <v>0</v>
      </c>
      <c r="L214" s="78">
        <v>0</v>
      </c>
      <c r="M214" s="78">
        <v>0</v>
      </c>
      <c r="N214" s="78">
        <v>0</v>
      </c>
      <c r="P214" s="122">
        <f t="shared" si="20"/>
        <v>0</v>
      </c>
      <c r="Q214" s="122">
        <f t="shared" si="18"/>
        <v>0</v>
      </c>
      <c r="R214" s="158" t="e">
        <f t="shared" si="19"/>
        <v>#DIV/0!</v>
      </c>
      <c r="S214" s="184">
        <f>(SUM(P213:P216)/(SUM(P213:Q216)))</f>
        <v>0.97478646142602654</v>
      </c>
      <c r="T214" s="79"/>
      <c r="Y214" s="85"/>
      <c r="Z214" s="333"/>
      <c r="AA214" s="122"/>
      <c r="AB214" s="122"/>
    </row>
    <row r="215" spans="1:29" s="78" customFormat="1" x14ac:dyDescent="0.2">
      <c r="A215" s="75">
        <v>42898</v>
      </c>
      <c r="B215" s="404">
        <v>23</v>
      </c>
      <c r="C215" s="76"/>
      <c r="D215" s="77" t="s">
        <v>21</v>
      </c>
      <c r="E215" s="78">
        <v>4</v>
      </c>
      <c r="F215" s="85">
        <v>100</v>
      </c>
      <c r="G215" s="85">
        <v>0.5</v>
      </c>
      <c r="H215" s="78">
        <v>550</v>
      </c>
      <c r="I215" s="78">
        <v>65</v>
      </c>
      <c r="J215" s="78">
        <v>0</v>
      </c>
      <c r="K215" s="78">
        <v>70</v>
      </c>
      <c r="L215" s="78">
        <v>0</v>
      </c>
      <c r="M215" s="78">
        <v>58</v>
      </c>
      <c r="N215" s="78">
        <v>3</v>
      </c>
      <c r="P215" s="122">
        <f t="shared" si="20"/>
        <v>70766.666666666657</v>
      </c>
      <c r="Q215" s="122">
        <f t="shared" si="18"/>
        <v>1100</v>
      </c>
      <c r="R215" s="158">
        <f t="shared" si="19"/>
        <v>0.98469387755102045</v>
      </c>
      <c r="S215" s="182"/>
      <c r="T215" s="79"/>
      <c r="Y215" s="85"/>
      <c r="Z215" s="333"/>
      <c r="AA215" s="122"/>
      <c r="AB215" s="122"/>
    </row>
    <row r="216" spans="1:29" s="78" customFormat="1" x14ac:dyDescent="0.2">
      <c r="A216" s="75">
        <v>42898</v>
      </c>
      <c r="B216" s="404">
        <v>23</v>
      </c>
      <c r="C216" s="76"/>
      <c r="D216" s="77" t="s">
        <v>21</v>
      </c>
      <c r="E216" s="78">
        <v>4</v>
      </c>
      <c r="F216" s="85" t="s">
        <v>201</v>
      </c>
      <c r="G216" s="85">
        <v>1</v>
      </c>
      <c r="H216" s="78">
        <v>370</v>
      </c>
      <c r="I216" s="78">
        <v>0</v>
      </c>
      <c r="J216" s="78">
        <v>2</v>
      </c>
      <c r="K216" s="78">
        <v>1</v>
      </c>
      <c r="L216" s="78">
        <v>4</v>
      </c>
      <c r="M216" s="78">
        <v>2</v>
      </c>
      <c r="N216" s="78">
        <v>0</v>
      </c>
      <c r="P216" s="122">
        <f t="shared" si="20"/>
        <v>370</v>
      </c>
      <c r="Q216" s="122">
        <f t="shared" si="18"/>
        <v>740</v>
      </c>
      <c r="R216" s="158">
        <f t="shared" si="19"/>
        <v>0.33333333333333331</v>
      </c>
      <c r="S216" s="185"/>
      <c r="T216" s="79"/>
      <c r="Y216" s="85"/>
      <c r="Z216" s="333"/>
      <c r="AA216" s="122"/>
      <c r="AB216" s="122"/>
    </row>
    <row r="217" spans="1:29" s="78" customFormat="1" x14ac:dyDescent="0.2">
      <c r="A217" s="75">
        <v>42898</v>
      </c>
      <c r="B217" s="404">
        <v>3</v>
      </c>
      <c r="C217" s="76"/>
      <c r="D217" s="78" t="s">
        <v>84</v>
      </c>
      <c r="E217" s="78">
        <v>4</v>
      </c>
      <c r="F217" s="85">
        <v>224</v>
      </c>
      <c r="G217" s="78">
        <v>1</v>
      </c>
      <c r="H217" s="78">
        <v>300</v>
      </c>
      <c r="I217" s="78">
        <v>3</v>
      </c>
      <c r="J217" s="78">
        <v>0</v>
      </c>
      <c r="K217" s="78">
        <v>3</v>
      </c>
      <c r="L217" s="78">
        <v>0</v>
      </c>
      <c r="M217" s="78">
        <v>0</v>
      </c>
      <c r="N217" s="78">
        <v>0</v>
      </c>
      <c r="P217" s="122">
        <f t="shared" si="20"/>
        <v>600</v>
      </c>
      <c r="Q217" s="122">
        <f t="shared" si="18"/>
        <v>0</v>
      </c>
      <c r="R217" s="158">
        <f t="shared" si="19"/>
        <v>1</v>
      </c>
      <c r="S217" s="186" t="str">
        <f>D217</f>
        <v>NF-10 Ambient</v>
      </c>
      <c r="Y217" s="85" t="str">
        <f>D217</f>
        <v>NF-10 Ambient</v>
      </c>
      <c r="Z217" s="333">
        <f>SUMIFS($P$131:$P$188, $D$131:$D$188, Y217, $F$131:$F$188, "&lt;200") + SUMIFS($Q$131:$Q$188, $D$131:$D$188, Y217, $F$131:$F$188, "&lt;200")</f>
        <v>91466.666666666672</v>
      </c>
      <c r="AA217" s="122">
        <f>SUM(P217:Q220)</f>
        <v>93424.999999999985</v>
      </c>
      <c r="AB217" s="122">
        <f>SUMIFS(Collection!O:O, Collection!B:B, "*" &amp; 'Bucket Counts'!Y217 &amp; "*", Collection!A:A, "&lt;" &amp; 'Bucket Counts'!A217,Collection!A:A,  "&gt;=" &amp; 'Bucket Counts'!$A$131)</f>
        <v>0</v>
      </c>
      <c r="AC217" s="158">
        <f>AA217/(Z217+AB217)</f>
        <v>1.0214103498542273</v>
      </c>
    </row>
    <row r="218" spans="1:29" s="78" customFormat="1" x14ac:dyDescent="0.2">
      <c r="A218" s="75">
        <v>42898</v>
      </c>
      <c r="B218" s="404">
        <v>3</v>
      </c>
      <c r="C218" s="76"/>
      <c r="D218" s="78" t="s">
        <v>84</v>
      </c>
      <c r="E218" s="78">
        <v>4</v>
      </c>
      <c r="F218" s="85">
        <v>180</v>
      </c>
      <c r="G218" s="78">
        <v>1</v>
      </c>
      <c r="H218" s="78">
        <v>500</v>
      </c>
      <c r="I218" s="78">
        <v>23</v>
      </c>
      <c r="J218" s="78">
        <v>0</v>
      </c>
      <c r="K218" s="78">
        <v>21</v>
      </c>
      <c r="L218" s="78">
        <v>0</v>
      </c>
      <c r="M218" s="78">
        <v>17</v>
      </c>
      <c r="N218" s="78">
        <v>0</v>
      </c>
      <c r="P218" s="122">
        <f t="shared" si="20"/>
        <v>10166.666666666666</v>
      </c>
      <c r="Q218" s="122">
        <f t="shared" si="18"/>
        <v>0</v>
      </c>
      <c r="R218" s="158">
        <f t="shared" si="19"/>
        <v>1</v>
      </c>
      <c r="S218" s="184">
        <f>(SUM(P217:P220)/(SUM(P217:Q220)))</f>
        <v>0.8967977878868969</v>
      </c>
      <c r="Y218" s="85"/>
      <c r="Z218" s="333"/>
      <c r="AA218" s="122"/>
      <c r="AB218" s="122"/>
    </row>
    <row r="219" spans="1:29" s="78" customFormat="1" x14ac:dyDescent="0.2">
      <c r="A219" s="75">
        <v>42898</v>
      </c>
      <c r="B219" s="404">
        <v>3</v>
      </c>
      <c r="C219" s="76"/>
      <c r="D219" s="78" t="s">
        <v>84</v>
      </c>
      <c r="E219" s="78">
        <v>4</v>
      </c>
      <c r="F219" s="85">
        <v>100</v>
      </c>
      <c r="G219" s="78">
        <v>0.5</v>
      </c>
      <c r="H219" s="78">
        <v>650</v>
      </c>
      <c r="I219" s="78">
        <v>57</v>
      </c>
      <c r="J219" s="78">
        <v>0</v>
      </c>
      <c r="K219" s="78">
        <v>66</v>
      </c>
      <c r="L219" s="78">
        <v>0</v>
      </c>
      <c r="M219" s="78">
        <v>44</v>
      </c>
      <c r="N219" s="78">
        <v>1</v>
      </c>
      <c r="P219" s="122">
        <f t="shared" si="20"/>
        <v>72366.666666666657</v>
      </c>
      <c r="Q219" s="122">
        <f t="shared" si="18"/>
        <v>433.33333333333331</v>
      </c>
      <c r="R219" s="158">
        <f t="shared" si="19"/>
        <v>0.99404761904761907</v>
      </c>
      <c r="S219" s="185"/>
      <c r="Y219" s="85"/>
      <c r="Z219" s="333"/>
      <c r="AA219" s="122"/>
      <c r="AB219" s="122"/>
    </row>
    <row r="220" spans="1:29" s="78" customFormat="1" x14ac:dyDescent="0.2">
      <c r="A220" s="75">
        <v>42898</v>
      </c>
      <c r="B220" s="404">
        <v>3</v>
      </c>
      <c r="C220" s="76"/>
      <c r="D220" s="78" t="s">
        <v>84</v>
      </c>
      <c r="E220" s="78">
        <v>4</v>
      </c>
      <c r="F220" s="85" t="s">
        <v>201</v>
      </c>
      <c r="G220" s="78">
        <v>1</v>
      </c>
      <c r="H220" s="78">
        <v>325</v>
      </c>
      <c r="I220" s="78">
        <v>3</v>
      </c>
      <c r="J220" s="78">
        <v>27</v>
      </c>
      <c r="K220" s="78">
        <v>1</v>
      </c>
      <c r="L220" s="78">
        <v>31</v>
      </c>
      <c r="M220" s="78">
        <v>2</v>
      </c>
      <c r="N220" s="78">
        <v>27</v>
      </c>
      <c r="P220" s="122">
        <f t="shared" si="20"/>
        <v>650</v>
      </c>
      <c r="Q220" s="122">
        <f t="shared" si="18"/>
        <v>9208.3333333333321</v>
      </c>
      <c r="R220" s="158">
        <f t="shared" si="19"/>
        <v>6.5934065934065936E-2</v>
      </c>
      <c r="S220" s="185"/>
      <c r="Y220" s="85"/>
      <c r="Z220" s="333"/>
      <c r="AA220" s="122"/>
      <c r="AB220" s="122"/>
    </row>
    <row r="221" spans="1:29" s="78" customFormat="1" x14ac:dyDescent="0.2">
      <c r="A221" s="75">
        <v>42898</v>
      </c>
      <c r="B221" s="404">
        <v>16</v>
      </c>
      <c r="C221" s="76"/>
      <c r="D221" s="77" t="s">
        <v>87</v>
      </c>
      <c r="E221" s="78">
        <v>5</v>
      </c>
      <c r="F221" s="85">
        <v>224</v>
      </c>
      <c r="G221" s="85">
        <v>1</v>
      </c>
      <c r="H221" s="78">
        <v>340</v>
      </c>
      <c r="I221" s="78">
        <v>0</v>
      </c>
      <c r="J221" s="78">
        <v>0</v>
      </c>
      <c r="K221" s="78">
        <v>0</v>
      </c>
      <c r="L221" s="78">
        <v>0</v>
      </c>
      <c r="M221" s="78">
        <v>0</v>
      </c>
      <c r="N221" s="78">
        <v>0</v>
      </c>
      <c r="P221" s="122">
        <f t="shared" si="20"/>
        <v>0</v>
      </c>
      <c r="Q221" s="122">
        <f t="shared" si="18"/>
        <v>0</v>
      </c>
      <c r="R221" s="158" t="e">
        <f t="shared" si="19"/>
        <v>#DIV/0!</v>
      </c>
      <c r="S221" s="186" t="str">
        <f>D221</f>
        <v>SN-6 Ambient</v>
      </c>
      <c r="T221" s="79"/>
      <c r="U221" s="79"/>
      <c r="V221" s="79"/>
      <c r="W221" s="78" t="s">
        <v>169</v>
      </c>
      <c r="Y221" s="85" t="str">
        <f>D221</f>
        <v>SN-6 Ambient</v>
      </c>
      <c r="Z221" s="333">
        <f>SUMIFS($P$131:$P$188, $D$131:$D$188, Y221, $F$131:$F$188, "&lt;200") + SUMIFS($Q$131:$Q$188, $D$131:$D$188, Y221, $F$131:$F$188, "&lt;200")</f>
        <v>34373.333333333336</v>
      </c>
      <c r="AA221" s="122">
        <f>SUM(P221:Q224)</f>
        <v>40693.333333333336</v>
      </c>
      <c r="AB221" s="122">
        <f>SUMIFS(Collection!O:O, Collection!B:B, "*" &amp; 'Bucket Counts'!Y221 &amp; "*", Collection!A:A, "&lt;" &amp; 'Bucket Counts'!A221,Collection!A:A,  "&gt;=" &amp; 'Bucket Counts'!$A$131)</f>
        <v>0</v>
      </c>
      <c r="AC221" s="158">
        <f>AA221/(Z221+AB221)</f>
        <v>1.1838634600465476</v>
      </c>
    </row>
    <row r="222" spans="1:29" s="78" customFormat="1" x14ac:dyDescent="0.2">
      <c r="A222" s="75">
        <v>42898</v>
      </c>
      <c r="B222" s="404">
        <v>16</v>
      </c>
      <c r="C222" s="76"/>
      <c r="D222" s="77" t="s">
        <v>87</v>
      </c>
      <c r="E222" s="78">
        <v>5</v>
      </c>
      <c r="F222" s="85">
        <v>180</v>
      </c>
      <c r="G222" s="85">
        <v>1</v>
      </c>
      <c r="H222" s="78">
        <v>500</v>
      </c>
      <c r="I222" s="78">
        <v>32</v>
      </c>
      <c r="J222" s="78">
        <v>0</v>
      </c>
      <c r="K222" s="78">
        <v>38</v>
      </c>
      <c r="L222" s="78">
        <v>0</v>
      </c>
      <c r="M222" s="78">
        <v>32</v>
      </c>
      <c r="N222" s="78">
        <v>0</v>
      </c>
      <c r="P222" s="122">
        <f t="shared" si="20"/>
        <v>17000</v>
      </c>
      <c r="Q222" s="122">
        <f t="shared" si="18"/>
        <v>0</v>
      </c>
      <c r="R222" s="158">
        <f t="shared" si="19"/>
        <v>1</v>
      </c>
      <c r="S222" s="184">
        <f>(SUM(P221:P224)/(SUM(P221:Q224)))</f>
        <v>0.93749999999999989</v>
      </c>
      <c r="T222" s="79"/>
      <c r="U222" s="79"/>
      <c r="V222" s="79"/>
      <c r="Y222" s="85"/>
      <c r="Z222" s="333"/>
      <c r="AA222" s="122"/>
      <c r="AB222" s="122"/>
    </row>
    <row r="223" spans="1:29" s="78" customFormat="1" x14ac:dyDescent="0.2">
      <c r="A223" s="75">
        <v>42898</v>
      </c>
      <c r="B223" s="404">
        <v>16</v>
      </c>
      <c r="C223" s="76"/>
      <c r="D223" s="77" t="s">
        <v>87</v>
      </c>
      <c r="E223" s="78">
        <v>5</v>
      </c>
      <c r="F223" s="85">
        <v>100</v>
      </c>
      <c r="G223" s="85">
        <v>1</v>
      </c>
      <c r="H223" s="78">
        <v>500</v>
      </c>
      <c r="I223" s="78">
        <v>43</v>
      </c>
      <c r="J223" s="78">
        <v>2</v>
      </c>
      <c r="K223" s="78">
        <v>36</v>
      </c>
      <c r="L223" s="78">
        <v>0</v>
      </c>
      <c r="M223" s="78">
        <v>44</v>
      </c>
      <c r="N223" s="78">
        <v>0</v>
      </c>
      <c r="P223" s="122">
        <f t="shared" si="20"/>
        <v>20500</v>
      </c>
      <c r="Q223" s="122">
        <f t="shared" si="18"/>
        <v>333.33333333333331</v>
      </c>
      <c r="R223" s="158">
        <f t="shared" si="19"/>
        <v>0.9840000000000001</v>
      </c>
      <c r="S223" s="185"/>
      <c r="T223" s="79"/>
      <c r="U223" s="79"/>
      <c r="V223" s="79"/>
      <c r="Y223" s="85"/>
      <c r="Z223" s="333"/>
      <c r="AA223" s="122"/>
      <c r="AB223" s="122"/>
    </row>
    <row r="224" spans="1:29" s="78" customFormat="1" x14ac:dyDescent="0.2">
      <c r="A224" s="75">
        <v>42898</v>
      </c>
      <c r="B224" s="404">
        <v>16</v>
      </c>
      <c r="C224" s="76"/>
      <c r="D224" s="77" t="s">
        <v>87</v>
      </c>
      <c r="E224" s="78">
        <v>5</v>
      </c>
      <c r="F224" s="85" t="s">
        <v>201</v>
      </c>
      <c r="G224" s="85">
        <v>1</v>
      </c>
      <c r="H224" s="78">
        <v>390</v>
      </c>
      <c r="I224" s="78">
        <v>2</v>
      </c>
      <c r="J224" s="78">
        <v>3</v>
      </c>
      <c r="K224" s="78">
        <v>2</v>
      </c>
      <c r="L224" s="78">
        <v>7</v>
      </c>
      <c r="M224" s="78">
        <v>1</v>
      </c>
      <c r="N224" s="78">
        <v>7</v>
      </c>
      <c r="P224" s="122">
        <f t="shared" si="20"/>
        <v>650</v>
      </c>
      <c r="Q224" s="122">
        <f t="shared" ref="Q224:Q287" si="21">(AVERAGE(J224,L224,N224)/G224)*H224</f>
        <v>2210</v>
      </c>
      <c r="R224" s="158">
        <f t="shared" ref="R224:R287" si="22">P224/(P224+Q224)</f>
        <v>0.22727272727272727</v>
      </c>
      <c r="S224" s="185"/>
      <c r="T224" s="79"/>
      <c r="U224" s="79"/>
      <c r="V224" s="79"/>
      <c r="Y224" s="85"/>
      <c r="Z224" s="333"/>
      <c r="AA224" s="122"/>
      <c r="AB224" s="122"/>
    </row>
    <row r="225" spans="1:29" s="78" customFormat="1" x14ac:dyDescent="0.2">
      <c r="A225" s="75">
        <v>42898</v>
      </c>
      <c r="B225" s="404">
        <v>18</v>
      </c>
      <c r="C225" s="76"/>
      <c r="D225" s="78" t="s">
        <v>20</v>
      </c>
      <c r="E225" s="78">
        <v>5</v>
      </c>
      <c r="F225" s="85">
        <v>224</v>
      </c>
      <c r="G225" s="85">
        <v>2</v>
      </c>
      <c r="H225" s="78">
        <v>330</v>
      </c>
      <c r="I225" s="78">
        <v>0</v>
      </c>
      <c r="J225" s="78">
        <v>0</v>
      </c>
      <c r="K225" s="78">
        <v>0</v>
      </c>
      <c r="L225" s="78">
        <v>0</v>
      </c>
      <c r="M225" s="78">
        <v>0</v>
      </c>
      <c r="N225" s="78">
        <v>0</v>
      </c>
      <c r="P225" s="122">
        <f t="shared" si="20"/>
        <v>0</v>
      </c>
      <c r="Q225" s="122">
        <f t="shared" si="21"/>
        <v>0</v>
      </c>
      <c r="R225" s="158" t="e">
        <f t="shared" si="22"/>
        <v>#DIV/0!</v>
      </c>
      <c r="S225" s="186" t="str">
        <f>D225</f>
        <v>K-10 Low</v>
      </c>
      <c r="T225" s="79"/>
      <c r="U225" s="79"/>
      <c r="V225" s="79"/>
      <c r="Y225" s="85" t="str">
        <f>D225</f>
        <v>K-10 Low</v>
      </c>
      <c r="Z225" s="333">
        <f>SUMIFS($P$131:$P$188, $D$131:$D$188, Y225, $F$131:$F$188, "&lt;200") + SUMIFS($Q$131:$Q$188, $D$131:$D$188, Y225, $F$131:$F$188, "&lt;200")</f>
        <v>64460</v>
      </c>
      <c r="AA225" s="122">
        <f>SUM(P225:Q228)</f>
        <v>57186.666666666672</v>
      </c>
      <c r="AB225" s="122">
        <f>SUMIFS(Collection!O:O, Collection!B:B, "*" &amp; 'Bucket Counts'!Y225 &amp; "*", Collection!A:A, "&lt;" &amp; 'Bucket Counts'!A225,Collection!A:A,  "&gt;=" &amp; 'Bucket Counts'!$A$131)</f>
        <v>0</v>
      </c>
      <c r="AC225" s="158">
        <f>AA225/(Z225+AB225)</f>
        <v>0.88716516702864834</v>
      </c>
    </row>
    <row r="226" spans="1:29" s="78" customFormat="1" x14ac:dyDescent="0.2">
      <c r="A226" s="75">
        <v>42898</v>
      </c>
      <c r="B226" s="404">
        <v>18</v>
      </c>
      <c r="C226" s="76"/>
      <c r="D226" s="78" t="s">
        <v>20</v>
      </c>
      <c r="E226" s="78">
        <v>5</v>
      </c>
      <c r="F226" s="85">
        <v>180</v>
      </c>
      <c r="G226" s="85">
        <v>1</v>
      </c>
      <c r="H226" s="78">
        <v>360</v>
      </c>
      <c r="I226" s="78">
        <v>8</v>
      </c>
      <c r="J226" s="78">
        <v>0</v>
      </c>
      <c r="K226" s="78">
        <v>10</v>
      </c>
      <c r="L226" s="78">
        <v>0</v>
      </c>
      <c r="M226" s="78">
        <v>8</v>
      </c>
      <c r="N226" s="78">
        <v>0</v>
      </c>
      <c r="P226" s="122">
        <f t="shared" si="20"/>
        <v>3120</v>
      </c>
      <c r="Q226" s="122">
        <f t="shared" si="21"/>
        <v>0</v>
      </c>
      <c r="R226" s="158">
        <f t="shared" si="22"/>
        <v>1</v>
      </c>
      <c r="S226" s="184">
        <f>(SUM(P225:P228)/(SUM(P225:Q228)))</f>
        <v>0.42235952436465379</v>
      </c>
      <c r="T226" s="79"/>
      <c r="U226" s="79"/>
      <c r="V226" s="79"/>
      <c r="Y226" s="85"/>
      <c r="Z226" s="333"/>
      <c r="AA226" s="122"/>
      <c r="AB226" s="122"/>
    </row>
    <row r="227" spans="1:29" s="78" customFormat="1" x14ac:dyDescent="0.2">
      <c r="A227" s="75">
        <v>42898</v>
      </c>
      <c r="B227" s="404">
        <v>18</v>
      </c>
      <c r="C227" s="76"/>
      <c r="D227" s="78" t="s">
        <v>20</v>
      </c>
      <c r="E227" s="78">
        <v>5</v>
      </c>
      <c r="F227" s="85">
        <v>100</v>
      </c>
      <c r="G227" s="85">
        <v>1</v>
      </c>
      <c r="H227" s="78">
        <v>350</v>
      </c>
      <c r="I227" s="78">
        <v>56</v>
      </c>
      <c r="J227" s="78">
        <v>0</v>
      </c>
      <c r="K227" s="78">
        <v>50</v>
      </c>
      <c r="L227" s="78">
        <v>0</v>
      </c>
      <c r="M227" s="78">
        <v>72</v>
      </c>
      <c r="N227" s="78">
        <v>2</v>
      </c>
      <c r="P227" s="122">
        <f t="shared" si="20"/>
        <v>20766.666666666668</v>
      </c>
      <c r="Q227" s="122">
        <f t="shared" si="21"/>
        <v>233.33333333333331</v>
      </c>
      <c r="R227" s="158">
        <f t="shared" si="22"/>
        <v>0.98888888888888893</v>
      </c>
      <c r="S227" s="185"/>
      <c r="T227" s="79"/>
      <c r="U227" s="79"/>
      <c r="V227" s="79"/>
      <c r="Y227" s="85"/>
      <c r="Z227" s="333"/>
      <c r="AA227" s="122"/>
      <c r="AB227" s="122"/>
    </row>
    <row r="228" spans="1:29" s="78" customFormat="1" x14ac:dyDescent="0.2">
      <c r="A228" s="75">
        <v>42898</v>
      </c>
      <c r="B228" s="404">
        <v>18</v>
      </c>
      <c r="C228" s="76"/>
      <c r="D228" s="78" t="s">
        <v>20</v>
      </c>
      <c r="E228" s="78">
        <v>5</v>
      </c>
      <c r="F228" s="85" t="s">
        <v>201</v>
      </c>
      <c r="G228" s="85">
        <v>1</v>
      </c>
      <c r="H228" s="78">
        <v>400</v>
      </c>
      <c r="I228" s="78">
        <v>1</v>
      </c>
      <c r="J228" s="78">
        <v>93</v>
      </c>
      <c r="K228" s="78">
        <v>1</v>
      </c>
      <c r="L228" s="78">
        <v>76</v>
      </c>
      <c r="M228" s="78">
        <v>0</v>
      </c>
      <c r="N228" s="78">
        <v>77</v>
      </c>
      <c r="P228" s="122">
        <f t="shared" si="20"/>
        <v>266.66666666666663</v>
      </c>
      <c r="Q228" s="122">
        <f t="shared" si="21"/>
        <v>32800</v>
      </c>
      <c r="R228" s="158">
        <f t="shared" si="22"/>
        <v>8.0645161290322578E-3</v>
      </c>
      <c r="S228" s="185"/>
      <c r="T228" s="79"/>
      <c r="U228" s="79"/>
      <c r="V228" s="79"/>
      <c r="Y228" s="85"/>
      <c r="Z228" s="333"/>
      <c r="AA228" s="122"/>
      <c r="AB228" s="122"/>
    </row>
    <row r="229" spans="1:29" s="78" customFormat="1" x14ac:dyDescent="0.2">
      <c r="A229" s="75">
        <v>42898</v>
      </c>
      <c r="B229" s="404">
        <v>19</v>
      </c>
      <c r="C229" s="76"/>
      <c r="D229" s="78" t="s">
        <v>88</v>
      </c>
      <c r="E229" s="78">
        <v>6</v>
      </c>
      <c r="F229" s="85">
        <v>224</v>
      </c>
      <c r="G229" s="85">
        <v>1</v>
      </c>
      <c r="H229" s="78">
        <v>450</v>
      </c>
      <c r="I229" s="78">
        <v>5</v>
      </c>
      <c r="J229" s="78">
        <v>0</v>
      </c>
      <c r="K229" s="78">
        <v>1</v>
      </c>
      <c r="L229" s="78">
        <v>0</v>
      </c>
      <c r="M229" s="78">
        <v>5</v>
      </c>
      <c r="N229" s="78">
        <v>0</v>
      </c>
      <c r="P229" s="122">
        <f t="shared" si="20"/>
        <v>1650</v>
      </c>
      <c r="Q229" s="122">
        <f t="shared" si="21"/>
        <v>0</v>
      </c>
      <c r="R229" s="158">
        <f t="shared" si="22"/>
        <v>1</v>
      </c>
      <c r="S229" s="186" t="str">
        <f>D229</f>
        <v>HL-10 Ambient</v>
      </c>
      <c r="T229" s="79"/>
      <c r="U229" s="79"/>
      <c r="V229" s="79"/>
      <c r="W229" s="78" t="s">
        <v>170</v>
      </c>
      <c r="Y229" s="85" t="str">
        <f>D229</f>
        <v>HL-10 Ambient</v>
      </c>
      <c r="Z229" s="333">
        <f>SUMIFS($P$131:$P$188, $D$131:$D$188, Y229, $F$131:$F$188, "&lt;200") + SUMIFS($Q$131:$Q$188, $D$131:$D$188, Y229, $F$131:$F$188, "&lt;200")</f>
        <v>93960</v>
      </c>
      <c r="AA229" s="122">
        <f>SUM(P229:Q232)</f>
        <v>82609.999999999985</v>
      </c>
      <c r="AB229" s="122">
        <f>SUMIFS(Collection!O:O, Collection!B:B, "*" &amp; 'Bucket Counts'!Y229 &amp; "*", Collection!A:A, "&lt;" &amp; 'Bucket Counts'!A229,Collection!A:A,  "&gt;=" &amp; 'Bucket Counts'!$A$131)</f>
        <v>0</v>
      </c>
      <c r="AC229" s="158">
        <f>AA229/(Z229+AB229)</f>
        <v>0.87920391656023822</v>
      </c>
    </row>
    <row r="230" spans="1:29" s="78" customFormat="1" x14ac:dyDescent="0.2">
      <c r="A230" s="75">
        <v>42898</v>
      </c>
      <c r="B230" s="404">
        <v>19</v>
      </c>
      <c r="C230" s="76"/>
      <c r="D230" s="78" t="s">
        <v>88</v>
      </c>
      <c r="E230" s="78">
        <v>6</v>
      </c>
      <c r="F230" s="85">
        <v>180</v>
      </c>
      <c r="G230" s="85">
        <v>0.5</v>
      </c>
      <c r="H230" s="78">
        <v>725</v>
      </c>
      <c r="I230" s="78">
        <v>37</v>
      </c>
      <c r="J230" s="78">
        <v>0</v>
      </c>
      <c r="K230" s="78">
        <v>35</v>
      </c>
      <c r="L230" s="78">
        <v>0</v>
      </c>
      <c r="M230" s="78">
        <v>29</v>
      </c>
      <c r="N230" s="78">
        <v>0</v>
      </c>
      <c r="P230" s="122">
        <f t="shared" si="20"/>
        <v>48816.666666666664</v>
      </c>
      <c r="Q230" s="122">
        <f t="shared" si="21"/>
        <v>0</v>
      </c>
      <c r="R230" s="158">
        <f t="shared" si="22"/>
        <v>1</v>
      </c>
      <c r="S230" s="184">
        <f>(SUM(P229:P232)/(SUM(P229:Q232)))</f>
        <v>0.93576241778638591</v>
      </c>
      <c r="T230" s="79"/>
      <c r="U230" s="79"/>
      <c r="V230" s="79"/>
      <c r="Y230" s="85"/>
      <c r="Z230" s="333"/>
      <c r="AA230" s="122"/>
      <c r="AB230" s="122"/>
    </row>
    <row r="231" spans="1:29" s="78" customFormat="1" x14ac:dyDescent="0.2">
      <c r="A231" s="75">
        <v>42898</v>
      </c>
      <c r="B231" s="404">
        <v>19</v>
      </c>
      <c r="C231" s="76"/>
      <c r="D231" s="78" t="s">
        <v>88</v>
      </c>
      <c r="E231" s="78">
        <v>6</v>
      </c>
      <c r="F231" s="85">
        <v>100</v>
      </c>
      <c r="G231" s="85">
        <v>1</v>
      </c>
      <c r="H231" s="78">
        <v>520</v>
      </c>
      <c r="I231" s="78">
        <v>40</v>
      </c>
      <c r="J231" s="78">
        <v>1</v>
      </c>
      <c r="K231" s="78">
        <v>52</v>
      </c>
      <c r="L231" s="78">
        <v>0</v>
      </c>
      <c r="M231" s="78">
        <v>46</v>
      </c>
      <c r="N231" s="78">
        <v>0</v>
      </c>
      <c r="P231" s="122">
        <f t="shared" si="20"/>
        <v>23920</v>
      </c>
      <c r="Q231" s="122">
        <f t="shared" si="21"/>
        <v>173.33333333333331</v>
      </c>
      <c r="R231" s="158">
        <f t="shared" si="22"/>
        <v>0.9928057553956835</v>
      </c>
      <c r="S231" s="185"/>
      <c r="T231" s="79"/>
      <c r="U231" s="79"/>
      <c r="V231" s="79"/>
      <c r="Y231" s="85"/>
      <c r="Z231" s="333"/>
      <c r="AA231" s="122"/>
      <c r="AB231" s="122"/>
    </row>
    <row r="232" spans="1:29" s="78" customFormat="1" x14ac:dyDescent="0.2">
      <c r="A232" s="75">
        <v>42898</v>
      </c>
      <c r="B232" s="404">
        <v>19</v>
      </c>
      <c r="C232" s="76"/>
      <c r="D232" s="78" t="s">
        <v>88</v>
      </c>
      <c r="E232" s="78">
        <v>6</v>
      </c>
      <c r="F232" s="85" t="s">
        <v>201</v>
      </c>
      <c r="G232" s="85">
        <v>1</v>
      </c>
      <c r="H232" s="78">
        <v>350</v>
      </c>
      <c r="I232" s="78">
        <v>12</v>
      </c>
      <c r="J232" s="78">
        <v>14</v>
      </c>
      <c r="K232" s="78">
        <v>6</v>
      </c>
      <c r="L232" s="78">
        <v>13</v>
      </c>
      <c r="M232" s="78">
        <v>7</v>
      </c>
      <c r="N232" s="78">
        <v>17</v>
      </c>
      <c r="P232" s="122">
        <f t="shared" si="20"/>
        <v>2916.666666666667</v>
      </c>
      <c r="Q232" s="122">
        <f t="shared" si="21"/>
        <v>5133.333333333333</v>
      </c>
      <c r="R232" s="158">
        <f t="shared" si="22"/>
        <v>0.3623188405797102</v>
      </c>
      <c r="S232" s="185"/>
      <c r="T232" s="79"/>
      <c r="U232" s="79"/>
      <c r="V232" s="79"/>
      <c r="Y232" s="85"/>
      <c r="Z232" s="333"/>
      <c r="AA232" s="122"/>
      <c r="AB232" s="122"/>
    </row>
    <row r="233" spans="1:29" s="78" customFormat="1" x14ac:dyDescent="0.2">
      <c r="A233" s="75">
        <v>42898</v>
      </c>
      <c r="B233" s="404">
        <v>21</v>
      </c>
      <c r="C233" s="76"/>
      <c r="D233" s="78" t="s">
        <v>108</v>
      </c>
      <c r="E233" s="78">
        <v>6</v>
      </c>
      <c r="F233" s="85">
        <v>224</v>
      </c>
      <c r="G233" s="85">
        <v>1</v>
      </c>
      <c r="H233" s="78">
        <v>330</v>
      </c>
      <c r="I233" s="78">
        <v>11</v>
      </c>
      <c r="J233" s="78">
        <v>0</v>
      </c>
      <c r="K233" s="78">
        <v>11</v>
      </c>
      <c r="L233" s="78">
        <v>0</v>
      </c>
      <c r="M233" s="78">
        <v>9</v>
      </c>
      <c r="N233" s="78">
        <v>0</v>
      </c>
      <c r="P233" s="122">
        <f t="shared" si="20"/>
        <v>3410</v>
      </c>
      <c r="Q233" s="122">
        <f t="shared" si="21"/>
        <v>0</v>
      </c>
      <c r="R233" s="158">
        <f t="shared" si="22"/>
        <v>1</v>
      </c>
      <c r="S233" s="186" t="str">
        <f>D233</f>
        <v>HL-10 Low</v>
      </c>
      <c r="T233" s="79"/>
      <c r="U233" s="79"/>
      <c r="V233" s="79"/>
      <c r="Y233" s="85" t="str">
        <f>D233</f>
        <v>HL-10 Low</v>
      </c>
      <c r="Z233" s="333">
        <f>SUMIFS($P$131:$P$188, $D$131:$D$188, Y233, $F$131:$F$188, "&lt;200") + SUMIFS($Q$131:$Q$188, $D$131:$D$188, Y233, $F$131:$F$188, "&lt;200")</f>
        <v>56246.666666666664</v>
      </c>
      <c r="AA233" s="122">
        <f>SUM(P233:Q236)</f>
        <v>106951.66666666667</v>
      </c>
      <c r="AB233" s="122">
        <f>SUMIFS(Collection!O:O, Collection!B:B, "*" &amp; 'Bucket Counts'!Y233 &amp; "*", Collection!A:A, "&lt;" &amp; 'Bucket Counts'!A233,Collection!A:A,  "&gt;=" &amp; 'Bucket Counts'!$A$131)</f>
        <v>54200</v>
      </c>
      <c r="AC233" s="158">
        <f>AA233/(Z233+AB233)</f>
        <v>0.96835576748958785</v>
      </c>
    </row>
    <row r="234" spans="1:29" s="78" customFormat="1" x14ac:dyDescent="0.2">
      <c r="A234" s="75">
        <v>42898</v>
      </c>
      <c r="B234" s="404">
        <v>21</v>
      </c>
      <c r="C234" s="76"/>
      <c r="D234" s="78" t="s">
        <v>108</v>
      </c>
      <c r="E234" s="78">
        <v>6</v>
      </c>
      <c r="F234" s="85">
        <v>180</v>
      </c>
      <c r="G234" s="85">
        <v>0.5</v>
      </c>
      <c r="H234" s="78">
        <v>625</v>
      </c>
      <c r="I234" s="78">
        <v>45</v>
      </c>
      <c r="J234" s="78">
        <v>0</v>
      </c>
      <c r="K234" s="78">
        <v>35</v>
      </c>
      <c r="L234" s="78">
        <v>0</v>
      </c>
      <c r="M234" s="78">
        <v>32</v>
      </c>
      <c r="N234" s="78">
        <v>0</v>
      </c>
      <c r="P234" s="122">
        <f t="shared" si="20"/>
        <v>46666.666666666672</v>
      </c>
      <c r="Q234" s="122">
        <f t="shared" si="21"/>
        <v>0</v>
      </c>
      <c r="R234" s="158">
        <f t="shared" si="22"/>
        <v>1</v>
      </c>
      <c r="S234" s="184">
        <f>(SUM(P233:P236)/(SUM(P233:Q236)))</f>
        <v>0.80832463262221255</v>
      </c>
      <c r="T234" s="79"/>
      <c r="U234" s="79"/>
      <c r="V234" s="79"/>
      <c r="Y234" s="85"/>
      <c r="Z234" s="333"/>
      <c r="AA234" s="122"/>
      <c r="AB234" s="122"/>
    </row>
    <row r="235" spans="1:29" s="78" customFormat="1" x14ac:dyDescent="0.2">
      <c r="A235" s="75">
        <v>42898</v>
      </c>
      <c r="B235" s="404">
        <v>21</v>
      </c>
      <c r="C235" s="76"/>
      <c r="D235" s="78" t="s">
        <v>108</v>
      </c>
      <c r="E235" s="78">
        <v>6</v>
      </c>
      <c r="F235" s="85">
        <v>100</v>
      </c>
      <c r="G235" s="85">
        <v>1</v>
      </c>
      <c r="H235" s="78">
        <v>450</v>
      </c>
      <c r="I235" s="78">
        <v>94</v>
      </c>
      <c r="J235" s="78">
        <v>0</v>
      </c>
      <c r="K235" s="78">
        <v>74</v>
      </c>
      <c r="L235" s="78">
        <v>0</v>
      </c>
      <c r="M235" s="78">
        <v>72</v>
      </c>
      <c r="N235" s="78">
        <v>0</v>
      </c>
      <c r="P235" s="122">
        <f t="shared" si="20"/>
        <v>36000</v>
      </c>
      <c r="Q235" s="122">
        <f t="shared" si="21"/>
        <v>0</v>
      </c>
      <c r="R235" s="158">
        <f t="shared" si="22"/>
        <v>1</v>
      </c>
      <c r="S235" s="185"/>
      <c r="T235" s="79"/>
      <c r="U235" s="79"/>
      <c r="V235" s="79"/>
      <c r="Y235" s="85"/>
      <c r="Z235" s="333"/>
      <c r="AA235" s="122"/>
      <c r="AB235" s="122"/>
    </row>
    <row r="236" spans="1:29" s="78" customFormat="1" x14ac:dyDescent="0.2">
      <c r="A236" s="75">
        <v>42898</v>
      </c>
      <c r="B236" s="404">
        <v>21</v>
      </c>
      <c r="C236" s="76"/>
      <c r="D236" s="78" t="s">
        <v>108</v>
      </c>
      <c r="E236" s="78">
        <v>6</v>
      </c>
      <c r="F236" s="85" t="s">
        <v>201</v>
      </c>
      <c r="G236" s="85">
        <v>1</v>
      </c>
      <c r="H236" s="78">
        <v>375</v>
      </c>
      <c r="I236" s="78">
        <v>1</v>
      </c>
      <c r="J236" s="78">
        <v>57</v>
      </c>
      <c r="K236" s="78">
        <v>1</v>
      </c>
      <c r="L236" s="78">
        <v>68</v>
      </c>
      <c r="M236" s="78">
        <v>1</v>
      </c>
      <c r="N236" s="78">
        <v>39</v>
      </c>
      <c r="P236" s="122">
        <f t="shared" si="20"/>
        <v>375</v>
      </c>
      <c r="Q236" s="122">
        <f t="shared" si="21"/>
        <v>20500</v>
      </c>
      <c r="R236" s="158">
        <f t="shared" si="22"/>
        <v>1.7964071856287425E-2</v>
      </c>
      <c r="S236" s="185"/>
      <c r="T236" s="79"/>
      <c r="U236" s="79"/>
      <c r="V236" s="79"/>
      <c r="Y236" s="85"/>
      <c r="Z236" s="333"/>
      <c r="AA236" s="122"/>
      <c r="AB236" s="122"/>
    </row>
    <row r="237" spans="1:29" s="78" customFormat="1" x14ac:dyDescent="0.2">
      <c r="A237" s="75">
        <v>42898</v>
      </c>
      <c r="B237" s="404">
        <v>22</v>
      </c>
      <c r="C237" s="76"/>
      <c r="D237" s="78" t="s">
        <v>17</v>
      </c>
      <c r="E237" s="78">
        <v>7</v>
      </c>
      <c r="F237" s="85">
        <v>224</v>
      </c>
      <c r="G237" s="85">
        <v>1</v>
      </c>
      <c r="H237" s="78">
        <v>350</v>
      </c>
      <c r="I237" s="78">
        <v>15</v>
      </c>
      <c r="J237" s="78">
        <v>1</v>
      </c>
      <c r="K237" s="78">
        <v>7</v>
      </c>
      <c r="L237" s="78">
        <v>0</v>
      </c>
      <c r="M237" s="78">
        <v>9</v>
      </c>
      <c r="N237" s="78">
        <v>0</v>
      </c>
      <c r="P237" s="122">
        <f t="shared" si="20"/>
        <v>3616.666666666667</v>
      </c>
      <c r="Q237" s="122">
        <f t="shared" si="21"/>
        <v>116.66666666666666</v>
      </c>
      <c r="R237" s="158">
        <f t="shared" si="22"/>
        <v>0.96875</v>
      </c>
      <c r="S237" s="186" t="str">
        <f>D237</f>
        <v>K-10 Ambient</v>
      </c>
      <c r="T237" s="79"/>
      <c r="U237" s="79"/>
      <c r="V237" s="79"/>
      <c r="Y237" s="85" t="str">
        <f>D237</f>
        <v>K-10 Ambient</v>
      </c>
      <c r="Z237" s="333">
        <f>SUMIFS($P$131:$P$188, $D$131:$D$188, Y237, $F$131:$F$188, "&lt;200") + SUMIFS($Q$131:$Q$188, $D$131:$D$188, Y237, $F$131:$F$188, "&lt;200")</f>
        <v>85933.333333333328</v>
      </c>
      <c r="AA237" s="122">
        <f>SUM(P237:Q240)</f>
        <v>79396.666666666657</v>
      </c>
      <c r="AB237" s="122">
        <f>SUMIFS(Collection!O:O, Collection!B:B, "*" &amp; 'Bucket Counts'!Y237 &amp; "*", Collection!A:A, "&lt;" &amp; 'Bucket Counts'!A237,Collection!A:A,  "&gt;=" &amp; 'Bucket Counts'!$A$131)</f>
        <v>0</v>
      </c>
      <c r="AC237" s="158">
        <f>AA237/(Z237+AB237)</f>
        <v>0.92393328161365396</v>
      </c>
    </row>
    <row r="238" spans="1:29" s="78" customFormat="1" x14ac:dyDescent="0.2">
      <c r="A238" s="75">
        <v>42898</v>
      </c>
      <c r="B238" s="404">
        <v>22</v>
      </c>
      <c r="C238" s="76"/>
      <c r="D238" s="78" t="s">
        <v>17</v>
      </c>
      <c r="E238" s="78">
        <v>7</v>
      </c>
      <c r="F238" s="85">
        <v>180</v>
      </c>
      <c r="G238" s="85">
        <v>1</v>
      </c>
      <c r="H238" s="78">
        <v>500</v>
      </c>
      <c r="I238" s="78">
        <v>67</v>
      </c>
      <c r="J238" s="78">
        <v>0</v>
      </c>
      <c r="K238" s="78">
        <v>55</v>
      </c>
      <c r="L238" s="78">
        <v>0</v>
      </c>
      <c r="M238" s="78">
        <v>56</v>
      </c>
      <c r="N238" s="78">
        <v>0</v>
      </c>
      <c r="P238" s="122">
        <f t="shared" si="20"/>
        <v>29666.666666666668</v>
      </c>
      <c r="Q238" s="122">
        <f t="shared" si="21"/>
        <v>0</v>
      </c>
      <c r="R238" s="158">
        <f t="shared" si="22"/>
        <v>1</v>
      </c>
      <c r="S238" s="184">
        <f>(SUM(P237:P240)/(SUM(P237:Q240)))</f>
        <v>0.84646710609177567</v>
      </c>
      <c r="T238" s="79"/>
      <c r="U238" s="79"/>
      <c r="V238" s="79"/>
      <c r="Y238" s="85"/>
      <c r="Z238" s="333"/>
      <c r="AA238" s="122"/>
      <c r="AB238" s="122"/>
    </row>
    <row r="239" spans="1:29" s="78" customFormat="1" x14ac:dyDescent="0.2">
      <c r="A239" s="75">
        <v>42898</v>
      </c>
      <c r="B239" s="404">
        <v>22</v>
      </c>
      <c r="C239" s="76"/>
      <c r="D239" s="78" t="s">
        <v>17</v>
      </c>
      <c r="E239" s="78">
        <v>7</v>
      </c>
      <c r="F239" s="85">
        <v>100</v>
      </c>
      <c r="G239" s="85">
        <v>1</v>
      </c>
      <c r="H239" s="78">
        <v>520</v>
      </c>
      <c r="I239" s="78">
        <v>64</v>
      </c>
      <c r="J239" s="78">
        <v>0</v>
      </c>
      <c r="K239" s="78">
        <v>67</v>
      </c>
      <c r="L239" s="78">
        <v>0</v>
      </c>
      <c r="M239" s="78">
        <v>60</v>
      </c>
      <c r="N239" s="78">
        <v>1</v>
      </c>
      <c r="P239" s="122">
        <f t="shared" si="20"/>
        <v>33106.666666666664</v>
      </c>
      <c r="Q239" s="122">
        <f t="shared" si="21"/>
        <v>173.33333333333331</v>
      </c>
      <c r="R239" s="158">
        <f t="shared" si="22"/>
        <v>0.99479166666666663</v>
      </c>
      <c r="S239" s="185"/>
      <c r="T239" s="79"/>
      <c r="U239" s="79"/>
      <c r="V239" s="79"/>
      <c r="Y239" s="85"/>
      <c r="Z239" s="333"/>
      <c r="AA239" s="122"/>
      <c r="AB239" s="122"/>
    </row>
    <row r="240" spans="1:29" s="78" customFormat="1" x14ac:dyDescent="0.2">
      <c r="A240" s="75">
        <v>42898</v>
      </c>
      <c r="B240" s="404">
        <v>22</v>
      </c>
      <c r="C240" s="76"/>
      <c r="D240" s="78" t="s">
        <v>17</v>
      </c>
      <c r="E240" s="78">
        <v>7</v>
      </c>
      <c r="F240" s="85" t="s">
        <v>201</v>
      </c>
      <c r="G240" s="85">
        <v>1</v>
      </c>
      <c r="H240" s="78">
        <v>350</v>
      </c>
      <c r="I240" s="78">
        <v>2</v>
      </c>
      <c r="J240" s="78">
        <v>21</v>
      </c>
      <c r="K240" s="78">
        <v>2</v>
      </c>
      <c r="L240" s="78">
        <v>18</v>
      </c>
      <c r="M240" s="78">
        <v>3</v>
      </c>
      <c r="N240" s="78">
        <v>63</v>
      </c>
      <c r="P240" s="122">
        <f t="shared" si="20"/>
        <v>816.66666666666674</v>
      </c>
      <c r="Q240" s="122">
        <f t="shared" si="21"/>
        <v>11900</v>
      </c>
      <c r="R240" s="158">
        <f t="shared" si="22"/>
        <v>6.4220183486238536E-2</v>
      </c>
      <c r="S240" s="185"/>
      <c r="T240" s="79"/>
      <c r="U240" s="79"/>
      <c r="V240" s="79"/>
      <c r="Y240" s="85"/>
      <c r="Z240" s="333"/>
      <c r="AA240" s="122"/>
      <c r="AB240" s="122"/>
    </row>
    <row r="241" spans="1:30" s="78" customFormat="1" x14ac:dyDescent="0.2">
      <c r="A241" s="75">
        <v>42898</v>
      </c>
      <c r="B241" s="404">
        <v>17</v>
      </c>
      <c r="C241" s="76"/>
      <c r="D241" s="78" t="s">
        <v>38</v>
      </c>
      <c r="E241" s="78">
        <v>7</v>
      </c>
      <c r="F241" s="85">
        <v>224</v>
      </c>
      <c r="G241" s="85">
        <v>1</v>
      </c>
      <c r="H241" s="78">
        <v>400</v>
      </c>
      <c r="I241" s="78">
        <v>7</v>
      </c>
      <c r="J241" s="78">
        <v>0</v>
      </c>
      <c r="K241" s="78">
        <v>5</v>
      </c>
      <c r="L241" s="78">
        <v>0</v>
      </c>
      <c r="M241" s="78">
        <v>4</v>
      </c>
      <c r="N241" s="78">
        <v>0</v>
      </c>
      <c r="P241" s="122">
        <f t="shared" si="20"/>
        <v>2133.333333333333</v>
      </c>
      <c r="Q241" s="122">
        <f t="shared" si="21"/>
        <v>0</v>
      </c>
      <c r="R241" s="158">
        <f t="shared" si="22"/>
        <v>1</v>
      </c>
      <c r="S241" s="186" t="str">
        <f>D241</f>
        <v>K-6 Ambient</v>
      </c>
      <c r="T241" s="79"/>
      <c r="U241" s="79"/>
      <c r="V241" s="79"/>
      <c r="Y241" s="85" t="str">
        <f>D241</f>
        <v>K-6 Ambient</v>
      </c>
      <c r="Z241" s="333">
        <f>SUMIFS($P$131:$P$188, $D$131:$D$188, Y241, $F$131:$F$188, "&lt;200") + SUMIFS($Q$131:$Q$188, $D$131:$D$188, Y241, $F$131:$F$188, "&lt;200")</f>
        <v>47886.666666666664</v>
      </c>
      <c r="AA241" s="122">
        <f>SUM(P241:Q244)</f>
        <v>93113.333333333343</v>
      </c>
      <c r="AB241" s="122">
        <f>SUMIFS(Collection!O:O, Collection!B:B, "*" &amp; 'Bucket Counts'!Y241 &amp; "*", Collection!A:A, "&lt;" &amp; 'Bucket Counts'!A241,Collection!A:A,  "&gt;=" &amp; 'Bucket Counts'!$A$131)</f>
        <v>51466.666666666664</v>
      </c>
      <c r="AC241" s="158">
        <f>AA241/(Z241+AB241)</f>
        <v>0.93719385358652629</v>
      </c>
    </row>
    <row r="242" spans="1:30" s="78" customFormat="1" x14ac:dyDescent="0.2">
      <c r="A242" s="75">
        <v>42898</v>
      </c>
      <c r="B242" s="404">
        <v>17</v>
      </c>
      <c r="C242" s="76"/>
      <c r="D242" s="78" t="s">
        <v>38</v>
      </c>
      <c r="E242" s="78">
        <v>7</v>
      </c>
      <c r="F242" s="85">
        <v>180</v>
      </c>
      <c r="G242" s="85">
        <v>1</v>
      </c>
      <c r="H242" s="78">
        <v>600</v>
      </c>
      <c r="I242" s="78">
        <v>69</v>
      </c>
      <c r="J242" s="78">
        <v>0</v>
      </c>
      <c r="K242" s="78">
        <v>74</v>
      </c>
      <c r="L242" s="78">
        <v>0</v>
      </c>
      <c r="M242" s="78">
        <v>60</v>
      </c>
      <c r="N242" s="78">
        <v>1</v>
      </c>
      <c r="P242" s="122">
        <f t="shared" si="20"/>
        <v>40600</v>
      </c>
      <c r="Q242" s="122">
        <f t="shared" si="21"/>
        <v>200</v>
      </c>
      <c r="R242" s="158">
        <f t="shared" si="22"/>
        <v>0.99509803921568629</v>
      </c>
      <c r="S242" s="184">
        <f>(SUM(P241:P244)/(SUM(P241:Q244)))</f>
        <v>0.99785207990262759</v>
      </c>
      <c r="T242" s="79"/>
      <c r="Y242" s="85"/>
      <c r="Z242" s="333"/>
      <c r="AA242" s="122"/>
      <c r="AB242" s="122"/>
    </row>
    <row r="243" spans="1:30" s="78" customFormat="1" x14ac:dyDescent="0.2">
      <c r="A243" s="75">
        <v>42898</v>
      </c>
      <c r="B243" s="404">
        <v>17</v>
      </c>
      <c r="C243" s="76"/>
      <c r="D243" s="78" t="s">
        <v>38</v>
      </c>
      <c r="E243" s="78">
        <v>7</v>
      </c>
      <c r="F243" s="85">
        <v>100</v>
      </c>
      <c r="G243" s="85">
        <v>1</v>
      </c>
      <c r="H243" s="78">
        <v>540</v>
      </c>
      <c r="I243" s="78">
        <v>91</v>
      </c>
      <c r="J243" s="78">
        <v>0</v>
      </c>
      <c r="K243" s="78">
        <v>96</v>
      </c>
      <c r="L243" s="78">
        <v>0</v>
      </c>
      <c r="M243" s="78">
        <v>89</v>
      </c>
      <c r="N243" s="78">
        <v>0</v>
      </c>
      <c r="P243" s="122">
        <f t="shared" si="20"/>
        <v>49680</v>
      </c>
      <c r="Q243" s="122">
        <f t="shared" si="21"/>
        <v>0</v>
      </c>
      <c r="R243" s="158">
        <f t="shared" si="22"/>
        <v>1</v>
      </c>
      <c r="S243" s="185"/>
      <c r="T243" s="79"/>
      <c r="Y243" s="85"/>
      <c r="Z243" s="333"/>
      <c r="AA243" s="122"/>
      <c r="AB243" s="122"/>
    </row>
    <row r="244" spans="1:30" s="78" customFormat="1" x14ac:dyDescent="0.2">
      <c r="A244" s="75">
        <v>42898</v>
      </c>
      <c r="B244" s="404">
        <v>17</v>
      </c>
      <c r="C244" s="76"/>
      <c r="D244" s="78" t="s">
        <v>38</v>
      </c>
      <c r="E244" s="78">
        <v>7</v>
      </c>
      <c r="F244" s="85" t="s">
        <v>201</v>
      </c>
      <c r="G244" s="85">
        <v>1</v>
      </c>
      <c r="H244" s="78">
        <v>500</v>
      </c>
      <c r="I244" s="78">
        <v>0</v>
      </c>
      <c r="J244" s="78">
        <v>0</v>
      </c>
      <c r="K244" s="78">
        <v>1</v>
      </c>
      <c r="L244" s="78">
        <v>0</v>
      </c>
      <c r="M244" s="78">
        <v>2</v>
      </c>
      <c r="N244" s="78">
        <v>0</v>
      </c>
      <c r="P244" s="122">
        <f t="shared" si="20"/>
        <v>500</v>
      </c>
      <c r="Q244" s="122">
        <f t="shared" si="21"/>
        <v>0</v>
      </c>
      <c r="R244" s="158">
        <f t="shared" si="22"/>
        <v>1</v>
      </c>
      <c r="S244" s="185"/>
      <c r="T244" s="79"/>
      <c r="Y244" s="85"/>
      <c r="Z244" s="333"/>
      <c r="AA244" s="122"/>
      <c r="AB244" s="122"/>
    </row>
    <row r="245" spans="1:30" s="78" customFormat="1" x14ac:dyDescent="0.2">
      <c r="A245" s="75">
        <v>42898</v>
      </c>
      <c r="B245" s="404">
        <v>20</v>
      </c>
      <c r="C245" s="76"/>
      <c r="D245" s="77" t="s">
        <v>46</v>
      </c>
      <c r="E245" s="78">
        <v>8</v>
      </c>
      <c r="F245" s="85">
        <v>224</v>
      </c>
      <c r="G245" s="85">
        <v>2</v>
      </c>
      <c r="H245" s="78">
        <v>375</v>
      </c>
      <c r="I245" s="78">
        <v>1</v>
      </c>
      <c r="J245" s="78">
        <v>0</v>
      </c>
      <c r="K245" s="78">
        <v>5</v>
      </c>
      <c r="L245" s="78">
        <v>0</v>
      </c>
      <c r="M245" s="78">
        <v>7</v>
      </c>
      <c r="N245" s="78">
        <v>0</v>
      </c>
      <c r="P245" s="122">
        <f t="shared" si="20"/>
        <v>812.5</v>
      </c>
      <c r="Q245" s="122">
        <f t="shared" si="21"/>
        <v>0</v>
      </c>
      <c r="R245" s="158">
        <f t="shared" si="22"/>
        <v>1</v>
      </c>
      <c r="S245" s="186" t="str">
        <f>D245</f>
        <v>K-6 Low</v>
      </c>
      <c r="T245" s="79"/>
      <c r="Y245" s="85" t="str">
        <f>D245</f>
        <v>K-6 Low</v>
      </c>
      <c r="Z245" s="333">
        <f>SUMIFS($P$131:$P$188, $D$131:$D$188, Y245, $F$131:$F$188, "&lt;200") + SUMIFS($Q$131:$Q$188, $D$131:$D$188, Y245, $F$131:$F$188, "&lt;200")</f>
        <v>55050</v>
      </c>
      <c r="AA245" s="122">
        <f>SUM(P245:Q248)</f>
        <v>51105.833333333336</v>
      </c>
      <c r="AB245" s="122">
        <f>SUMIFS(Collection!O:O, Collection!B:B, "*" &amp; 'Bucket Counts'!Y245 &amp; "*", Collection!A:A, "&lt;" &amp; 'Bucket Counts'!A245,Collection!A:A,  "&gt;=" &amp; 'Bucket Counts'!$A$131)</f>
        <v>0</v>
      </c>
      <c r="AC245" s="158">
        <f>AA245/(Z245+AB245)</f>
        <v>0.92835301241295798</v>
      </c>
    </row>
    <row r="246" spans="1:30" s="78" customFormat="1" x14ac:dyDescent="0.2">
      <c r="A246" s="75">
        <v>42898</v>
      </c>
      <c r="B246" s="404">
        <v>20</v>
      </c>
      <c r="C246" s="76"/>
      <c r="D246" s="77" t="s">
        <v>46</v>
      </c>
      <c r="E246" s="78">
        <v>8</v>
      </c>
      <c r="F246" s="85">
        <v>180</v>
      </c>
      <c r="G246" s="85">
        <v>2</v>
      </c>
      <c r="H246" s="78">
        <v>400</v>
      </c>
      <c r="I246" s="78">
        <v>1</v>
      </c>
      <c r="J246" s="78">
        <v>0</v>
      </c>
      <c r="K246" s="78">
        <v>5</v>
      </c>
      <c r="L246" s="78">
        <v>0</v>
      </c>
      <c r="M246" s="78">
        <v>7</v>
      </c>
      <c r="N246" s="78">
        <v>0</v>
      </c>
      <c r="P246" s="122">
        <f t="shared" si="20"/>
        <v>866.66666666666663</v>
      </c>
      <c r="Q246" s="122">
        <f t="shared" si="21"/>
        <v>0</v>
      </c>
      <c r="R246" s="158">
        <f t="shared" si="22"/>
        <v>1</v>
      </c>
      <c r="S246" s="184">
        <f>(SUM(P245:P248)/(SUM(P245:Q248)))</f>
        <v>0.96843152282029121</v>
      </c>
      <c r="T246" s="79"/>
      <c r="Y246" s="85"/>
      <c r="Z246" s="333"/>
      <c r="AA246" s="122"/>
      <c r="AB246" s="122"/>
    </row>
    <row r="247" spans="1:30" s="78" customFormat="1" x14ac:dyDescent="0.2">
      <c r="A247" s="75">
        <v>42898</v>
      </c>
      <c r="B247" s="404">
        <v>20</v>
      </c>
      <c r="C247" s="76"/>
      <c r="D247" s="77" t="s">
        <v>46</v>
      </c>
      <c r="E247" s="78">
        <v>8</v>
      </c>
      <c r="F247" s="85">
        <v>100</v>
      </c>
      <c r="G247" s="85">
        <v>1</v>
      </c>
      <c r="H247" s="78">
        <v>525</v>
      </c>
      <c r="I247" s="78">
        <v>99</v>
      </c>
      <c r="J247" s="78">
        <v>0</v>
      </c>
      <c r="K247" s="78">
        <v>86</v>
      </c>
      <c r="L247" s="78">
        <v>0</v>
      </c>
      <c r="M247" s="78">
        <v>79</v>
      </c>
      <c r="N247" s="78">
        <v>0</v>
      </c>
      <c r="P247" s="122">
        <f t="shared" si="20"/>
        <v>46200</v>
      </c>
      <c r="Q247" s="122">
        <f t="shared" si="21"/>
        <v>0</v>
      </c>
      <c r="R247" s="158">
        <f t="shared" si="22"/>
        <v>1</v>
      </c>
      <c r="S247" s="185"/>
      <c r="T247" s="79"/>
      <c r="Y247" s="85"/>
      <c r="Z247" s="333"/>
      <c r="AA247" s="122"/>
      <c r="AB247" s="122"/>
    </row>
    <row r="248" spans="1:30" s="83" customFormat="1" ht="17" thickBot="1" x14ac:dyDescent="0.25">
      <c r="A248" s="80">
        <v>42898</v>
      </c>
      <c r="B248" s="404">
        <v>20</v>
      </c>
      <c r="C248" s="81"/>
      <c r="D248" s="82" t="s">
        <v>46</v>
      </c>
      <c r="E248" s="83">
        <v>8</v>
      </c>
      <c r="F248" s="138" t="s">
        <v>201</v>
      </c>
      <c r="G248" s="83">
        <v>1</v>
      </c>
      <c r="H248" s="83">
        <v>440</v>
      </c>
      <c r="I248" s="83">
        <v>3</v>
      </c>
      <c r="J248" s="83">
        <v>4</v>
      </c>
      <c r="K248" s="83">
        <v>4</v>
      </c>
      <c r="L248" s="83">
        <v>3</v>
      </c>
      <c r="M248" s="83">
        <v>4</v>
      </c>
      <c r="N248" s="83">
        <v>4</v>
      </c>
      <c r="P248" s="139">
        <f t="shared" si="20"/>
        <v>1613.3333333333333</v>
      </c>
      <c r="Q248" s="139">
        <f t="shared" si="21"/>
        <v>1613.3333333333333</v>
      </c>
      <c r="R248" s="161">
        <f t="shared" si="22"/>
        <v>0.5</v>
      </c>
      <c r="S248" s="196"/>
      <c r="Y248" s="138"/>
      <c r="Z248" s="335"/>
      <c r="AA248" s="139"/>
      <c r="AB248" s="139"/>
    </row>
    <row r="249" spans="1:30" s="135" customFormat="1" x14ac:dyDescent="0.2">
      <c r="A249" s="132">
        <v>42901</v>
      </c>
      <c r="B249" s="407">
        <v>13</v>
      </c>
      <c r="C249" s="133"/>
      <c r="D249" s="194" t="s">
        <v>77</v>
      </c>
      <c r="E249" s="135">
        <v>1</v>
      </c>
      <c r="F249" s="151">
        <v>224</v>
      </c>
      <c r="G249" s="151">
        <v>1</v>
      </c>
      <c r="H249" s="135">
        <v>400</v>
      </c>
      <c r="I249" s="135">
        <v>4</v>
      </c>
      <c r="J249" s="135">
        <v>0</v>
      </c>
      <c r="K249" s="135">
        <v>5</v>
      </c>
      <c r="L249" s="135">
        <v>1</v>
      </c>
      <c r="M249" s="135">
        <v>6</v>
      </c>
      <c r="N249" s="135">
        <v>0</v>
      </c>
      <c r="P249" s="195">
        <f>(AVERAGE(I249,K249,M249)/G249)*H249</f>
        <v>2000</v>
      </c>
      <c r="Q249" s="195">
        <f t="shared" si="21"/>
        <v>133.33333333333331</v>
      </c>
      <c r="R249" s="168">
        <f t="shared" si="22"/>
        <v>0.93749999999999989</v>
      </c>
      <c r="S249" s="177" t="str">
        <f>D249</f>
        <v>SN-6 Low</v>
      </c>
      <c r="T249" s="167"/>
      <c r="U249" s="167"/>
      <c r="V249" s="167"/>
      <c r="Y249" s="87" t="str">
        <f>D249</f>
        <v>SN-6 Low</v>
      </c>
      <c r="Z249" s="323">
        <f>SUMIFS($P$189:$P$248, $D$189:$D$248, Y249, $F$189:$F$248, "&lt;200") + SUMIFS($Q$189:$Q$248, $D$189:$D$248, Y249, $F$189:$F$248, "&lt;200")</f>
        <v>53446.666666666664</v>
      </c>
      <c r="AA249" s="118">
        <f>SUM(P249:Q252)</f>
        <v>160618.33333333331</v>
      </c>
      <c r="AB249" s="118">
        <f>SUMIFS(Collection!O:O, Collection!B:B, "*" &amp; 'Bucket Counts'!Y249 &amp; "*", Collection!A:A, "&lt;" &amp; 'Bucket Counts'!A249,Collection!A:A,  "&gt;=" &amp; 'Bucket Counts'!$A$189)</f>
        <v>136200</v>
      </c>
      <c r="AC249" s="104">
        <f>AA249/(Z249+AB249)</f>
        <v>0.84693465040250282</v>
      </c>
      <c r="AD249" s="342">
        <f>AVERAGE(AC249:AC312)</f>
        <v>0.92344473488183876</v>
      </c>
    </row>
    <row r="250" spans="1:30" s="60" customFormat="1" x14ac:dyDescent="0.2">
      <c r="A250" s="57">
        <v>42901</v>
      </c>
      <c r="B250" s="399">
        <v>13</v>
      </c>
      <c r="C250" s="58"/>
      <c r="D250" s="59" t="s">
        <v>77</v>
      </c>
      <c r="E250" s="60">
        <v>1</v>
      </c>
      <c r="F250" s="87">
        <v>180</v>
      </c>
      <c r="G250" s="87">
        <v>1</v>
      </c>
      <c r="H250" s="60">
        <v>600</v>
      </c>
      <c r="I250" s="60">
        <v>57</v>
      </c>
      <c r="J250" s="60">
        <v>2</v>
      </c>
      <c r="K250" s="60">
        <v>54</v>
      </c>
      <c r="L250" s="60">
        <v>4</v>
      </c>
      <c r="M250" s="87" t="s">
        <v>205</v>
      </c>
      <c r="N250" s="60">
        <v>5</v>
      </c>
      <c r="P250" s="118">
        <f t="shared" ref="P250:P312" si="23">(AVERAGE(I250,K250,M250)/G250)*H250</f>
        <v>33300</v>
      </c>
      <c r="Q250" s="118">
        <f t="shared" si="21"/>
        <v>2200</v>
      </c>
      <c r="R250" s="104">
        <f t="shared" si="22"/>
        <v>0.93802816901408448</v>
      </c>
      <c r="S250" s="178">
        <f>(SUM(P249:P252)/(SUM(P249:Q252)))</f>
        <v>0.6144172001950795</v>
      </c>
      <c r="T250" s="63"/>
      <c r="U250" s="63"/>
      <c r="V250" s="63"/>
      <c r="W250" s="60" t="s">
        <v>206</v>
      </c>
      <c r="Y250" s="87"/>
      <c r="Z250" s="329"/>
      <c r="AA250" s="118"/>
      <c r="AB250" s="118"/>
    </row>
    <row r="251" spans="1:30" s="60" customFormat="1" x14ac:dyDescent="0.2">
      <c r="A251" s="57">
        <v>42901</v>
      </c>
      <c r="B251" s="399">
        <v>13</v>
      </c>
      <c r="C251" s="58"/>
      <c r="D251" s="59" t="s">
        <v>77</v>
      </c>
      <c r="E251" s="60">
        <v>1</v>
      </c>
      <c r="F251" s="87">
        <v>100</v>
      </c>
      <c r="G251" s="87">
        <v>1</v>
      </c>
      <c r="H251" s="60">
        <v>625</v>
      </c>
      <c r="I251" s="60">
        <v>83</v>
      </c>
      <c r="J251" s="60">
        <v>4</v>
      </c>
      <c r="K251" s="60">
        <v>70</v>
      </c>
      <c r="L251" s="60">
        <v>1</v>
      </c>
      <c r="M251" s="60">
        <v>83</v>
      </c>
      <c r="N251" s="60">
        <v>2</v>
      </c>
      <c r="P251" s="118">
        <f t="shared" si="23"/>
        <v>49166.666666666672</v>
      </c>
      <c r="Q251" s="118">
        <f t="shared" si="21"/>
        <v>1458.3333333333335</v>
      </c>
      <c r="R251" s="104">
        <f t="shared" si="22"/>
        <v>0.97119341563785999</v>
      </c>
      <c r="S251" s="176"/>
      <c r="T251" s="63"/>
      <c r="U251" s="63"/>
      <c r="V251" s="63"/>
      <c r="Y251" s="87"/>
      <c r="Z251" s="329"/>
      <c r="AA251" s="118"/>
      <c r="AB251" s="118"/>
    </row>
    <row r="252" spans="1:30" s="60" customFormat="1" x14ac:dyDescent="0.2">
      <c r="A252" s="57">
        <v>42901</v>
      </c>
      <c r="B252" s="399">
        <v>13</v>
      </c>
      <c r="C252" s="58"/>
      <c r="D252" s="59" t="s">
        <v>77</v>
      </c>
      <c r="E252" s="60">
        <v>1</v>
      </c>
      <c r="F252" s="87" t="s">
        <v>201</v>
      </c>
      <c r="G252" s="87">
        <v>1</v>
      </c>
      <c r="H252" s="60">
        <v>540</v>
      </c>
      <c r="I252" s="60">
        <v>24</v>
      </c>
      <c r="J252" s="60">
        <v>118</v>
      </c>
      <c r="K252" s="60">
        <v>35</v>
      </c>
      <c r="L252" s="60">
        <v>109</v>
      </c>
      <c r="M252" s="60">
        <v>20</v>
      </c>
      <c r="N252" s="60">
        <v>96</v>
      </c>
      <c r="P252" s="118">
        <f t="shared" si="23"/>
        <v>14220</v>
      </c>
      <c r="Q252" s="118">
        <f t="shared" si="21"/>
        <v>58140</v>
      </c>
      <c r="R252" s="104">
        <f t="shared" si="22"/>
        <v>0.19651741293532338</v>
      </c>
      <c r="S252" s="179"/>
      <c r="T252" s="63"/>
      <c r="U252" s="63"/>
      <c r="V252" s="63"/>
      <c r="Y252" s="87"/>
      <c r="Z252" s="329"/>
      <c r="AA252" s="118"/>
      <c r="AB252" s="118"/>
    </row>
    <row r="253" spans="1:30" s="60" customFormat="1" x14ac:dyDescent="0.2">
      <c r="A253" s="57">
        <v>42901</v>
      </c>
      <c r="B253" s="399">
        <v>10</v>
      </c>
      <c r="C253" s="58"/>
      <c r="D253" s="60" t="s">
        <v>104</v>
      </c>
      <c r="E253" s="60">
        <v>1</v>
      </c>
      <c r="F253" s="87">
        <v>224</v>
      </c>
      <c r="G253" s="87">
        <v>2</v>
      </c>
      <c r="H253" s="60">
        <v>500</v>
      </c>
      <c r="I253" s="60">
        <v>0</v>
      </c>
      <c r="J253" s="60">
        <v>0</v>
      </c>
      <c r="K253" s="60">
        <v>2</v>
      </c>
      <c r="L253" s="60">
        <v>0</v>
      </c>
      <c r="M253" s="60">
        <v>2</v>
      </c>
      <c r="N253" s="60">
        <v>0</v>
      </c>
      <c r="P253" s="118">
        <f t="shared" si="23"/>
        <v>333.33333333333331</v>
      </c>
      <c r="Q253" s="118">
        <f t="shared" si="21"/>
        <v>0</v>
      </c>
      <c r="R253" s="104">
        <f t="shared" si="22"/>
        <v>1</v>
      </c>
      <c r="S253" s="180" t="str">
        <f>D253</f>
        <v>NF-6 Low</v>
      </c>
      <c r="T253" s="63"/>
      <c r="U253" s="63"/>
      <c r="V253" s="63"/>
      <c r="Y253" s="87" t="str">
        <f>D253</f>
        <v>NF-6 Low</v>
      </c>
      <c r="Z253" s="323">
        <f>SUMIFS($P$189:$P$248, $D$189:$D$248, Y253, $F$189:$F$248, "&lt;200") + SUMIFS($Q$189:$Q$248, $D$189:$D$248, Y253, $F$189:$F$248, "&lt;200")</f>
        <v>72761.111111111109</v>
      </c>
      <c r="AA253" s="118">
        <f>SUM(P253:Q256)</f>
        <v>86340</v>
      </c>
      <c r="AB253" s="118">
        <f>SUMIFS(Collection!O:O, Collection!B:B, "*" &amp; 'Bucket Counts'!Y253 &amp; "*", Collection!A:A, "&lt;" &amp; 'Bucket Counts'!A253,Collection!A:A,  "&gt;=" &amp; 'Bucket Counts'!$A$189)</f>
        <v>9400</v>
      </c>
      <c r="AC253" s="104">
        <f>AA253/(Z253+AB253)</f>
        <v>1.0508621272567449</v>
      </c>
    </row>
    <row r="254" spans="1:30" s="60" customFormat="1" x14ac:dyDescent="0.2">
      <c r="A254" s="57">
        <v>42901</v>
      </c>
      <c r="B254" s="399">
        <v>10</v>
      </c>
      <c r="C254" s="58"/>
      <c r="D254" s="60" t="s">
        <v>104</v>
      </c>
      <c r="E254" s="60">
        <v>1</v>
      </c>
      <c r="F254" s="87">
        <v>180</v>
      </c>
      <c r="G254" s="87">
        <v>1</v>
      </c>
      <c r="H254" s="60">
        <v>600</v>
      </c>
      <c r="I254" s="60">
        <v>6</v>
      </c>
      <c r="J254" s="60">
        <v>1</v>
      </c>
      <c r="K254" s="60">
        <v>10</v>
      </c>
      <c r="L254" s="60">
        <v>0</v>
      </c>
      <c r="M254" s="60">
        <v>6</v>
      </c>
      <c r="N254" s="60">
        <v>2</v>
      </c>
      <c r="P254" s="118">
        <f t="shared" si="23"/>
        <v>4400</v>
      </c>
      <c r="Q254" s="118">
        <f t="shared" si="21"/>
        <v>600</v>
      </c>
      <c r="R254" s="104">
        <f t="shared" si="22"/>
        <v>0.88</v>
      </c>
      <c r="S254" s="178">
        <f>(SUM(P253:P256)/(SUM(P253:Q256)))</f>
        <v>0.8087020307312176</v>
      </c>
      <c r="T254" s="63"/>
      <c r="U254" s="63"/>
      <c r="V254" s="63"/>
      <c r="Y254" s="87"/>
      <c r="Z254" s="329"/>
      <c r="AA254" s="118"/>
      <c r="AB254" s="118"/>
    </row>
    <row r="255" spans="1:30" s="60" customFormat="1" x14ac:dyDescent="0.2">
      <c r="A255" s="57">
        <v>42901</v>
      </c>
      <c r="B255" s="399">
        <v>10</v>
      </c>
      <c r="C255" s="58"/>
      <c r="D255" s="60" t="s">
        <v>104</v>
      </c>
      <c r="E255" s="60">
        <v>1</v>
      </c>
      <c r="F255" s="87">
        <v>100</v>
      </c>
      <c r="G255" s="87">
        <v>1</v>
      </c>
      <c r="H255" s="60">
        <v>690</v>
      </c>
      <c r="I255" s="60">
        <v>91</v>
      </c>
      <c r="J255" s="60">
        <v>0</v>
      </c>
      <c r="K255" s="60">
        <v>96</v>
      </c>
      <c r="L255" s="60">
        <v>4</v>
      </c>
      <c r="M255" s="60">
        <v>96</v>
      </c>
      <c r="N255" s="60">
        <v>2</v>
      </c>
      <c r="P255" s="118">
        <f t="shared" si="23"/>
        <v>65090</v>
      </c>
      <c r="Q255" s="118">
        <f t="shared" si="21"/>
        <v>1380</v>
      </c>
      <c r="R255" s="104">
        <f t="shared" si="22"/>
        <v>0.97923875432525953</v>
      </c>
      <c r="S255" s="179"/>
      <c r="T255" s="63"/>
      <c r="U255" s="63"/>
      <c r="V255" s="63"/>
      <c r="Y255" s="87"/>
      <c r="Z255" s="329"/>
      <c r="AA255" s="118"/>
      <c r="AB255" s="118"/>
    </row>
    <row r="256" spans="1:30" s="60" customFormat="1" x14ac:dyDescent="0.2">
      <c r="A256" s="57">
        <v>42901</v>
      </c>
      <c r="B256" s="399">
        <v>10</v>
      </c>
      <c r="C256" s="58"/>
      <c r="D256" s="60" t="s">
        <v>104</v>
      </c>
      <c r="E256" s="60">
        <v>1</v>
      </c>
      <c r="F256" s="87" t="s">
        <v>201</v>
      </c>
      <c r="G256" s="87">
        <v>1</v>
      </c>
      <c r="H256" s="60">
        <v>490</v>
      </c>
      <c r="I256" s="60">
        <v>0</v>
      </c>
      <c r="J256" s="60">
        <v>21</v>
      </c>
      <c r="K256" s="60">
        <v>0</v>
      </c>
      <c r="L256" s="60">
        <v>47</v>
      </c>
      <c r="M256" s="60">
        <v>0</v>
      </c>
      <c r="N256" s="60">
        <v>21</v>
      </c>
      <c r="P256" s="118">
        <f t="shared" si="23"/>
        <v>0</v>
      </c>
      <c r="Q256" s="118">
        <f t="shared" si="21"/>
        <v>14536.666666666668</v>
      </c>
      <c r="R256" s="104">
        <f t="shared" si="22"/>
        <v>0</v>
      </c>
      <c r="S256" s="179"/>
      <c r="T256" s="63"/>
      <c r="U256" s="63"/>
      <c r="V256" s="63"/>
      <c r="Y256" s="87"/>
      <c r="Z256" s="329"/>
      <c r="AA256" s="118"/>
      <c r="AB256" s="118"/>
    </row>
    <row r="257" spans="1:29" s="60" customFormat="1" x14ac:dyDescent="0.2">
      <c r="A257" s="57">
        <v>42901</v>
      </c>
      <c r="B257" s="399">
        <v>5</v>
      </c>
      <c r="C257" s="58"/>
      <c r="D257" s="60" t="s">
        <v>86</v>
      </c>
      <c r="E257" s="60">
        <v>2</v>
      </c>
      <c r="F257" s="87">
        <v>224</v>
      </c>
      <c r="G257" s="87">
        <v>1</v>
      </c>
      <c r="H257" s="60">
        <v>650</v>
      </c>
      <c r="I257" s="60">
        <v>39</v>
      </c>
      <c r="J257" s="60">
        <v>0</v>
      </c>
      <c r="K257" s="60">
        <v>47</v>
      </c>
      <c r="L257" s="60">
        <v>0</v>
      </c>
      <c r="M257" s="60">
        <v>54</v>
      </c>
      <c r="N257" s="60">
        <v>0</v>
      </c>
      <c r="P257" s="318">
        <f t="shared" si="23"/>
        <v>30333.333333333332</v>
      </c>
      <c r="Q257" s="118">
        <f t="shared" si="21"/>
        <v>0</v>
      </c>
      <c r="R257" s="104">
        <f t="shared" si="22"/>
        <v>1</v>
      </c>
      <c r="S257" s="180" t="str">
        <f>D257</f>
        <v>SN-10 Ambient</v>
      </c>
      <c r="T257" s="63"/>
      <c r="U257" s="63"/>
      <c r="V257" s="63"/>
      <c r="W257" s="60" t="s">
        <v>207</v>
      </c>
      <c r="Y257" s="87" t="str">
        <f>D257</f>
        <v>SN-10 Ambient</v>
      </c>
      <c r="Z257" s="323">
        <f>SUMIFS($P$189:$P$248, $D$189:$D$248, Y257, $F$189:$F$248, "&lt;200") + SUMIFS($Q$189:$Q$248, $D$189:$D$248, Y257, $F$189:$F$248, "&lt;200")</f>
        <v>115416.66666666666</v>
      </c>
      <c r="AA257" s="118">
        <f>SUM(P257:Q260)</f>
        <v>145153.33333333331</v>
      </c>
      <c r="AB257" s="118">
        <f>SUMIFS(Collection!O:O, Collection!B:B, "*" &amp; 'Bucket Counts'!Y257 &amp; "*", Collection!A:A, "&lt;" &amp; 'Bucket Counts'!A257,Collection!A:A,  "&gt;=" &amp; 'Bucket Counts'!$A$189)</f>
        <v>39000</v>
      </c>
      <c r="AC257" s="104">
        <f>AA257/(Z257+AB257)</f>
        <v>0.94001079330814885</v>
      </c>
    </row>
    <row r="258" spans="1:29" s="60" customFormat="1" x14ac:dyDescent="0.2">
      <c r="A258" s="57">
        <v>42901</v>
      </c>
      <c r="B258" s="399">
        <v>5</v>
      </c>
      <c r="C258" s="58"/>
      <c r="D258" s="60" t="s">
        <v>86</v>
      </c>
      <c r="E258" s="60">
        <v>2</v>
      </c>
      <c r="F258" s="87">
        <v>180</v>
      </c>
      <c r="G258" s="87">
        <v>1</v>
      </c>
      <c r="H258" s="60">
        <v>700</v>
      </c>
      <c r="I258" s="60">
        <v>92</v>
      </c>
      <c r="J258" s="60">
        <v>13</v>
      </c>
      <c r="K258" s="60">
        <v>84</v>
      </c>
      <c r="L258" s="60">
        <v>7</v>
      </c>
      <c r="M258" s="60">
        <v>87</v>
      </c>
      <c r="N258" s="60">
        <v>8</v>
      </c>
      <c r="P258" s="118">
        <f t="shared" si="23"/>
        <v>61366.666666666672</v>
      </c>
      <c r="Q258" s="118">
        <f t="shared" si="21"/>
        <v>6533.3333333333339</v>
      </c>
      <c r="R258" s="104">
        <f t="shared" si="22"/>
        <v>0.90378006872852246</v>
      </c>
      <c r="S258" s="178">
        <f>(SUM(P257:P260)/(SUM(P257:Q260)))</f>
        <v>0.89498461397143259</v>
      </c>
      <c r="T258" s="63"/>
      <c r="U258" s="63"/>
      <c r="V258" s="63"/>
      <c r="Y258" s="87"/>
      <c r="Z258" s="329"/>
      <c r="AA258" s="118"/>
      <c r="AB258" s="118"/>
    </row>
    <row r="259" spans="1:29" s="60" customFormat="1" x14ac:dyDescent="0.2">
      <c r="A259" s="57">
        <v>42901</v>
      </c>
      <c r="B259" s="399">
        <v>5</v>
      </c>
      <c r="C259" s="58"/>
      <c r="D259" s="60" t="s">
        <v>86</v>
      </c>
      <c r="E259" s="60">
        <v>2</v>
      </c>
      <c r="F259" s="87">
        <v>100</v>
      </c>
      <c r="G259" s="87">
        <v>1</v>
      </c>
      <c r="H259" s="60">
        <v>450</v>
      </c>
      <c r="I259" s="60">
        <v>77</v>
      </c>
      <c r="J259" s="60">
        <v>1</v>
      </c>
      <c r="K259" s="60">
        <v>67</v>
      </c>
      <c r="L259" s="60">
        <v>0</v>
      </c>
      <c r="M259" s="60">
        <v>74</v>
      </c>
      <c r="N259" s="60">
        <v>1</v>
      </c>
      <c r="P259" s="118">
        <f t="shared" si="23"/>
        <v>32700.000000000004</v>
      </c>
      <c r="Q259" s="118">
        <f t="shared" si="21"/>
        <v>300</v>
      </c>
      <c r="R259" s="104">
        <f t="shared" si="22"/>
        <v>0.99090909090909107</v>
      </c>
      <c r="S259" s="179"/>
      <c r="T259" s="63"/>
      <c r="U259" s="63"/>
      <c r="V259" s="63"/>
      <c r="Y259" s="87"/>
      <c r="Z259" s="329"/>
      <c r="AA259" s="118"/>
      <c r="AB259" s="118"/>
    </row>
    <row r="260" spans="1:29" s="60" customFormat="1" x14ac:dyDescent="0.2">
      <c r="A260" s="57">
        <v>42901</v>
      </c>
      <c r="B260" s="399">
        <v>5</v>
      </c>
      <c r="C260" s="58"/>
      <c r="D260" s="60" t="s">
        <v>86</v>
      </c>
      <c r="E260" s="60">
        <v>2</v>
      </c>
      <c r="F260" s="87" t="s">
        <v>201</v>
      </c>
      <c r="G260" s="87">
        <v>1</v>
      </c>
      <c r="H260" s="60">
        <v>435</v>
      </c>
      <c r="I260" s="60">
        <v>17</v>
      </c>
      <c r="J260" s="60">
        <v>11</v>
      </c>
      <c r="K260" s="60">
        <v>5</v>
      </c>
      <c r="L260" s="60">
        <v>13</v>
      </c>
      <c r="M260" s="60">
        <v>16</v>
      </c>
      <c r="N260" s="60">
        <v>34</v>
      </c>
      <c r="P260" s="118">
        <f>(AVERAGE(I260,K260,M260)/G260)*H260</f>
        <v>5510</v>
      </c>
      <c r="Q260" s="118">
        <f t="shared" si="21"/>
        <v>8410</v>
      </c>
      <c r="R260" s="104">
        <f t="shared" si="22"/>
        <v>0.39583333333333331</v>
      </c>
      <c r="S260" s="179"/>
      <c r="T260" s="63"/>
      <c r="U260" s="63"/>
      <c r="V260" s="63"/>
      <c r="Y260" s="87"/>
      <c r="Z260" s="329"/>
      <c r="AA260" s="118"/>
      <c r="AB260" s="118"/>
    </row>
    <row r="261" spans="1:29" s="60" customFormat="1" x14ac:dyDescent="0.2">
      <c r="A261" s="57">
        <v>42901</v>
      </c>
      <c r="B261" s="409">
        <v>7</v>
      </c>
      <c r="C261" s="58"/>
      <c r="D261" s="59" t="s">
        <v>74</v>
      </c>
      <c r="E261" s="60">
        <v>2</v>
      </c>
      <c r="F261" s="87">
        <v>224</v>
      </c>
      <c r="G261" s="87">
        <v>1</v>
      </c>
      <c r="H261" s="149">
        <v>400</v>
      </c>
      <c r="I261" s="60">
        <v>1</v>
      </c>
      <c r="J261" s="60">
        <v>3</v>
      </c>
      <c r="K261" s="60">
        <v>3</v>
      </c>
      <c r="L261" s="60">
        <v>6</v>
      </c>
      <c r="M261" s="60">
        <v>8</v>
      </c>
      <c r="N261" s="60">
        <v>0</v>
      </c>
      <c r="P261" s="118">
        <f>(AVERAGE(I261,K261,M261)/G261)*H261</f>
        <v>1600</v>
      </c>
      <c r="Q261" s="118">
        <f t="shared" si="21"/>
        <v>1200</v>
      </c>
      <c r="R261" s="104">
        <f t="shared" si="22"/>
        <v>0.5714285714285714</v>
      </c>
      <c r="S261" s="180" t="str">
        <f>D261</f>
        <v>SN-10 Low</v>
      </c>
      <c r="T261" s="63"/>
      <c r="U261" s="63"/>
      <c r="V261" s="63"/>
      <c r="W261" s="60" t="s">
        <v>204</v>
      </c>
      <c r="Y261" s="87" t="str">
        <f>D261</f>
        <v>SN-10 Low</v>
      </c>
      <c r="Z261" s="323">
        <f>SUMIFS($P$189:$P$248, $D$189:$D$248, Y261, $F$189:$F$248, "&lt;200") + SUMIFS($Q$189:$Q$248, $D$189:$D$248, Y261, $F$189:$F$248, "&lt;200")</f>
        <v>37893.333333333336</v>
      </c>
      <c r="AA261" s="118">
        <f>SUM(P261:Q264)</f>
        <v>130966.66666666667</v>
      </c>
      <c r="AB261" s="118">
        <f>SUMIFS(Collection!O:O, Collection!B:B, "*" &amp; 'Bucket Counts'!Y261 &amp; "*", Collection!A:A, "&lt;" &amp; 'Bucket Counts'!A261,Collection!A:A,  "&gt;=" &amp; 'Bucket Counts'!$A$189)</f>
        <v>79566.666666666672</v>
      </c>
      <c r="AC261" s="104">
        <f>AA261/(Z261+AB261)</f>
        <v>1.1149894999716217</v>
      </c>
    </row>
    <row r="262" spans="1:29" s="60" customFormat="1" x14ac:dyDescent="0.2">
      <c r="A262" s="57">
        <v>42901</v>
      </c>
      <c r="B262" s="409">
        <v>7</v>
      </c>
      <c r="C262" s="58"/>
      <c r="D262" s="59" t="s">
        <v>74</v>
      </c>
      <c r="E262" s="60">
        <v>2</v>
      </c>
      <c r="F262" s="87">
        <v>180</v>
      </c>
      <c r="G262" s="87">
        <v>1</v>
      </c>
      <c r="H262" s="149">
        <v>600</v>
      </c>
      <c r="I262" s="60">
        <v>36</v>
      </c>
      <c r="J262" s="60">
        <v>15</v>
      </c>
      <c r="K262" s="60">
        <v>26</v>
      </c>
      <c r="L262" s="60">
        <v>9</v>
      </c>
      <c r="M262" s="60">
        <v>22</v>
      </c>
      <c r="N262" s="60">
        <v>14</v>
      </c>
      <c r="P262" s="118">
        <f t="shared" si="23"/>
        <v>16800</v>
      </c>
      <c r="Q262" s="118">
        <f t="shared" si="21"/>
        <v>7600</v>
      </c>
      <c r="R262" s="104">
        <f t="shared" si="22"/>
        <v>0.68852459016393441</v>
      </c>
      <c r="S262" s="178">
        <f>(SUM(P261:P264)/(SUM(P261:Q264)))</f>
        <v>0.8653601425299059</v>
      </c>
      <c r="T262" s="63"/>
      <c r="U262" s="63"/>
      <c r="V262" s="63"/>
      <c r="W262" s="60" t="s">
        <v>204</v>
      </c>
      <c r="Y262" s="87"/>
      <c r="Z262" s="329"/>
      <c r="AA262" s="118"/>
      <c r="AB262" s="118"/>
    </row>
    <row r="263" spans="1:29" s="60" customFormat="1" x14ac:dyDescent="0.2">
      <c r="A263" s="57">
        <v>42901</v>
      </c>
      <c r="B263" s="409">
        <v>7</v>
      </c>
      <c r="C263" s="58"/>
      <c r="D263" s="59" t="s">
        <v>74</v>
      </c>
      <c r="E263" s="60">
        <v>2</v>
      </c>
      <c r="F263" s="87">
        <v>100</v>
      </c>
      <c r="G263" s="87">
        <v>1</v>
      </c>
      <c r="H263" s="149">
        <v>700</v>
      </c>
      <c r="I263" s="60">
        <v>122</v>
      </c>
      <c r="J263" s="60">
        <v>1</v>
      </c>
      <c r="K263" s="60">
        <v>135</v>
      </c>
      <c r="L263" s="60">
        <v>0</v>
      </c>
      <c r="M263" s="60">
        <v>128</v>
      </c>
      <c r="N263" s="60">
        <v>0</v>
      </c>
      <c r="P263" s="118">
        <f t="shared" si="23"/>
        <v>89833.333333333343</v>
      </c>
      <c r="Q263" s="118">
        <f t="shared" si="21"/>
        <v>233.33333333333331</v>
      </c>
      <c r="R263" s="104">
        <f t="shared" si="22"/>
        <v>0.99740932642487057</v>
      </c>
      <c r="S263" s="179"/>
      <c r="T263" s="63"/>
      <c r="U263" s="63"/>
      <c r="V263" s="63"/>
      <c r="W263" s="60" t="s">
        <v>204</v>
      </c>
      <c r="Y263" s="87"/>
      <c r="Z263" s="329"/>
      <c r="AA263" s="118"/>
      <c r="AB263" s="118"/>
    </row>
    <row r="264" spans="1:29" s="60" customFormat="1" x14ac:dyDescent="0.2">
      <c r="A264" s="57">
        <v>42901</v>
      </c>
      <c r="B264" s="409">
        <v>7</v>
      </c>
      <c r="C264" s="58"/>
      <c r="D264" s="59" t="s">
        <v>74</v>
      </c>
      <c r="E264" s="60">
        <v>2</v>
      </c>
      <c r="F264" s="87" t="s">
        <v>201</v>
      </c>
      <c r="G264" s="87">
        <v>1</v>
      </c>
      <c r="H264" s="149">
        <v>300</v>
      </c>
      <c r="I264" s="60">
        <v>16</v>
      </c>
      <c r="J264" s="60">
        <v>29</v>
      </c>
      <c r="K264" s="60">
        <v>7</v>
      </c>
      <c r="L264" s="60">
        <v>33</v>
      </c>
      <c r="M264" s="60">
        <v>28</v>
      </c>
      <c r="N264" s="60">
        <v>24</v>
      </c>
      <c r="P264" s="118">
        <f t="shared" si="23"/>
        <v>5100</v>
      </c>
      <c r="Q264" s="118">
        <f t="shared" si="21"/>
        <v>8600</v>
      </c>
      <c r="R264" s="104">
        <f t="shared" si="22"/>
        <v>0.37226277372262773</v>
      </c>
      <c r="S264" s="179"/>
      <c r="T264" s="63"/>
      <c r="U264" s="63"/>
      <c r="V264" s="63"/>
      <c r="W264" s="60" t="s">
        <v>204</v>
      </c>
      <c r="Y264" s="87"/>
      <c r="Z264" s="329"/>
      <c r="AA264" s="118"/>
      <c r="AB264" s="118"/>
    </row>
    <row r="265" spans="1:29" s="60" customFormat="1" x14ac:dyDescent="0.2">
      <c r="A265" s="57">
        <v>42901</v>
      </c>
      <c r="B265" s="118">
        <v>8</v>
      </c>
      <c r="C265" s="58"/>
      <c r="D265" s="60" t="s">
        <v>85</v>
      </c>
      <c r="E265" s="60">
        <v>3</v>
      </c>
      <c r="F265" s="87">
        <v>224</v>
      </c>
      <c r="G265" s="87">
        <v>1</v>
      </c>
      <c r="H265" s="60">
        <v>150</v>
      </c>
      <c r="I265" s="60">
        <v>11</v>
      </c>
      <c r="J265" s="60">
        <v>4</v>
      </c>
      <c r="K265" s="60">
        <v>8</v>
      </c>
      <c r="L265" s="60">
        <v>0</v>
      </c>
      <c r="M265" s="60">
        <v>5</v>
      </c>
      <c r="N265" s="60">
        <v>0</v>
      </c>
      <c r="P265" s="118">
        <f t="shared" si="23"/>
        <v>1200</v>
      </c>
      <c r="Q265" s="118">
        <f t="shared" si="21"/>
        <v>200</v>
      </c>
      <c r="R265" s="104">
        <f t="shared" si="22"/>
        <v>0.8571428571428571</v>
      </c>
      <c r="S265" s="180" t="str">
        <f>D265</f>
        <v>NF-6 Ambient</v>
      </c>
      <c r="T265" s="63"/>
      <c r="U265" s="63"/>
      <c r="V265" s="63"/>
      <c r="Y265" s="87" t="str">
        <f>D265</f>
        <v>NF-6 Ambient</v>
      </c>
      <c r="Z265" s="323">
        <f>SUMIFS($P$189:$P$248, $D$189:$D$248, Y265, $F$189:$F$248, "&lt;200") + SUMIFS($Q$189:$Q$248, $D$189:$D$248, Y265, $F$189:$F$248, "&lt;200")</f>
        <v>45686.666666666672</v>
      </c>
      <c r="AA265" s="118">
        <f>SUM(P265:Q268)</f>
        <v>30173.333333333328</v>
      </c>
      <c r="AB265" s="118">
        <f>SUMIFS(Collection!O:O, Collection!B:B, "*" &amp; 'Bucket Counts'!Y265 &amp; "*", Collection!A:A, "&lt;" &amp; 'Bucket Counts'!A265,Collection!A:A,  "&gt;=" &amp; 'Bucket Counts'!$A$189)</f>
        <v>0</v>
      </c>
      <c r="AC265" s="104">
        <f>AA265/(Z265+AB265)</f>
        <v>0.66044068291259284</v>
      </c>
    </row>
    <row r="266" spans="1:29" s="60" customFormat="1" x14ac:dyDescent="0.2">
      <c r="A266" s="57">
        <v>42901</v>
      </c>
      <c r="B266" s="118">
        <v>8</v>
      </c>
      <c r="C266" s="58"/>
      <c r="D266" s="60" t="s">
        <v>85</v>
      </c>
      <c r="E266" s="60">
        <v>3</v>
      </c>
      <c r="F266" s="87">
        <v>180</v>
      </c>
      <c r="G266" s="87">
        <v>1</v>
      </c>
      <c r="H266" s="60">
        <v>700</v>
      </c>
      <c r="I266" s="60">
        <v>28</v>
      </c>
      <c r="J266" s="60">
        <v>7</v>
      </c>
      <c r="K266" s="60">
        <v>35</v>
      </c>
      <c r="L266" s="60">
        <v>4</v>
      </c>
      <c r="M266" s="60">
        <v>28</v>
      </c>
      <c r="N266" s="60">
        <v>2</v>
      </c>
      <c r="P266" s="118">
        <f t="shared" si="23"/>
        <v>21233.333333333332</v>
      </c>
      <c r="Q266" s="118">
        <f t="shared" si="21"/>
        <v>3033.333333333333</v>
      </c>
      <c r="R266" s="104">
        <f t="shared" si="22"/>
        <v>0.875</v>
      </c>
      <c r="S266" s="178">
        <f>(SUM(P265:P268)/(SUM(P265:Q268)))</f>
        <v>0.83241272646928866</v>
      </c>
      <c r="T266" s="63"/>
      <c r="U266" s="63"/>
      <c r="V266" s="63"/>
      <c r="Y266" s="87"/>
      <c r="Z266" s="329"/>
      <c r="AA266" s="118"/>
      <c r="AB266" s="118"/>
    </row>
    <row r="267" spans="1:29" s="60" customFormat="1" x14ac:dyDescent="0.2">
      <c r="A267" s="57">
        <v>42901</v>
      </c>
      <c r="B267" s="118">
        <v>8</v>
      </c>
      <c r="C267" s="58"/>
      <c r="D267" s="60" t="s">
        <v>85</v>
      </c>
      <c r="E267" s="60">
        <v>3</v>
      </c>
      <c r="F267" s="87">
        <v>100</v>
      </c>
      <c r="G267" s="87">
        <v>1</v>
      </c>
      <c r="H267" s="60">
        <v>350</v>
      </c>
      <c r="I267" s="60">
        <v>8</v>
      </c>
      <c r="J267" s="60">
        <v>1</v>
      </c>
      <c r="K267" s="60">
        <v>9</v>
      </c>
      <c r="L267" s="60">
        <v>0</v>
      </c>
      <c r="M267" s="60">
        <v>6</v>
      </c>
      <c r="N267" s="60">
        <v>2</v>
      </c>
      <c r="P267" s="118">
        <f t="shared" si="23"/>
        <v>2683.3333333333335</v>
      </c>
      <c r="Q267" s="118">
        <f t="shared" si="21"/>
        <v>350</v>
      </c>
      <c r="R267" s="104">
        <f t="shared" si="22"/>
        <v>0.88461538461538458</v>
      </c>
      <c r="S267" s="179"/>
      <c r="T267" s="63"/>
      <c r="U267" s="63"/>
      <c r="V267" s="63"/>
      <c r="Y267" s="87"/>
      <c r="Z267" s="329"/>
      <c r="AA267" s="118"/>
      <c r="AB267" s="118"/>
    </row>
    <row r="268" spans="1:29" s="60" customFormat="1" x14ac:dyDescent="0.2">
      <c r="A268" s="57">
        <v>42901</v>
      </c>
      <c r="B268" s="118">
        <v>8</v>
      </c>
      <c r="C268" s="58"/>
      <c r="D268" s="60" t="s">
        <v>85</v>
      </c>
      <c r="E268" s="60">
        <v>3</v>
      </c>
      <c r="F268" s="87" t="s">
        <v>201</v>
      </c>
      <c r="G268" s="87">
        <v>1</v>
      </c>
      <c r="H268" s="60">
        <v>340</v>
      </c>
      <c r="I268" s="60">
        <v>0</v>
      </c>
      <c r="J268" s="60">
        <v>5</v>
      </c>
      <c r="K268" s="60">
        <v>0</v>
      </c>
      <c r="L268" s="60">
        <v>2</v>
      </c>
      <c r="M268" s="60">
        <v>0</v>
      </c>
      <c r="N268" s="60">
        <v>6</v>
      </c>
      <c r="P268" s="118">
        <f t="shared" si="23"/>
        <v>0</v>
      </c>
      <c r="Q268" s="118">
        <f t="shared" si="21"/>
        <v>1473.3333333333333</v>
      </c>
      <c r="R268" s="104">
        <f t="shared" si="22"/>
        <v>0</v>
      </c>
      <c r="S268" s="179"/>
      <c r="T268" s="63"/>
      <c r="U268" s="63"/>
      <c r="V268" s="63"/>
      <c r="Y268" s="87"/>
      <c r="Z268" s="329"/>
      <c r="AA268" s="118"/>
      <c r="AB268" s="118"/>
    </row>
    <row r="269" spans="1:29" s="60" customFormat="1" x14ac:dyDescent="0.2">
      <c r="A269" s="57">
        <v>42901</v>
      </c>
      <c r="B269" s="118">
        <v>12</v>
      </c>
      <c r="C269" s="58"/>
      <c r="D269" s="60" t="s">
        <v>83</v>
      </c>
      <c r="E269" s="60">
        <v>3</v>
      </c>
      <c r="F269" s="87">
        <v>224</v>
      </c>
      <c r="G269" s="87">
        <v>1</v>
      </c>
      <c r="H269" s="60">
        <v>400</v>
      </c>
      <c r="I269" s="60">
        <v>6</v>
      </c>
      <c r="J269" s="60">
        <v>3</v>
      </c>
      <c r="K269" s="60">
        <v>6</v>
      </c>
      <c r="L269" s="60">
        <v>3</v>
      </c>
      <c r="M269" s="60">
        <v>2</v>
      </c>
      <c r="N269" s="60">
        <v>2</v>
      </c>
      <c r="P269" s="118">
        <f t="shared" si="23"/>
        <v>1866.6666666666667</v>
      </c>
      <c r="Q269" s="118">
        <f t="shared" si="21"/>
        <v>1066.6666666666665</v>
      </c>
      <c r="R269" s="104">
        <f t="shared" si="22"/>
        <v>0.63636363636363646</v>
      </c>
      <c r="S269" s="180" t="str">
        <f>D269</f>
        <v>NF-10 Low</v>
      </c>
      <c r="T269" s="63"/>
      <c r="U269" s="63"/>
      <c r="V269" s="63"/>
      <c r="Y269" s="87" t="str">
        <f>D269</f>
        <v>NF-10 Low</v>
      </c>
      <c r="Z269" s="323">
        <f>SUMIFS($P$189:$P$248, $D$189:$D$248, Y269, $F$189:$F$248, "&lt;200") + SUMIFS($Q$189:$Q$248, $D$189:$D$248, Y269, $F$189:$F$248, "&lt;200")</f>
        <v>48113.333333333336</v>
      </c>
      <c r="AA269" s="118">
        <f>SUM(P269:Q272)</f>
        <v>30950</v>
      </c>
      <c r="AB269" s="118">
        <f>SUMIFS(Collection!O:O, Collection!B:B, "*" &amp; 'Bucket Counts'!Y269 &amp; "*", Collection!A:A, "&lt;" &amp; 'Bucket Counts'!A269,Collection!A:A,  "&gt;=" &amp; 'Bucket Counts'!$A$189)</f>
        <v>0</v>
      </c>
      <c r="AC269" s="104">
        <f>AA269/(Z269+AB269)</f>
        <v>0.64327282804489394</v>
      </c>
    </row>
    <row r="270" spans="1:29" s="60" customFormat="1" x14ac:dyDescent="0.2">
      <c r="A270" s="57">
        <v>42901</v>
      </c>
      <c r="B270" s="118">
        <v>12</v>
      </c>
      <c r="C270" s="58"/>
      <c r="D270" s="60" t="s">
        <v>83</v>
      </c>
      <c r="E270" s="60">
        <v>3</v>
      </c>
      <c r="F270" s="87">
        <v>180</v>
      </c>
      <c r="G270" s="87">
        <v>1</v>
      </c>
      <c r="H270" s="60">
        <v>575</v>
      </c>
      <c r="I270" s="60">
        <v>40</v>
      </c>
      <c r="J270" s="60">
        <v>13</v>
      </c>
      <c r="K270" s="60">
        <v>42</v>
      </c>
      <c r="L270" s="60">
        <v>10</v>
      </c>
      <c r="M270" s="60">
        <v>20</v>
      </c>
      <c r="N270" s="60">
        <v>9</v>
      </c>
      <c r="P270" s="118">
        <f t="shared" si="23"/>
        <v>19550</v>
      </c>
      <c r="Q270" s="118">
        <f t="shared" si="21"/>
        <v>6133.333333333333</v>
      </c>
      <c r="R270" s="104">
        <f t="shared" si="22"/>
        <v>0.76119402985074636</v>
      </c>
      <c r="S270" s="178">
        <f>(SUM(P269:P272)/(SUM(P269:Q272)))</f>
        <v>0.73128702207862151</v>
      </c>
      <c r="T270" s="63"/>
      <c r="Y270" s="87"/>
      <c r="Z270" s="329"/>
      <c r="AA270" s="118"/>
      <c r="AB270" s="118"/>
    </row>
    <row r="271" spans="1:29" s="60" customFormat="1" x14ac:dyDescent="0.2">
      <c r="A271" s="57">
        <v>42901</v>
      </c>
      <c r="B271" s="118">
        <v>12</v>
      </c>
      <c r="C271" s="58"/>
      <c r="D271" s="60" t="s">
        <v>83</v>
      </c>
      <c r="E271" s="60">
        <v>3</v>
      </c>
      <c r="F271" s="87">
        <v>100</v>
      </c>
      <c r="G271" s="87">
        <v>1</v>
      </c>
      <c r="H271" s="60">
        <v>300</v>
      </c>
      <c r="I271" s="60">
        <v>5</v>
      </c>
      <c r="J271" s="60">
        <v>1</v>
      </c>
      <c r="K271" s="60">
        <v>5</v>
      </c>
      <c r="L271" s="60">
        <v>0</v>
      </c>
      <c r="M271" s="60">
        <v>1</v>
      </c>
      <c r="N271" s="60">
        <v>2</v>
      </c>
      <c r="P271" s="118">
        <f t="shared" si="23"/>
        <v>1100</v>
      </c>
      <c r="Q271" s="118">
        <f t="shared" si="21"/>
        <v>300</v>
      </c>
      <c r="R271" s="104">
        <f t="shared" si="22"/>
        <v>0.7857142857142857</v>
      </c>
      <c r="S271" s="179"/>
      <c r="T271" s="63"/>
      <c r="Y271" s="87"/>
      <c r="Z271" s="329"/>
      <c r="AA271" s="118"/>
      <c r="AB271" s="118"/>
    </row>
    <row r="272" spans="1:29" s="60" customFormat="1" x14ac:dyDescent="0.2">
      <c r="A272" s="57">
        <v>42901</v>
      </c>
      <c r="B272" s="118">
        <v>12</v>
      </c>
      <c r="C272" s="58"/>
      <c r="D272" s="60" t="s">
        <v>83</v>
      </c>
      <c r="E272" s="60">
        <v>3</v>
      </c>
      <c r="F272" s="87" t="s">
        <v>201</v>
      </c>
      <c r="G272" s="87">
        <v>1</v>
      </c>
      <c r="H272" s="60">
        <v>350</v>
      </c>
      <c r="I272" s="60">
        <v>0</v>
      </c>
      <c r="J272" s="60">
        <v>1</v>
      </c>
      <c r="K272" s="60">
        <v>0</v>
      </c>
      <c r="L272" s="60">
        <v>4</v>
      </c>
      <c r="M272" s="60">
        <v>1</v>
      </c>
      <c r="N272" s="60">
        <v>2</v>
      </c>
      <c r="P272" s="118">
        <f t="shared" si="23"/>
        <v>116.66666666666666</v>
      </c>
      <c r="Q272" s="118">
        <f t="shared" si="21"/>
        <v>816.66666666666674</v>
      </c>
      <c r="R272" s="104">
        <f t="shared" si="22"/>
        <v>0.12499999999999999</v>
      </c>
      <c r="S272" s="179"/>
      <c r="T272" s="63"/>
      <c r="Y272" s="87"/>
      <c r="Z272" s="329"/>
      <c r="AA272" s="118"/>
      <c r="AB272" s="118"/>
    </row>
    <row r="273" spans="1:29" s="60" customFormat="1" x14ac:dyDescent="0.2">
      <c r="A273" s="57">
        <v>42901</v>
      </c>
      <c r="B273" s="409">
        <v>23</v>
      </c>
      <c r="C273" s="58"/>
      <c r="D273" s="59" t="s">
        <v>21</v>
      </c>
      <c r="E273" s="60">
        <v>4</v>
      </c>
      <c r="F273" s="87">
        <v>224</v>
      </c>
      <c r="G273" s="87">
        <v>1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P273" s="118">
        <f t="shared" si="23"/>
        <v>0</v>
      </c>
      <c r="Q273" s="118">
        <f t="shared" si="21"/>
        <v>0</v>
      </c>
      <c r="R273" s="104" t="e">
        <f t="shared" si="22"/>
        <v>#DIV/0!</v>
      </c>
      <c r="S273" s="177" t="str">
        <f>D273</f>
        <v>HL-6 Low</v>
      </c>
      <c r="T273" s="63"/>
      <c r="Y273" s="87" t="str">
        <f>D273</f>
        <v>HL-6 Low</v>
      </c>
      <c r="Z273" s="323">
        <f>SUMIFS($P$189:$P$248, $D$189:$D$248, Y273, $F$189:$F$248, "&lt;200") + SUMIFS($Q$189:$Q$248, $D$189:$D$248, Y273, $F$189:$F$248, "&lt;200")</f>
        <v>71866.666666666657</v>
      </c>
      <c r="AA273" s="118">
        <f>SUM(P273:Q276)</f>
        <v>29000</v>
      </c>
      <c r="AB273" s="118">
        <f>SUMIFS(Collection!O:O, Collection!B:B, "*" &amp; 'Bucket Counts'!Y273 &amp; "*", Collection!A:A, "&lt;" &amp; 'Bucket Counts'!A273,Collection!A:A,  "&gt;=" &amp; 'Bucket Counts'!$A$189)</f>
        <v>0</v>
      </c>
      <c r="AC273" s="104">
        <f>AA273/(Z273+AB273)</f>
        <v>0.40352504638218928</v>
      </c>
    </row>
    <row r="274" spans="1:29" s="60" customFormat="1" x14ac:dyDescent="0.2">
      <c r="A274" s="57">
        <v>42901</v>
      </c>
      <c r="B274" s="409">
        <v>23</v>
      </c>
      <c r="C274" s="58"/>
      <c r="D274" s="59" t="s">
        <v>21</v>
      </c>
      <c r="E274" s="60">
        <v>4</v>
      </c>
      <c r="F274" s="87">
        <v>180</v>
      </c>
      <c r="G274" s="87">
        <v>1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P274" s="118">
        <f t="shared" si="23"/>
        <v>0</v>
      </c>
      <c r="Q274" s="118">
        <f t="shared" si="21"/>
        <v>0</v>
      </c>
      <c r="R274" s="104" t="e">
        <f t="shared" si="22"/>
        <v>#DIV/0!</v>
      </c>
      <c r="S274" s="178">
        <f>(SUM(P273:P276)/(SUM(P273:Q276)))</f>
        <v>0.97701149425287348</v>
      </c>
      <c r="T274" s="63"/>
      <c r="Y274" s="87"/>
      <c r="Z274" s="329"/>
      <c r="AA274" s="118"/>
      <c r="AB274" s="118"/>
    </row>
    <row r="275" spans="1:29" s="60" customFormat="1" x14ac:dyDescent="0.2">
      <c r="A275" s="57">
        <v>42901</v>
      </c>
      <c r="B275" s="409">
        <v>23</v>
      </c>
      <c r="C275" s="58"/>
      <c r="D275" s="59" t="s">
        <v>21</v>
      </c>
      <c r="E275" s="60">
        <v>4</v>
      </c>
      <c r="F275" s="87">
        <v>100</v>
      </c>
      <c r="G275" s="87">
        <v>1</v>
      </c>
      <c r="H275" s="148">
        <v>500</v>
      </c>
      <c r="I275" s="60">
        <v>40</v>
      </c>
      <c r="J275" s="60">
        <v>0</v>
      </c>
      <c r="K275" s="60">
        <v>53</v>
      </c>
      <c r="L275" s="60">
        <v>0</v>
      </c>
      <c r="M275" s="60">
        <v>77</v>
      </c>
      <c r="N275" s="60">
        <v>0</v>
      </c>
      <c r="P275" s="118">
        <f t="shared" si="23"/>
        <v>28333.333333333332</v>
      </c>
      <c r="Q275" s="118">
        <f t="shared" si="21"/>
        <v>0</v>
      </c>
      <c r="R275" s="104">
        <f t="shared" si="22"/>
        <v>1</v>
      </c>
      <c r="S275" s="176"/>
      <c r="T275" s="63"/>
      <c r="Y275" s="87"/>
      <c r="Z275" s="329"/>
      <c r="AA275" s="118"/>
      <c r="AB275" s="118"/>
    </row>
    <row r="276" spans="1:29" s="60" customFormat="1" x14ac:dyDescent="0.2">
      <c r="A276" s="57">
        <v>42901</v>
      </c>
      <c r="B276" s="409">
        <v>23</v>
      </c>
      <c r="C276" s="58"/>
      <c r="D276" s="59" t="s">
        <v>21</v>
      </c>
      <c r="E276" s="60">
        <v>4</v>
      </c>
      <c r="F276" s="87" t="s">
        <v>201</v>
      </c>
      <c r="G276" s="87">
        <v>1</v>
      </c>
      <c r="H276" s="148">
        <v>400</v>
      </c>
      <c r="I276" s="60">
        <v>0</v>
      </c>
      <c r="J276" s="60">
        <v>1</v>
      </c>
      <c r="K276" s="60">
        <v>0</v>
      </c>
      <c r="L276" s="60">
        <v>1</v>
      </c>
      <c r="M276" s="60">
        <v>0</v>
      </c>
      <c r="N276" s="60">
        <v>3</v>
      </c>
      <c r="P276" s="118">
        <f>(AVERAGE(I276,K276,M276)/G276)*H276</f>
        <v>0</v>
      </c>
      <c r="Q276" s="118">
        <f t="shared" si="21"/>
        <v>666.66666666666674</v>
      </c>
      <c r="R276" s="104">
        <f t="shared" si="22"/>
        <v>0</v>
      </c>
      <c r="S276" s="179"/>
      <c r="T276" s="63"/>
      <c r="Y276" s="87"/>
      <c r="Z276" s="329"/>
      <c r="AA276" s="118"/>
      <c r="AB276" s="118"/>
    </row>
    <row r="277" spans="1:29" s="60" customFormat="1" x14ac:dyDescent="0.2">
      <c r="A277" s="57">
        <v>42901</v>
      </c>
      <c r="B277" s="409">
        <v>24</v>
      </c>
      <c r="C277" s="58"/>
      <c r="D277" s="59" t="s">
        <v>118</v>
      </c>
      <c r="E277" s="60">
        <v>4</v>
      </c>
      <c r="F277" s="87">
        <v>224</v>
      </c>
      <c r="G277" s="87">
        <v>1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P277" s="118">
        <f t="shared" si="23"/>
        <v>0</v>
      </c>
      <c r="Q277" s="118">
        <f t="shared" si="21"/>
        <v>0</v>
      </c>
      <c r="R277" s="104" t="e">
        <f t="shared" si="22"/>
        <v>#DIV/0!</v>
      </c>
      <c r="S277" s="180" t="str">
        <f>D277</f>
        <v>HL-6 Ambient</v>
      </c>
      <c r="T277" s="63"/>
      <c r="Y277" s="87" t="str">
        <f>D277</f>
        <v>HL-6 Ambient</v>
      </c>
      <c r="Z277" s="323">
        <f>SUMIFS($P$189:$P$248, $D$189:$D$248, Y277, $F$189:$F$248, "&lt;200") + SUMIFS($Q$189:$Q$248, $D$189:$D$248, Y277, $F$189:$F$248, "&lt;200")</f>
        <v>0</v>
      </c>
      <c r="AA277" s="118">
        <f>SUM(P277:Q280)</f>
        <v>66200</v>
      </c>
      <c r="AB277" s="118">
        <f>SUMIFS(Collection!O:O, Collection!B:B, "*" &amp; 'Bucket Counts'!Y277 &amp; "*", Collection!A:A, "&lt;" &amp; 'Bucket Counts'!A277,Collection!A:A,  "&gt;=" &amp; 'Bucket Counts'!$A$189)</f>
        <v>65666.666666666672</v>
      </c>
      <c r="AC277" s="104">
        <f>AA277/(Z277+AB277)</f>
        <v>1.0081218274111674</v>
      </c>
    </row>
    <row r="278" spans="1:29" s="60" customFormat="1" x14ac:dyDescent="0.2">
      <c r="A278" s="57">
        <v>42901</v>
      </c>
      <c r="B278" s="409">
        <v>24</v>
      </c>
      <c r="C278" s="58"/>
      <c r="D278" s="59" t="s">
        <v>118</v>
      </c>
      <c r="E278" s="60">
        <v>4</v>
      </c>
      <c r="F278" s="87">
        <v>180</v>
      </c>
      <c r="G278" s="87">
        <v>1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P278" s="118">
        <f t="shared" si="23"/>
        <v>0</v>
      </c>
      <c r="Q278" s="118">
        <f t="shared" si="21"/>
        <v>0</v>
      </c>
      <c r="R278" s="104" t="e">
        <f t="shared" si="22"/>
        <v>#DIV/0!</v>
      </c>
      <c r="S278" s="178">
        <f>(SUM(P277:P280)/(SUM(P277:Q280)))</f>
        <v>0.97079556898288022</v>
      </c>
      <c r="T278" s="63"/>
      <c r="Y278" s="87"/>
      <c r="Z278" s="329"/>
      <c r="AA278" s="118"/>
      <c r="AB278" s="118"/>
    </row>
    <row r="279" spans="1:29" s="60" customFormat="1" x14ac:dyDescent="0.2">
      <c r="A279" s="57">
        <v>42901</v>
      </c>
      <c r="B279" s="409">
        <v>24</v>
      </c>
      <c r="C279" s="58"/>
      <c r="D279" s="59" t="s">
        <v>118</v>
      </c>
      <c r="E279" s="60">
        <v>4</v>
      </c>
      <c r="F279" s="87">
        <v>100</v>
      </c>
      <c r="G279" s="87">
        <v>1</v>
      </c>
      <c r="H279" s="148">
        <v>500</v>
      </c>
      <c r="I279" s="60">
        <v>107</v>
      </c>
      <c r="J279" s="60">
        <v>0</v>
      </c>
      <c r="K279" s="60">
        <v>102</v>
      </c>
      <c r="L279" s="60">
        <v>1</v>
      </c>
      <c r="M279" s="60">
        <v>123</v>
      </c>
      <c r="N279" s="60">
        <v>1</v>
      </c>
      <c r="P279" s="118">
        <f t="shared" si="23"/>
        <v>55333.333333333336</v>
      </c>
      <c r="Q279" s="118">
        <f t="shared" si="21"/>
        <v>333.33333333333331</v>
      </c>
      <c r="R279" s="104">
        <f t="shared" si="22"/>
        <v>0.99401197604790414</v>
      </c>
      <c r="S279" s="179"/>
      <c r="T279" s="63"/>
      <c r="Y279" s="87"/>
      <c r="Z279" s="329"/>
      <c r="AA279" s="118"/>
      <c r="AB279" s="118"/>
    </row>
    <row r="280" spans="1:29" s="60" customFormat="1" x14ac:dyDescent="0.2">
      <c r="A280" s="57">
        <v>42901</v>
      </c>
      <c r="B280" s="409">
        <v>24</v>
      </c>
      <c r="C280" s="58"/>
      <c r="D280" s="59" t="s">
        <v>118</v>
      </c>
      <c r="E280" s="60">
        <v>4</v>
      </c>
      <c r="F280" s="87" t="s">
        <v>201</v>
      </c>
      <c r="G280" s="87">
        <v>1</v>
      </c>
      <c r="H280" s="148">
        <v>400</v>
      </c>
      <c r="I280" s="60">
        <v>22</v>
      </c>
      <c r="J280" s="60">
        <v>6</v>
      </c>
      <c r="K280" s="60">
        <v>17</v>
      </c>
      <c r="L280" s="60">
        <v>4</v>
      </c>
      <c r="M280" s="60">
        <v>28</v>
      </c>
      <c r="N280" s="60">
        <v>2</v>
      </c>
      <c r="P280" s="118">
        <f t="shared" si="23"/>
        <v>8933.3333333333321</v>
      </c>
      <c r="Q280" s="118">
        <f t="shared" si="21"/>
        <v>1600</v>
      </c>
      <c r="R280" s="104">
        <f t="shared" si="22"/>
        <v>0.84810126582278478</v>
      </c>
      <c r="S280" s="179"/>
      <c r="T280" s="63"/>
      <c r="Y280" s="87"/>
      <c r="Z280" s="329"/>
      <c r="AA280" s="118"/>
      <c r="AB280" s="118"/>
    </row>
    <row r="281" spans="1:29" s="60" customFormat="1" x14ac:dyDescent="0.2">
      <c r="A281" s="57">
        <v>42901</v>
      </c>
      <c r="B281" s="118">
        <v>3</v>
      </c>
      <c r="C281" s="58"/>
      <c r="D281" s="60" t="s">
        <v>84</v>
      </c>
      <c r="E281" s="60">
        <v>5</v>
      </c>
      <c r="F281" s="87">
        <v>224</v>
      </c>
      <c r="G281" s="60">
        <v>1</v>
      </c>
      <c r="H281" s="60">
        <v>350</v>
      </c>
      <c r="I281" s="60">
        <v>1</v>
      </c>
      <c r="J281" s="60">
        <v>0</v>
      </c>
      <c r="K281" s="60">
        <v>0</v>
      </c>
      <c r="L281" s="60">
        <v>1</v>
      </c>
      <c r="M281" s="60">
        <v>3</v>
      </c>
      <c r="N281" s="60">
        <v>0</v>
      </c>
      <c r="P281" s="118">
        <f t="shared" si="23"/>
        <v>466.66666666666663</v>
      </c>
      <c r="Q281" s="118">
        <f t="shared" si="21"/>
        <v>116.66666666666666</v>
      </c>
      <c r="R281" s="104">
        <f t="shared" si="22"/>
        <v>0.8</v>
      </c>
      <c r="S281" s="180" t="str">
        <f>D281</f>
        <v>NF-10 Ambient</v>
      </c>
      <c r="Y281" s="87" t="str">
        <f>D281</f>
        <v>NF-10 Ambient</v>
      </c>
      <c r="Z281" s="323">
        <f>SUMIFS($P$189:$P$248, $D$189:$D$248, Y281, $F$189:$F$248, "&lt;200") + SUMIFS($Q$189:$Q$248, $D$189:$D$248, Y281, $F$189:$F$248, "&lt;200")</f>
        <v>82966.666666666657</v>
      </c>
      <c r="AA281" s="118">
        <f>SUM(P281:Q284)</f>
        <v>121966.66666666666</v>
      </c>
      <c r="AB281" s="118">
        <f>SUMIFS(Collection!O:O, Collection!B:B, "*" &amp; 'Bucket Counts'!Y281 &amp; "*", Collection!A:A, "&lt;" &amp; 'Bucket Counts'!A281,Collection!A:A,  "&gt;=" &amp; 'Bucket Counts'!$A$189)</f>
        <v>57866.666666666664</v>
      </c>
      <c r="AC281" s="104">
        <f>AA281/(Z281+AB281)</f>
        <v>0.86603550295857989</v>
      </c>
    </row>
    <row r="282" spans="1:29" s="60" customFormat="1" x14ac:dyDescent="0.2">
      <c r="A282" s="57">
        <v>42901</v>
      </c>
      <c r="B282" s="118">
        <v>3</v>
      </c>
      <c r="C282" s="58"/>
      <c r="D282" s="60" t="s">
        <v>84</v>
      </c>
      <c r="E282" s="60">
        <v>5</v>
      </c>
      <c r="F282" s="87">
        <v>180</v>
      </c>
      <c r="G282" s="60">
        <v>1</v>
      </c>
      <c r="H282" s="60">
        <v>550</v>
      </c>
      <c r="I282" s="60">
        <v>25</v>
      </c>
      <c r="J282" s="60">
        <v>0</v>
      </c>
      <c r="K282" s="60">
        <v>37</v>
      </c>
      <c r="L282" s="60">
        <v>7</v>
      </c>
      <c r="M282" s="60">
        <v>22</v>
      </c>
      <c r="N282" s="60">
        <v>1</v>
      </c>
      <c r="P282" s="118">
        <f t="shared" si="23"/>
        <v>15400</v>
      </c>
      <c r="Q282" s="118">
        <f t="shared" si="21"/>
        <v>1466.6666666666665</v>
      </c>
      <c r="R282" s="104">
        <f t="shared" si="22"/>
        <v>0.91304347826086951</v>
      </c>
      <c r="S282" s="178">
        <f>(SUM(P281:P284)/(SUM(P281:Q284)))</f>
        <v>0.77275211806504518</v>
      </c>
      <c r="Y282" s="87"/>
      <c r="Z282" s="329"/>
      <c r="AA282" s="118"/>
      <c r="AB282" s="118"/>
    </row>
    <row r="283" spans="1:29" s="60" customFormat="1" x14ac:dyDescent="0.2">
      <c r="A283" s="57">
        <v>42901</v>
      </c>
      <c r="B283" s="118">
        <v>3</v>
      </c>
      <c r="C283" s="58"/>
      <c r="D283" s="60" t="s">
        <v>84</v>
      </c>
      <c r="E283" s="60">
        <v>5</v>
      </c>
      <c r="F283" s="87">
        <v>100</v>
      </c>
      <c r="G283" s="60">
        <v>1</v>
      </c>
      <c r="H283" s="60">
        <v>550</v>
      </c>
      <c r="I283" s="60">
        <v>121</v>
      </c>
      <c r="J283" s="60">
        <v>4</v>
      </c>
      <c r="K283" s="60">
        <v>141</v>
      </c>
      <c r="L283" s="60">
        <v>1</v>
      </c>
      <c r="M283" s="60">
        <v>151</v>
      </c>
      <c r="N283" s="60">
        <v>3</v>
      </c>
      <c r="P283" s="118">
        <f t="shared" si="23"/>
        <v>75716.666666666657</v>
      </c>
      <c r="Q283" s="118">
        <f t="shared" si="21"/>
        <v>1466.6666666666665</v>
      </c>
      <c r="R283" s="104">
        <f t="shared" si="22"/>
        <v>0.98099762470308782</v>
      </c>
      <c r="S283" s="179"/>
      <c r="Y283" s="87"/>
      <c r="Z283" s="329"/>
      <c r="AA283" s="118"/>
      <c r="AB283" s="118"/>
    </row>
    <row r="284" spans="1:29" s="60" customFormat="1" x14ac:dyDescent="0.2">
      <c r="A284" s="57">
        <v>42901</v>
      </c>
      <c r="B284" s="118">
        <v>3</v>
      </c>
      <c r="C284" s="58"/>
      <c r="D284" s="60" t="s">
        <v>84</v>
      </c>
      <c r="E284" s="60">
        <v>5</v>
      </c>
      <c r="F284" s="87" t="s">
        <v>201</v>
      </c>
      <c r="G284" s="60">
        <v>1</v>
      </c>
      <c r="H284" s="60">
        <v>400</v>
      </c>
      <c r="I284" s="60">
        <v>9</v>
      </c>
      <c r="J284" s="60">
        <v>85</v>
      </c>
      <c r="K284" s="60">
        <v>8</v>
      </c>
      <c r="L284" s="60">
        <v>62</v>
      </c>
      <c r="M284" s="60">
        <v>3</v>
      </c>
      <c r="N284" s="60">
        <v>38</v>
      </c>
      <c r="P284" s="118">
        <f t="shared" si="23"/>
        <v>2666.666666666667</v>
      </c>
      <c r="Q284" s="118">
        <f t="shared" si="21"/>
        <v>24666.666666666664</v>
      </c>
      <c r="R284" s="104">
        <f t="shared" si="22"/>
        <v>9.7560975609756115E-2</v>
      </c>
      <c r="S284" s="179"/>
      <c r="Y284" s="87"/>
      <c r="Z284" s="329"/>
      <c r="AA284" s="118"/>
      <c r="AB284" s="118"/>
    </row>
    <row r="285" spans="1:29" s="60" customFormat="1" x14ac:dyDescent="0.2">
      <c r="A285" s="57">
        <v>42901</v>
      </c>
      <c r="B285" s="118">
        <v>18</v>
      </c>
      <c r="C285" s="58"/>
      <c r="D285" s="60" t="s">
        <v>20</v>
      </c>
      <c r="E285" s="60">
        <v>5</v>
      </c>
      <c r="F285" s="87">
        <v>224</v>
      </c>
      <c r="G285" s="87">
        <v>2</v>
      </c>
      <c r="H285" s="60">
        <v>340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P285" s="118">
        <f t="shared" si="23"/>
        <v>0</v>
      </c>
      <c r="Q285" s="118">
        <f t="shared" si="21"/>
        <v>0</v>
      </c>
      <c r="R285" s="104" t="e">
        <f t="shared" si="22"/>
        <v>#DIV/0!</v>
      </c>
      <c r="S285" s="180" t="str">
        <f>D285</f>
        <v>K-10 Low</v>
      </c>
      <c r="T285" s="63"/>
      <c r="U285" s="63"/>
      <c r="V285" s="63"/>
      <c r="Y285" s="87" t="str">
        <f>D285</f>
        <v>K-10 Low</v>
      </c>
      <c r="Z285" s="323">
        <f>SUMIFS($P$189:$P$248, $D$189:$D$248, Y285, $F$189:$F$248, "&lt;200") + SUMIFS($Q$189:$Q$248, $D$189:$D$248, Y285, $F$189:$F$248, "&lt;200")</f>
        <v>24120</v>
      </c>
      <c r="AA285" s="118">
        <f>SUM(P285:Q288)</f>
        <v>23150</v>
      </c>
      <c r="AB285" s="118">
        <f>SUMIFS(Collection!O:O, Collection!B:B, "*" &amp; 'Bucket Counts'!Y285 &amp; "*", Collection!A:A, "&lt;" &amp; 'Bucket Counts'!A285,Collection!A:A,  "&gt;=" &amp; 'Bucket Counts'!$A$189)</f>
        <v>0</v>
      </c>
      <c r="AC285" s="104">
        <f>AA285/(Z285+AB285)</f>
        <v>0.95978441127694858</v>
      </c>
    </row>
    <row r="286" spans="1:29" s="60" customFormat="1" x14ac:dyDescent="0.2">
      <c r="A286" s="57">
        <v>42901</v>
      </c>
      <c r="B286" s="118">
        <v>18</v>
      </c>
      <c r="C286" s="58"/>
      <c r="D286" s="60" t="s">
        <v>20</v>
      </c>
      <c r="E286" s="60">
        <v>5</v>
      </c>
      <c r="F286" s="87">
        <v>180</v>
      </c>
      <c r="G286" s="87">
        <v>2</v>
      </c>
      <c r="H286" s="60">
        <v>350</v>
      </c>
      <c r="I286" s="60">
        <v>7</v>
      </c>
      <c r="J286" s="60">
        <v>0</v>
      </c>
      <c r="K286" s="60">
        <v>3</v>
      </c>
      <c r="L286" s="60">
        <v>0</v>
      </c>
      <c r="M286" s="60">
        <v>3</v>
      </c>
      <c r="N286" s="60">
        <v>1</v>
      </c>
      <c r="P286" s="118">
        <f t="shared" si="23"/>
        <v>758.33333333333326</v>
      </c>
      <c r="Q286" s="118">
        <f t="shared" si="21"/>
        <v>58.333333333333329</v>
      </c>
      <c r="R286" s="104">
        <f t="shared" si="22"/>
        <v>0.92857142857142849</v>
      </c>
      <c r="S286" s="178">
        <f>(SUM(P285:P288)/(SUM(P285:Q288)))</f>
        <v>0.16666666666666666</v>
      </c>
      <c r="T286" s="63"/>
      <c r="U286" s="63"/>
      <c r="V286" s="63"/>
      <c r="Y286" s="87"/>
      <c r="Z286" s="329"/>
      <c r="AA286" s="118"/>
      <c r="AB286" s="118"/>
    </row>
    <row r="287" spans="1:29" s="60" customFormat="1" x14ac:dyDescent="0.2">
      <c r="A287" s="57">
        <v>42901</v>
      </c>
      <c r="B287" s="118">
        <v>18</v>
      </c>
      <c r="C287" s="58"/>
      <c r="D287" s="60" t="s">
        <v>20</v>
      </c>
      <c r="E287" s="60">
        <v>5</v>
      </c>
      <c r="F287" s="87">
        <v>100</v>
      </c>
      <c r="G287" s="87">
        <v>2</v>
      </c>
      <c r="H287" s="60">
        <v>350</v>
      </c>
      <c r="I287" s="60">
        <v>14</v>
      </c>
      <c r="J287" s="60">
        <v>5</v>
      </c>
      <c r="K287" s="60">
        <v>13</v>
      </c>
      <c r="L287" s="60">
        <v>1</v>
      </c>
      <c r="M287" s="60">
        <v>17</v>
      </c>
      <c r="N287" s="60">
        <v>6</v>
      </c>
      <c r="P287" s="118">
        <f t="shared" si="23"/>
        <v>2566.6666666666665</v>
      </c>
      <c r="Q287" s="118">
        <f t="shared" si="21"/>
        <v>700</v>
      </c>
      <c r="R287" s="104">
        <f t="shared" si="22"/>
        <v>0.7857142857142857</v>
      </c>
      <c r="S287" s="179"/>
      <c r="T287" s="63"/>
      <c r="U287" s="63"/>
      <c r="V287" s="63"/>
      <c r="Y287" s="87"/>
      <c r="Z287" s="329"/>
      <c r="AA287" s="118"/>
      <c r="AB287" s="118"/>
    </row>
    <row r="288" spans="1:29" s="60" customFormat="1" x14ac:dyDescent="0.2">
      <c r="A288" s="57">
        <v>42901</v>
      </c>
      <c r="B288" s="118">
        <v>18</v>
      </c>
      <c r="C288" s="58"/>
      <c r="D288" s="60" t="s">
        <v>20</v>
      </c>
      <c r="E288" s="60">
        <v>5</v>
      </c>
      <c r="F288" s="87" t="s">
        <v>201</v>
      </c>
      <c r="G288" s="87">
        <v>1</v>
      </c>
      <c r="H288" s="60">
        <v>400</v>
      </c>
      <c r="I288" s="60">
        <v>0</v>
      </c>
      <c r="J288" s="60">
        <v>29</v>
      </c>
      <c r="K288" s="60">
        <v>1</v>
      </c>
      <c r="L288" s="60">
        <v>70</v>
      </c>
      <c r="M288" s="60">
        <v>3</v>
      </c>
      <c r="N288" s="60">
        <v>40</v>
      </c>
      <c r="P288" s="118">
        <f t="shared" si="23"/>
        <v>533.33333333333326</v>
      </c>
      <c r="Q288" s="118">
        <f t="shared" ref="Q288:Q351" si="24">(AVERAGE(J288,L288,N288)/G288)*H288</f>
        <v>18533.333333333336</v>
      </c>
      <c r="R288" s="104">
        <f t="shared" ref="R288:R351" si="25">P288/(P288+Q288)</f>
        <v>2.7972027972027965E-2</v>
      </c>
      <c r="S288" s="179"/>
      <c r="T288" s="63"/>
      <c r="U288" s="63"/>
      <c r="V288" s="63"/>
      <c r="Y288" s="87"/>
      <c r="Z288" s="329"/>
      <c r="AA288" s="118"/>
      <c r="AB288" s="118"/>
    </row>
    <row r="289" spans="1:29" s="60" customFormat="1" x14ac:dyDescent="0.2">
      <c r="A289" s="57">
        <v>42901</v>
      </c>
      <c r="B289" s="118">
        <v>16</v>
      </c>
      <c r="C289" s="58"/>
      <c r="D289" s="60" t="s">
        <v>87</v>
      </c>
      <c r="E289" s="60">
        <v>6</v>
      </c>
      <c r="F289" s="87">
        <v>224</v>
      </c>
      <c r="G289" s="87">
        <v>1</v>
      </c>
      <c r="H289" s="60">
        <v>350</v>
      </c>
      <c r="I289" s="60">
        <v>1</v>
      </c>
      <c r="J289" s="60">
        <v>0</v>
      </c>
      <c r="K289" s="60">
        <v>1</v>
      </c>
      <c r="L289" s="60">
        <v>0</v>
      </c>
      <c r="M289" s="60">
        <v>1</v>
      </c>
      <c r="N289" s="60">
        <v>0</v>
      </c>
      <c r="P289" s="118">
        <f t="shared" si="23"/>
        <v>350</v>
      </c>
      <c r="Q289" s="118">
        <f t="shared" si="24"/>
        <v>0</v>
      </c>
      <c r="R289" s="104">
        <f t="shared" si="25"/>
        <v>1</v>
      </c>
      <c r="S289" s="180" t="str">
        <f>D289</f>
        <v>SN-6 Ambient</v>
      </c>
      <c r="T289" s="63"/>
      <c r="U289" s="63"/>
      <c r="V289" s="63"/>
      <c r="Y289" s="87" t="str">
        <f>D289</f>
        <v>SN-6 Ambient</v>
      </c>
      <c r="Z289" s="323">
        <f>SUMIFS($P$189:$P$248, $D$189:$D$248, Y289, $F$189:$F$248, "&lt;200") + SUMIFS($Q$189:$Q$248, $D$189:$D$248, Y289, $F$189:$F$248, "&lt;200")</f>
        <v>37833.333333333336</v>
      </c>
      <c r="AA289" s="118">
        <f>SUM(P289:Q292)</f>
        <v>40668.333333333336</v>
      </c>
      <c r="AB289" s="118">
        <f>SUMIFS(Collection!O:O, Collection!B:B, "*" &amp; 'Bucket Counts'!Y289 &amp; "*", Collection!A:A, "&lt;" &amp; 'Bucket Counts'!A289,Collection!A:A,  "&gt;=" &amp; 'Bucket Counts'!$A$189)</f>
        <v>0</v>
      </c>
      <c r="AC289" s="104">
        <f>AA289/(Z289+AB289)</f>
        <v>1.0749339207048458</v>
      </c>
    </row>
    <row r="290" spans="1:29" s="60" customFormat="1" x14ac:dyDescent="0.2">
      <c r="A290" s="57">
        <v>42901</v>
      </c>
      <c r="B290" s="118">
        <v>16</v>
      </c>
      <c r="C290" s="58"/>
      <c r="D290" s="60" t="s">
        <v>87</v>
      </c>
      <c r="E290" s="60">
        <v>6</v>
      </c>
      <c r="F290" s="87">
        <v>180</v>
      </c>
      <c r="G290" s="87">
        <v>1</v>
      </c>
      <c r="H290" s="60">
        <v>510</v>
      </c>
      <c r="I290" s="60">
        <v>50</v>
      </c>
      <c r="J290" s="60">
        <v>0</v>
      </c>
      <c r="L290" s="60">
        <v>49</v>
      </c>
      <c r="M290" s="60">
        <v>0</v>
      </c>
      <c r="N290" s="60">
        <v>54</v>
      </c>
      <c r="P290" s="118">
        <f>(AVERAGE(I290,K290,M290)/G290)*H290</f>
        <v>12750</v>
      </c>
      <c r="Q290" s="118">
        <f t="shared" si="24"/>
        <v>17510</v>
      </c>
      <c r="R290" s="104">
        <f t="shared" si="25"/>
        <v>0.42134831460674155</v>
      </c>
      <c r="S290" s="178">
        <f>(SUM(P289:P292)/(SUM(P289:Q292)))</f>
        <v>0.53665833367484927</v>
      </c>
      <c r="T290" s="63"/>
      <c r="U290" s="63"/>
      <c r="V290" s="63"/>
      <c r="Y290" s="87"/>
      <c r="Z290" s="329"/>
      <c r="AA290" s="118"/>
      <c r="AB290" s="118"/>
    </row>
    <row r="291" spans="1:29" s="60" customFormat="1" x14ac:dyDescent="0.2">
      <c r="A291" s="57">
        <v>42901</v>
      </c>
      <c r="B291" s="118">
        <v>16</v>
      </c>
      <c r="C291" s="58"/>
      <c r="D291" s="60" t="s">
        <v>87</v>
      </c>
      <c r="E291" s="60">
        <v>6</v>
      </c>
      <c r="F291" s="87">
        <v>100</v>
      </c>
      <c r="G291" s="87">
        <v>1</v>
      </c>
      <c r="H291" s="60">
        <v>425</v>
      </c>
      <c r="I291" s="60">
        <v>23</v>
      </c>
      <c r="J291" s="60">
        <v>1</v>
      </c>
      <c r="K291" s="60">
        <v>15</v>
      </c>
      <c r="L291" s="60">
        <v>1</v>
      </c>
      <c r="M291" s="60">
        <v>17</v>
      </c>
      <c r="N291" s="60">
        <v>0</v>
      </c>
      <c r="P291" s="118">
        <f t="shared" si="23"/>
        <v>7791.6666666666661</v>
      </c>
      <c r="Q291" s="118">
        <f t="shared" si="24"/>
        <v>283.33333333333331</v>
      </c>
      <c r="R291" s="104">
        <f t="shared" si="25"/>
        <v>0.96491228070175439</v>
      </c>
      <c r="S291" s="179"/>
      <c r="T291" s="63"/>
      <c r="U291" s="63"/>
      <c r="V291" s="63"/>
      <c r="Y291" s="87"/>
      <c r="Z291" s="329"/>
      <c r="AA291" s="118"/>
      <c r="AB291" s="118"/>
    </row>
    <row r="292" spans="1:29" s="60" customFormat="1" x14ac:dyDescent="0.2">
      <c r="A292" s="57">
        <v>42901</v>
      </c>
      <c r="B292" s="118">
        <v>16</v>
      </c>
      <c r="C292" s="58"/>
      <c r="D292" s="60" t="s">
        <v>87</v>
      </c>
      <c r="E292" s="60">
        <v>6</v>
      </c>
      <c r="F292" s="87" t="s">
        <v>201</v>
      </c>
      <c r="G292" s="87">
        <v>1</v>
      </c>
      <c r="H292" s="60">
        <v>350</v>
      </c>
      <c r="I292" s="60">
        <v>3</v>
      </c>
      <c r="J292" s="60">
        <v>1</v>
      </c>
      <c r="K292" s="60">
        <v>1</v>
      </c>
      <c r="L292" s="60">
        <v>5</v>
      </c>
      <c r="M292" s="60">
        <v>4</v>
      </c>
      <c r="N292" s="60">
        <v>3</v>
      </c>
      <c r="P292" s="118">
        <f t="shared" si="23"/>
        <v>933.33333333333326</v>
      </c>
      <c r="Q292" s="118">
        <f t="shared" si="24"/>
        <v>1050</v>
      </c>
      <c r="R292" s="104">
        <f t="shared" si="25"/>
        <v>0.47058823529411764</v>
      </c>
      <c r="S292" s="179"/>
      <c r="T292" s="63"/>
      <c r="U292" s="63"/>
      <c r="V292" s="63"/>
      <c r="Y292" s="87"/>
      <c r="Z292" s="329"/>
      <c r="AA292" s="118"/>
      <c r="AB292" s="118"/>
    </row>
    <row r="293" spans="1:29" s="60" customFormat="1" x14ac:dyDescent="0.2">
      <c r="A293" s="57">
        <v>42901</v>
      </c>
      <c r="B293" s="118">
        <v>19</v>
      </c>
      <c r="C293" s="58"/>
      <c r="D293" s="60" t="s">
        <v>88</v>
      </c>
      <c r="E293" s="60">
        <v>6</v>
      </c>
      <c r="F293" s="87">
        <v>224</v>
      </c>
      <c r="G293" s="87">
        <v>1</v>
      </c>
      <c r="H293" s="60">
        <v>325</v>
      </c>
      <c r="I293" s="60">
        <v>2</v>
      </c>
      <c r="J293" s="60">
        <v>0</v>
      </c>
      <c r="K293" s="60">
        <v>8</v>
      </c>
      <c r="L293" s="60">
        <v>0</v>
      </c>
      <c r="M293" s="60">
        <v>4</v>
      </c>
      <c r="N293" s="60">
        <v>0</v>
      </c>
      <c r="P293" s="118">
        <f t="shared" si="23"/>
        <v>1516.6666666666667</v>
      </c>
      <c r="Q293" s="118">
        <f t="shared" si="24"/>
        <v>0</v>
      </c>
      <c r="R293" s="104">
        <f t="shared" si="25"/>
        <v>1</v>
      </c>
      <c r="S293" s="180" t="str">
        <f>D293</f>
        <v>HL-10 Ambient</v>
      </c>
      <c r="T293" s="63"/>
      <c r="U293" s="63"/>
      <c r="V293" s="63"/>
      <c r="Y293" s="87" t="str">
        <f>D293</f>
        <v>HL-10 Ambient</v>
      </c>
      <c r="Z293" s="323">
        <f>SUMIFS($P$189:$P$248, $D$189:$D$248, Y293, $F$189:$F$248, "&lt;200") + SUMIFS($Q$189:$Q$248, $D$189:$D$248, Y293, $F$189:$F$248, "&lt;200")</f>
        <v>72909.999999999985</v>
      </c>
      <c r="AA293" s="118">
        <f>SUM(P293:Q296)</f>
        <v>79940</v>
      </c>
      <c r="AB293" s="118">
        <f>SUMIFS(Collection!O:O, Collection!B:B, "*" &amp; 'Bucket Counts'!Y293 &amp; "*", Collection!A:A, "&lt;" &amp; 'Bucket Counts'!A293,Collection!A:A,  "&gt;=" &amp; 'Bucket Counts'!$A$189)</f>
        <v>0</v>
      </c>
      <c r="AC293" s="104">
        <f>AA293/(Z293+AB293)</f>
        <v>1.0964202441366071</v>
      </c>
    </row>
    <row r="294" spans="1:29" s="60" customFormat="1" x14ac:dyDescent="0.2">
      <c r="A294" s="57">
        <v>42901</v>
      </c>
      <c r="B294" s="118">
        <v>19</v>
      </c>
      <c r="C294" s="58"/>
      <c r="D294" s="60" t="s">
        <v>88</v>
      </c>
      <c r="E294" s="60">
        <v>6</v>
      </c>
      <c r="F294" s="87">
        <v>180</v>
      </c>
      <c r="G294" s="87">
        <v>1</v>
      </c>
      <c r="H294" s="60">
        <v>600</v>
      </c>
      <c r="I294" s="60">
        <v>58</v>
      </c>
      <c r="J294" s="60">
        <v>0</v>
      </c>
      <c r="K294" s="60">
        <v>70</v>
      </c>
      <c r="L294" s="60">
        <v>2</v>
      </c>
      <c r="M294" s="60">
        <v>66</v>
      </c>
      <c r="N294" s="60">
        <v>1</v>
      </c>
      <c r="P294" s="118">
        <f t="shared" si="23"/>
        <v>38800</v>
      </c>
      <c r="Q294" s="118">
        <f t="shared" si="24"/>
        <v>600</v>
      </c>
      <c r="R294" s="104">
        <f t="shared" si="25"/>
        <v>0.98477157360406087</v>
      </c>
      <c r="S294" s="178">
        <f>(SUM(P293:P296)/(SUM(P293:Q296)))</f>
        <v>0.65169710616295551</v>
      </c>
      <c r="T294" s="63"/>
      <c r="U294" s="63"/>
      <c r="V294" s="63"/>
      <c r="Y294" s="87"/>
      <c r="Z294" s="329"/>
      <c r="AA294" s="118"/>
      <c r="AB294" s="118"/>
    </row>
    <row r="295" spans="1:29" s="60" customFormat="1" x14ac:dyDescent="0.2">
      <c r="A295" s="57">
        <v>42901</v>
      </c>
      <c r="B295" s="118">
        <v>19</v>
      </c>
      <c r="C295" s="58"/>
      <c r="D295" s="60" t="s">
        <v>88</v>
      </c>
      <c r="E295" s="60">
        <v>6</v>
      </c>
      <c r="F295" s="87">
        <v>100</v>
      </c>
      <c r="G295" s="87">
        <v>1</v>
      </c>
      <c r="H295" s="60">
        <v>420</v>
      </c>
      <c r="I295" s="60">
        <v>22</v>
      </c>
      <c r="J295" s="60">
        <v>1</v>
      </c>
      <c r="K295" s="60">
        <v>17</v>
      </c>
      <c r="L295" s="60">
        <v>0</v>
      </c>
      <c r="M295" s="60">
        <v>25</v>
      </c>
      <c r="N295" s="60">
        <v>0</v>
      </c>
      <c r="P295" s="118">
        <f t="shared" si="23"/>
        <v>8960</v>
      </c>
      <c r="Q295" s="118">
        <f t="shared" si="24"/>
        <v>140</v>
      </c>
      <c r="R295" s="104">
        <f t="shared" si="25"/>
        <v>0.98461538461538467</v>
      </c>
      <c r="S295" s="179"/>
      <c r="T295" s="63"/>
      <c r="U295" s="63"/>
      <c r="V295" s="63"/>
      <c r="Y295" s="87"/>
      <c r="Z295" s="329"/>
      <c r="AA295" s="118"/>
      <c r="AB295" s="118"/>
    </row>
    <row r="296" spans="1:29" s="60" customFormat="1" x14ac:dyDescent="0.2">
      <c r="A296" s="57">
        <v>42901</v>
      </c>
      <c r="B296" s="118">
        <v>19</v>
      </c>
      <c r="C296" s="58"/>
      <c r="D296" s="60" t="s">
        <v>88</v>
      </c>
      <c r="E296" s="60">
        <v>6</v>
      </c>
      <c r="F296" s="87" t="s">
        <v>201</v>
      </c>
      <c r="G296" s="87">
        <v>1</v>
      </c>
      <c r="H296" s="60">
        <v>470</v>
      </c>
      <c r="I296" s="60">
        <v>4</v>
      </c>
      <c r="J296" s="60">
        <v>63</v>
      </c>
      <c r="K296" s="60">
        <v>8</v>
      </c>
      <c r="L296" s="60">
        <v>54</v>
      </c>
      <c r="M296" s="60">
        <v>6</v>
      </c>
      <c r="N296" s="60">
        <v>56</v>
      </c>
      <c r="P296" s="118">
        <f t="shared" si="23"/>
        <v>2820</v>
      </c>
      <c r="Q296" s="118">
        <f t="shared" si="24"/>
        <v>27103.333333333332</v>
      </c>
      <c r="R296" s="104">
        <f t="shared" si="25"/>
        <v>9.4240837696335081E-2</v>
      </c>
      <c r="S296" s="179"/>
      <c r="T296" s="63"/>
      <c r="U296" s="63"/>
      <c r="V296" s="63"/>
      <c r="Y296" s="87"/>
      <c r="Z296" s="329"/>
      <c r="AA296" s="118"/>
      <c r="AB296" s="118"/>
    </row>
    <row r="297" spans="1:29" s="60" customFormat="1" x14ac:dyDescent="0.2">
      <c r="A297" s="57">
        <v>42901</v>
      </c>
      <c r="B297" s="118">
        <v>21</v>
      </c>
      <c r="C297" s="58"/>
      <c r="D297" s="60" t="s">
        <v>108</v>
      </c>
      <c r="E297" s="60">
        <v>7</v>
      </c>
      <c r="F297" s="87">
        <v>224</v>
      </c>
      <c r="G297" s="87">
        <v>1</v>
      </c>
      <c r="H297" s="60">
        <v>525</v>
      </c>
      <c r="I297" s="60">
        <v>9</v>
      </c>
      <c r="J297" s="60">
        <v>0</v>
      </c>
      <c r="K297" s="60">
        <v>12</v>
      </c>
      <c r="L297" s="60">
        <v>0</v>
      </c>
      <c r="M297" s="60">
        <v>11</v>
      </c>
      <c r="N297" s="60">
        <v>0</v>
      </c>
      <c r="P297" s="118">
        <f t="shared" si="23"/>
        <v>5600</v>
      </c>
      <c r="Q297" s="118">
        <f t="shared" si="24"/>
        <v>0</v>
      </c>
      <c r="R297" s="104">
        <f t="shared" si="25"/>
        <v>1</v>
      </c>
      <c r="S297" s="180" t="str">
        <f>D297</f>
        <v>HL-10 Low</v>
      </c>
      <c r="T297" s="63"/>
      <c r="U297" s="63"/>
      <c r="V297" s="63"/>
      <c r="Y297" s="87" t="str">
        <f>D297</f>
        <v>HL-10 Low</v>
      </c>
      <c r="Z297" s="323">
        <f>SUMIFS($P$189:$P$248, $D$189:$D$248, Y297, $F$189:$F$248, "&lt;200") + SUMIFS($Q$189:$Q$248, $D$189:$D$248, Y297, $F$189:$F$248, "&lt;200")</f>
        <v>82666.666666666672</v>
      </c>
      <c r="AA297" s="118">
        <f>SUM(P297:Q300)</f>
        <v>155225</v>
      </c>
      <c r="AB297" s="118">
        <f>SUMIFS(Collection!O:O, Collection!B:B, "*" &amp; 'Bucket Counts'!Y297 &amp; "*", Collection!A:A, "&lt;" &amp; 'Bucket Counts'!A297,Collection!A:A,  "&gt;=" &amp; 'Bucket Counts'!$A$189)</f>
        <v>53333.333333333336</v>
      </c>
      <c r="AC297" s="104">
        <f>AA297/(Z297+AB297)</f>
        <v>1.1413602941176471</v>
      </c>
    </row>
    <row r="298" spans="1:29" s="60" customFormat="1" x14ac:dyDescent="0.2">
      <c r="A298" s="57">
        <v>42901</v>
      </c>
      <c r="B298" s="118">
        <v>21</v>
      </c>
      <c r="C298" s="58"/>
      <c r="D298" s="60" t="s">
        <v>108</v>
      </c>
      <c r="E298" s="60">
        <v>7</v>
      </c>
      <c r="F298" s="87">
        <v>180</v>
      </c>
      <c r="G298" s="87">
        <v>1</v>
      </c>
      <c r="H298" s="60">
        <v>625</v>
      </c>
      <c r="I298" s="60">
        <v>73</v>
      </c>
      <c r="J298" s="60">
        <v>0</v>
      </c>
      <c r="K298" s="60">
        <v>82</v>
      </c>
      <c r="L298" s="60">
        <v>0</v>
      </c>
      <c r="M298" s="60">
        <v>72</v>
      </c>
      <c r="N298" s="60">
        <v>0</v>
      </c>
      <c r="P298" s="118">
        <f t="shared" si="23"/>
        <v>47291.666666666672</v>
      </c>
      <c r="Q298" s="118">
        <f t="shared" si="24"/>
        <v>0</v>
      </c>
      <c r="R298" s="104">
        <f t="shared" si="25"/>
        <v>1</v>
      </c>
      <c r="S298" s="178">
        <f>(SUM(P297:P300)/(SUM(P297:Q300)))</f>
        <v>0.85204273366618355</v>
      </c>
      <c r="T298" s="63"/>
      <c r="U298" s="63"/>
      <c r="V298" s="63"/>
      <c r="Y298" s="87"/>
      <c r="Z298" s="329"/>
      <c r="AA298" s="118"/>
      <c r="AB298" s="118"/>
    </row>
    <row r="299" spans="1:29" s="60" customFormat="1" x14ac:dyDescent="0.2">
      <c r="A299" s="57">
        <v>42901</v>
      </c>
      <c r="B299" s="118">
        <v>21</v>
      </c>
      <c r="C299" s="58"/>
      <c r="D299" s="60" t="s">
        <v>108</v>
      </c>
      <c r="E299" s="60">
        <v>7</v>
      </c>
      <c r="F299" s="87">
        <v>100</v>
      </c>
      <c r="G299" s="87">
        <v>1</v>
      </c>
      <c r="H299" s="60">
        <v>500</v>
      </c>
      <c r="I299" s="60">
        <v>141</v>
      </c>
      <c r="J299" s="60">
        <v>3</v>
      </c>
      <c r="K299" s="60">
        <v>153</v>
      </c>
      <c r="L299" s="60">
        <v>3</v>
      </c>
      <c r="M299" s="60">
        <v>175</v>
      </c>
      <c r="N299" s="60">
        <v>4</v>
      </c>
      <c r="P299" s="118">
        <f t="shared" si="23"/>
        <v>78166.666666666672</v>
      </c>
      <c r="Q299" s="118">
        <f t="shared" si="24"/>
        <v>1666.6666666666667</v>
      </c>
      <c r="R299" s="104">
        <f t="shared" si="25"/>
        <v>0.97912317327766174</v>
      </c>
      <c r="S299" s="179"/>
      <c r="T299" s="63"/>
      <c r="U299" s="63"/>
      <c r="V299" s="63"/>
      <c r="Y299" s="87"/>
      <c r="Z299" s="329"/>
      <c r="AA299" s="118"/>
      <c r="AB299" s="118"/>
    </row>
    <row r="300" spans="1:29" s="60" customFormat="1" x14ac:dyDescent="0.2">
      <c r="A300" s="57">
        <v>42901</v>
      </c>
      <c r="B300" s="118">
        <v>21</v>
      </c>
      <c r="C300" s="58"/>
      <c r="D300" s="60" t="s">
        <v>108</v>
      </c>
      <c r="E300" s="60">
        <v>7</v>
      </c>
      <c r="F300" s="87" t="s">
        <v>201</v>
      </c>
      <c r="G300" s="87">
        <v>1</v>
      </c>
      <c r="H300" s="60">
        <v>450</v>
      </c>
      <c r="I300" s="60">
        <v>3</v>
      </c>
      <c r="J300" s="60">
        <v>44</v>
      </c>
      <c r="K300" s="60">
        <v>1</v>
      </c>
      <c r="L300" s="60">
        <v>39</v>
      </c>
      <c r="M300" s="60">
        <v>4</v>
      </c>
      <c r="N300" s="60">
        <v>59</v>
      </c>
      <c r="P300" s="118">
        <f t="shared" si="23"/>
        <v>1200</v>
      </c>
      <c r="Q300" s="118">
        <f t="shared" si="24"/>
        <v>21300</v>
      </c>
      <c r="R300" s="104">
        <f t="shared" si="25"/>
        <v>5.3333333333333337E-2</v>
      </c>
      <c r="S300" s="179"/>
      <c r="T300" s="63"/>
      <c r="U300" s="63"/>
      <c r="V300" s="63"/>
      <c r="Y300" s="87"/>
      <c r="Z300" s="329"/>
      <c r="AA300" s="118"/>
      <c r="AB300" s="118"/>
    </row>
    <row r="301" spans="1:29" s="60" customFormat="1" x14ac:dyDescent="0.2">
      <c r="A301" s="57">
        <v>42901</v>
      </c>
      <c r="B301" s="118">
        <v>22</v>
      </c>
      <c r="C301" s="58"/>
      <c r="D301" s="60" t="s">
        <v>17</v>
      </c>
      <c r="E301" s="60">
        <v>7</v>
      </c>
      <c r="F301" s="87">
        <v>224</v>
      </c>
      <c r="G301" s="87">
        <v>1</v>
      </c>
      <c r="H301" s="60">
        <v>450</v>
      </c>
      <c r="I301" s="60">
        <v>4</v>
      </c>
      <c r="J301" s="60">
        <v>0</v>
      </c>
      <c r="K301" s="60">
        <v>8</v>
      </c>
      <c r="L301" s="60">
        <v>0</v>
      </c>
      <c r="M301" s="60">
        <v>3</v>
      </c>
      <c r="N301" s="60">
        <v>0</v>
      </c>
      <c r="P301" s="118">
        <f t="shared" si="23"/>
        <v>2250</v>
      </c>
      <c r="Q301" s="118">
        <f t="shared" si="24"/>
        <v>0</v>
      </c>
      <c r="R301" s="104">
        <f t="shared" si="25"/>
        <v>1</v>
      </c>
      <c r="S301" s="180" t="str">
        <f>D301</f>
        <v>K-10 Ambient</v>
      </c>
      <c r="T301" s="63"/>
      <c r="U301" s="63"/>
      <c r="V301" s="63"/>
      <c r="Y301" s="87" t="str">
        <f>D301</f>
        <v>K-10 Ambient</v>
      </c>
      <c r="Z301" s="323">
        <f>SUMIFS($P$189:$P$248, $D$189:$D$248, Y301, $F$189:$F$248, "&lt;200") + SUMIFS($Q$189:$Q$248, $D$189:$D$248, Y301, $F$189:$F$248, "&lt;200")</f>
        <v>62946.666666666664</v>
      </c>
      <c r="AA301" s="118">
        <f>SUM(P301:Q304)</f>
        <v>71141.666666666672</v>
      </c>
      <c r="AB301" s="118">
        <f>SUMIFS(Collection!O:O, Collection!B:B, "*" &amp; 'Bucket Counts'!Y301 &amp; "*", Collection!A:A, "&lt;" &amp; 'Bucket Counts'!A301,Collection!A:A,  "&gt;=" &amp; 'Bucket Counts'!$A$189)</f>
        <v>0</v>
      </c>
      <c r="AC301" s="104">
        <f>AA301/(Z301+AB301)</f>
        <v>1.1301895784791358</v>
      </c>
    </row>
    <row r="302" spans="1:29" s="60" customFormat="1" x14ac:dyDescent="0.2">
      <c r="A302" s="57">
        <v>42901</v>
      </c>
      <c r="B302" s="118">
        <v>22</v>
      </c>
      <c r="C302" s="58"/>
      <c r="D302" s="60" t="s">
        <v>17</v>
      </c>
      <c r="E302" s="60">
        <v>7</v>
      </c>
      <c r="F302" s="87">
        <v>180</v>
      </c>
      <c r="G302" s="87">
        <v>1</v>
      </c>
      <c r="H302" s="60">
        <v>500</v>
      </c>
      <c r="I302" s="60">
        <v>63</v>
      </c>
      <c r="J302" s="60">
        <v>4</v>
      </c>
      <c r="K302" s="60">
        <v>39</v>
      </c>
      <c r="L302" s="60">
        <v>1</v>
      </c>
      <c r="M302" s="60">
        <v>50</v>
      </c>
      <c r="N302" s="60">
        <v>3</v>
      </c>
      <c r="P302" s="118">
        <f t="shared" si="23"/>
        <v>25333.333333333332</v>
      </c>
      <c r="Q302" s="118">
        <f t="shared" si="24"/>
        <v>1333.3333333333333</v>
      </c>
      <c r="R302" s="104">
        <f t="shared" si="25"/>
        <v>0.95000000000000007</v>
      </c>
      <c r="S302" s="178">
        <f>(SUM(P301:P304)/(SUM(P301:Q304)))</f>
        <v>0.76490570458006313</v>
      </c>
      <c r="T302" s="63"/>
      <c r="U302" s="63"/>
      <c r="V302" s="63"/>
      <c r="Y302" s="87"/>
      <c r="Z302" s="329"/>
      <c r="AA302" s="118"/>
      <c r="AB302" s="118"/>
    </row>
    <row r="303" spans="1:29" s="60" customFormat="1" x14ac:dyDescent="0.2">
      <c r="A303" s="57">
        <v>42901</v>
      </c>
      <c r="B303" s="118">
        <v>22</v>
      </c>
      <c r="C303" s="58"/>
      <c r="D303" s="60" t="s">
        <v>17</v>
      </c>
      <c r="E303" s="60">
        <v>7</v>
      </c>
      <c r="F303" s="87">
        <v>100</v>
      </c>
      <c r="G303" s="87">
        <v>1</v>
      </c>
      <c r="H303" s="60">
        <v>500</v>
      </c>
      <c r="I303" s="60">
        <v>53</v>
      </c>
      <c r="J303" s="60">
        <v>3</v>
      </c>
      <c r="K303" s="60">
        <v>58</v>
      </c>
      <c r="L303" s="60">
        <v>5</v>
      </c>
      <c r="M303" s="60">
        <v>50</v>
      </c>
      <c r="N303" s="60">
        <v>7</v>
      </c>
      <c r="P303" s="118">
        <f t="shared" si="23"/>
        <v>26833.333333333332</v>
      </c>
      <c r="Q303" s="118">
        <f t="shared" si="24"/>
        <v>2500</v>
      </c>
      <c r="R303" s="104">
        <f t="shared" si="25"/>
        <v>0.91477272727272729</v>
      </c>
      <c r="S303" s="179"/>
      <c r="T303" s="63"/>
      <c r="U303" s="63"/>
      <c r="V303" s="63"/>
      <c r="Y303" s="87"/>
      <c r="Z303" s="329"/>
      <c r="AA303" s="118"/>
      <c r="AB303" s="118"/>
    </row>
    <row r="304" spans="1:29" s="60" customFormat="1" x14ac:dyDescent="0.2">
      <c r="A304" s="57">
        <v>42901</v>
      </c>
      <c r="B304" s="118">
        <v>22</v>
      </c>
      <c r="C304" s="58"/>
      <c r="D304" s="60" t="s">
        <v>17</v>
      </c>
      <c r="E304" s="60">
        <v>7</v>
      </c>
      <c r="F304" s="87" t="s">
        <v>201</v>
      </c>
      <c r="G304" s="87">
        <v>1</v>
      </c>
      <c r="H304" s="60">
        <v>425</v>
      </c>
      <c r="I304" s="60">
        <v>0</v>
      </c>
      <c r="J304" s="60">
        <v>28</v>
      </c>
      <c r="K304" s="60">
        <v>0</v>
      </c>
      <c r="L304" s="60">
        <v>20</v>
      </c>
      <c r="M304" s="60">
        <v>0</v>
      </c>
      <c r="N304" s="60">
        <v>43</v>
      </c>
      <c r="P304" s="118">
        <f t="shared" si="23"/>
        <v>0</v>
      </c>
      <c r="Q304" s="118">
        <f t="shared" si="24"/>
        <v>12891.666666666666</v>
      </c>
      <c r="R304" s="104">
        <f t="shared" si="25"/>
        <v>0</v>
      </c>
      <c r="S304" s="179"/>
      <c r="T304" s="63"/>
      <c r="U304" s="63"/>
      <c r="V304" s="63"/>
      <c r="Y304" s="87"/>
      <c r="Z304" s="329"/>
      <c r="AA304" s="118"/>
      <c r="AB304" s="118"/>
    </row>
    <row r="305" spans="1:30" s="60" customFormat="1" x14ac:dyDescent="0.2">
      <c r="A305" s="57">
        <v>42901</v>
      </c>
      <c r="B305" s="118">
        <v>17</v>
      </c>
      <c r="C305" s="58"/>
      <c r="D305" s="60" t="s">
        <v>38</v>
      </c>
      <c r="E305" s="60">
        <v>8</v>
      </c>
      <c r="F305" s="87">
        <v>224</v>
      </c>
      <c r="G305" s="87">
        <v>1</v>
      </c>
      <c r="H305" s="60">
        <v>525</v>
      </c>
      <c r="I305" s="60">
        <v>5</v>
      </c>
      <c r="J305" s="60">
        <v>0</v>
      </c>
      <c r="K305" s="60">
        <v>10</v>
      </c>
      <c r="L305" s="60">
        <v>0</v>
      </c>
      <c r="M305" s="60">
        <v>8</v>
      </c>
      <c r="N305" s="60">
        <v>0</v>
      </c>
      <c r="P305" s="118">
        <f t="shared" si="23"/>
        <v>4025</v>
      </c>
      <c r="Q305" s="118">
        <f t="shared" si="24"/>
        <v>0</v>
      </c>
      <c r="R305" s="104">
        <f t="shared" si="25"/>
        <v>1</v>
      </c>
      <c r="S305" s="180" t="str">
        <f>D305</f>
        <v>K-6 Ambient</v>
      </c>
      <c r="T305" s="63"/>
      <c r="U305" s="63"/>
      <c r="V305" s="63"/>
      <c r="Y305" s="87" t="str">
        <f>D305</f>
        <v>K-6 Ambient</v>
      </c>
      <c r="Z305" s="323">
        <f>SUMIFS($P$189:$P$248, $D$189:$D$248, Y305, $F$189:$F$248, "&lt;200") + SUMIFS($Q$189:$Q$248, $D$189:$D$248, Y305, $F$189:$F$248, "&lt;200")</f>
        <v>90480</v>
      </c>
      <c r="AA305" s="118">
        <f>SUM(P305:Q308)</f>
        <v>102624.99999999999</v>
      </c>
      <c r="AB305" s="118">
        <f>SUMIFS(Collection!O:O, Collection!B:B, "*" &amp; 'Bucket Counts'!Y305 &amp; "*", Collection!A:A, "&lt;" &amp; 'Bucket Counts'!A305,Collection!A:A,  "&gt;=" &amp; 'Bucket Counts'!$A$189)</f>
        <v>4200</v>
      </c>
      <c r="AC305" s="104">
        <f>AA305/(Z305+AB305)</f>
        <v>1.0839142374313475</v>
      </c>
    </row>
    <row r="306" spans="1:30" s="60" customFormat="1" x14ac:dyDescent="0.2">
      <c r="A306" s="57">
        <v>42901</v>
      </c>
      <c r="B306" s="118">
        <v>17</v>
      </c>
      <c r="C306" s="58"/>
      <c r="D306" s="60" t="s">
        <v>38</v>
      </c>
      <c r="E306" s="60">
        <v>8</v>
      </c>
      <c r="F306" s="87">
        <v>180</v>
      </c>
      <c r="G306" s="87">
        <v>1</v>
      </c>
      <c r="H306" s="60">
        <v>560</v>
      </c>
      <c r="I306" s="60">
        <v>53</v>
      </c>
      <c r="J306" s="60">
        <v>0</v>
      </c>
      <c r="K306" s="60">
        <v>61</v>
      </c>
      <c r="L306" s="60">
        <v>0</v>
      </c>
      <c r="M306" s="60">
        <v>45</v>
      </c>
      <c r="N306" s="60">
        <v>1</v>
      </c>
      <c r="P306" s="118">
        <f t="shared" si="23"/>
        <v>29680</v>
      </c>
      <c r="Q306" s="118">
        <f t="shared" si="24"/>
        <v>186.66666666666666</v>
      </c>
      <c r="R306" s="104">
        <f t="shared" si="25"/>
        <v>0.99374999999999991</v>
      </c>
      <c r="S306" s="178">
        <f>(SUM(P305:P308)/(SUM(P305:Q308)))</f>
        <v>0.72436865611043444</v>
      </c>
      <c r="T306" s="63"/>
      <c r="Y306" s="87"/>
      <c r="Z306" s="329"/>
      <c r="AA306" s="118"/>
      <c r="AB306" s="118"/>
    </row>
    <row r="307" spans="1:30" s="60" customFormat="1" x14ac:dyDescent="0.2">
      <c r="A307" s="57">
        <v>42901</v>
      </c>
      <c r="B307" s="118">
        <v>17</v>
      </c>
      <c r="C307" s="58"/>
      <c r="D307" s="60" t="s">
        <v>38</v>
      </c>
      <c r="E307" s="60">
        <v>8</v>
      </c>
      <c r="F307" s="87">
        <v>100</v>
      </c>
      <c r="G307" s="87">
        <v>1</v>
      </c>
      <c r="H307" s="60">
        <v>500</v>
      </c>
      <c r="I307" s="60">
        <v>69</v>
      </c>
      <c r="J307" s="60">
        <v>6</v>
      </c>
      <c r="K307" s="60">
        <v>61</v>
      </c>
      <c r="L307" s="60">
        <v>3</v>
      </c>
      <c r="M307" s="60">
        <v>77</v>
      </c>
      <c r="N307" s="60">
        <v>2</v>
      </c>
      <c r="P307" s="118">
        <f t="shared" si="23"/>
        <v>34500</v>
      </c>
      <c r="Q307" s="118">
        <f t="shared" si="24"/>
        <v>1833.3333333333333</v>
      </c>
      <c r="R307" s="104">
        <f t="shared" si="25"/>
        <v>0.94954128440366969</v>
      </c>
      <c r="S307" s="179"/>
      <c r="T307" s="63"/>
      <c r="Y307" s="87"/>
      <c r="Z307" s="329"/>
      <c r="AA307" s="118"/>
      <c r="AB307" s="118"/>
    </row>
    <row r="308" spans="1:30" s="60" customFormat="1" x14ac:dyDescent="0.2">
      <c r="A308" s="57">
        <v>42901</v>
      </c>
      <c r="B308" s="118">
        <v>17</v>
      </c>
      <c r="C308" s="58"/>
      <c r="D308" s="60" t="s">
        <v>38</v>
      </c>
      <c r="E308" s="60">
        <v>8</v>
      </c>
      <c r="F308" s="87" t="s">
        <v>201</v>
      </c>
      <c r="G308" s="87">
        <v>1</v>
      </c>
      <c r="H308" s="60">
        <v>400</v>
      </c>
      <c r="I308" s="60">
        <v>20</v>
      </c>
      <c r="J308" s="60">
        <v>57</v>
      </c>
      <c r="K308" s="60">
        <v>4</v>
      </c>
      <c r="L308" s="60">
        <v>95</v>
      </c>
      <c r="M308" s="60">
        <v>22</v>
      </c>
      <c r="N308" s="60">
        <v>45</v>
      </c>
      <c r="P308" s="118">
        <f t="shared" si="23"/>
        <v>6133.3333333333339</v>
      </c>
      <c r="Q308" s="118">
        <f t="shared" si="24"/>
        <v>26266.666666666668</v>
      </c>
      <c r="R308" s="104">
        <f t="shared" si="25"/>
        <v>0.18930041152263377</v>
      </c>
      <c r="S308" s="179"/>
      <c r="T308" s="63"/>
      <c r="Y308" s="87"/>
      <c r="Z308" s="329"/>
      <c r="AA308" s="118"/>
      <c r="AB308" s="118"/>
    </row>
    <row r="309" spans="1:30" s="60" customFormat="1" x14ac:dyDescent="0.2">
      <c r="A309" s="57">
        <v>42901</v>
      </c>
      <c r="B309" s="409">
        <v>20</v>
      </c>
      <c r="C309" s="58"/>
      <c r="D309" s="59" t="s">
        <v>46</v>
      </c>
      <c r="E309" s="60">
        <v>8</v>
      </c>
      <c r="F309" s="87">
        <v>224</v>
      </c>
      <c r="G309" s="87">
        <v>1</v>
      </c>
      <c r="H309" s="60">
        <v>300</v>
      </c>
      <c r="I309" s="60">
        <v>2</v>
      </c>
      <c r="J309" s="60">
        <v>0</v>
      </c>
      <c r="K309" s="60">
        <v>0</v>
      </c>
      <c r="L309" s="60">
        <v>0</v>
      </c>
      <c r="M309" s="60">
        <v>2</v>
      </c>
      <c r="N309" s="60">
        <v>0</v>
      </c>
      <c r="P309" s="118">
        <f t="shared" si="23"/>
        <v>400</v>
      </c>
      <c r="Q309" s="118">
        <f t="shared" si="24"/>
        <v>0</v>
      </c>
      <c r="R309" s="104">
        <f t="shared" si="25"/>
        <v>1</v>
      </c>
      <c r="S309" s="180" t="str">
        <f>D309</f>
        <v>K-6 Low</v>
      </c>
      <c r="T309" s="63"/>
      <c r="Y309" s="87" t="str">
        <f>D309</f>
        <v>K-6 Low</v>
      </c>
      <c r="Z309" s="323">
        <f>SUMIFS($P$189:$P$248, $D$189:$D$248, Y309, $F$189:$F$248, "&lt;200") + SUMIFS($Q$189:$Q$248, $D$189:$D$248, Y309, $F$189:$F$248, "&lt;200")</f>
        <v>47066.666666666664</v>
      </c>
      <c r="AA309" s="118">
        <f>SUM(P309:Q312)</f>
        <v>35503.333333333336</v>
      </c>
      <c r="AB309" s="118">
        <f>SUMIFS(Collection!O:O, Collection!B:B, "*" &amp; 'Bucket Counts'!Y309 &amp; "*", Collection!A:A, "&lt;" &amp; 'Bucket Counts'!A309,Collection!A:A,  "&gt;=" &amp; 'Bucket Counts'!$A$189)</f>
        <v>0</v>
      </c>
      <c r="AC309" s="104">
        <f>AA309/(Z309+AB309)</f>
        <v>0.7543201133144477</v>
      </c>
    </row>
    <row r="310" spans="1:30" s="60" customFormat="1" x14ac:dyDescent="0.2">
      <c r="A310" s="57">
        <v>42901</v>
      </c>
      <c r="B310" s="409">
        <v>20</v>
      </c>
      <c r="C310" s="58"/>
      <c r="D310" s="59" t="s">
        <v>46</v>
      </c>
      <c r="E310" s="60">
        <v>8</v>
      </c>
      <c r="F310" s="87">
        <v>180</v>
      </c>
      <c r="G310" s="87">
        <v>1</v>
      </c>
      <c r="H310" s="60">
        <v>450</v>
      </c>
      <c r="I310" s="60">
        <v>18</v>
      </c>
      <c r="J310" s="60">
        <v>0</v>
      </c>
      <c r="K310" s="60">
        <v>17</v>
      </c>
      <c r="L310" s="60">
        <v>0</v>
      </c>
      <c r="M310" s="60">
        <v>14</v>
      </c>
      <c r="N310" s="60">
        <v>0</v>
      </c>
      <c r="P310" s="118">
        <f t="shared" si="23"/>
        <v>7349.9999999999991</v>
      </c>
      <c r="Q310" s="118">
        <f t="shared" si="24"/>
        <v>0</v>
      </c>
      <c r="R310" s="104">
        <f t="shared" si="25"/>
        <v>1</v>
      </c>
      <c r="S310" s="178">
        <f>(SUM(P309:P312)/(SUM(P309:Q312)))</f>
        <v>0.93671955684912223</v>
      </c>
      <c r="T310" s="63"/>
      <c r="Y310" s="87"/>
      <c r="Z310" s="329"/>
      <c r="AA310" s="118"/>
      <c r="AB310" s="118"/>
    </row>
    <row r="311" spans="1:30" s="60" customFormat="1" x14ac:dyDescent="0.2">
      <c r="A311" s="57">
        <v>42901</v>
      </c>
      <c r="B311" s="409">
        <v>20</v>
      </c>
      <c r="C311" s="58"/>
      <c r="D311" s="59" t="s">
        <v>46</v>
      </c>
      <c r="E311" s="60">
        <v>8</v>
      </c>
      <c r="F311" s="87">
        <v>100</v>
      </c>
      <c r="G311" s="87">
        <v>1</v>
      </c>
      <c r="H311" s="60">
        <v>500</v>
      </c>
      <c r="I311" s="60">
        <v>46</v>
      </c>
      <c r="J311" s="60">
        <v>3</v>
      </c>
      <c r="K311" s="60">
        <v>50</v>
      </c>
      <c r="L311" s="60">
        <v>3</v>
      </c>
      <c r="M311" s="60">
        <v>52</v>
      </c>
      <c r="N311" s="60">
        <v>1</v>
      </c>
      <c r="P311" s="118">
        <f t="shared" si="23"/>
        <v>24666.666666666668</v>
      </c>
      <c r="Q311" s="118">
        <f t="shared" si="24"/>
        <v>1166.6666666666667</v>
      </c>
      <c r="R311" s="104">
        <f t="shared" si="25"/>
        <v>0.95483870967741935</v>
      </c>
      <c r="S311" s="179"/>
      <c r="T311" s="63"/>
      <c r="Y311" s="87"/>
      <c r="Z311" s="329"/>
      <c r="AA311" s="118"/>
      <c r="AB311" s="118"/>
    </row>
    <row r="312" spans="1:30" s="67" customFormat="1" ht="17" thickBot="1" x14ac:dyDescent="0.25">
      <c r="A312" s="64">
        <v>42901</v>
      </c>
      <c r="B312" s="410">
        <v>20</v>
      </c>
      <c r="C312" s="65"/>
      <c r="D312" s="66" t="s">
        <v>46</v>
      </c>
      <c r="E312" s="67">
        <v>8</v>
      </c>
      <c r="F312" s="146" t="s">
        <v>201</v>
      </c>
      <c r="G312" s="146">
        <v>1</v>
      </c>
      <c r="H312" s="67">
        <v>360</v>
      </c>
      <c r="I312" s="67">
        <v>1</v>
      </c>
      <c r="J312" s="67">
        <v>7</v>
      </c>
      <c r="K312" s="67">
        <v>3</v>
      </c>
      <c r="L312" s="67">
        <v>2</v>
      </c>
      <c r="M312" s="67">
        <v>3</v>
      </c>
      <c r="N312" s="67">
        <v>0</v>
      </c>
      <c r="P312" s="147">
        <f t="shared" si="23"/>
        <v>840</v>
      </c>
      <c r="Q312" s="147">
        <f t="shared" si="24"/>
        <v>1080</v>
      </c>
      <c r="R312" s="162">
        <f t="shared" si="25"/>
        <v>0.4375</v>
      </c>
      <c r="S312" s="193"/>
      <c r="Y312" s="146"/>
      <c r="Z312" s="337"/>
      <c r="AA312" s="147"/>
      <c r="AB312" s="147"/>
    </row>
    <row r="313" spans="1:30" s="73" customFormat="1" x14ac:dyDescent="0.2">
      <c r="A313" s="70">
        <v>42905</v>
      </c>
      <c r="B313" s="411">
        <v>10</v>
      </c>
      <c r="C313" s="71"/>
      <c r="D313" s="72" t="s">
        <v>104</v>
      </c>
      <c r="E313" s="73">
        <v>1</v>
      </c>
      <c r="F313" s="84">
        <v>224</v>
      </c>
      <c r="G313" s="84">
        <v>2</v>
      </c>
      <c r="H313" s="73">
        <v>360</v>
      </c>
      <c r="I313" s="73">
        <v>0</v>
      </c>
      <c r="J313" s="73">
        <v>0</v>
      </c>
      <c r="K313" s="73">
        <v>2</v>
      </c>
      <c r="L313" s="73">
        <v>0</v>
      </c>
      <c r="M313" s="73">
        <v>1</v>
      </c>
      <c r="N313" s="73">
        <v>0</v>
      </c>
      <c r="P313" s="120">
        <f>(AVERAGE(I313,K313,M313)/G313)*H313</f>
        <v>180</v>
      </c>
      <c r="Q313" s="120">
        <f t="shared" si="24"/>
        <v>0</v>
      </c>
      <c r="R313" s="157">
        <f t="shared" si="25"/>
        <v>1</v>
      </c>
      <c r="S313" s="170" t="str">
        <f>D313</f>
        <v>NF-6 Low</v>
      </c>
      <c r="T313" s="74"/>
      <c r="U313" s="74"/>
      <c r="V313" s="74"/>
      <c r="Y313" s="85" t="str">
        <f>D313</f>
        <v>NF-6 Low</v>
      </c>
      <c r="Z313" s="333">
        <f>(SUMIFS($P$249:$P$312, $D$249:$D$312, Y313, $F$249:$F$312, "&lt;200"))+(SUMIFS($Q$249:$Q$312, $D$249:$D$312, Y313, $F$249:$F$312, "&lt;200"))</f>
        <v>71470</v>
      </c>
      <c r="AA313" s="122">
        <f>SUM(P313:Q316)</f>
        <v>71113.333333333343</v>
      </c>
      <c r="AB313" s="122">
        <f>SUMIFS(Collection!O:O, Collection!B:B, "*" &amp; 'Bucket Counts'!Y313 &amp; "*", Collection!A:A, "&lt;" &amp; 'Bucket Counts'!A313,Collection!A:A,  "&gt;=" &amp; 'Bucket Counts'!$A$249)</f>
        <v>0</v>
      </c>
      <c r="AC313" s="158">
        <f>AA313/(Z313+AB313)</f>
        <v>0.99500956112121652</v>
      </c>
      <c r="AD313" s="343">
        <f>AVERAGE(AC313:AC376)</f>
        <v>0.91836897254975736</v>
      </c>
    </row>
    <row r="314" spans="1:30" s="78" customFormat="1" x14ac:dyDescent="0.2">
      <c r="A314" s="75">
        <v>42905</v>
      </c>
      <c r="B314" s="412">
        <v>10</v>
      </c>
      <c r="C314" s="76"/>
      <c r="D314" s="77" t="s">
        <v>104</v>
      </c>
      <c r="E314" s="78">
        <v>1</v>
      </c>
      <c r="F314" s="85">
        <v>180</v>
      </c>
      <c r="G314" s="85">
        <v>1</v>
      </c>
      <c r="H314" s="78">
        <v>500</v>
      </c>
      <c r="I314" s="78">
        <v>19</v>
      </c>
      <c r="J314" s="78">
        <v>1</v>
      </c>
      <c r="K314" s="78">
        <v>16</v>
      </c>
      <c r="L314" s="78">
        <v>0</v>
      </c>
      <c r="M314" s="85">
        <v>20</v>
      </c>
      <c r="N314" s="78">
        <v>1</v>
      </c>
      <c r="P314" s="122">
        <f t="shared" ref="P314:P323" si="26">(AVERAGE(I314,K314,M314)/G314)*H314</f>
        <v>9166.6666666666661</v>
      </c>
      <c r="Q314" s="122">
        <f t="shared" si="24"/>
        <v>333.33333333333331</v>
      </c>
      <c r="R314" s="158">
        <f t="shared" si="25"/>
        <v>0.96491228070175428</v>
      </c>
      <c r="S314" s="182">
        <f>(SUM(P313:P316)/(SUM(P313:Q316)))</f>
        <v>0.91562763663635505</v>
      </c>
      <c r="T314" s="79"/>
      <c r="U314" s="79"/>
      <c r="V314" s="79"/>
      <c r="Y314" s="85"/>
      <c r="Z314" s="333"/>
      <c r="AA314" s="122"/>
      <c r="AB314" s="122"/>
    </row>
    <row r="315" spans="1:30" s="78" customFormat="1" x14ac:dyDescent="0.2">
      <c r="A315" s="75">
        <v>42905</v>
      </c>
      <c r="B315" s="412">
        <v>10</v>
      </c>
      <c r="C315" s="76"/>
      <c r="D315" s="77" t="s">
        <v>104</v>
      </c>
      <c r="E315" s="78">
        <v>1</v>
      </c>
      <c r="F315" s="85">
        <v>100</v>
      </c>
      <c r="G315" s="85">
        <v>0.5</v>
      </c>
      <c r="H315" s="78">
        <v>800</v>
      </c>
      <c r="I315" s="78">
        <v>33</v>
      </c>
      <c r="J315" s="78">
        <v>0</v>
      </c>
      <c r="K315" s="78">
        <v>38</v>
      </c>
      <c r="L315" s="78">
        <v>0</v>
      </c>
      <c r="M315" s="78">
        <v>32</v>
      </c>
      <c r="N315" s="78">
        <v>0</v>
      </c>
      <c r="P315" s="122">
        <f t="shared" si="26"/>
        <v>54933.333333333336</v>
      </c>
      <c r="Q315" s="122">
        <f t="shared" si="24"/>
        <v>0</v>
      </c>
      <c r="R315" s="158">
        <f t="shared" si="25"/>
        <v>1</v>
      </c>
      <c r="S315" s="182"/>
      <c r="T315" s="79"/>
      <c r="U315" s="79"/>
      <c r="V315" s="79"/>
      <c r="Y315" s="85"/>
      <c r="Z315" s="333"/>
      <c r="AA315" s="122"/>
      <c r="AB315" s="122"/>
    </row>
    <row r="316" spans="1:30" s="78" customFormat="1" x14ac:dyDescent="0.2">
      <c r="A316" s="75">
        <v>42905</v>
      </c>
      <c r="B316" s="412">
        <v>10</v>
      </c>
      <c r="C316" s="76"/>
      <c r="D316" s="77" t="s">
        <v>104</v>
      </c>
      <c r="E316" s="78">
        <v>1</v>
      </c>
      <c r="F316" s="85" t="s">
        <v>201</v>
      </c>
      <c r="G316" s="85">
        <v>1</v>
      </c>
      <c r="H316" s="78">
        <v>500</v>
      </c>
      <c r="I316" s="78">
        <v>1</v>
      </c>
      <c r="J316" s="78">
        <v>16</v>
      </c>
      <c r="K316" s="78">
        <v>2</v>
      </c>
      <c r="L316" s="78">
        <v>11</v>
      </c>
      <c r="M316" s="78">
        <v>2</v>
      </c>
      <c r="N316" s="78">
        <v>7</v>
      </c>
      <c r="P316" s="122">
        <f t="shared" si="26"/>
        <v>833.33333333333337</v>
      </c>
      <c r="Q316" s="122">
        <f t="shared" si="24"/>
        <v>5666.666666666667</v>
      </c>
      <c r="R316" s="158">
        <f t="shared" si="25"/>
        <v>0.12820512820512822</v>
      </c>
      <c r="S316" s="185"/>
      <c r="T316" s="79"/>
      <c r="U316" s="79"/>
      <c r="V316" s="79"/>
      <c r="Y316" s="85"/>
      <c r="Z316" s="333"/>
      <c r="AA316" s="122"/>
      <c r="AB316" s="122"/>
    </row>
    <row r="317" spans="1:30" s="78" customFormat="1" x14ac:dyDescent="0.2">
      <c r="A317" s="187">
        <v>42905</v>
      </c>
      <c r="B317" s="122">
        <v>13</v>
      </c>
      <c r="C317" s="76"/>
      <c r="D317" s="78" t="s">
        <v>77</v>
      </c>
      <c r="E317" s="78">
        <v>1</v>
      </c>
      <c r="F317" s="85">
        <v>224</v>
      </c>
      <c r="G317" s="85">
        <v>1</v>
      </c>
      <c r="H317" s="78">
        <v>520</v>
      </c>
      <c r="I317" s="78">
        <v>4</v>
      </c>
      <c r="J317" s="78">
        <v>2</v>
      </c>
      <c r="K317" s="78">
        <v>3</v>
      </c>
      <c r="L317" s="78">
        <v>4</v>
      </c>
      <c r="M317" s="78">
        <v>6</v>
      </c>
      <c r="N317" s="78">
        <v>4</v>
      </c>
      <c r="P317" s="122">
        <f t="shared" si="26"/>
        <v>2253.333333333333</v>
      </c>
      <c r="Q317" s="122">
        <f t="shared" si="24"/>
        <v>1733.3333333333335</v>
      </c>
      <c r="R317" s="158">
        <f t="shared" si="25"/>
        <v>0.56521739130434778</v>
      </c>
      <c r="S317" s="186" t="str">
        <f>D317</f>
        <v>SN-6 Low</v>
      </c>
      <c r="T317" s="79"/>
      <c r="U317" s="79"/>
      <c r="V317" s="79"/>
      <c r="Y317" s="85" t="str">
        <f>D317</f>
        <v>SN-6 Low</v>
      </c>
      <c r="Z317" s="333">
        <f>(SUMIFS($P$249:$P$312, $D$249:$D$312, Y317, $F$249:$F$312, "&lt;200"))+(SUMIFS($Q$249:$Q$312, $D$249:$D$312, Y317, $F$249:$F$312, "&lt;200"))</f>
        <v>86125</v>
      </c>
      <c r="AA317" s="122">
        <f>SUM(P317:Q320)</f>
        <v>136566.66666666669</v>
      </c>
      <c r="AB317" s="122">
        <f>SUMIFS(Collection!O:O, Collection!B:B, "*" &amp; 'Bucket Counts'!Y317 &amp; "*", Collection!A:A, "&lt;" &amp; 'Bucket Counts'!A317,Collection!A:A,  "&gt;=" &amp; 'Bucket Counts'!$A$249)</f>
        <v>105233.33333333334</v>
      </c>
      <c r="AC317" s="158">
        <f>AA317/(Z317+AB317)</f>
        <v>0.71366981666158613</v>
      </c>
    </row>
    <row r="318" spans="1:30" s="78" customFormat="1" x14ac:dyDescent="0.2">
      <c r="A318" s="187">
        <v>42905</v>
      </c>
      <c r="B318" s="122">
        <v>13</v>
      </c>
      <c r="C318" s="76"/>
      <c r="D318" s="78" t="s">
        <v>77</v>
      </c>
      <c r="E318" s="78">
        <v>1</v>
      </c>
      <c r="F318" s="85">
        <v>180</v>
      </c>
      <c r="G318" s="85">
        <v>1</v>
      </c>
      <c r="H318" s="225">
        <v>830</v>
      </c>
      <c r="I318" s="78">
        <v>4</v>
      </c>
      <c r="J318" s="78">
        <v>25</v>
      </c>
      <c r="K318" s="78">
        <v>9</v>
      </c>
      <c r="L318" s="78">
        <v>15</v>
      </c>
      <c r="M318" s="78">
        <v>8</v>
      </c>
      <c r="N318" s="78">
        <v>22</v>
      </c>
      <c r="P318" s="122">
        <f t="shared" si="26"/>
        <v>5810</v>
      </c>
      <c r="Q318" s="122">
        <f t="shared" si="24"/>
        <v>17153.333333333336</v>
      </c>
      <c r="R318" s="158">
        <f t="shared" si="25"/>
        <v>0.25301204819277107</v>
      </c>
      <c r="S318" s="184">
        <f>(SUM(P317:P320)/(SUM(P317:Q320)))</f>
        <v>0.34762020990969006</v>
      </c>
      <c r="T318" s="79"/>
      <c r="U318" s="79"/>
      <c r="V318" s="79"/>
      <c r="Y318" s="85"/>
      <c r="Z318" s="333"/>
      <c r="AA318" s="122"/>
      <c r="AB318" s="122"/>
    </row>
    <row r="319" spans="1:30" s="78" customFormat="1" x14ac:dyDescent="0.2">
      <c r="A319" s="187">
        <v>42905</v>
      </c>
      <c r="B319" s="122">
        <v>13</v>
      </c>
      <c r="C319" s="76"/>
      <c r="D319" s="78" t="s">
        <v>77</v>
      </c>
      <c r="E319" s="78">
        <v>1</v>
      </c>
      <c r="F319" s="85">
        <v>100</v>
      </c>
      <c r="G319" s="85">
        <v>1</v>
      </c>
      <c r="H319" s="225">
        <v>580</v>
      </c>
      <c r="I319" s="78">
        <v>78</v>
      </c>
      <c r="J319" s="78">
        <v>7</v>
      </c>
      <c r="K319" s="78">
        <v>63</v>
      </c>
      <c r="L319" s="78">
        <v>2</v>
      </c>
      <c r="M319" s="78">
        <v>62</v>
      </c>
      <c r="N319" s="78">
        <v>1</v>
      </c>
      <c r="P319" s="122">
        <f t="shared" si="26"/>
        <v>39246.666666666672</v>
      </c>
      <c r="Q319" s="122">
        <f t="shared" si="24"/>
        <v>1933.3333333333335</v>
      </c>
      <c r="R319" s="158">
        <f t="shared" si="25"/>
        <v>0.95305164319248825</v>
      </c>
      <c r="S319" s="185"/>
      <c r="T319" s="79"/>
      <c r="U319" s="79"/>
      <c r="V319" s="79"/>
      <c r="Y319" s="85"/>
      <c r="Z319" s="333"/>
      <c r="AA319" s="122"/>
      <c r="AB319" s="122"/>
    </row>
    <row r="320" spans="1:30" s="78" customFormat="1" x14ac:dyDescent="0.2">
      <c r="A320" s="187">
        <v>42905</v>
      </c>
      <c r="B320" s="122">
        <v>13</v>
      </c>
      <c r="C320" s="76"/>
      <c r="D320" s="78" t="s">
        <v>77</v>
      </c>
      <c r="E320" s="78">
        <v>1</v>
      </c>
      <c r="F320" s="85" t="s">
        <v>201</v>
      </c>
      <c r="G320" s="85">
        <v>1</v>
      </c>
      <c r="H320" s="225">
        <v>490</v>
      </c>
      <c r="I320" s="78">
        <v>1</v>
      </c>
      <c r="J320" s="78">
        <v>126</v>
      </c>
      <c r="K320" s="78">
        <v>0</v>
      </c>
      <c r="L320" s="78">
        <v>144</v>
      </c>
      <c r="M320" s="78">
        <v>0</v>
      </c>
      <c r="N320" s="78">
        <v>148</v>
      </c>
      <c r="P320" s="122">
        <f t="shared" si="26"/>
        <v>163.33333333333331</v>
      </c>
      <c r="Q320" s="122">
        <f t="shared" si="24"/>
        <v>68273.333333333343</v>
      </c>
      <c r="R320" s="158">
        <f t="shared" si="25"/>
        <v>2.3866348448687348E-3</v>
      </c>
      <c r="S320" s="185"/>
      <c r="T320" s="79"/>
      <c r="U320" s="79"/>
      <c r="V320" s="79"/>
      <c r="Y320" s="85"/>
      <c r="Z320" s="333"/>
      <c r="AA320" s="122"/>
      <c r="AB320" s="122"/>
    </row>
    <row r="321" spans="1:29" s="78" customFormat="1" x14ac:dyDescent="0.2">
      <c r="A321" s="187">
        <v>42905</v>
      </c>
      <c r="B321" s="122">
        <v>8</v>
      </c>
      <c r="C321" s="76"/>
      <c r="D321" s="78" t="s">
        <v>85</v>
      </c>
      <c r="E321" s="78">
        <v>2</v>
      </c>
      <c r="F321" s="85">
        <v>224</v>
      </c>
      <c r="G321" s="85">
        <v>1</v>
      </c>
      <c r="H321" s="225">
        <v>500</v>
      </c>
      <c r="I321" s="78">
        <v>4</v>
      </c>
      <c r="J321" s="78">
        <v>0</v>
      </c>
      <c r="K321" s="78">
        <v>5</v>
      </c>
      <c r="L321" s="78">
        <v>1</v>
      </c>
      <c r="M321" s="78">
        <v>4</v>
      </c>
      <c r="N321" s="78">
        <v>0</v>
      </c>
      <c r="P321" s="122">
        <f t="shared" si="26"/>
        <v>2166.6666666666665</v>
      </c>
      <c r="Q321" s="122">
        <f t="shared" si="24"/>
        <v>166.66666666666666</v>
      </c>
      <c r="R321" s="158">
        <f t="shared" si="25"/>
        <v>0.9285714285714286</v>
      </c>
      <c r="S321" s="186" t="str">
        <f>D321</f>
        <v>NF-6 Ambient</v>
      </c>
      <c r="T321" s="79"/>
      <c r="U321" s="79"/>
      <c r="V321" s="79"/>
      <c r="Y321" s="85" t="str">
        <f>D321</f>
        <v>NF-6 Ambient</v>
      </c>
      <c r="Z321" s="333">
        <f>(SUMIFS($P$249:$P$312, $D$249:$D$312, Y321, $F$249:$F$312, "&lt;200"))+(SUMIFS($Q$249:$Q$312, $D$249:$D$312, Y321, $F$249:$F$312, "&lt;200"))</f>
        <v>27299.999999999996</v>
      </c>
      <c r="AA321" s="122">
        <f>SUM(P321:Q324)</f>
        <v>26453.333333333328</v>
      </c>
      <c r="AB321" s="122">
        <f>SUMIFS(Collection!O:O, Collection!B:B, "*" &amp; 'Bucket Counts'!Y321 &amp; "*", Collection!A:A, "&lt;" &amp; 'Bucket Counts'!A321,Collection!A:A,  "&gt;=" &amp; 'Bucket Counts'!$A$249)</f>
        <v>0</v>
      </c>
      <c r="AC321" s="158">
        <f>AA321/(Z321+AB321)</f>
        <v>0.96898656898656899</v>
      </c>
    </row>
    <row r="322" spans="1:29" s="78" customFormat="1" x14ac:dyDescent="0.2">
      <c r="A322" s="187">
        <v>42905</v>
      </c>
      <c r="B322" s="122">
        <v>8</v>
      </c>
      <c r="C322" s="76"/>
      <c r="D322" s="78" t="s">
        <v>85</v>
      </c>
      <c r="E322" s="78">
        <v>2</v>
      </c>
      <c r="F322" s="85">
        <v>180</v>
      </c>
      <c r="G322" s="85">
        <v>1</v>
      </c>
      <c r="H322" s="225">
        <v>790</v>
      </c>
      <c r="I322" s="78">
        <v>23</v>
      </c>
      <c r="J322" s="78">
        <v>7</v>
      </c>
      <c r="K322" s="78">
        <v>23</v>
      </c>
      <c r="L322" s="78">
        <v>2</v>
      </c>
      <c r="M322" s="78">
        <v>20</v>
      </c>
      <c r="N322" s="78">
        <v>7</v>
      </c>
      <c r="P322" s="122">
        <f t="shared" si="26"/>
        <v>17380</v>
      </c>
      <c r="Q322" s="122">
        <f t="shared" si="24"/>
        <v>4213.333333333333</v>
      </c>
      <c r="R322" s="158">
        <f t="shared" si="25"/>
        <v>0.80487804878048785</v>
      </c>
      <c r="S322" s="184">
        <f>(SUM(P321:P324)/(SUM(P321:Q324)))</f>
        <v>0.76965725806451624</v>
      </c>
      <c r="T322" s="79"/>
      <c r="U322" s="79"/>
      <c r="V322" s="79"/>
      <c r="Y322" s="85"/>
      <c r="Z322" s="333"/>
      <c r="AA322" s="122"/>
      <c r="AB322" s="122"/>
    </row>
    <row r="323" spans="1:29" s="78" customFormat="1" x14ac:dyDescent="0.2">
      <c r="A323" s="187">
        <v>42905</v>
      </c>
      <c r="B323" s="122">
        <v>8</v>
      </c>
      <c r="C323" s="76"/>
      <c r="D323" s="78" t="s">
        <v>85</v>
      </c>
      <c r="E323" s="78">
        <v>2</v>
      </c>
      <c r="F323" s="85">
        <v>100</v>
      </c>
      <c r="G323" s="85">
        <v>1</v>
      </c>
      <c r="H323" s="225">
        <v>475</v>
      </c>
      <c r="I323" s="78">
        <v>1</v>
      </c>
      <c r="J323" s="78">
        <v>2</v>
      </c>
      <c r="K323" s="78">
        <v>1</v>
      </c>
      <c r="L323" s="78">
        <v>0</v>
      </c>
      <c r="M323" s="78">
        <v>2</v>
      </c>
      <c r="N323" s="78">
        <v>2</v>
      </c>
      <c r="P323" s="122">
        <f t="shared" si="26"/>
        <v>633.33333333333326</v>
      </c>
      <c r="Q323" s="122">
        <f t="shared" si="24"/>
        <v>633.33333333333326</v>
      </c>
      <c r="R323" s="158">
        <f t="shared" si="25"/>
        <v>0.5</v>
      </c>
      <c r="S323" s="185"/>
      <c r="T323" s="79"/>
      <c r="U323" s="79"/>
      <c r="V323" s="79"/>
      <c r="Y323" s="85"/>
      <c r="Z323" s="333"/>
      <c r="AA323" s="122"/>
      <c r="AB323" s="122"/>
    </row>
    <row r="324" spans="1:29" s="78" customFormat="1" x14ac:dyDescent="0.2">
      <c r="A324" s="187">
        <v>42905</v>
      </c>
      <c r="B324" s="122">
        <v>8</v>
      </c>
      <c r="C324" s="76"/>
      <c r="D324" s="78" t="s">
        <v>85</v>
      </c>
      <c r="E324" s="78">
        <v>2</v>
      </c>
      <c r="F324" s="85" t="s">
        <v>201</v>
      </c>
      <c r="G324" s="85">
        <v>1</v>
      </c>
      <c r="H324" s="225">
        <v>540</v>
      </c>
      <c r="I324" s="78">
        <v>0</v>
      </c>
      <c r="J324" s="78">
        <v>4</v>
      </c>
      <c r="K324" s="78">
        <v>0</v>
      </c>
      <c r="L324" s="78">
        <v>1</v>
      </c>
      <c r="M324" s="78">
        <v>1</v>
      </c>
      <c r="N324" s="78">
        <v>1</v>
      </c>
      <c r="P324" s="122">
        <f>(AVERAGE(I324,K324,M324)/G324)*H324</f>
        <v>180</v>
      </c>
      <c r="Q324" s="122">
        <f t="shared" si="24"/>
        <v>1080</v>
      </c>
      <c r="R324" s="158">
        <f t="shared" si="25"/>
        <v>0.14285714285714285</v>
      </c>
      <c r="S324" s="185"/>
      <c r="T324" s="79"/>
      <c r="U324" s="79"/>
      <c r="V324" s="79"/>
      <c r="Y324" s="85"/>
      <c r="Z324" s="333"/>
      <c r="AA324" s="122"/>
      <c r="AB324" s="122"/>
    </row>
    <row r="325" spans="1:29" s="78" customFormat="1" x14ac:dyDescent="0.2">
      <c r="A325" s="187">
        <v>42905</v>
      </c>
      <c r="B325" s="412">
        <v>5</v>
      </c>
      <c r="C325" s="76"/>
      <c r="D325" s="77" t="s">
        <v>86</v>
      </c>
      <c r="E325" s="78">
        <v>2</v>
      </c>
      <c r="F325" s="85">
        <v>224</v>
      </c>
      <c r="G325" s="85">
        <v>1</v>
      </c>
      <c r="H325" s="225">
        <v>800</v>
      </c>
      <c r="I325" s="78">
        <v>32</v>
      </c>
      <c r="J325" s="78">
        <v>1</v>
      </c>
      <c r="K325" s="78">
        <v>22</v>
      </c>
      <c r="L325" s="78">
        <v>6</v>
      </c>
      <c r="M325" s="78">
        <v>19</v>
      </c>
      <c r="N325" s="78">
        <v>4</v>
      </c>
      <c r="P325" s="122">
        <f>(AVERAGE(I325,K325,M325)/G325)*H325</f>
        <v>19466.666666666664</v>
      </c>
      <c r="Q325" s="122">
        <f t="shared" si="24"/>
        <v>2933.333333333333</v>
      </c>
      <c r="R325" s="158">
        <f t="shared" si="25"/>
        <v>0.86904761904761907</v>
      </c>
      <c r="S325" s="186" t="str">
        <f>D325</f>
        <v>SN-10 Ambient</v>
      </c>
      <c r="T325" s="79"/>
      <c r="U325" s="79"/>
      <c r="V325" s="79"/>
      <c r="Y325" s="85" t="str">
        <f>D325</f>
        <v>SN-10 Ambient</v>
      </c>
      <c r="Z325" s="333">
        <f>(SUMIFS($P$249:$P$312, $D$249:$D$312, Y325, $F$249:$F$312, "&lt;200"))+(SUMIFS($Q$249:$Q$312, $D$249:$D$312, Y325, $F$249:$F$312, "&lt;200"))</f>
        <v>100900</v>
      </c>
      <c r="AA325" s="122">
        <f>SUM(P325:Q328)</f>
        <v>149733.33333333331</v>
      </c>
      <c r="AB325" s="122">
        <f>SUMIFS(Collection!O:O, Collection!B:B, "*" &amp; 'Bucket Counts'!Y325 &amp; "*", Collection!A:A, "&lt;" &amp; 'Bucket Counts'!A325,Collection!A:A,  "&gt;=" &amp; 'Bucket Counts'!$A$249)</f>
        <v>49833.333333333328</v>
      </c>
      <c r="AC325" s="158">
        <f>AA325/(Z325+AB325)</f>
        <v>0.99336576735957538</v>
      </c>
    </row>
    <row r="326" spans="1:29" s="78" customFormat="1" x14ac:dyDescent="0.2">
      <c r="A326" s="187">
        <v>42905</v>
      </c>
      <c r="B326" s="412">
        <v>5</v>
      </c>
      <c r="C326" s="76"/>
      <c r="D326" s="77" t="s">
        <v>86</v>
      </c>
      <c r="E326" s="78">
        <v>2</v>
      </c>
      <c r="F326" s="85">
        <v>180</v>
      </c>
      <c r="G326" s="85">
        <v>1</v>
      </c>
      <c r="H326" s="225">
        <v>800</v>
      </c>
      <c r="I326" s="78">
        <v>27</v>
      </c>
      <c r="J326" s="78">
        <v>15</v>
      </c>
      <c r="K326" s="78">
        <v>40</v>
      </c>
      <c r="L326" s="78">
        <v>16</v>
      </c>
      <c r="M326" s="78">
        <v>40</v>
      </c>
      <c r="N326" s="78">
        <v>21</v>
      </c>
      <c r="P326" s="122">
        <f t="shared" ref="P326:P339" si="27">(AVERAGE(I326,K326,M326)/G326)*H326</f>
        <v>28533.333333333332</v>
      </c>
      <c r="Q326" s="122">
        <f t="shared" si="24"/>
        <v>13866.666666666666</v>
      </c>
      <c r="R326" s="158">
        <f t="shared" si="25"/>
        <v>0.67295597484276726</v>
      </c>
      <c r="S326" s="184">
        <f>(SUM(P325:P328)/(SUM(P325:Q328)))</f>
        <v>0.68926981300089052</v>
      </c>
      <c r="T326" s="79"/>
      <c r="U326" s="79"/>
      <c r="V326" s="79"/>
      <c r="Y326" s="85"/>
      <c r="Z326" s="333"/>
      <c r="AA326" s="122"/>
      <c r="AB326" s="122"/>
    </row>
    <row r="327" spans="1:29" s="78" customFormat="1" x14ac:dyDescent="0.2">
      <c r="A327" s="187">
        <v>42905</v>
      </c>
      <c r="B327" s="412">
        <v>5</v>
      </c>
      <c r="C327" s="76"/>
      <c r="D327" s="77" t="s">
        <v>86</v>
      </c>
      <c r="E327" s="78">
        <v>2</v>
      </c>
      <c r="F327" s="85">
        <v>100</v>
      </c>
      <c r="G327" s="85">
        <v>1</v>
      </c>
      <c r="H327" s="225">
        <v>490</v>
      </c>
      <c r="I327" s="78">
        <v>137</v>
      </c>
      <c r="J327" s="78">
        <v>1</v>
      </c>
      <c r="K327" s="78">
        <v>108</v>
      </c>
      <c r="L327" s="78">
        <v>1</v>
      </c>
      <c r="M327" s="78">
        <v>92</v>
      </c>
      <c r="N327" s="78">
        <v>3</v>
      </c>
      <c r="P327" s="122">
        <f t="shared" si="27"/>
        <v>55043.333333333328</v>
      </c>
      <c r="Q327" s="122">
        <f t="shared" si="24"/>
        <v>816.66666666666674</v>
      </c>
      <c r="R327" s="158">
        <f t="shared" si="25"/>
        <v>0.98538011695906436</v>
      </c>
      <c r="S327" s="185"/>
      <c r="T327" s="79"/>
      <c r="U327" s="79"/>
      <c r="V327" s="79"/>
      <c r="Y327" s="85"/>
      <c r="Z327" s="333"/>
      <c r="AA327" s="122"/>
      <c r="AB327" s="122"/>
    </row>
    <row r="328" spans="1:29" s="78" customFormat="1" x14ac:dyDescent="0.2">
      <c r="A328" s="187">
        <v>42905</v>
      </c>
      <c r="B328" s="412">
        <v>5</v>
      </c>
      <c r="C328" s="76"/>
      <c r="D328" s="77" t="s">
        <v>86</v>
      </c>
      <c r="E328" s="78">
        <v>2</v>
      </c>
      <c r="F328" s="85" t="s">
        <v>201</v>
      </c>
      <c r="G328" s="85">
        <v>1</v>
      </c>
      <c r="H328" s="225">
        <v>490</v>
      </c>
      <c r="I328" s="78">
        <v>0</v>
      </c>
      <c r="J328" s="78">
        <v>63</v>
      </c>
      <c r="K328" s="78">
        <v>1</v>
      </c>
      <c r="L328" s="78">
        <v>53</v>
      </c>
      <c r="M328" s="78">
        <v>0</v>
      </c>
      <c r="N328" s="78">
        <v>61</v>
      </c>
      <c r="P328" s="122">
        <f t="shared" si="27"/>
        <v>163.33333333333331</v>
      </c>
      <c r="Q328" s="122">
        <f t="shared" si="24"/>
        <v>28910</v>
      </c>
      <c r="R328" s="158">
        <f t="shared" si="25"/>
        <v>5.6179775280898875E-3</v>
      </c>
      <c r="S328" s="185"/>
      <c r="T328" s="79"/>
      <c r="U328" s="79"/>
      <c r="V328" s="79"/>
      <c r="Y328" s="85"/>
      <c r="Z328" s="333"/>
      <c r="AA328" s="122"/>
      <c r="AB328" s="122"/>
    </row>
    <row r="329" spans="1:29" s="78" customFormat="1" x14ac:dyDescent="0.2">
      <c r="A329" s="187">
        <v>42905</v>
      </c>
      <c r="B329" s="122">
        <v>7</v>
      </c>
      <c r="C329" s="76"/>
      <c r="D329" s="78" t="s">
        <v>74</v>
      </c>
      <c r="E329" s="78">
        <v>3</v>
      </c>
      <c r="F329" s="85">
        <v>224</v>
      </c>
      <c r="G329" s="85">
        <v>1</v>
      </c>
      <c r="H329" s="225">
        <v>500</v>
      </c>
      <c r="I329" s="78">
        <v>0</v>
      </c>
      <c r="J329" s="78">
        <v>8</v>
      </c>
      <c r="K329" s="78">
        <v>1</v>
      </c>
      <c r="L329" s="78">
        <v>10</v>
      </c>
      <c r="M329" s="78">
        <v>0</v>
      </c>
      <c r="N329" s="78">
        <v>14</v>
      </c>
      <c r="P329" s="122">
        <f>(AVERAGE(I329,K329,M329)/G329)*H329</f>
        <v>166.66666666666666</v>
      </c>
      <c r="Q329" s="122">
        <f t="shared" si="24"/>
        <v>5333.333333333333</v>
      </c>
      <c r="R329" s="158">
        <f t="shared" si="25"/>
        <v>3.03030303030303E-2</v>
      </c>
      <c r="S329" s="186" t="str">
        <f>D329</f>
        <v>SN-10 Low</v>
      </c>
      <c r="T329" s="79"/>
      <c r="U329" s="79"/>
      <c r="V329" s="79"/>
      <c r="Y329" s="85" t="str">
        <f>D329</f>
        <v>SN-10 Low</v>
      </c>
      <c r="Z329" s="333">
        <f>(SUMIFS($P$249:$P$312, $D$249:$D$312, Y329, $F$249:$F$312, "&lt;200"))+(SUMIFS($Q$249:$Q$312, $D$249:$D$312, Y329, $F$249:$F$312, "&lt;200"))</f>
        <v>114466.66666666667</v>
      </c>
      <c r="AA329" s="122">
        <f>SUM(P329:Q332)</f>
        <v>102166.66666666666</v>
      </c>
      <c r="AB329" s="122">
        <f>SUMIFS(Collection!O:O, Collection!B:B, "*" &amp; 'Bucket Counts'!Y329 &amp; "*", Collection!A:A, "&lt;" &amp; 'Bucket Counts'!A329,Collection!A:A,  "&gt;=" &amp; 'Bucket Counts'!$A$249)</f>
        <v>49866.666666666664</v>
      </c>
      <c r="AC329" s="158">
        <f>AA329/(Z329+AB329)</f>
        <v>0.6217038539553752</v>
      </c>
    </row>
    <row r="330" spans="1:29" s="78" customFormat="1" x14ac:dyDescent="0.2">
      <c r="A330" s="187">
        <v>42905</v>
      </c>
      <c r="B330" s="122">
        <v>7</v>
      </c>
      <c r="C330" s="76"/>
      <c r="D330" s="78" t="s">
        <v>74</v>
      </c>
      <c r="E330" s="78">
        <v>3</v>
      </c>
      <c r="F330" s="85">
        <v>180</v>
      </c>
      <c r="G330" s="85">
        <v>1</v>
      </c>
      <c r="H330" s="225">
        <v>500</v>
      </c>
      <c r="I330" s="78">
        <v>7</v>
      </c>
      <c r="J330" s="78">
        <v>30</v>
      </c>
      <c r="K330" s="78">
        <v>1</v>
      </c>
      <c r="L330" s="78">
        <v>32</v>
      </c>
      <c r="M330" s="78">
        <v>2</v>
      </c>
      <c r="N330" s="78">
        <v>38</v>
      </c>
      <c r="P330" s="122">
        <f t="shared" si="27"/>
        <v>1666.6666666666667</v>
      </c>
      <c r="Q330" s="122">
        <f t="shared" si="24"/>
        <v>16666.666666666668</v>
      </c>
      <c r="R330" s="158">
        <f t="shared" si="25"/>
        <v>9.0909090909090898E-2</v>
      </c>
      <c r="S330" s="184">
        <f>(SUM(P329:P332)/(SUM(P329:Q332)))</f>
        <v>0.52659053833605229</v>
      </c>
      <c r="T330" s="79"/>
      <c r="U330" s="79"/>
      <c r="V330" s="79"/>
      <c r="Y330" s="85"/>
      <c r="Z330" s="333"/>
      <c r="AA330" s="122"/>
      <c r="AB330" s="122"/>
    </row>
    <row r="331" spans="1:29" s="78" customFormat="1" x14ac:dyDescent="0.2">
      <c r="A331" s="187">
        <v>42905</v>
      </c>
      <c r="B331" s="122">
        <v>7</v>
      </c>
      <c r="C331" s="76"/>
      <c r="D331" s="78" t="s">
        <v>74</v>
      </c>
      <c r="E331" s="78">
        <v>3</v>
      </c>
      <c r="F331" s="85">
        <v>100</v>
      </c>
      <c r="G331" s="85">
        <v>1</v>
      </c>
      <c r="H331" s="225">
        <v>800</v>
      </c>
      <c r="I331" s="78">
        <v>50</v>
      </c>
      <c r="J331" s="78">
        <v>6</v>
      </c>
      <c r="K331" s="78">
        <v>66</v>
      </c>
      <c r="L331" s="78">
        <v>4</v>
      </c>
      <c r="M331" s="78">
        <v>77</v>
      </c>
      <c r="N331" s="78">
        <v>7</v>
      </c>
      <c r="P331" s="122">
        <f t="shared" si="27"/>
        <v>51466.666666666664</v>
      </c>
      <c r="Q331" s="122">
        <f t="shared" si="24"/>
        <v>4533.3333333333339</v>
      </c>
      <c r="R331" s="158">
        <f t="shared" si="25"/>
        <v>0.919047619047619</v>
      </c>
      <c r="S331" s="185"/>
      <c r="T331" s="79"/>
      <c r="U331" s="79"/>
      <c r="V331" s="79"/>
      <c r="Y331" s="85"/>
      <c r="Z331" s="333"/>
      <c r="AA331" s="122"/>
      <c r="AB331" s="122"/>
    </row>
    <row r="332" spans="1:29" s="78" customFormat="1" x14ac:dyDescent="0.2">
      <c r="A332" s="187">
        <v>42905</v>
      </c>
      <c r="B332" s="122">
        <v>7</v>
      </c>
      <c r="C332" s="76"/>
      <c r="D332" s="78" t="s">
        <v>74</v>
      </c>
      <c r="E332" s="78">
        <v>3</v>
      </c>
      <c r="F332" s="85" t="s">
        <v>201</v>
      </c>
      <c r="G332" s="85">
        <v>1</v>
      </c>
      <c r="H332" s="225">
        <v>500</v>
      </c>
      <c r="I332" s="78">
        <v>0</v>
      </c>
      <c r="J332" s="78">
        <v>35</v>
      </c>
      <c r="K332" s="78">
        <v>3</v>
      </c>
      <c r="L332" s="78">
        <v>48</v>
      </c>
      <c r="M332" s="78">
        <v>0</v>
      </c>
      <c r="N332" s="78">
        <v>48</v>
      </c>
      <c r="P332" s="122">
        <f t="shared" si="27"/>
        <v>500</v>
      </c>
      <c r="Q332" s="122">
        <f t="shared" si="24"/>
        <v>21833.333333333332</v>
      </c>
      <c r="R332" s="158">
        <f t="shared" si="25"/>
        <v>2.2388059701492539E-2</v>
      </c>
      <c r="S332" s="185"/>
      <c r="T332" s="79"/>
      <c r="U332" s="79"/>
      <c r="V332" s="79"/>
      <c r="Y332" s="85"/>
      <c r="Z332" s="333"/>
      <c r="AA332" s="122"/>
      <c r="AB332" s="122"/>
    </row>
    <row r="333" spans="1:29" s="78" customFormat="1" x14ac:dyDescent="0.2">
      <c r="A333" s="187">
        <v>42905</v>
      </c>
      <c r="B333" s="122">
        <v>24</v>
      </c>
      <c r="C333" s="76"/>
      <c r="D333" s="78" t="s">
        <v>118</v>
      </c>
      <c r="E333" s="78">
        <v>3</v>
      </c>
      <c r="F333" s="85">
        <v>224</v>
      </c>
      <c r="G333" s="85">
        <v>1</v>
      </c>
      <c r="H333" s="225">
        <v>300</v>
      </c>
      <c r="I333" s="78">
        <v>0</v>
      </c>
      <c r="J333" s="78">
        <v>0</v>
      </c>
      <c r="K333" s="78">
        <v>0</v>
      </c>
      <c r="L333" s="78">
        <v>0</v>
      </c>
      <c r="M333" s="78">
        <v>0</v>
      </c>
      <c r="N333" s="78">
        <v>0</v>
      </c>
      <c r="P333" s="122">
        <f t="shared" si="27"/>
        <v>0</v>
      </c>
      <c r="Q333" s="122">
        <f t="shared" si="24"/>
        <v>0</v>
      </c>
      <c r="R333" s="158" t="e">
        <f t="shared" si="25"/>
        <v>#DIV/0!</v>
      </c>
      <c r="S333" s="186" t="str">
        <f>D333</f>
        <v>HL-6 Ambient</v>
      </c>
      <c r="T333" s="79"/>
      <c r="U333" s="79"/>
      <c r="V333" s="79"/>
      <c r="Y333" s="85" t="str">
        <f>D333</f>
        <v>HL-6 Ambient</v>
      </c>
      <c r="Z333" s="324">
        <f>(SUMIFS($P$249:$P$312, $D$249:$D$312, Y333, $F$249:$F$312, "&lt;200"))+(SUMIFS($Q$249:$Q$312, $D$249:$D$312, Y333, $F$249:$F$312, "&lt;200"))</f>
        <v>55666.666666666672</v>
      </c>
      <c r="AA333" s="122">
        <f>SUM(P333:Q336)</f>
        <v>39433.333333333343</v>
      </c>
      <c r="AB333" s="122">
        <f>SUMIFS(Collection!O:O, Collection!B:B, "*" &amp; 'Bucket Counts'!Y333 &amp; "*", Collection!A:A, "&lt;" &amp; 'Bucket Counts'!A333,Collection!A:A,  "&gt;=" &amp; 'Bucket Counts'!$A$249)</f>
        <v>0</v>
      </c>
      <c r="AC333" s="158">
        <f>AA333/(Z333+AB333)</f>
        <v>0.7083832335329342</v>
      </c>
    </row>
    <row r="334" spans="1:29" s="78" customFormat="1" x14ac:dyDescent="0.2">
      <c r="A334" s="187">
        <v>42905</v>
      </c>
      <c r="B334" s="122">
        <v>24</v>
      </c>
      <c r="C334" s="76"/>
      <c r="D334" s="78" t="s">
        <v>118</v>
      </c>
      <c r="E334" s="78">
        <v>3</v>
      </c>
      <c r="F334" s="85">
        <v>180</v>
      </c>
      <c r="G334" s="85">
        <v>1</v>
      </c>
      <c r="H334" s="225">
        <v>320</v>
      </c>
      <c r="I334" s="78">
        <v>0</v>
      </c>
      <c r="J334" s="78">
        <v>0</v>
      </c>
      <c r="K334" s="78">
        <v>0</v>
      </c>
      <c r="L334" s="78">
        <v>0</v>
      </c>
      <c r="M334" s="78">
        <v>0</v>
      </c>
      <c r="N334" s="78">
        <v>0</v>
      </c>
      <c r="P334" s="122">
        <f t="shared" si="27"/>
        <v>0</v>
      </c>
      <c r="Q334" s="122">
        <f t="shared" si="24"/>
        <v>0</v>
      </c>
      <c r="R334" s="158" t="e">
        <f t="shared" si="25"/>
        <v>#DIV/0!</v>
      </c>
      <c r="S334" s="184">
        <f>(SUM(P333:P336)/(SUM(P333:Q336)))</f>
        <v>0.95266272189349099</v>
      </c>
      <c r="T334" s="79"/>
      <c r="Y334" s="85"/>
      <c r="Z334" s="333"/>
      <c r="AA334" s="122"/>
      <c r="AB334" s="122"/>
    </row>
    <row r="335" spans="1:29" s="78" customFormat="1" x14ac:dyDescent="0.2">
      <c r="A335" s="187">
        <v>42905</v>
      </c>
      <c r="B335" s="122">
        <v>24</v>
      </c>
      <c r="C335" s="76"/>
      <c r="D335" s="78" t="s">
        <v>118</v>
      </c>
      <c r="E335" s="78">
        <v>3</v>
      </c>
      <c r="F335" s="85">
        <v>100</v>
      </c>
      <c r="G335" s="85">
        <v>1</v>
      </c>
      <c r="H335" s="225">
        <v>800</v>
      </c>
      <c r="I335" s="78">
        <v>42</v>
      </c>
      <c r="J335" s="78">
        <v>2</v>
      </c>
      <c r="K335" s="78">
        <v>46</v>
      </c>
      <c r="L335" s="78">
        <v>0</v>
      </c>
      <c r="M335" s="78">
        <v>51</v>
      </c>
      <c r="N335" s="78">
        <v>0</v>
      </c>
      <c r="P335" s="122">
        <f t="shared" si="27"/>
        <v>37066.666666666672</v>
      </c>
      <c r="Q335" s="122">
        <f t="shared" si="24"/>
        <v>533.33333333333326</v>
      </c>
      <c r="R335" s="158">
        <f t="shared" si="25"/>
        <v>0.98581560283687941</v>
      </c>
      <c r="S335" s="185"/>
      <c r="T335" s="79"/>
      <c r="Y335" s="85"/>
      <c r="Z335" s="333"/>
      <c r="AA335" s="122"/>
      <c r="AB335" s="122"/>
    </row>
    <row r="336" spans="1:29" s="78" customFormat="1" x14ac:dyDescent="0.2">
      <c r="A336" s="187">
        <v>42905</v>
      </c>
      <c r="B336" s="122">
        <v>24</v>
      </c>
      <c r="C336" s="76"/>
      <c r="D336" s="78" t="s">
        <v>118</v>
      </c>
      <c r="E336" s="78">
        <v>3</v>
      </c>
      <c r="F336" s="85" t="s">
        <v>201</v>
      </c>
      <c r="G336" s="85">
        <v>1</v>
      </c>
      <c r="H336" s="225">
        <v>500</v>
      </c>
      <c r="I336" s="78">
        <v>0</v>
      </c>
      <c r="J336" s="78">
        <v>2</v>
      </c>
      <c r="K336" s="78">
        <v>0</v>
      </c>
      <c r="L336" s="78">
        <v>3</v>
      </c>
      <c r="M336" s="78">
        <v>3</v>
      </c>
      <c r="N336" s="78">
        <v>3</v>
      </c>
      <c r="P336" s="122">
        <f t="shared" si="27"/>
        <v>500</v>
      </c>
      <c r="Q336" s="122">
        <f t="shared" si="24"/>
        <v>1333.3333333333333</v>
      </c>
      <c r="R336" s="158">
        <f t="shared" si="25"/>
        <v>0.27272727272727276</v>
      </c>
      <c r="S336" s="185"/>
      <c r="T336" s="79"/>
      <c r="Y336" s="85"/>
      <c r="Z336" s="333"/>
      <c r="AA336" s="122"/>
      <c r="AB336" s="122"/>
    </row>
    <row r="337" spans="1:29" s="78" customFormat="1" x14ac:dyDescent="0.2">
      <c r="A337" s="187">
        <v>42905</v>
      </c>
      <c r="B337" s="412">
        <v>23</v>
      </c>
      <c r="C337" s="76"/>
      <c r="D337" s="77" t="s">
        <v>21</v>
      </c>
      <c r="E337" s="78">
        <v>4</v>
      </c>
      <c r="F337" s="85">
        <v>224</v>
      </c>
      <c r="G337" s="85">
        <v>1</v>
      </c>
      <c r="H337" s="225">
        <v>280</v>
      </c>
      <c r="I337" s="78">
        <v>0</v>
      </c>
      <c r="J337" s="78">
        <v>0</v>
      </c>
      <c r="K337" s="78">
        <v>0</v>
      </c>
      <c r="L337" s="78">
        <v>0</v>
      </c>
      <c r="M337" s="78">
        <v>0</v>
      </c>
      <c r="N337" s="78">
        <v>0</v>
      </c>
      <c r="P337" s="122">
        <f t="shared" si="27"/>
        <v>0</v>
      </c>
      <c r="Q337" s="122">
        <f t="shared" si="24"/>
        <v>0</v>
      </c>
      <c r="R337" s="158" t="e">
        <f t="shared" si="25"/>
        <v>#DIV/0!</v>
      </c>
      <c r="S337" s="183" t="str">
        <f>D337</f>
        <v>HL-6 Low</v>
      </c>
      <c r="T337" s="79"/>
      <c r="Y337" s="85" t="str">
        <f>D337</f>
        <v>HL-6 Low</v>
      </c>
      <c r="Z337" s="324">
        <f>(SUMIFS($P$249:$P$312, $D$249:$D$312, Y337, $F$249:$F$312, "&lt;200"))+(SUMIFS($Q$249:$Q$312, $D$249:$D$312, Y337, $F$249:$F$312, "&lt;200"))</f>
        <v>28333.333333333332</v>
      </c>
      <c r="AA337" s="122">
        <f>SUM(P337:Q340)</f>
        <v>114666.66666666667</v>
      </c>
      <c r="AB337" s="122">
        <f>SUMIFS(Collection!O:O, Collection!B:B, "*" &amp; 'Bucket Counts'!Y337 &amp; "*", Collection!A:A, "&lt;" &amp; 'Bucket Counts'!A337,Collection!A:A,  "&gt;=" &amp; 'Bucket Counts'!$A$249)</f>
        <v>111816.66666666666</v>
      </c>
      <c r="AC337" s="158">
        <f>AA337/(Z337+AB337)</f>
        <v>0.8181710072541325</v>
      </c>
    </row>
    <row r="338" spans="1:29" s="78" customFormat="1" x14ac:dyDescent="0.2">
      <c r="A338" s="187">
        <v>42905</v>
      </c>
      <c r="B338" s="412">
        <v>23</v>
      </c>
      <c r="C338" s="76"/>
      <c r="D338" s="77" t="s">
        <v>21</v>
      </c>
      <c r="E338" s="78">
        <v>4</v>
      </c>
      <c r="F338" s="85">
        <v>180</v>
      </c>
      <c r="G338" s="85">
        <v>1</v>
      </c>
      <c r="H338" s="225">
        <v>330</v>
      </c>
      <c r="I338" s="78">
        <v>0</v>
      </c>
      <c r="J338" s="78">
        <v>0</v>
      </c>
      <c r="K338" s="78">
        <v>0</v>
      </c>
      <c r="L338" s="78">
        <v>0</v>
      </c>
      <c r="M338" s="78">
        <v>0</v>
      </c>
      <c r="N338" s="78">
        <v>0</v>
      </c>
      <c r="P338" s="122">
        <f t="shared" si="27"/>
        <v>0</v>
      </c>
      <c r="Q338" s="122">
        <f t="shared" si="24"/>
        <v>0</v>
      </c>
      <c r="R338" s="158" t="e">
        <f t="shared" si="25"/>
        <v>#DIV/0!</v>
      </c>
      <c r="S338" s="184">
        <f>(SUM(P337:P340)/(SUM(P337:Q340)))</f>
        <v>0.89680232558139539</v>
      </c>
      <c r="T338" s="79"/>
      <c r="Y338" s="85"/>
      <c r="Z338" s="333"/>
      <c r="AA338" s="122"/>
      <c r="AB338" s="122"/>
    </row>
    <row r="339" spans="1:29" s="78" customFormat="1" x14ac:dyDescent="0.2">
      <c r="A339" s="187">
        <v>42905</v>
      </c>
      <c r="B339" s="412">
        <v>23</v>
      </c>
      <c r="C339" s="76"/>
      <c r="D339" s="77" t="s">
        <v>21</v>
      </c>
      <c r="E339" s="78">
        <v>4</v>
      </c>
      <c r="F339" s="85">
        <v>100</v>
      </c>
      <c r="G339" s="85">
        <v>1</v>
      </c>
      <c r="H339" s="225">
        <v>800</v>
      </c>
      <c r="I339" s="78">
        <v>111</v>
      </c>
      <c r="J339" s="78">
        <v>0</v>
      </c>
      <c r="K339" s="78">
        <v>79</v>
      </c>
      <c r="L339" s="78">
        <v>0</v>
      </c>
      <c r="M339" s="78">
        <v>100</v>
      </c>
      <c r="N339" s="78">
        <v>0</v>
      </c>
      <c r="P339" s="122">
        <f t="shared" si="27"/>
        <v>77333.333333333343</v>
      </c>
      <c r="Q339" s="122">
        <f t="shared" si="24"/>
        <v>0</v>
      </c>
      <c r="R339" s="158">
        <f t="shared" si="25"/>
        <v>1</v>
      </c>
      <c r="S339" s="182"/>
      <c r="T339" s="79"/>
      <c r="Y339" s="85"/>
      <c r="Z339" s="333"/>
      <c r="AA339" s="122"/>
      <c r="AB339" s="122"/>
    </row>
    <row r="340" spans="1:29" s="78" customFormat="1" ht="14" customHeight="1" x14ac:dyDescent="0.2">
      <c r="A340" s="187">
        <v>42905</v>
      </c>
      <c r="B340" s="412">
        <v>23</v>
      </c>
      <c r="C340" s="76"/>
      <c r="D340" s="77" t="s">
        <v>21</v>
      </c>
      <c r="E340" s="78">
        <v>4</v>
      </c>
      <c r="F340" s="85" t="s">
        <v>201</v>
      </c>
      <c r="G340" s="85">
        <v>1</v>
      </c>
      <c r="H340" s="225">
        <v>500</v>
      </c>
      <c r="I340" s="78">
        <v>49</v>
      </c>
      <c r="J340" s="78">
        <v>26</v>
      </c>
      <c r="K340" s="78">
        <v>49</v>
      </c>
      <c r="L340" s="78">
        <v>20</v>
      </c>
      <c r="M340" s="78">
        <v>55</v>
      </c>
      <c r="N340" s="78">
        <v>25</v>
      </c>
      <c r="P340" s="122">
        <f>(AVERAGE(I340,K340,M340)/G340)*H340</f>
        <v>25500</v>
      </c>
      <c r="Q340" s="122">
        <f t="shared" si="24"/>
        <v>11833.333333333334</v>
      </c>
      <c r="R340" s="158">
        <f t="shared" si="25"/>
        <v>0.68303571428571419</v>
      </c>
      <c r="S340" s="185"/>
      <c r="T340" s="79"/>
      <c r="Y340" s="85"/>
      <c r="Z340" s="333"/>
      <c r="AA340" s="122"/>
      <c r="AB340" s="122"/>
    </row>
    <row r="341" spans="1:29" s="78" customFormat="1" x14ac:dyDescent="0.2">
      <c r="A341" s="187">
        <v>42905</v>
      </c>
      <c r="B341" s="412">
        <v>12</v>
      </c>
      <c r="C341" s="76"/>
      <c r="D341" s="77" t="s">
        <v>83</v>
      </c>
      <c r="E341" s="78">
        <v>4</v>
      </c>
      <c r="F341" s="85">
        <v>224</v>
      </c>
      <c r="G341" s="85">
        <v>1</v>
      </c>
      <c r="H341" s="225">
        <v>510</v>
      </c>
      <c r="I341" s="78">
        <v>0</v>
      </c>
      <c r="J341" s="78">
        <v>4</v>
      </c>
      <c r="K341" s="78">
        <v>0</v>
      </c>
      <c r="L341" s="78">
        <v>20</v>
      </c>
      <c r="M341" s="78">
        <v>1</v>
      </c>
      <c r="N341" s="78">
        <v>13</v>
      </c>
      <c r="P341" s="122">
        <f>(AVERAGE(I341,K341,M341)/G341)*H341</f>
        <v>170</v>
      </c>
      <c r="Q341" s="122">
        <f>(AVERAGE(J341,L341,N341)/G341)*H341</f>
        <v>6290</v>
      </c>
      <c r="R341" s="158">
        <f t="shared" si="25"/>
        <v>2.6315789473684209E-2</v>
      </c>
      <c r="S341" s="186" t="str">
        <f>D341</f>
        <v>NF-10 Low</v>
      </c>
      <c r="T341" s="79"/>
      <c r="Y341" s="85" t="str">
        <f>D341</f>
        <v>NF-10 Low</v>
      </c>
      <c r="Z341" s="324">
        <f>(SUMIFS($P$249:$P$312, $D$249:$D$312, Y341, $F$249:$F$312, "&lt;200"))+(SUMIFS($Q$249:$Q$312, $D$249:$D$312, Y341, $F$249:$F$312, "&lt;200"))</f>
        <v>27083.333333333332</v>
      </c>
      <c r="AA341" s="122">
        <f>SUM(P341:Q344)</f>
        <v>35666.666666666664</v>
      </c>
      <c r="AB341" s="122">
        <f>SUMIFS(Collection!O:O, Collection!B:B, "*" &amp; 'Bucket Counts'!Y341 &amp; "*", Collection!A:A, "&lt;" &amp; 'Bucket Counts'!A341,Collection!A:A,  "&gt;=" &amp; 'Bucket Counts'!$A$249)</f>
        <v>0</v>
      </c>
      <c r="AC341" s="158">
        <f>AA341/(Z341+AB341)</f>
        <v>1.3169230769230769</v>
      </c>
    </row>
    <row r="342" spans="1:29" s="78" customFormat="1" x14ac:dyDescent="0.2">
      <c r="A342" s="187">
        <v>42905</v>
      </c>
      <c r="B342" s="412">
        <v>12</v>
      </c>
      <c r="C342" s="76"/>
      <c r="D342" s="77" t="s">
        <v>83</v>
      </c>
      <c r="E342" s="78">
        <v>4</v>
      </c>
      <c r="F342" s="85">
        <v>180</v>
      </c>
      <c r="G342" s="85">
        <v>1</v>
      </c>
      <c r="H342" s="225">
        <v>520</v>
      </c>
      <c r="I342" s="78">
        <v>2</v>
      </c>
      <c r="J342" s="78">
        <v>53</v>
      </c>
      <c r="K342" s="78">
        <v>1</v>
      </c>
      <c r="L342" s="78">
        <v>52</v>
      </c>
      <c r="M342" s="78">
        <v>3</v>
      </c>
      <c r="N342" s="78">
        <v>48</v>
      </c>
      <c r="P342" s="122">
        <f>(AVERAGE(I342,K342,M342)/G342)*H342</f>
        <v>1040</v>
      </c>
      <c r="Q342" s="122">
        <f>(AVERAGE(J342,L342,N342)/G342)*H342</f>
        <v>26520</v>
      </c>
      <c r="R342" s="158">
        <f t="shared" si="25"/>
        <v>3.7735849056603772E-2</v>
      </c>
      <c r="S342" s="184">
        <f>(SUM(P341:P344)/(SUM(P341:Q344)))</f>
        <v>3.3925233644859817E-2</v>
      </c>
      <c r="T342" s="79"/>
      <c r="Y342" s="85"/>
      <c r="Z342" s="333"/>
      <c r="AA342" s="122"/>
      <c r="AB342" s="122"/>
    </row>
    <row r="343" spans="1:29" s="78" customFormat="1" x14ac:dyDescent="0.2">
      <c r="A343" s="187">
        <v>42905</v>
      </c>
      <c r="B343" s="412">
        <v>12</v>
      </c>
      <c r="C343" s="76"/>
      <c r="D343" s="77" t="s">
        <v>83</v>
      </c>
      <c r="E343" s="78">
        <v>4</v>
      </c>
      <c r="F343" s="85">
        <v>100</v>
      </c>
      <c r="G343" s="85">
        <v>1</v>
      </c>
      <c r="H343" s="225">
        <v>330</v>
      </c>
      <c r="I343" s="78">
        <v>0</v>
      </c>
      <c r="J343" s="78">
        <v>4</v>
      </c>
      <c r="K343" s="78">
        <v>0</v>
      </c>
      <c r="L343" s="78">
        <v>0</v>
      </c>
      <c r="M343" s="78">
        <v>0</v>
      </c>
      <c r="N343" s="78">
        <v>4</v>
      </c>
      <c r="P343" s="122">
        <f t="shared" ref="P343:P359" si="28">(AVERAGE(I343,K343,M343)/G343)*H343</f>
        <v>0</v>
      </c>
      <c r="Q343" s="122">
        <f t="shared" si="24"/>
        <v>880</v>
      </c>
      <c r="R343" s="158">
        <f t="shared" si="25"/>
        <v>0</v>
      </c>
      <c r="S343" s="185"/>
      <c r="T343" s="79"/>
      <c r="Y343" s="85"/>
      <c r="Z343" s="333"/>
      <c r="AA343" s="122"/>
      <c r="AB343" s="122"/>
    </row>
    <row r="344" spans="1:29" s="78" customFormat="1" x14ac:dyDescent="0.2">
      <c r="A344" s="187">
        <v>42905</v>
      </c>
      <c r="B344" s="412">
        <v>12</v>
      </c>
      <c r="C344" s="76"/>
      <c r="D344" s="77" t="s">
        <v>83</v>
      </c>
      <c r="E344" s="78">
        <v>4</v>
      </c>
      <c r="F344" s="85" t="s">
        <v>201</v>
      </c>
      <c r="G344" s="85">
        <v>1</v>
      </c>
      <c r="H344" s="225">
        <v>460</v>
      </c>
      <c r="I344" s="78">
        <v>0</v>
      </c>
      <c r="J344" s="78">
        <v>1</v>
      </c>
      <c r="K344" s="78">
        <v>0</v>
      </c>
      <c r="L344" s="78">
        <v>1</v>
      </c>
      <c r="M344" s="78">
        <v>0</v>
      </c>
      <c r="N344" s="78">
        <v>3</v>
      </c>
      <c r="P344" s="122">
        <f t="shared" si="28"/>
        <v>0</v>
      </c>
      <c r="Q344" s="122">
        <f t="shared" si="24"/>
        <v>766.66666666666674</v>
      </c>
      <c r="R344" s="158">
        <f t="shared" si="25"/>
        <v>0</v>
      </c>
      <c r="S344" s="185"/>
      <c r="T344" s="79"/>
      <c r="Y344" s="85"/>
      <c r="Z344" s="333"/>
      <c r="AA344" s="122"/>
      <c r="AB344" s="122"/>
    </row>
    <row r="345" spans="1:29" s="78" customFormat="1" x14ac:dyDescent="0.2">
      <c r="A345" s="187">
        <v>42905</v>
      </c>
      <c r="B345" s="122">
        <v>16</v>
      </c>
      <c r="C345" s="76"/>
      <c r="D345" s="78" t="s">
        <v>87</v>
      </c>
      <c r="E345" s="78">
        <v>5</v>
      </c>
      <c r="F345" s="85">
        <v>224</v>
      </c>
      <c r="G345" s="85">
        <v>1</v>
      </c>
      <c r="H345" s="78">
        <v>500</v>
      </c>
      <c r="I345" s="78">
        <v>18</v>
      </c>
      <c r="J345" s="78">
        <v>0</v>
      </c>
      <c r="K345" s="78">
        <v>8</v>
      </c>
      <c r="L345" s="78">
        <v>0</v>
      </c>
      <c r="M345" s="78">
        <v>5</v>
      </c>
      <c r="N345" s="78">
        <v>0</v>
      </c>
      <c r="P345" s="122">
        <f t="shared" si="28"/>
        <v>5166.666666666667</v>
      </c>
      <c r="Q345" s="122">
        <f t="shared" si="24"/>
        <v>0</v>
      </c>
      <c r="R345" s="158">
        <f t="shared" si="25"/>
        <v>1</v>
      </c>
      <c r="S345" s="186" t="str">
        <f>D345</f>
        <v>SN-6 Ambient</v>
      </c>
      <c r="Y345" s="85" t="str">
        <f>D345</f>
        <v>SN-6 Ambient</v>
      </c>
      <c r="Z345" s="324">
        <f>(SUMIFS($P$249:$P$312, $D$249:$D$312, Y345, $F$249:$F$312, "&lt;200"))+(SUMIFS($Q$249:$Q$312, $D$249:$D$312, Y345, $F$249:$F$312, "&lt;200"))</f>
        <v>38335</v>
      </c>
      <c r="AA345" s="122">
        <f>SUM(P345:Q348)</f>
        <v>133753.33333333334</v>
      </c>
      <c r="AB345" s="122">
        <f>SUMIFS(Collection!O:O, Collection!B:B, "*" &amp; 'Bucket Counts'!Y345 &amp; "*", Collection!A:A, "&lt;" &amp; 'Bucket Counts'!A345,Collection!A:A,  "&gt;=" &amp; 'Bucket Counts'!$A$249)</f>
        <v>124133.33333333333</v>
      </c>
      <c r="AC345" s="158">
        <f>AA345/(Z345+AB345)</f>
        <v>0.82325786563535475</v>
      </c>
    </row>
    <row r="346" spans="1:29" s="78" customFormat="1" x14ac:dyDescent="0.2">
      <c r="A346" s="187">
        <v>42905</v>
      </c>
      <c r="B346" s="122">
        <v>16</v>
      </c>
      <c r="C346" s="76"/>
      <c r="D346" s="78" t="s">
        <v>87</v>
      </c>
      <c r="E346" s="78">
        <v>5</v>
      </c>
      <c r="F346" s="85">
        <v>180</v>
      </c>
      <c r="G346" s="85">
        <v>1</v>
      </c>
      <c r="H346" s="78">
        <v>800</v>
      </c>
      <c r="I346" s="78">
        <v>19</v>
      </c>
      <c r="J346" s="78">
        <v>1</v>
      </c>
      <c r="K346" s="78">
        <v>11</v>
      </c>
      <c r="L346" s="78">
        <v>1</v>
      </c>
      <c r="M346" s="78">
        <v>23</v>
      </c>
      <c r="N346" s="78">
        <v>0</v>
      </c>
      <c r="P346" s="122">
        <f t="shared" si="28"/>
        <v>14133.333333333334</v>
      </c>
      <c r="Q346" s="122">
        <f t="shared" si="24"/>
        <v>533.33333333333326</v>
      </c>
      <c r="R346" s="158">
        <f t="shared" si="25"/>
        <v>0.96363636363636362</v>
      </c>
      <c r="S346" s="184">
        <f>(SUM(P345:P348)/(SUM(P345:Q348)))</f>
        <v>0.41571549618701092</v>
      </c>
      <c r="Y346" s="85"/>
      <c r="Z346" s="333"/>
      <c r="AA346" s="122"/>
      <c r="AB346" s="122"/>
    </row>
    <row r="347" spans="1:29" s="78" customFormat="1" x14ac:dyDescent="0.2">
      <c r="A347" s="187">
        <v>42905</v>
      </c>
      <c r="B347" s="122">
        <v>16</v>
      </c>
      <c r="C347" s="76"/>
      <c r="D347" s="78" t="s">
        <v>87</v>
      </c>
      <c r="E347" s="78">
        <v>5</v>
      </c>
      <c r="F347" s="85">
        <v>100</v>
      </c>
      <c r="G347" s="85">
        <v>1</v>
      </c>
      <c r="H347" s="78">
        <v>500</v>
      </c>
      <c r="I347" s="78">
        <v>66</v>
      </c>
      <c r="J347" s="78">
        <v>1</v>
      </c>
      <c r="K347" s="78">
        <v>81</v>
      </c>
      <c r="L347" s="78">
        <v>4</v>
      </c>
      <c r="M347" s="78">
        <v>62</v>
      </c>
      <c r="N347" s="78">
        <v>5</v>
      </c>
      <c r="P347" s="122">
        <f t="shared" si="28"/>
        <v>34833.333333333336</v>
      </c>
      <c r="Q347" s="122">
        <f t="shared" si="24"/>
        <v>1666.6666666666667</v>
      </c>
      <c r="R347" s="158">
        <f t="shared" si="25"/>
        <v>0.95433789954337911</v>
      </c>
      <c r="S347" s="185"/>
      <c r="Y347" s="85"/>
      <c r="Z347" s="333"/>
      <c r="AA347" s="122"/>
      <c r="AB347" s="122"/>
    </row>
    <row r="348" spans="1:29" s="78" customFormat="1" x14ac:dyDescent="0.2">
      <c r="A348" s="187">
        <v>42905</v>
      </c>
      <c r="B348" s="122">
        <v>16</v>
      </c>
      <c r="C348" s="76"/>
      <c r="D348" s="78" t="s">
        <v>87</v>
      </c>
      <c r="E348" s="78">
        <v>5</v>
      </c>
      <c r="F348" s="85" t="s">
        <v>201</v>
      </c>
      <c r="G348" s="85">
        <v>1</v>
      </c>
      <c r="H348" s="78">
        <v>490</v>
      </c>
      <c r="I348" s="78">
        <v>5</v>
      </c>
      <c r="J348" s="78">
        <v>148</v>
      </c>
      <c r="K348" s="78">
        <v>2</v>
      </c>
      <c r="L348" s="78">
        <v>156</v>
      </c>
      <c r="M348" s="78">
        <v>2</v>
      </c>
      <c r="N348" s="78">
        <v>161</v>
      </c>
      <c r="P348" s="122">
        <f t="shared" si="28"/>
        <v>1470</v>
      </c>
      <c r="Q348" s="122">
        <f t="shared" si="24"/>
        <v>75950</v>
      </c>
      <c r="R348" s="158">
        <f t="shared" si="25"/>
        <v>1.8987341772151899E-2</v>
      </c>
      <c r="S348" s="185"/>
      <c r="Y348" s="85"/>
      <c r="Z348" s="333"/>
      <c r="AA348" s="122"/>
      <c r="AB348" s="122"/>
    </row>
    <row r="349" spans="1:29" s="78" customFormat="1" x14ac:dyDescent="0.2">
      <c r="A349" s="187">
        <v>42905</v>
      </c>
      <c r="B349" s="122">
        <v>18</v>
      </c>
      <c r="C349" s="76"/>
      <c r="D349" s="78" t="s">
        <v>20</v>
      </c>
      <c r="E349" s="78">
        <v>5</v>
      </c>
      <c r="F349" s="85">
        <v>224</v>
      </c>
      <c r="G349" s="85">
        <v>1</v>
      </c>
      <c r="H349" s="78">
        <v>300</v>
      </c>
      <c r="I349" s="78">
        <v>1</v>
      </c>
      <c r="J349" s="78">
        <v>0</v>
      </c>
      <c r="K349" s="78">
        <v>0</v>
      </c>
      <c r="L349" s="78">
        <v>0</v>
      </c>
      <c r="M349" s="78">
        <v>0</v>
      </c>
      <c r="N349" s="78">
        <v>0</v>
      </c>
      <c r="P349" s="122">
        <f t="shared" si="28"/>
        <v>100</v>
      </c>
      <c r="Q349" s="122">
        <f t="shared" si="24"/>
        <v>0</v>
      </c>
      <c r="R349" s="158">
        <f t="shared" si="25"/>
        <v>1</v>
      </c>
      <c r="S349" s="186" t="str">
        <f>D349</f>
        <v>K-10 Low</v>
      </c>
      <c r="T349" s="79"/>
      <c r="U349" s="79"/>
      <c r="V349" s="79"/>
      <c r="Y349" s="85" t="str">
        <f>D349</f>
        <v>K-10 Low</v>
      </c>
      <c r="Z349" s="324">
        <f>(SUMIFS($P$249:$P$312, $D$249:$D$312, Y349, $F$249:$F$312, "&lt;200"))+(SUMIFS($Q$249:$Q$312, $D$249:$D$312, Y349, $F$249:$F$312, "&lt;200"))</f>
        <v>4083.3333333333335</v>
      </c>
      <c r="AA349" s="122">
        <f>SUM(P349:Q352)</f>
        <v>3900</v>
      </c>
      <c r="AB349" s="122">
        <f>SUMIFS(Collection!O:O, Collection!B:B, "*" &amp; 'Bucket Counts'!Y349 &amp; "*", Collection!A:A, "&lt;" &amp; 'Bucket Counts'!A349,Collection!A:A,  "&gt;=" &amp; 'Bucket Counts'!$A$249)</f>
        <v>0</v>
      </c>
      <c r="AC349" s="158">
        <f>AA349/(Z349+AB349)</f>
        <v>0.95510204081632655</v>
      </c>
    </row>
    <row r="350" spans="1:29" s="78" customFormat="1" x14ac:dyDescent="0.2">
      <c r="A350" s="187">
        <v>42905</v>
      </c>
      <c r="B350" s="122">
        <v>18</v>
      </c>
      <c r="C350" s="76"/>
      <c r="D350" s="78" t="s">
        <v>20</v>
      </c>
      <c r="E350" s="78">
        <v>5</v>
      </c>
      <c r="F350" s="85">
        <v>180</v>
      </c>
      <c r="G350" s="85">
        <v>1</v>
      </c>
      <c r="H350" s="78">
        <v>500</v>
      </c>
      <c r="I350" s="78">
        <v>0</v>
      </c>
      <c r="J350" s="78">
        <v>2</v>
      </c>
      <c r="K350" s="78">
        <v>1</v>
      </c>
      <c r="L350" s="78">
        <v>0</v>
      </c>
      <c r="M350" s="78">
        <v>3</v>
      </c>
      <c r="N350" s="78">
        <v>0</v>
      </c>
      <c r="P350" s="122">
        <f t="shared" si="28"/>
        <v>666.66666666666663</v>
      </c>
      <c r="Q350" s="122">
        <f t="shared" si="24"/>
        <v>333.33333333333331</v>
      </c>
      <c r="R350" s="158">
        <f t="shared" si="25"/>
        <v>0.66666666666666663</v>
      </c>
      <c r="S350" s="184">
        <f>(SUM(P349:P352)/(SUM(P349:Q352)))</f>
        <v>0.32478632478632474</v>
      </c>
      <c r="T350" s="79"/>
      <c r="U350" s="79"/>
      <c r="V350" s="79"/>
      <c r="Y350" s="85"/>
      <c r="Z350" s="333"/>
      <c r="AA350" s="122"/>
      <c r="AB350" s="122"/>
    </row>
    <row r="351" spans="1:29" s="78" customFormat="1" x14ac:dyDescent="0.2">
      <c r="A351" s="187">
        <v>42905</v>
      </c>
      <c r="B351" s="122">
        <v>18</v>
      </c>
      <c r="C351" s="76"/>
      <c r="D351" s="78" t="s">
        <v>20</v>
      </c>
      <c r="E351" s="78">
        <v>5</v>
      </c>
      <c r="F351" s="85">
        <v>100</v>
      </c>
      <c r="G351" s="85">
        <v>1</v>
      </c>
      <c r="H351" s="78">
        <v>300</v>
      </c>
      <c r="I351" s="78">
        <v>1</v>
      </c>
      <c r="J351" s="78">
        <v>0</v>
      </c>
      <c r="K351" s="78">
        <v>1</v>
      </c>
      <c r="L351" s="78">
        <v>2</v>
      </c>
      <c r="M351" s="78">
        <v>3</v>
      </c>
      <c r="N351" s="78">
        <v>0</v>
      </c>
      <c r="P351" s="122">
        <f t="shared" si="28"/>
        <v>500</v>
      </c>
      <c r="Q351" s="122">
        <f t="shared" si="24"/>
        <v>200</v>
      </c>
      <c r="R351" s="158">
        <f t="shared" si="25"/>
        <v>0.7142857142857143</v>
      </c>
      <c r="S351" s="185"/>
      <c r="T351" s="79"/>
      <c r="U351" s="79"/>
      <c r="V351" s="79"/>
      <c r="Y351" s="85"/>
      <c r="Z351" s="333"/>
      <c r="AA351" s="122"/>
      <c r="AB351" s="122"/>
    </row>
    <row r="352" spans="1:29" s="78" customFormat="1" x14ac:dyDescent="0.2">
      <c r="A352" s="187">
        <v>42905</v>
      </c>
      <c r="B352" s="122">
        <v>18</v>
      </c>
      <c r="C352" s="76"/>
      <c r="D352" s="78" t="s">
        <v>20</v>
      </c>
      <c r="E352" s="78">
        <v>5</v>
      </c>
      <c r="F352" s="85" t="s">
        <v>201</v>
      </c>
      <c r="G352" s="85">
        <v>1</v>
      </c>
      <c r="H352" s="78">
        <v>300</v>
      </c>
      <c r="I352" s="78">
        <v>0</v>
      </c>
      <c r="J352" s="78">
        <v>1</v>
      </c>
      <c r="K352" s="78">
        <v>0</v>
      </c>
      <c r="L352" s="78">
        <v>6</v>
      </c>
      <c r="M352" s="78">
        <v>0</v>
      </c>
      <c r="N352" s="78">
        <v>14</v>
      </c>
      <c r="P352" s="122">
        <f t="shared" si="28"/>
        <v>0</v>
      </c>
      <c r="Q352" s="122">
        <f t="shared" ref="Q352:Q415" si="29">(AVERAGE(J352,L352,N352)/G352)*H352</f>
        <v>2100</v>
      </c>
      <c r="R352" s="158">
        <f t="shared" ref="R352:R415" si="30">P352/(P352+Q352)</f>
        <v>0</v>
      </c>
      <c r="S352" s="185"/>
      <c r="T352" s="79"/>
      <c r="U352" s="79"/>
      <c r="V352" s="79"/>
      <c r="Y352" s="85"/>
      <c r="Z352" s="333"/>
      <c r="AA352" s="122"/>
      <c r="AB352" s="122"/>
    </row>
    <row r="353" spans="1:29" s="78" customFormat="1" x14ac:dyDescent="0.2">
      <c r="A353" s="187">
        <v>42905</v>
      </c>
      <c r="B353" s="122">
        <v>3</v>
      </c>
      <c r="C353" s="76"/>
      <c r="D353" s="78" t="s">
        <v>84</v>
      </c>
      <c r="E353" s="78">
        <v>6</v>
      </c>
      <c r="F353" s="85">
        <v>224</v>
      </c>
      <c r="G353" s="85">
        <v>2</v>
      </c>
      <c r="H353" s="78">
        <v>480</v>
      </c>
      <c r="I353" s="78">
        <v>4</v>
      </c>
      <c r="J353" s="78">
        <v>1</v>
      </c>
      <c r="K353" s="78">
        <v>2</v>
      </c>
      <c r="L353" s="78">
        <v>2</v>
      </c>
      <c r="M353" s="78">
        <v>5</v>
      </c>
      <c r="N353" s="78">
        <v>0</v>
      </c>
      <c r="P353" s="122">
        <f t="shared" si="28"/>
        <v>880</v>
      </c>
      <c r="Q353" s="122">
        <f t="shared" si="29"/>
        <v>240</v>
      </c>
      <c r="R353" s="158">
        <f t="shared" si="30"/>
        <v>0.7857142857142857</v>
      </c>
      <c r="S353" s="186" t="str">
        <f>D353</f>
        <v>NF-10 Ambient</v>
      </c>
      <c r="T353" s="79"/>
      <c r="U353" s="79"/>
      <c r="V353" s="79"/>
      <c r="Y353" s="85" t="str">
        <f>D353</f>
        <v>NF-10 Ambient</v>
      </c>
      <c r="Z353" s="324">
        <f>(SUMIFS($P$249:$P$312, $D$249:$D$312, Y353, $F$249:$F$312, "&lt;200"))+(SUMIFS($Q$249:$Q$312, $D$249:$D$312, Y353, $F$249:$F$312, "&lt;200"))</f>
        <v>94049.999999999985</v>
      </c>
      <c r="AA353" s="122">
        <f>SUM(P353:Q356)</f>
        <v>146346.66666666669</v>
      </c>
      <c r="AB353" s="122">
        <f>SUMIFS(Collection!O:O, Collection!B:B, "*" &amp; 'Bucket Counts'!Y353 &amp; "*", Collection!A:A, "&lt;" &amp; 'Bucket Counts'!A353,Collection!A:A,  "&gt;=" &amp; 'Bucket Counts'!$A$249)</f>
        <v>47900</v>
      </c>
      <c r="AC353" s="158">
        <f>AA353/(Z353+AB353)</f>
        <v>1.0309733474228016</v>
      </c>
    </row>
    <row r="354" spans="1:29" s="78" customFormat="1" x14ac:dyDescent="0.2">
      <c r="A354" s="187">
        <v>42905</v>
      </c>
      <c r="B354" s="122">
        <v>3</v>
      </c>
      <c r="C354" s="76"/>
      <c r="D354" s="78" t="s">
        <v>84</v>
      </c>
      <c r="E354" s="78">
        <v>6</v>
      </c>
      <c r="F354" s="85">
        <v>180</v>
      </c>
      <c r="G354" s="85">
        <v>1</v>
      </c>
      <c r="H354" s="78">
        <v>800</v>
      </c>
      <c r="I354" s="78">
        <v>13</v>
      </c>
      <c r="J354" s="78">
        <v>1</v>
      </c>
      <c r="K354" s="78">
        <v>13</v>
      </c>
      <c r="L354" s="78">
        <v>4</v>
      </c>
      <c r="M354" s="78">
        <v>17</v>
      </c>
      <c r="N354" s="78">
        <v>3</v>
      </c>
      <c r="P354" s="122">
        <f t="shared" si="28"/>
        <v>11466.666666666668</v>
      </c>
      <c r="Q354" s="122">
        <f t="shared" si="29"/>
        <v>2133.333333333333</v>
      </c>
      <c r="R354" s="158">
        <f t="shared" si="30"/>
        <v>0.8431372549019609</v>
      </c>
      <c r="S354" s="184">
        <f>(SUM(P353:P356)/(SUM(P353:Q356)))</f>
        <v>0.5056486880466472</v>
      </c>
      <c r="T354" s="79"/>
      <c r="U354" s="79"/>
      <c r="V354" s="79"/>
      <c r="Y354" s="85"/>
      <c r="Z354" s="333"/>
      <c r="AA354" s="122"/>
      <c r="AB354" s="122"/>
    </row>
    <row r="355" spans="1:29" s="78" customFormat="1" x14ac:dyDescent="0.2">
      <c r="A355" s="187">
        <v>42905</v>
      </c>
      <c r="B355" s="122">
        <v>3</v>
      </c>
      <c r="C355" s="76"/>
      <c r="D355" s="78" t="s">
        <v>84</v>
      </c>
      <c r="E355" s="78">
        <v>6</v>
      </c>
      <c r="F355" s="85">
        <v>100</v>
      </c>
      <c r="G355" s="85">
        <v>1</v>
      </c>
      <c r="H355" s="78">
        <v>800</v>
      </c>
      <c r="I355" s="78">
        <v>78</v>
      </c>
      <c r="J355" s="78">
        <v>4</v>
      </c>
      <c r="K355" s="78">
        <v>56</v>
      </c>
      <c r="L355" s="78">
        <v>2</v>
      </c>
      <c r="M355" s="78">
        <v>78</v>
      </c>
      <c r="N355" s="78">
        <v>5</v>
      </c>
      <c r="P355" s="122">
        <f>(AVERAGE(I355,K355,M355)/G355)*H355</f>
        <v>56533.333333333336</v>
      </c>
      <c r="Q355" s="122">
        <f t="shared" si="29"/>
        <v>2933.333333333333</v>
      </c>
      <c r="R355" s="158">
        <f t="shared" si="30"/>
        <v>0.95067264573991028</v>
      </c>
      <c r="S355" s="185"/>
      <c r="T355" s="79"/>
      <c r="U355" s="79"/>
      <c r="V355" s="79"/>
      <c r="Y355" s="85"/>
      <c r="Z355" s="333"/>
      <c r="AA355" s="122"/>
      <c r="AB355" s="122"/>
    </row>
    <row r="356" spans="1:29" s="78" customFormat="1" x14ac:dyDescent="0.2">
      <c r="A356" s="187">
        <v>42905</v>
      </c>
      <c r="B356" s="122">
        <v>3</v>
      </c>
      <c r="C356" s="76"/>
      <c r="D356" s="78" t="s">
        <v>84</v>
      </c>
      <c r="E356" s="78">
        <v>6</v>
      </c>
      <c r="F356" s="85" t="s">
        <v>201</v>
      </c>
      <c r="G356" s="85">
        <v>1</v>
      </c>
      <c r="H356" s="78">
        <v>480</v>
      </c>
      <c r="I356" s="78">
        <v>7</v>
      </c>
      <c r="J356" s="78">
        <v>122</v>
      </c>
      <c r="K356" s="78">
        <v>11</v>
      </c>
      <c r="L356" s="78">
        <v>166</v>
      </c>
      <c r="M356" s="78">
        <v>14</v>
      </c>
      <c r="N356" s="78">
        <v>131</v>
      </c>
      <c r="P356" s="122">
        <f t="shared" si="28"/>
        <v>5120</v>
      </c>
      <c r="Q356" s="122">
        <f t="shared" si="29"/>
        <v>67040</v>
      </c>
      <c r="R356" s="158">
        <f t="shared" si="30"/>
        <v>7.0953436807095344E-2</v>
      </c>
      <c r="S356" s="185"/>
      <c r="T356" s="79"/>
      <c r="U356" s="79"/>
      <c r="V356" s="79"/>
      <c r="Y356" s="85"/>
      <c r="Z356" s="333"/>
      <c r="AA356" s="122"/>
      <c r="AB356" s="122"/>
    </row>
    <row r="357" spans="1:29" s="78" customFormat="1" x14ac:dyDescent="0.2">
      <c r="A357" s="187">
        <v>42905</v>
      </c>
      <c r="B357" s="122">
        <v>21</v>
      </c>
      <c r="C357" s="76"/>
      <c r="D357" s="78" t="s">
        <v>108</v>
      </c>
      <c r="E357" s="78">
        <v>6</v>
      </c>
      <c r="F357" s="85">
        <v>224</v>
      </c>
      <c r="G357" s="85">
        <v>1</v>
      </c>
      <c r="H357" s="78">
        <v>500</v>
      </c>
      <c r="I357" s="78">
        <v>1</v>
      </c>
      <c r="J357" s="78">
        <v>0</v>
      </c>
      <c r="K357" s="78">
        <v>1</v>
      </c>
      <c r="L357" s="78">
        <v>0</v>
      </c>
      <c r="M357" s="78">
        <v>3</v>
      </c>
      <c r="N357" s="78">
        <v>0</v>
      </c>
      <c r="P357" s="122">
        <f t="shared" si="28"/>
        <v>833.33333333333337</v>
      </c>
      <c r="Q357" s="122">
        <f t="shared" si="29"/>
        <v>0</v>
      </c>
      <c r="R357" s="158">
        <f t="shared" si="30"/>
        <v>1</v>
      </c>
      <c r="S357" s="186" t="str">
        <f>D357</f>
        <v>HL-10 Low</v>
      </c>
      <c r="T357" s="79"/>
      <c r="U357" s="79"/>
      <c r="V357" s="79"/>
      <c r="Y357" s="85" t="str">
        <f>D357</f>
        <v>HL-10 Low</v>
      </c>
      <c r="Z357" s="324">
        <f>(SUMIFS($P$249:$P$312, $D$249:$D$312, Y357, $F$249:$F$312, "&lt;200"))+(SUMIFS($Q$249:$Q$312, $D$249:$D$312, Y357, $F$249:$F$312, "&lt;200"))</f>
        <v>127125.00000000001</v>
      </c>
      <c r="AA357" s="122">
        <f>SUM(P357:Q360)</f>
        <v>144446.66666666666</v>
      </c>
      <c r="AB357" s="122">
        <f>SUMIFS(Collection!O:O, Collection!B:B, "*" &amp; 'Bucket Counts'!Y357 &amp; "*", Collection!A:A, "&lt;" &amp; 'Bucket Counts'!A357,Collection!A:A,  "&gt;=" &amp; 'Bucket Counts'!$A$249)</f>
        <v>31150</v>
      </c>
      <c r="AC357" s="158">
        <f>AA357/(Z357+AB357)</f>
        <v>0.91263096930448051</v>
      </c>
    </row>
    <row r="358" spans="1:29" s="78" customFormat="1" x14ac:dyDescent="0.2">
      <c r="A358" s="187">
        <v>42905</v>
      </c>
      <c r="B358" s="122">
        <v>21</v>
      </c>
      <c r="C358" s="76"/>
      <c r="D358" s="78" t="s">
        <v>108</v>
      </c>
      <c r="E358" s="78">
        <v>6</v>
      </c>
      <c r="F358" s="85">
        <v>180</v>
      </c>
      <c r="G358" s="85">
        <v>1</v>
      </c>
      <c r="H358" s="78">
        <v>800</v>
      </c>
      <c r="I358" s="78">
        <v>22</v>
      </c>
      <c r="J358" s="78">
        <v>0</v>
      </c>
      <c r="K358" s="78">
        <v>18</v>
      </c>
      <c r="L358" s="78">
        <v>1</v>
      </c>
      <c r="M358" s="78">
        <v>26</v>
      </c>
      <c r="N358" s="78">
        <v>0</v>
      </c>
      <c r="P358" s="122">
        <f t="shared" si="28"/>
        <v>17600</v>
      </c>
      <c r="Q358" s="122">
        <f t="shared" si="29"/>
        <v>266.66666666666663</v>
      </c>
      <c r="R358" s="158">
        <f t="shared" si="30"/>
        <v>0.9850746268656716</v>
      </c>
      <c r="S358" s="184">
        <f>(SUM(P357:P360)/(SUM(P357:Q360)))</f>
        <v>0.69109706004523008</v>
      </c>
      <c r="T358" s="79"/>
      <c r="U358" s="79"/>
      <c r="V358" s="79"/>
      <c r="Y358" s="85"/>
      <c r="Z358" s="333"/>
      <c r="AA358" s="122"/>
      <c r="AB358" s="122"/>
    </row>
    <row r="359" spans="1:29" s="78" customFormat="1" x14ac:dyDescent="0.2">
      <c r="A359" s="187">
        <v>42905</v>
      </c>
      <c r="B359" s="122">
        <v>21</v>
      </c>
      <c r="C359" s="76"/>
      <c r="D359" s="78" t="s">
        <v>108</v>
      </c>
      <c r="E359" s="78">
        <v>6</v>
      </c>
      <c r="F359" s="85">
        <v>100</v>
      </c>
      <c r="G359" s="85">
        <v>1</v>
      </c>
      <c r="H359" s="78">
        <v>820</v>
      </c>
      <c r="I359" s="78">
        <v>81</v>
      </c>
      <c r="J359" s="78">
        <v>2</v>
      </c>
      <c r="K359" s="78">
        <v>105</v>
      </c>
      <c r="L359" s="78">
        <v>3</v>
      </c>
      <c r="M359" s="78">
        <v>88</v>
      </c>
      <c r="N359" s="78">
        <v>3</v>
      </c>
      <c r="P359" s="122">
        <f t="shared" si="28"/>
        <v>74893.333333333328</v>
      </c>
      <c r="Q359" s="122">
        <f t="shared" si="29"/>
        <v>2186.6666666666665</v>
      </c>
      <c r="R359" s="158">
        <f t="shared" si="30"/>
        <v>0.97163120567375882</v>
      </c>
      <c r="S359" s="185"/>
      <c r="T359" s="79"/>
      <c r="U359" s="79"/>
      <c r="V359" s="79"/>
      <c r="Y359" s="85"/>
      <c r="Z359" s="333"/>
      <c r="AA359" s="122"/>
      <c r="AB359" s="122"/>
    </row>
    <row r="360" spans="1:29" s="78" customFormat="1" x14ac:dyDescent="0.2">
      <c r="A360" s="187">
        <v>42905</v>
      </c>
      <c r="B360" s="122">
        <v>21</v>
      </c>
      <c r="C360" s="76"/>
      <c r="D360" s="78" t="s">
        <v>108</v>
      </c>
      <c r="E360" s="78">
        <v>6</v>
      </c>
      <c r="F360" s="85" t="s">
        <v>201</v>
      </c>
      <c r="G360" s="85">
        <v>1</v>
      </c>
      <c r="H360" s="78">
        <v>500</v>
      </c>
      <c r="I360" s="78">
        <v>14</v>
      </c>
      <c r="J360" s="78">
        <v>84</v>
      </c>
      <c r="K360" s="78">
        <v>15</v>
      </c>
      <c r="L360" s="78">
        <v>89</v>
      </c>
      <c r="M360" s="78">
        <v>10</v>
      </c>
      <c r="N360" s="78">
        <v>80</v>
      </c>
      <c r="P360" s="122">
        <f t="shared" ref="P360:P376" si="31">(AVERAGE(I360,K360,M360)/G360)*H360</f>
        <v>6500</v>
      </c>
      <c r="Q360" s="122">
        <f t="shared" si="29"/>
        <v>42166.666666666664</v>
      </c>
      <c r="R360" s="158">
        <f t="shared" si="30"/>
        <v>0.13356164383561644</v>
      </c>
      <c r="S360" s="185"/>
      <c r="T360" s="79"/>
      <c r="U360" s="79"/>
      <c r="V360" s="79"/>
      <c r="Y360" s="85"/>
      <c r="Z360" s="333"/>
      <c r="AA360" s="122"/>
      <c r="AB360" s="122"/>
    </row>
    <row r="361" spans="1:29" s="78" customFormat="1" x14ac:dyDescent="0.2">
      <c r="A361" s="187">
        <v>42905</v>
      </c>
      <c r="B361" s="122">
        <v>22</v>
      </c>
      <c r="C361" s="76"/>
      <c r="D361" s="78" t="s">
        <v>17</v>
      </c>
      <c r="E361" s="78">
        <v>7</v>
      </c>
      <c r="F361" s="85">
        <v>224</v>
      </c>
      <c r="G361" s="85">
        <v>1</v>
      </c>
      <c r="H361" s="78">
        <v>500</v>
      </c>
      <c r="I361" s="78">
        <v>6</v>
      </c>
      <c r="J361" s="78">
        <v>0</v>
      </c>
      <c r="K361" s="78">
        <v>4</v>
      </c>
      <c r="L361" s="78">
        <v>0</v>
      </c>
      <c r="M361" s="78">
        <v>3</v>
      </c>
      <c r="N361" s="78">
        <v>0</v>
      </c>
      <c r="P361" s="122">
        <f t="shared" si="31"/>
        <v>2166.6666666666665</v>
      </c>
      <c r="Q361" s="122">
        <f t="shared" si="29"/>
        <v>0</v>
      </c>
      <c r="R361" s="158">
        <f t="shared" si="30"/>
        <v>1</v>
      </c>
      <c r="S361" s="186" t="str">
        <f>D361</f>
        <v>K-10 Ambient</v>
      </c>
      <c r="T361" s="79"/>
      <c r="U361" s="79"/>
      <c r="V361" s="79"/>
      <c r="Y361" s="85" t="str">
        <f>D361</f>
        <v>K-10 Ambient</v>
      </c>
      <c r="Z361" s="324">
        <f>(SUMIFS($P$249:$P$312, $D$249:$D$312, Y361, $F$249:$F$312, "&lt;200"))+(SUMIFS($Q$249:$Q$312, $D$249:$D$312, Y361, $F$249:$F$312, "&lt;200"))</f>
        <v>56000</v>
      </c>
      <c r="AA361" s="122">
        <f>SUM(P361:Q364)</f>
        <v>74500</v>
      </c>
      <c r="AB361" s="122">
        <f>SUMIFS(Collection!O:O, Collection!B:B, "*" &amp; 'Bucket Counts'!Y361 &amp; "*", Collection!A:A, "&lt;" &amp; 'Bucket Counts'!A361,Collection!A:A,  "&gt;=" &amp; 'Bucket Counts'!$A$249)</f>
        <v>30966.666666666668</v>
      </c>
      <c r="AC361" s="158">
        <f>AA361/(Z361+AB361)</f>
        <v>0.85665005749329237</v>
      </c>
    </row>
    <row r="362" spans="1:29" s="78" customFormat="1" x14ac:dyDescent="0.2">
      <c r="A362" s="187">
        <v>42905</v>
      </c>
      <c r="B362" s="122">
        <v>22</v>
      </c>
      <c r="C362" s="76"/>
      <c r="D362" s="78" t="s">
        <v>17</v>
      </c>
      <c r="E362" s="78">
        <v>7</v>
      </c>
      <c r="F362" s="85">
        <v>180</v>
      </c>
      <c r="G362" s="85">
        <v>1</v>
      </c>
      <c r="H362" s="78">
        <v>500</v>
      </c>
      <c r="I362" s="78">
        <v>15</v>
      </c>
      <c r="J362" s="78">
        <v>1</v>
      </c>
      <c r="K362" s="78">
        <v>19</v>
      </c>
      <c r="L362" s="78">
        <v>0</v>
      </c>
      <c r="M362" s="78">
        <v>19</v>
      </c>
      <c r="N362" s="78">
        <v>1</v>
      </c>
      <c r="P362" s="122">
        <f t="shared" si="31"/>
        <v>8833.3333333333339</v>
      </c>
      <c r="Q362" s="122">
        <f t="shared" si="29"/>
        <v>333.33333333333331</v>
      </c>
      <c r="R362" s="158">
        <f t="shared" si="30"/>
        <v>0.96363636363636362</v>
      </c>
      <c r="S362" s="184">
        <f>(SUM(P361:P364)/(SUM(P361:Q364)))</f>
        <v>0.4787472035794183</v>
      </c>
      <c r="T362" s="79"/>
      <c r="U362" s="79"/>
      <c r="V362" s="79"/>
      <c r="Y362" s="85"/>
      <c r="Z362" s="333"/>
      <c r="AA362" s="122"/>
      <c r="AB362" s="122"/>
    </row>
    <row r="363" spans="1:29" s="78" customFormat="1" x14ac:dyDescent="0.2">
      <c r="A363" s="187">
        <v>42905</v>
      </c>
      <c r="B363" s="122">
        <v>22</v>
      </c>
      <c r="C363" s="76"/>
      <c r="D363" s="78" t="s">
        <v>17</v>
      </c>
      <c r="E363" s="78">
        <v>7</v>
      </c>
      <c r="F363" s="85">
        <v>100</v>
      </c>
      <c r="G363" s="85">
        <v>1</v>
      </c>
      <c r="H363" s="78">
        <v>500</v>
      </c>
      <c r="I363" s="78">
        <v>51</v>
      </c>
      <c r="J363" s="78">
        <v>0</v>
      </c>
      <c r="K363" s="78">
        <v>34</v>
      </c>
      <c r="L363" s="78">
        <v>4</v>
      </c>
      <c r="M363" s="78">
        <v>41</v>
      </c>
      <c r="N363" s="78">
        <v>1</v>
      </c>
      <c r="P363" s="122">
        <f t="shared" si="31"/>
        <v>21000</v>
      </c>
      <c r="Q363" s="122">
        <f t="shared" si="29"/>
        <v>833.33333333333337</v>
      </c>
      <c r="R363" s="158">
        <f t="shared" si="30"/>
        <v>0.96183206106870234</v>
      </c>
      <c r="S363" s="185"/>
      <c r="T363" s="79"/>
      <c r="U363" s="79"/>
      <c r="V363" s="79"/>
      <c r="Y363" s="85"/>
      <c r="Z363" s="333"/>
      <c r="AA363" s="122"/>
      <c r="AB363" s="122"/>
    </row>
    <row r="364" spans="1:29" s="78" customFormat="1" x14ac:dyDescent="0.2">
      <c r="A364" s="187">
        <v>42905</v>
      </c>
      <c r="B364" s="122">
        <v>22</v>
      </c>
      <c r="C364" s="76"/>
      <c r="D364" s="78" t="s">
        <v>17</v>
      </c>
      <c r="E364" s="78">
        <v>7</v>
      </c>
      <c r="F364" s="85" t="s">
        <v>201</v>
      </c>
      <c r="G364" s="85">
        <v>1</v>
      </c>
      <c r="H364" s="78">
        <v>500</v>
      </c>
      <c r="I364" s="78">
        <v>11</v>
      </c>
      <c r="J364" s="78">
        <v>75</v>
      </c>
      <c r="K364" s="78">
        <v>5</v>
      </c>
      <c r="L364" s="78">
        <v>66</v>
      </c>
      <c r="M364" s="78">
        <v>6</v>
      </c>
      <c r="N364" s="78">
        <v>85</v>
      </c>
      <c r="P364" s="122">
        <f t="shared" si="31"/>
        <v>3666.6666666666665</v>
      </c>
      <c r="Q364" s="122">
        <f t="shared" si="29"/>
        <v>37666.666666666664</v>
      </c>
      <c r="R364" s="158">
        <f t="shared" si="30"/>
        <v>8.8709677419354843E-2</v>
      </c>
      <c r="S364" s="185"/>
      <c r="T364" s="79"/>
      <c r="U364" s="79"/>
      <c r="V364" s="79"/>
      <c r="Y364" s="85"/>
      <c r="Z364" s="333"/>
      <c r="AA364" s="122"/>
      <c r="AB364" s="122"/>
    </row>
    <row r="365" spans="1:29" s="78" customFormat="1" x14ac:dyDescent="0.2">
      <c r="A365" s="187">
        <v>42905</v>
      </c>
      <c r="B365" s="122">
        <v>19</v>
      </c>
      <c r="C365" s="76"/>
      <c r="D365" s="78" t="s">
        <v>88</v>
      </c>
      <c r="E365" s="78">
        <v>7</v>
      </c>
      <c r="F365" s="85">
        <v>224</v>
      </c>
      <c r="G365" s="85">
        <v>1</v>
      </c>
      <c r="H365" s="78">
        <v>500</v>
      </c>
      <c r="I365" s="78">
        <v>6</v>
      </c>
      <c r="J365" s="78">
        <v>0</v>
      </c>
      <c r="K365" s="78">
        <v>7</v>
      </c>
      <c r="L365" s="78">
        <v>0</v>
      </c>
      <c r="M365" s="78">
        <v>7</v>
      </c>
      <c r="N365" s="78">
        <v>0</v>
      </c>
      <c r="P365" s="122">
        <f t="shared" si="31"/>
        <v>3333.3333333333335</v>
      </c>
      <c r="Q365" s="122">
        <f t="shared" si="29"/>
        <v>0</v>
      </c>
      <c r="R365" s="158">
        <f t="shared" si="30"/>
        <v>1</v>
      </c>
      <c r="S365" s="186" t="str">
        <f>D365</f>
        <v>HL-10 Ambient</v>
      </c>
      <c r="T365" s="79"/>
      <c r="U365" s="79"/>
      <c r="V365" s="79"/>
      <c r="Y365" s="85" t="str">
        <f>D365</f>
        <v>HL-10 Ambient</v>
      </c>
      <c r="Z365" s="324">
        <f>(SUMIFS($P$249:$P$312, $D$249:$D$312, Y365, $F$249:$F$312, "&lt;200"))+(SUMIFS($Q$249:$Q$312, $D$249:$D$312, Y365, $F$249:$F$312, "&lt;200"))</f>
        <v>48500</v>
      </c>
      <c r="AA365" s="122">
        <f>SUM(P365:Q368)</f>
        <v>44800</v>
      </c>
      <c r="AB365" s="122">
        <f>SUMIFS(Collection!O:O, Collection!B:B, "*" &amp; 'Bucket Counts'!Y365 &amp; "*", Collection!A:A, "&lt;" &amp; 'Bucket Counts'!A365,Collection!A:A,  "&gt;=" &amp; 'Bucket Counts'!$A$249)</f>
        <v>0</v>
      </c>
      <c r="AC365" s="158">
        <f>AA365/(Z365+AB365)</f>
        <v>0.92371134020618562</v>
      </c>
    </row>
    <row r="366" spans="1:29" s="78" customFormat="1" x14ac:dyDescent="0.2">
      <c r="A366" s="187">
        <v>42905</v>
      </c>
      <c r="B366" s="122">
        <v>19</v>
      </c>
      <c r="C366" s="76"/>
      <c r="D366" s="78" t="s">
        <v>88</v>
      </c>
      <c r="E366" s="78">
        <v>7</v>
      </c>
      <c r="F366" s="85">
        <v>180</v>
      </c>
      <c r="G366" s="85">
        <v>1</v>
      </c>
      <c r="H366" s="78">
        <v>800</v>
      </c>
      <c r="I366" s="78">
        <v>19</v>
      </c>
      <c r="J366" s="78">
        <v>0</v>
      </c>
      <c r="K366" s="78">
        <v>29</v>
      </c>
      <c r="L366" s="78">
        <v>0</v>
      </c>
      <c r="M366" s="78">
        <v>22</v>
      </c>
      <c r="N366" s="78">
        <v>0</v>
      </c>
      <c r="P366" s="122">
        <f t="shared" si="31"/>
        <v>18666.666666666664</v>
      </c>
      <c r="Q366" s="122">
        <f t="shared" si="29"/>
        <v>0</v>
      </c>
      <c r="R366" s="158">
        <f t="shared" si="30"/>
        <v>1</v>
      </c>
      <c r="S366" s="184">
        <f>(SUM(P365:P368)/(SUM(P365:Q368)))</f>
        <v>0.58110119047619035</v>
      </c>
      <c r="T366" s="79"/>
      <c r="U366" s="79"/>
      <c r="V366" s="79"/>
      <c r="Y366" s="85"/>
      <c r="Z366" s="333"/>
      <c r="AA366" s="122"/>
      <c r="AB366" s="122"/>
    </row>
    <row r="367" spans="1:29" s="78" customFormat="1" x14ac:dyDescent="0.2">
      <c r="A367" s="187">
        <v>42905</v>
      </c>
      <c r="B367" s="122">
        <v>19</v>
      </c>
      <c r="C367" s="76"/>
      <c r="D367" s="78" t="s">
        <v>88</v>
      </c>
      <c r="E367" s="78">
        <v>7</v>
      </c>
      <c r="F367" s="85">
        <v>100</v>
      </c>
      <c r="G367" s="85">
        <v>1</v>
      </c>
      <c r="H367" s="78">
        <v>300</v>
      </c>
      <c r="I367" s="78">
        <v>9</v>
      </c>
      <c r="J367" s="78">
        <v>1</v>
      </c>
      <c r="K367" s="78">
        <v>4</v>
      </c>
      <c r="L367" s="78">
        <v>0</v>
      </c>
      <c r="M367" s="78">
        <v>4</v>
      </c>
      <c r="N367" s="78">
        <v>0</v>
      </c>
      <c r="P367" s="122">
        <f t="shared" si="31"/>
        <v>1700</v>
      </c>
      <c r="Q367" s="122">
        <f t="shared" si="29"/>
        <v>100</v>
      </c>
      <c r="R367" s="158">
        <f t="shared" si="30"/>
        <v>0.94444444444444442</v>
      </c>
      <c r="S367" s="185"/>
      <c r="T367" s="79"/>
      <c r="U367" s="79"/>
      <c r="V367" s="79"/>
      <c r="Y367" s="85"/>
      <c r="Z367" s="333"/>
      <c r="AA367" s="122"/>
      <c r="AB367" s="122"/>
    </row>
    <row r="368" spans="1:29" s="78" customFormat="1" x14ac:dyDescent="0.2">
      <c r="A368" s="187">
        <v>42905</v>
      </c>
      <c r="B368" s="122">
        <v>19</v>
      </c>
      <c r="C368" s="76"/>
      <c r="D368" s="78" t="s">
        <v>88</v>
      </c>
      <c r="E368" s="78">
        <v>7</v>
      </c>
      <c r="F368" s="85" t="s">
        <v>201</v>
      </c>
      <c r="G368" s="85">
        <v>1</v>
      </c>
      <c r="H368" s="78">
        <v>500</v>
      </c>
      <c r="I368" s="78">
        <v>5</v>
      </c>
      <c r="J368" s="78">
        <v>40</v>
      </c>
      <c r="K368" s="78">
        <v>4</v>
      </c>
      <c r="L368" s="78">
        <v>36</v>
      </c>
      <c r="M368" s="78">
        <v>5</v>
      </c>
      <c r="N368" s="78">
        <v>36</v>
      </c>
      <c r="P368" s="122">
        <f t="shared" si="31"/>
        <v>2333.3333333333335</v>
      </c>
      <c r="Q368" s="122">
        <f t="shared" si="29"/>
        <v>18666.666666666668</v>
      </c>
      <c r="R368" s="158">
        <f t="shared" si="30"/>
        <v>0.11111111111111112</v>
      </c>
      <c r="S368" s="185"/>
      <c r="T368" s="79"/>
      <c r="U368" s="79"/>
      <c r="V368" s="79"/>
      <c r="Y368" s="85"/>
      <c r="Z368" s="333"/>
      <c r="AA368" s="122"/>
      <c r="AB368" s="122"/>
    </row>
    <row r="369" spans="1:30" s="78" customFormat="1" x14ac:dyDescent="0.2">
      <c r="A369" s="187">
        <v>42905</v>
      </c>
      <c r="B369" s="122">
        <v>17</v>
      </c>
      <c r="C369" s="76"/>
      <c r="D369" s="78" t="s">
        <v>38</v>
      </c>
      <c r="E369" s="78">
        <v>8</v>
      </c>
      <c r="F369" s="85">
        <v>224</v>
      </c>
      <c r="G369" s="85">
        <v>1</v>
      </c>
      <c r="H369" s="78">
        <v>500</v>
      </c>
      <c r="I369" s="224">
        <v>3</v>
      </c>
      <c r="J369" s="78">
        <v>0</v>
      </c>
      <c r="K369" s="78">
        <v>14</v>
      </c>
      <c r="L369" s="78">
        <v>1</v>
      </c>
      <c r="M369" s="78">
        <v>11</v>
      </c>
      <c r="N369" s="78">
        <v>0</v>
      </c>
      <c r="P369" s="122">
        <f>(AVERAGE(K369,M369)/G369)*H369</f>
        <v>6250</v>
      </c>
      <c r="Q369" s="122">
        <f t="shared" si="29"/>
        <v>166.66666666666666</v>
      </c>
      <c r="R369" s="158">
        <f t="shared" si="30"/>
        <v>0.97402597402597402</v>
      </c>
      <c r="S369" s="186" t="str">
        <f>D369</f>
        <v>K-6 Ambient</v>
      </c>
      <c r="T369" s="79"/>
      <c r="U369" s="79"/>
      <c r="V369" s="79"/>
      <c r="Y369" s="85" t="str">
        <f>D369</f>
        <v>K-6 Ambient</v>
      </c>
      <c r="Z369" s="324">
        <f>(SUMIFS($P$249:$P$312, $D$249:$D$312, Y369, $F$249:$F$312, "&lt;200"))+(SUMIFS($Q$249:$Q$312, $D$249:$D$312, Y369, $F$249:$F$312, "&lt;200"))</f>
        <v>66200</v>
      </c>
      <c r="AA369" s="122">
        <f>SUM(P369:Q372)</f>
        <v>63973.333333333336</v>
      </c>
      <c r="AB369" s="122">
        <f>SUMIFS(Collection!O:O, Collection!B:B, "*" &amp; 'Bucket Counts'!Y369 &amp; "*", Collection!A:A, "&lt;" &amp; 'Bucket Counts'!A369,Collection!A:A,  "&gt;=" &amp; 'Bucket Counts'!$A$249)</f>
        <v>0</v>
      </c>
      <c r="AC369" s="158">
        <f>AA369/(Z369+AB369)</f>
        <v>0.96636455186304138</v>
      </c>
    </row>
    <row r="370" spans="1:30" s="78" customFormat="1" x14ac:dyDescent="0.2">
      <c r="A370" s="187">
        <v>42905</v>
      </c>
      <c r="B370" s="122">
        <v>17</v>
      </c>
      <c r="C370" s="76"/>
      <c r="D370" s="78" t="s">
        <v>38</v>
      </c>
      <c r="E370" s="78">
        <v>8</v>
      </c>
      <c r="F370" s="85">
        <v>180</v>
      </c>
      <c r="G370" s="85">
        <v>1</v>
      </c>
      <c r="H370" s="78">
        <v>520</v>
      </c>
      <c r="I370" s="78">
        <v>23</v>
      </c>
      <c r="J370" s="78">
        <v>0</v>
      </c>
      <c r="K370" s="78">
        <v>32</v>
      </c>
      <c r="L370" s="78">
        <v>0</v>
      </c>
      <c r="M370" s="78">
        <v>23</v>
      </c>
      <c r="N370" s="78">
        <v>2</v>
      </c>
      <c r="P370" s="122">
        <f t="shared" si="31"/>
        <v>13520</v>
      </c>
      <c r="Q370" s="122">
        <f t="shared" si="29"/>
        <v>346.66666666666663</v>
      </c>
      <c r="R370" s="158">
        <f t="shared" si="30"/>
        <v>0.97500000000000009</v>
      </c>
      <c r="S370" s="184">
        <f>(SUM(P369:P372)/(SUM(P369:Q372)))</f>
        <v>0.63057523968320128</v>
      </c>
      <c r="T370" s="79"/>
      <c r="Y370" s="85"/>
      <c r="Z370" s="333"/>
      <c r="AA370" s="122"/>
      <c r="AB370" s="122"/>
    </row>
    <row r="371" spans="1:30" s="78" customFormat="1" x14ac:dyDescent="0.2">
      <c r="A371" s="187">
        <v>42905</v>
      </c>
      <c r="B371" s="122">
        <v>17</v>
      </c>
      <c r="C371" s="76"/>
      <c r="D371" s="78" t="s">
        <v>38</v>
      </c>
      <c r="E371" s="78">
        <v>8</v>
      </c>
      <c r="F371" s="85">
        <v>100</v>
      </c>
      <c r="G371" s="85">
        <v>1</v>
      </c>
      <c r="H371" s="78">
        <v>510</v>
      </c>
      <c r="I371" s="78">
        <v>47</v>
      </c>
      <c r="J371" s="78">
        <v>0</v>
      </c>
      <c r="K371" s="78">
        <v>34</v>
      </c>
      <c r="L371" s="78">
        <v>2</v>
      </c>
      <c r="M371" s="78">
        <v>28</v>
      </c>
      <c r="N371" s="78">
        <v>5</v>
      </c>
      <c r="P371" s="122">
        <f t="shared" si="31"/>
        <v>18530</v>
      </c>
      <c r="Q371" s="122">
        <f t="shared" si="29"/>
        <v>1190</v>
      </c>
      <c r="R371" s="158">
        <f t="shared" si="30"/>
        <v>0.93965517241379315</v>
      </c>
      <c r="S371" s="185"/>
      <c r="T371" s="79"/>
      <c r="Y371" s="85"/>
      <c r="Z371" s="333"/>
      <c r="AA371" s="122"/>
      <c r="AB371" s="122"/>
    </row>
    <row r="372" spans="1:30" s="78" customFormat="1" x14ac:dyDescent="0.2">
      <c r="A372" s="187">
        <v>42905</v>
      </c>
      <c r="B372" s="122">
        <v>17</v>
      </c>
      <c r="C372" s="76"/>
      <c r="D372" s="78" t="s">
        <v>38</v>
      </c>
      <c r="E372" s="78">
        <v>8</v>
      </c>
      <c r="F372" s="85" t="s">
        <v>201</v>
      </c>
      <c r="G372" s="85">
        <v>1</v>
      </c>
      <c r="H372" s="78">
        <v>510</v>
      </c>
      <c r="I372" s="78">
        <v>1</v>
      </c>
      <c r="J372" s="78">
        <v>42</v>
      </c>
      <c r="K372" s="78">
        <v>1</v>
      </c>
      <c r="L372" s="78">
        <v>29</v>
      </c>
      <c r="M372" s="78">
        <v>10</v>
      </c>
      <c r="N372" s="78">
        <v>58</v>
      </c>
      <c r="P372" s="122">
        <f t="shared" si="31"/>
        <v>2040</v>
      </c>
      <c r="Q372" s="122">
        <f t="shared" si="29"/>
        <v>21930</v>
      </c>
      <c r="R372" s="158">
        <f t="shared" si="30"/>
        <v>8.5106382978723402E-2</v>
      </c>
      <c r="S372" s="185"/>
      <c r="T372" s="79"/>
      <c r="Y372" s="85"/>
      <c r="Z372" s="333"/>
      <c r="AA372" s="122"/>
      <c r="AB372" s="122"/>
    </row>
    <row r="373" spans="1:30" s="78" customFormat="1" x14ac:dyDescent="0.2">
      <c r="A373" s="187">
        <v>42905</v>
      </c>
      <c r="B373" s="412">
        <v>20</v>
      </c>
      <c r="C373" s="76"/>
      <c r="D373" s="77" t="s">
        <v>46</v>
      </c>
      <c r="E373" s="78">
        <v>8</v>
      </c>
      <c r="F373" s="85">
        <v>224</v>
      </c>
      <c r="G373" s="85">
        <v>1</v>
      </c>
      <c r="H373" s="78">
        <v>350</v>
      </c>
      <c r="I373" s="78">
        <v>0</v>
      </c>
      <c r="J373" s="78">
        <v>0</v>
      </c>
      <c r="K373" s="78">
        <v>0</v>
      </c>
      <c r="L373" s="78">
        <v>0</v>
      </c>
      <c r="M373" s="78">
        <v>0</v>
      </c>
      <c r="N373" s="78">
        <v>0</v>
      </c>
      <c r="P373" s="122">
        <f t="shared" si="31"/>
        <v>0</v>
      </c>
      <c r="Q373" s="122">
        <f t="shared" si="29"/>
        <v>0</v>
      </c>
      <c r="R373" s="158" t="e">
        <f t="shared" si="30"/>
        <v>#DIV/0!</v>
      </c>
      <c r="S373" s="186" t="str">
        <f>D373</f>
        <v>K-6 Low</v>
      </c>
      <c r="T373" s="79"/>
      <c r="Y373" s="85" t="str">
        <f>D373</f>
        <v>K-6 Low</v>
      </c>
      <c r="Z373" s="324">
        <f>(SUMIFS($P$249:$P$312, $D$249:$D$312, Y373, $F$249:$F$312, "&lt;200"))+(SUMIFS($Q$249:$Q$312, $D$249:$D$312, Y373, $F$249:$F$312, "&lt;200"))</f>
        <v>33183.333333333336</v>
      </c>
      <c r="AA373" s="122">
        <f>SUM(P373:Q376)</f>
        <v>36136.666666666664</v>
      </c>
      <c r="AB373" s="122">
        <f>SUMIFS(Collection!O:O, Collection!B:B, "*" &amp; 'Bucket Counts'!Y373 &amp; "*", Collection!A:A, "&lt;" &amp; 'Bucket Counts'!A373,Collection!A:A,  "&gt;=" &amp; 'Bucket Counts'!$A$249)</f>
        <v>0</v>
      </c>
      <c r="AC373" s="158">
        <f>AA373/(Z373+AB373)</f>
        <v>1.0890005022601705</v>
      </c>
    </row>
    <row r="374" spans="1:30" s="78" customFormat="1" x14ac:dyDescent="0.2">
      <c r="A374" s="187">
        <v>42905</v>
      </c>
      <c r="B374" s="412">
        <v>20</v>
      </c>
      <c r="C374" s="76"/>
      <c r="D374" s="77" t="s">
        <v>46</v>
      </c>
      <c r="E374" s="78">
        <v>8</v>
      </c>
      <c r="F374" s="85">
        <v>180</v>
      </c>
      <c r="G374" s="85">
        <v>1</v>
      </c>
      <c r="H374" s="78">
        <v>500</v>
      </c>
      <c r="I374" s="78">
        <v>46</v>
      </c>
      <c r="J374" s="78">
        <v>0</v>
      </c>
      <c r="K374" s="78">
        <v>50</v>
      </c>
      <c r="L374" s="78">
        <v>0</v>
      </c>
      <c r="M374" s="78">
        <v>61</v>
      </c>
      <c r="N374" s="78">
        <v>0</v>
      </c>
      <c r="P374" s="122">
        <f t="shared" si="31"/>
        <v>26166.666666666668</v>
      </c>
      <c r="Q374" s="122">
        <f t="shared" si="29"/>
        <v>0</v>
      </c>
      <c r="R374" s="158">
        <f t="shared" si="30"/>
        <v>1</v>
      </c>
      <c r="S374" s="184">
        <f>(SUM(P373:P376)/(SUM(P373:Q376)))</f>
        <v>0.97730836638686469</v>
      </c>
      <c r="T374" s="79"/>
      <c r="Y374" s="85"/>
      <c r="Z374" s="333"/>
      <c r="AA374" s="122"/>
      <c r="AB374" s="122"/>
    </row>
    <row r="375" spans="1:30" s="78" customFormat="1" x14ac:dyDescent="0.2">
      <c r="A375" s="187">
        <v>42905</v>
      </c>
      <c r="B375" s="412">
        <v>20</v>
      </c>
      <c r="C375" s="76"/>
      <c r="D375" s="77" t="s">
        <v>46</v>
      </c>
      <c r="E375" s="78">
        <v>8</v>
      </c>
      <c r="F375" s="85">
        <v>100</v>
      </c>
      <c r="G375" s="85">
        <v>1</v>
      </c>
      <c r="H375" s="78">
        <v>500</v>
      </c>
      <c r="I375" s="78">
        <v>15</v>
      </c>
      <c r="J375" s="78">
        <v>1</v>
      </c>
      <c r="K375" s="78">
        <v>13</v>
      </c>
      <c r="L375" s="78">
        <v>0</v>
      </c>
      <c r="M375" s="78">
        <v>22</v>
      </c>
      <c r="N375" s="78">
        <v>0</v>
      </c>
      <c r="P375" s="122">
        <f t="shared" si="31"/>
        <v>8333.3333333333339</v>
      </c>
      <c r="Q375" s="122">
        <f t="shared" si="29"/>
        <v>166.66666666666666</v>
      </c>
      <c r="R375" s="158">
        <f t="shared" si="30"/>
        <v>0.98039215686274517</v>
      </c>
      <c r="S375" s="185"/>
      <c r="T375" s="79"/>
      <c r="Y375" s="85"/>
      <c r="Z375" s="333"/>
      <c r="AA375" s="122"/>
      <c r="AB375" s="122"/>
    </row>
    <row r="376" spans="1:30" s="154" customFormat="1" ht="17" thickBot="1" x14ac:dyDescent="0.25">
      <c r="A376" s="152">
        <v>42905</v>
      </c>
      <c r="B376" s="413">
        <v>20</v>
      </c>
      <c r="C376" s="153"/>
      <c r="D376" s="232" t="s">
        <v>46</v>
      </c>
      <c r="E376" s="154">
        <v>8</v>
      </c>
      <c r="F376" s="155" t="s">
        <v>201</v>
      </c>
      <c r="G376" s="155">
        <v>1</v>
      </c>
      <c r="H376" s="154">
        <v>490</v>
      </c>
      <c r="I376" s="154">
        <v>2</v>
      </c>
      <c r="J376" s="154">
        <v>1</v>
      </c>
      <c r="K376" s="154">
        <v>3</v>
      </c>
      <c r="L376" s="154">
        <v>1</v>
      </c>
      <c r="M376" s="154">
        <v>0</v>
      </c>
      <c r="N376" s="154">
        <v>2</v>
      </c>
      <c r="P376" s="156">
        <f t="shared" si="31"/>
        <v>816.66666666666674</v>
      </c>
      <c r="Q376" s="156">
        <f t="shared" si="29"/>
        <v>653.33333333333326</v>
      </c>
      <c r="R376" s="159">
        <f t="shared" si="30"/>
        <v>0.55555555555555558</v>
      </c>
      <c r="S376" s="233"/>
      <c r="Y376" s="155"/>
      <c r="Z376" s="334"/>
      <c r="AA376" s="156"/>
      <c r="AB376" s="156"/>
    </row>
    <row r="377" spans="1:30" s="237" customFormat="1" x14ac:dyDescent="0.2">
      <c r="A377" s="234">
        <v>42908</v>
      </c>
      <c r="B377" s="414">
        <v>16</v>
      </c>
      <c r="C377" s="235"/>
      <c r="D377" s="236" t="s">
        <v>87</v>
      </c>
      <c r="E377" s="237">
        <v>1</v>
      </c>
      <c r="F377" s="238">
        <v>224</v>
      </c>
      <c r="G377" s="238">
        <v>1</v>
      </c>
      <c r="H377" s="237">
        <v>500</v>
      </c>
      <c r="I377" s="237">
        <v>10</v>
      </c>
      <c r="J377" s="237">
        <v>0</v>
      </c>
      <c r="K377" s="237">
        <v>6</v>
      </c>
      <c r="L377" s="237">
        <v>0</v>
      </c>
      <c r="M377" s="237">
        <v>11</v>
      </c>
      <c r="N377" s="237">
        <v>1</v>
      </c>
      <c r="P377" s="239">
        <f>(AVERAGE(I377,K377,M377)/G377)*H377</f>
        <v>4500</v>
      </c>
      <c r="Q377" s="239">
        <f>(AVERAGE(J377,L377,N377)/G377)*H377</f>
        <v>166.66666666666666</v>
      </c>
      <c r="R377" s="240">
        <f t="shared" si="30"/>
        <v>0.96428571428571419</v>
      </c>
      <c r="S377" s="241" t="str">
        <f>D377</f>
        <v>SN-6 Ambient</v>
      </c>
      <c r="T377" s="242"/>
      <c r="U377" s="242"/>
      <c r="V377" s="242"/>
      <c r="Y377" s="87" t="str">
        <f>D377</f>
        <v>SN-6 Ambient</v>
      </c>
      <c r="Z377" s="323">
        <f>(SUMIFS($P$313:$P$376, $D$313:$D$376, Y377, $F$313:$F$376, "&lt;200"))+(SUMIFS($Q$313:$Q$376, $D$313:$D$376, Y377, $F$313:$F$376, "&lt;200"))</f>
        <v>51166.666666666672</v>
      </c>
      <c r="AA377" s="118">
        <f>SUM(P377:Q380)</f>
        <v>127098.33333333333</v>
      </c>
      <c r="AB377" s="118">
        <f>SUMIFS(Collection!O:O, Collection!B:B, "*" &amp; 'Bucket Counts'!Y377 &amp; "*", Collection!A:A, "&lt;" &amp; 'Bucket Counts'!A377,Collection!A:A,  "&gt;=" &amp; 'Bucket Counts'!$A$313)</f>
        <v>86020</v>
      </c>
      <c r="AC377" s="104">
        <f>AA377/(Z377+AB377)</f>
        <v>0.9264627271843715</v>
      </c>
      <c r="AD377" s="344">
        <f>AVERAGE(AC377,AC381,AC389:AC435)</f>
        <v>0.88351902590124731</v>
      </c>
    </row>
    <row r="378" spans="1:30" s="60" customFormat="1" x14ac:dyDescent="0.2">
      <c r="A378" s="132">
        <v>42908</v>
      </c>
      <c r="B378" s="409">
        <v>16</v>
      </c>
      <c r="C378" s="58"/>
      <c r="D378" s="59" t="s">
        <v>87</v>
      </c>
      <c r="E378" s="135">
        <v>1</v>
      </c>
      <c r="F378" s="87">
        <v>180</v>
      </c>
      <c r="G378" s="87">
        <v>1</v>
      </c>
      <c r="H378" s="60">
        <v>525</v>
      </c>
      <c r="I378" s="60">
        <v>25</v>
      </c>
      <c r="J378" s="60">
        <v>0</v>
      </c>
      <c r="K378" s="60">
        <v>31</v>
      </c>
      <c r="L378" s="60">
        <v>2</v>
      </c>
      <c r="M378" s="87">
        <v>33</v>
      </c>
      <c r="N378" s="60">
        <v>0</v>
      </c>
      <c r="P378" s="118">
        <f>(AVERAGE(I378,K378,M378)/G378)*H378</f>
        <v>15575</v>
      </c>
      <c r="Q378" s="118">
        <f t="shared" si="29"/>
        <v>350</v>
      </c>
      <c r="R378" s="104">
        <f t="shared" si="30"/>
        <v>0.97802197802197799</v>
      </c>
      <c r="S378" s="178">
        <f>(SUM(P377:P380)/(SUM(P377:Q380)))</f>
        <v>0.68373569021361413</v>
      </c>
      <c r="T378" s="63"/>
      <c r="U378" s="63"/>
      <c r="V378" s="63"/>
      <c r="Y378" s="87"/>
      <c r="Z378" s="329"/>
      <c r="AA378" s="118"/>
      <c r="AB378" s="118"/>
    </row>
    <row r="379" spans="1:30" s="60" customFormat="1" x14ac:dyDescent="0.2">
      <c r="A379" s="132">
        <v>42908</v>
      </c>
      <c r="B379" s="409">
        <v>16</v>
      </c>
      <c r="C379" s="58"/>
      <c r="D379" s="59" t="s">
        <v>87</v>
      </c>
      <c r="E379" s="135">
        <v>1</v>
      </c>
      <c r="F379" s="87">
        <v>100</v>
      </c>
      <c r="G379" s="87">
        <v>1</v>
      </c>
      <c r="H379" s="60">
        <v>500</v>
      </c>
      <c r="I379" s="60">
        <v>105</v>
      </c>
      <c r="J379" s="60">
        <v>0</v>
      </c>
      <c r="K379" s="60">
        <v>106</v>
      </c>
      <c r="L379" s="60">
        <v>0</v>
      </c>
      <c r="M379" s="60">
        <v>141</v>
      </c>
      <c r="N379" s="60">
        <v>0</v>
      </c>
      <c r="P379" s="118">
        <f>(AVERAGE(I379,K379,M379)/G379)*H379</f>
        <v>58666.666666666664</v>
      </c>
      <c r="Q379" s="118">
        <f t="shared" si="29"/>
        <v>0</v>
      </c>
      <c r="R379" s="104">
        <f t="shared" si="30"/>
        <v>1</v>
      </c>
      <c r="S379" s="176"/>
      <c r="T379" s="63"/>
      <c r="U379" s="63"/>
      <c r="V379" s="63"/>
      <c r="Y379" s="87"/>
      <c r="Z379" s="329"/>
      <c r="AA379" s="118"/>
      <c r="AB379" s="118"/>
    </row>
    <row r="380" spans="1:30" s="60" customFormat="1" x14ac:dyDescent="0.2">
      <c r="A380" s="132">
        <v>42908</v>
      </c>
      <c r="B380" s="409">
        <v>16</v>
      </c>
      <c r="C380" s="58"/>
      <c r="D380" s="59" t="s">
        <v>87</v>
      </c>
      <c r="E380" s="135">
        <v>1</v>
      </c>
      <c r="F380" s="87" t="s">
        <v>201</v>
      </c>
      <c r="G380" s="87">
        <v>1</v>
      </c>
      <c r="H380" s="60">
        <v>480</v>
      </c>
      <c r="I380" s="60">
        <v>18</v>
      </c>
      <c r="J380" s="60">
        <v>71</v>
      </c>
      <c r="K380" s="60">
        <v>17</v>
      </c>
      <c r="L380" s="60">
        <v>88</v>
      </c>
      <c r="M380" s="60">
        <v>16</v>
      </c>
      <c r="N380" s="60">
        <v>89</v>
      </c>
      <c r="P380" s="118">
        <f t="shared" ref="P380:P387" si="32">(AVERAGE(I380,K380,M380)/G380)*H380</f>
        <v>8160</v>
      </c>
      <c r="Q380" s="118">
        <f>(AVERAGE(J380,L380,N380)/G380)*H380</f>
        <v>39680</v>
      </c>
      <c r="R380" s="104">
        <f t="shared" si="30"/>
        <v>0.1705685618729097</v>
      </c>
      <c r="S380" s="179"/>
      <c r="T380" s="63"/>
      <c r="U380" s="63"/>
      <c r="V380" s="63"/>
      <c r="Y380" s="87"/>
      <c r="Z380" s="329"/>
      <c r="AA380" s="118"/>
      <c r="AB380" s="118"/>
    </row>
    <row r="381" spans="1:30" s="60" customFormat="1" x14ac:dyDescent="0.2">
      <c r="A381" s="132">
        <v>42908</v>
      </c>
      <c r="B381" s="118">
        <v>18</v>
      </c>
      <c r="C381" s="58"/>
      <c r="D381" s="60" t="s">
        <v>20</v>
      </c>
      <c r="E381" s="135">
        <v>1</v>
      </c>
      <c r="F381" s="87">
        <v>224</v>
      </c>
      <c r="G381" s="87">
        <v>2</v>
      </c>
      <c r="H381" s="60">
        <v>200</v>
      </c>
      <c r="I381" s="60">
        <v>0</v>
      </c>
      <c r="J381" s="60">
        <v>0</v>
      </c>
      <c r="K381" s="60">
        <v>0</v>
      </c>
      <c r="L381" s="60">
        <v>0</v>
      </c>
      <c r="M381" s="60">
        <v>0</v>
      </c>
      <c r="N381" s="60">
        <v>0</v>
      </c>
      <c r="P381" s="118">
        <f t="shared" si="32"/>
        <v>0</v>
      </c>
      <c r="Q381" s="118">
        <f t="shared" si="29"/>
        <v>0</v>
      </c>
      <c r="R381" s="104" t="e">
        <f t="shared" si="30"/>
        <v>#DIV/0!</v>
      </c>
      <c r="S381" s="180" t="str">
        <f>D381</f>
        <v>K-10 Low</v>
      </c>
      <c r="T381" s="63"/>
      <c r="U381" s="63"/>
      <c r="V381" s="63"/>
      <c r="W381" s="60" t="s">
        <v>250</v>
      </c>
      <c r="Y381" s="87" t="str">
        <f>D381</f>
        <v>K-10 Low</v>
      </c>
      <c r="Z381" s="323">
        <f>(SUMIFS($P$313:$P$376, $D$313:$D$376, Y381, $F$313:$F$376, "&lt;200"))+(SUMIFS($Q$313:$Q$376, $D$313:$D$376, Y381, $F$313:$F$376, "&lt;200"))</f>
        <v>1699.9999999999998</v>
      </c>
      <c r="AA381" s="118">
        <f>SUM(P381:Q384)</f>
        <v>10896.666666666668</v>
      </c>
      <c r="AB381" s="118">
        <f>SUMIFS(Collection!O:O, Collection!B:B, "*" &amp; 'Bucket Counts'!Y381 &amp; "*", Collection!A:A, "&lt;" &amp; 'Bucket Counts'!A381,Collection!A:A,  "&gt;=" &amp; 'Bucket Counts'!$A$313)</f>
        <v>13000</v>
      </c>
      <c r="AC381" s="104">
        <f>AA381/(Z381+AB381)</f>
        <v>0.7412698412698413</v>
      </c>
    </row>
    <row r="382" spans="1:30" s="60" customFormat="1" x14ac:dyDescent="0.2">
      <c r="A382" s="132">
        <v>42908</v>
      </c>
      <c r="B382" s="118">
        <v>18</v>
      </c>
      <c r="C382" s="58"/>
      <c r="D382" s="60" t="s">
        <v>20</v>
      </c>
      <c r="E382" s="135">
        <v>1</v>
      </c>
      <c r="F382" s="87">
        <v>180</v>
      </c>
      <c r="G382" s="87">
        <v>2</v>
      </c>
      <c r="H382" s="60">
        <v>260</v>
      </c>
      <c r="I382" s="60">
        <v>6</v>
      </c>
      <c r="J382" s="60">
        <v>0</v>
      </c>
      <c r="K382" s="60">
        <v>4</v>
      </c>
      <c r="L382" s="60">
        <v>0</v>
      </c>
      <c r="M382" s="60">
        <v>1</v>
      </c>
      <c r="N382" s="60">
        <v>0</v>
      </c>
      <c r="P382" s="118">
        <f t="shared" si="32"/>
        <v>476.66666666666663</v>
      </c>
      <c r="Q382" s="118">
        <f t="shared" si="29"/>
        <v>0</v>
      </c>
      <c r="R382" s="104">
        <f t="shared" si="30"/>
        <v>1</v>
      </c>
      <c r="S382" s="178">
        <f>(SUM(P381:P384)/(SUM(P381:Q384)))</f>
        <v>0.75313551544814927</v>
      </c>
      <c r="T382" s="63"/>
      <c r="U382" s="63"/>
      <c r="V382" s="63"/>
      <c r="Y382" s="87"/>
      <c r="Z382" s="329"/>
      <c r="AA382" s="118"/>
      <c r="AB382" s="118"/>
    </row>
    <row r="383" spans="1:30" s="60" customFormat="1" x14ac:dyDescent="0.2">
      <c r="A383" s="132">
        <v>42908</v>
      </c>
      <c r="B383" s="118">
        <v>18</v>
      </c>
      <c r="C383" s="58"/>
      <c r="D383" s="60" t="s">
        <v>20</v>
      </c>
      <c r="E383" s="135">
        <v>1</v>
      </c>
      <c r="F383" s="87">
        <v>100</v>
      </c>
      <c r="G383" s="87">
        <v>2</v>
      </c>
      <c r="H383" s="60">
        <v>300</v>
      </c>
      <c r="I383" s="60">
        <v>50</v>
      </c>
      <c r="J383" s="60">
        <v>0</v>
      </c>
      <c r="K383" s="60">
        <v>61</v>
      </c>
      <c r="L383" s="60">
        <v>0</v>
      </c>
      <c r="M383" s="60">
        <v>37</v>
      </c>
      <c r="N383" s="60">
        <v>1</v>
      </c>
      <c r="P383" s="118">
        <f t="shared" si="32"/>
        <v>7400</v>
      </c>
      <c r="Q383" s="118">
        <f t="shared" si="29"/>
        <v>50</v>
      </c>
      <c r="R383" s="104">
        <f t="shared" si="30"/>
        <v>0.99328859060402686</v>
      </c>
      <c r="S383" s="179"/>
      <c r="T383" s="63"/>
      <c r="U383" s="63"/>
      <c r="V383" s="63"/>
      <c r="Y383" s="87"/>
      <c r="Z383" s="329"/>
      <c r="AA383" s="118"/>
      <c r="AB383" s="118"/>
    </row>
    <row r="384" spans="1:30" s="60" customFormat="1" x14ac:dyDescent="0.2">
      <c r="A384" s="132">
        <v>42908</v>
      </c>
      <c r="B384" s="118">
        <v>18</v>
      </c>
      <c r="C384" s="58"/>
      <c r="D384" s="60" t="s">
        <v>20</v>
      </c>
      <c r="E384" s="135">
        <v>1</v>
      </c>
      <c r="F384" s="87" t="s">
        <v>201</v>
      </c>
      <c r="G384" s="87">
        <v>1</v>
      </c>
      <c r="H384" s="60">
        <v>330</v>
      </c>
      <c r="I384" s="60">
        <v>0</v>
      </c>
      <c r="J384" s="60">
        <v>10</v>
      </c>
      <c r="K384" s="60">
        <v>3</v>
      </c>
      <c r="L384" s="60">
        <v>7</v>
      </c>
      <c r="M384" s="60">
        <v>0</v>
      </c>
      <c r="N384" s="60">
        <v>7</v>
      </c>
      <c r="P384" s="118">
        <f t="shared" si="32"/>
        <v>330</v>
      </c>
      <c r="Q384" s="118">
        <f t="shared" si="29"/>
        <v>2640</v>
      </c>
      <c r="R384" s="104">
        <f t="shared" si="30"/>
        <v>0.1111111111111111</v>
      </c>
      <c r="S384" s="179"/>
      <c r="T384" s="63"/>
      <c r="U384" s="63"/>
      <c r="V384" s="63"/>
      <c r="Y384" s="87"/>
      <c r="Z384" s="329"/>
      <c r="AA384" s="118"/>
      <c r="AB384" s="118"/>
    </row>
    <row r="385" spans="1:31" s="60" customFormat="1" x14ac:dyDescent="0.2">
      <c r="A385" s="132">
        <v>42908</v>
      </c>
      <c r="B385" s="118">
        <v>3</v>
      </c>
      <c r="C385" s="58"/>
      <c r="D385" s="60" t="s">
        <v>84</v>
      </c>
      <c r="E385" s="60">
        <v>2</v>
      </c>
      <c r="F385" s="87">
        <v>224</v>
      </c>
      <c r="G385" s="87">
        <v>1</v>
      </c>
      <c r="H385" s="60">
        <v>325</v>
      </c>
      <c r="I385" s="60">
        <v>2</v>
      </c>
      <c r="J385" s="60">
        <v>2</v>
      </c>
      <c r="K385" s="60">
        <v>2</v>
      </c>
      <c r="L385" s="60">
        <v>1</v>
      </c>
      <c r="M385" s="60">
        <v>3</v>
      </c>
      <c r="N385" s="60">
        <v>0</v>
      </c>
      <c r="P385" s="118">
        <f t="shared" si="32"/>
        <v>758.33333333333337</v>
      </c>
      <c r="Q385" s="118">
        <f t="shared" si="29"/>
        <v>325</v>
      </c>
      <c r="R385" s="104">
        <f t="shared" si="30"/>
        <v>0.7</v>
      </c>
      <c r="S385" s="180" t="str">
        <f>D385</f>
        <v>NF-10 Ambient</v>
      </c>
      <c r="T385" s="63"/>
      <c r="U385" s="63"/>
      <c r="V385" s="63"/>
      <c r="Y385" s="87" t="str">
        <f>D385</f>
        <v>NF-10 Ambient</v>
      </c>
      <c r="Z385" s="323">
        <f>(SUMIFS($P$313:$P$376, $D$313:$D$376, Y385, $F$313:$F$376, "&lt;200"))+(SUMIFS($Q$313:$Q$376, $D$313:$D$376, Y385, $F$313:$F$376, "&lt;200"))</f>
        <v>73066.666666666672</v>
      </c>
      <c r="AA385" s="118">
        <f>SUM(P385:Q388)</f>
        <v>34150</v>
      </c>
      <c r="AB385" s="118">
        <f>SUMIFS(Collection!O:O, Collection!B:B, "*" &amp; 'Bucket Counts'!Y385 &amp; "*", Collection!A:A, "&lt;" &amp; 'Bucket Counts'!A385,Collection!A:A,  "&gt;=" &amp; 'Bucket Counts'!$A$313)</f>
        <v>0</v>
      </c>
      <c r="AC385" s="104">
        <f>AA385/(Z385+AB385)</f>
        <v>0.46738138686131386</v>
      </c>
      <c r="AD385" s="345">
        <f>0.94*Z385-AA385</f>
        <v>34532.666666666672</v>
      </c>
      <c r="AE385" s="60" t="s">
        <v>367</v>
      </c>
    </row>
    <row r="386" spans="1:31" s="60" customFormat="1" x14ac:dyDescent="0.2">
      <c r="A386" s="132">
        <v>42908</v>
      </c>
      <c r="B386" s="118">
        <v>3</v>
      </c>
      <c r="C386" s="58"/>
      <c r="D386" s="60" t="s">
        <v>84</v>
      </c>
      <c r="E386" s="60">
        <v>2</v>
      </c>
      <c r="F386" s="87">
        <v>180</v>
      </c>
      <c r="G386" s="87">
        <v>1</v>
      </c>
      <c r="H386" s="60">
        <v>525</v>
      </c>
      <c r="I386" s="60">
        <v>23</v>
      </c>
      <c r="J386" s="60">
        <v>4</v>
      </c>
      <c r="K386" s="60">
        <v>10</v>
      </c>
      <c r="L386" s="60">
        <v>7</v>
      </c>
      <c r="M386" s="60">
        <v>15</v>
      </c>
      <c r="N386" s="60">
        <v>4</v>
      </c>
      <c r="P386" s="118">
        <f t="shared" si="32"/>
        <v>8400</v>
      </c>
      <c r="Q386" s="118">
        <f t="shared" si="29"/>
        <v>2625</v>
      </c>
      <c r="R386" s="104">
        <f t="shared" si="30"/>
        <v>0.76190476190476186</v>
      </c>
      <c r="S386" s="178">
        <f>(SUM(P385:P388)/(SUM(P385:Q388)))</f>
        <v>0.71327476817959989</v>
      </c>
      <c r="T386" s="63"/>
      <c r="U386" s="63"/>
      <c r="V386" s="63"/>
      <c r="Y386" s="87"/>
      <c r="Z386" s="329"/>
      <c r="AA386" s="118"/>
      <c r="AB386" s="118"/>
    </row>
    <row r="387" spans="1:31" s="60" customFormat="1" x14ac:dyDescent="0.2">
      <c r="A387" s="132">
        <v>42908</v>
      </c>
      <c r="B387" s="118">
        <v>3</v>
      </c>
      <c r="C387" s="58"/>
      <c r="D387" s="60" t="s">
        <v>84</v>
      </c>
      <c r="E387" s="60">
        <v>2</v>
      </c>
      <c r="F387" s="87">
        <v>100</v>
      </c>
      <c r="G387" s="87">
        <v>1</v>
      </c>
      <c r="H387" s="60">
        <v>525</v>
      </c>
      <c r="I387" s="60">
        <v>29</v>
      </c>
      <c r="J387" s="60">
        <v>1</v>
      </c>
      <c r="K387" s="60">
        <v>24</v>
      </c>
      <c r="L387" s="60">
        <v>0</v>
      </c>
      <c r="M387" s="60">
        <v>31</v>
      </c>
      <c r="N387" s="60">
        <v>0</v>
      </c>
      <c r="P387" s="118">
        <f t="shared" si="32"/>
        <v>14700</v>
      </c>
      <c r="Q387" s="118">
        <f t="shared" si="29"/>
        <v>175</v>
      </c>
      <c r="R387" s="104">
        <f t="shared" si="30"/>
        <v>0.9882352941176471</v>
      </c>
      <c r="S387" s="179"/>
      <c r="T387" s="63"/>
      <c r="U387" s="63"/>
      <c r="V387" s="63"/>
      <c r="Y387" s="87"/>
      <c r="Z387" s="329"/>
      <c r="AA387" s="118"/>
      <c r="AB387" s="118"/>
    </row>
    <row r="388" spans="1:31" s="60" customFormat="1" x14ac:dyDescent="0.2">
      <c r="A388" s="132">
        <v>42908</v>
      </c>
      <c r="B388" s="118">
        <v>3</v>
      </c>
      <c r="C388" s="58"/>
      <c r="D388" s="60" t="s">
        <v>84</v>
      </c>
      <c r="E388" s="60">
        <v>2</v>
      </c>
      <c r="F388" s="87" t="s">
        <v>201</v>
      </c>
      <c r="G388" s="87">
        <v>1</v>
      </c>
      <c r="H388" s="60">
        <v>500</v>
      </c>
      <c r="I388" s="60">
        <v>2</v>
      </c>
      <c r="J388" s="60">
        <v>18</v>
      </c>
      <c r="K388" s="60">
        <v>0</v>
      </c>
      <c r="L388" s="60">
        <v>12</v>
      </c>
      <c r="M388" s="60">
        <v>1</v>
      </c>
      <c r="N388" s="60">
        <v>10</v>
      </c>
      <c r="P388" s="118">
        <f>(AVERAGE(I388,K388,M388)/G388)*H388</f>
        <v>500</v>
      </c>
      <c r="Q388" s="118">
        <f t="shared" si="29"/>
        <v>6666.666666666667</v>
      </c>
      <c r="R388" s="104">
        <f t="shared" si="30"/>
        <v>6.9767441860465115E-2</v>
      </c>
      <c r="S388" s="179"/>
      <c r="T388" s="63"/>
      <c r="U388" s="63"/>
      <c r="V388" s="63"/>
      <c r="Y388" s="87"/>
      <c r="Z388" s="329"/>
      <c r="AA388" s="118"/>
      <c r="AB388" s="118"/>
    </row>
    <row r="389" spans="1:31" s="60" customFormat="1" x14ac:dyDescent="0.2">
      <c r="A389" s="132">
        <v>42908</v>
      </c>
      <c r="B389" s="409">
        <v>21</v>
      </c>
      <c r="C389" s="58"/>
      <c r="D389" s="59" t="s">
        <v>108</v>
      </c>
      <c r="E389" s="60">
        <v>2</v>
      </c>
      <c r="F389" s="87">
        <v>224</v>
      </c>
      <c r="G389" s="87">
        <v>1</v>
      </c>
      <c r="H389" s="149">
        <v>325</v>
      </c>
      <c r="I389" s="60">
        <v>5</v>
      </c>
      <c r="J389" s="60">
        <v>0</v>
      </c>
      <c r="K389" s="60">
        <v>2</v>
      </c>
      <c r="L389" s="60">
        <v>0</v>
      </c>
      <c r="M389" s="60">
        <v>2</v>
      </c>
      <c r="N389" s="60">
        <v>1</v>
      </c>
      <c r="P389" s="118">
        <f>(AVERAGE(I389,K389,M389)/G389)*H389</f>
        <v>975</v>
      </c>
      <c r="Q389" s="118">
        <f t="shared" si="29"/>
        <v>108.33333333333333</v>
      </c>
      <c r="R389" s="104">
        <f t="shared" si="30"/>
        <v>0.9</v>
      </c>
      <c r="S389" s="180" t="str">
        <f>D389</f>
        <v>HL-10 Low</v>
      </c>
      <c r="T389" s="63"/>
      <c r="U389" s="63"/>
      <c r="V389" s="63"/>
      <c r="Y389" s="87" t="str">
        <f>D389</f>
        <v>HL-10 Low</v>
      </c>
      <c r="Z389" s="323">
        <f>(SUMIFS($P$313:$P$376, $D$313:$D$376, Y389, $F$313:$F$376, "&lt;200"))+(SUMIFS($Q$313:$Q$376, $D$313:$D$376, Y389, $F$313:$F$376, "&lt;200"))</f>
        <v>94946.666666666657</v>
      </c>
      <c r="AA389" s="118">
        <f>SUM(P389:Q392)</f>
        <v>100350</v>
      </c>
      <c r="AB389" s="118">
        <f>SUMIFS(Collection!O:O, Collection!B:B, "*" &amp; 'Bucket Counts'!Y389 &amp; "*", Collection!A:A, "&lt;" &amp; 'Bucket Counts'!A389,Collection!A:A,  "&gt;=" &amp; 'Bucket Counts'!$A$313)</f>
        <v>125</v>
      </c>
      <c r="AC389" s="104">
        <f>AA389/(Z389+AB389)</f>
        <v>1.0555195203618324</v>
      </c>
    </row>
    <row r="390" spans="1:31" s="60" customFormat="1" x14ac:dyDescent="0.2">
      <c r="A390" s="132">
        <v>42908</v>
      </c>
      <c r="B390" s="409">
        <v>21</v>
      </c>
      <c r="C390" s="58"/>
      <c r="D390" s="59" t="s">
        <v>108</v>
      </c>
      <c r="E390" s="60">
        <v>2</v>
      </c>
      <c r="F390" s="87">
        <v>180</v>
      </c>
      <c r="G390" s="87">
        <v>1</v>
      </c>
      <c r="H390" s="149">
        <v>540</v>
      </c>
      <c r="I390" s="60">
        <v>16</v>
      </c>
      <c r="J390" s="60">
        <v>0</v>
      </c>
      <c r="K390" s="60">
        <v>14</v>
      </c>
      <c r="L390" s="60">
        <v>0</v>
      </c>
      <c r="M390" s="60">
        <v>15</v>
      </c>
      <c r="N390" s="60">
        <v>0</v>
      </c>
      <c r="P390" s="118">
        <f t="shared" ref="P390:P403" si="33">(AVERAGE(I390,K390,M390)/G390)*H390</f>
        <v>8100</v>
      </c>
      <c r="Q390" s="118">
        <f t="shared" si="29"/>
        <v>0</v>
      </c>
      <c r="R390" s="104">
        <f t="shared" si="30"/>
        <v>1</v>
      </c>
      <c r="S390" s="178">
        <f>(SUM(P389:P392)/(SUM(P389:Q392)))</f>
        <v>0.76474007639926922</v>
      </c>
      <c r="T390" s="63"/>
      <c r="U390" s="63"/>
      <c r="V390" s="63"/>
      <c r="Y390" s="87"/>
      <c r="Z390" s="329"/>
      <c r="AA390" s="118"/>
      <c r="AB390" s="118"/>
    </row>
    <row r="391" spans="1:31" s="60" customFormat="1" x14ac:dyDescent="0.2">
      <c r="A391" s="132">
        <v>42908</v>
      </c>
      <c r="B391" s="409">
        <v>21</v>
      </c>
      <c r="C391" s="58"/>
      <c r="D391" s="59" t="s">
        <v>108</v>
      </c>
      <c r="E391" s="60">
        <v>2</v>
      </c>
      <c r="F391" s="87">
        <v>100</v>
      </c>
      <c r="G391" s="87">
        <v>1</v>
      </c>
      <c r="H391" s="149">
        <v>500</v>
      </c>
      <c r="I391" s="60">
        <v>123</v>
      </c>
      <c r="J391" s="60">
        <v>8</v>
      </c>
      <c r="K391" s="60">
        <v>145</v>
      </c>
      <c r="L391" s="60">
        <v>45</v>
      </c>
      <c r="M391" s="60">
        <v>137</v>
      </c>
      <c r="N391" s="60">
        <v>3</v>
      </c>
      <c r="P391" s="118">
        <f t="shared" si="33"/>
        <v>67500</v>
      </c>
      <c r="Q391" s="118">
        <f t="shared" si="29"/>
        <v>9333.3333333333339</v>
      </c>
      <c r="R391" s="104">
        <f t="shared" si="30"/>
        <v>0.87852494577006512</v>
      </c>
      <c r="S391" s="179"/>
      <c r="T391" s="63"/>
      <c r="U391" s="63"/>
      <c r="V391" s="63"/>
      <c r="Y391" s="87"/>
      <c r="Z391" s="329"/>
      <c r="AA391" s="118"/>
      <c r="AB391" s="118"/>
    </row>
    <row r="392" spans="1:31" s="60" customFormat="1" x14ac:dyDescent="0.2">
      <c r="A392" s="132">
        <v>42908</v>
      </c>
      <c r="B392" s="409">
        <v>21</v>
      </c>
      <c r="C392" s="58"/>
      <c r="D392" s="59" t="s">
        <v>108</v>
      </c>
      <c r="E392" s="60">
        <v>2</v>
      </c>
      <c r="F392" s="87" t="s">
        <v>201</v>
      </c>
      <c r="G392" s="87">
        <v>1</v>
      </c>
      <c r="H392" s="149">
        <v>500</v>
      </c>
      <c r="I392" s="60">
        <v>1</v>
      </c>
      <c r="J392" s="60">
        <v>24</v>
      </c>
      <c r="K392" s="60">
        <v>0</v>
      </c>
      <c r="L392" s="60">
        <v>31</v>
      </c>
      <c r="M392" s="60">
        <v>0</v>
      </c>
      <c r="N392" s="60">
        <v>30</v>
      </c>
      <c r="P392" s="118">
        <f t="shared" si="33"/>
        <v>166.66666666666666</v>
      </c>
      <c r="Q392" s="118">
        <f t="shared" si="29"/>
        <v>14166.666666666666</v>
      </c>
      <c r="R392" s="104">
        <f t="shared" si="30"/>
        <v>1.1627906976744186E-2</v>
      </c>
      <c r="S392" s="179"/>
      <c r="T392" s="63"/>
      <c r="U392" s="63"/>
      <c r="V392" s="63"/>
      <c r="Y392" s="87"/>
      <c r="Z392" s="329"/>
      <c r="AA392" s="118"/>
      <c r="AB392" s="118"/>
    </row>
    <row r="393" spans="1:31" s="60" customFormat="1" x14ac:dyDescent="0.2">
      <c r="A393" s="132">
        <v>42908</v>
      </c>
      <c r="B393" s="118">
        <v>22</v>
      </c>
      <c r="C393" s="58"/>
      <c r="D393" s="60" t="s">
        <v>17</v>
      </c>
      <c r="E393" s="60">
        <v>3</v>
      </c>
      <c r="F393" s="87">
        <v>224</v>
      </c>
      <c r="G393" s="87">
        <v>1</v>
      </c>
      <c r="H393" s="60">
        <v>400</v>
      </c>
      <c r="I393" s="60">
        <v>1</v>
      </c>
      <c r="J393" s="60">
        <v>0</v>
      </c>
      <c r="K393" s="60">
        <v>2</v>
      </c>
      <c r="L393" s="60">
        <v>0</v>
      </c>
      <c r="M393" s="60">
        <v>2</v>
      </c>
      <c r="N393" s="60">
        <v>0</v>
      </c>
      <c r="P393" s="118">
        <f t="shared" si="33"/>
        <v>666.66666666666674</v>
      </c>
      <c r="Q393" s="118">
        <f t="shared" si="29"/>
        <v>0</v>
      </c>
      <c r="R393" s="104">
        <f t="shared" si="30"/>
        <v>1</v>
      </c>
      <c r="S393" s="180" t="str">
        <f>D393</f>
        <v>K-10 Ambient</v>
      </c>
      <c r="T393" s="63"/>
      <c r="U393" s="63"/>
      <c r="V393" s="63"/>
      <c r="Y393" s="87" t="str">
        <f>D393</f>
        <v>K-10 Ambient</v>
      </c>
      <c r="Z393" s="323">
        <f>(SUMIFS($P$313:$P$376, $D$313:$D$376, Y393, $F$313:$F$376, "&lt;200"))+(SUMIFS($Q$313:$Q$376, $D$313:$D$376, Y393, $F$313:$F$376, "&lt;200"))</f>
        <v>31000.000000000004</v>
      </c>
      <c r="AA393" s="118">
        <f>SUM(P393:Q396)</f>
        <v>34370</v>
      </c>
      <c r="AB393" s="118">
        <f>SUMIFS(Collection!O:O, Collection!B:B, "*" &amp; 'Bucket Counts'!Y393 &amp; "*", Collection!A:A, "&lt;" &amp; 'Bucket Counts'!A393,Collection!A:A,  "&gt;=" &amp; 'Bucket Counts'!$A$313)</f>
        <v>0</v>
      </c>
      <c r="AC393" s="104">
        <f>AA393/(Z393+AB393)</f>
        <v>1.1087096774193548</v>
      </c>
    </row>
    <row r="394" spans="1:31" s="60" customFormat="1" x14ac:dyDescent="0.2">
      <c r="A394" s="132">
        <v>42908</v>
      </c>
      <c r="B394" s="118">
        <v>22</v>
      </c>
      <c r="C394" s="58"/>
      <c r="D394" s="60" t="s">
        <v>17</v>
      </c>
      <c r="E394" s="60">
        <v>3</v>
      </c>
      <c r="F394" s="87">
        <v>180</v>
      </c>
      <c r="G394" s="87">
        <v>1</v>
      </c>
      <c r="H394" s="60">
        <v>300</v>
      </c>
      <c r="I394" s="60">
        <v>25</v>
      </c>
      <c r="J394" s="60">
        <v>0</v>
      </c>
      <c r="K394" s="60">
        <v>28</v>
      </c>
      <c r="L394" s="60">
        <v>0</v>
      </c>
      <c r="M394" s="60">
        <v>26</v>
      </c>
      <c r="N394" s="60">
        <v>0</v>
      </c>
      <c r="P394" s="118">
        <f t="shared" si="33"/>
        <v>7900</v>
      </c>
      <c r="Q394" s="118">
        <f t="shared" si="29"/>
        <v>0</v>
      </c>
      <c r="R394" s="104">
        <f t="shared" si="30"/>
        <v>1</v>
      </c>
      <c r="S394" s="178">
        <f>(SUM(P393:P396)/(SUM(P393:Q396)))</f>
        <v>0.81369411308311501</v>
      </c>
      <c r="T394" s="63"/>
      <c r="U394" s="63"/>
      <c r="V394" s="63"/>
      <c r="Y394" s="87"/>
      <c r="Z394" s="329"/>
      <c r="AA394" s="118"/>
      <c r="AB394" s="118"/>
    </row>
    <row r="395" spans="1:31" s="60" customFormat="1" x14ac:dyDescent="0.2">
      <c r="A395" s="132">
        <v>42908</v>
      </c>
      <c r="B395" s="118">
        <v>22</v>
      </c>
      <c r="C395" s="58"/>
      <c r="D395" s="60" t="s">
        <v>17</v>
      </c>
      <c r="E395" s="60">
        <v>3</v>
      </c>
      <c r="F395" s="87">
        <v>100</v>
      </c>
      <c r="G395" s="87">
        <v>1</v>
      </c>
      <c r="H395" s="60">
        <v>300</v>
      </c>
      <c r="I395" s="60">
        <v>57</v>
      </c>
      <c r="J395" s="60">
        <v>2</v>
      </c>
      <c r="K395" s="60">
        <v>74</v>
      </c>
      <c r="L395" s="60">
        <v>2</v>
      </c>
      <c r="M395" s="60">
        <v>63</v>
      </c>
      <c r="N395" s="60">
        <v>1</v>
      </c>
      <c r="P395" s="118">
        <f t="shared" si="33"/>
        <v>19400</v>
      </c>
      <c r="Q395" s="118">
        <f t="shared" si="29"/>
        <v>500</v>
      </c>
      <c r="R395" s="104">
        <f t="shared" si="30"/>
        <v>0.97487437185929648</v>
      </c>
      <c r="S395" s="179"/>
      <c r="T395" s="63"/>
      <c r="U395" s="63"/>
      <c r="V395" s="63"/>
      <c r="Y395" s="87"/>
      <c r="Z395" s="329"/>
      <c r="AA395" s="118"/>
      <c r="AB395" s="118"/>
    </row>
    <row r="396" spans="1:31" s="60" customFormat="1" x14ac:dyDescent="0.2">
      <c r="A396" s="132">
        <v>42908</v>
      </c>
      <c r="B396" s="118">
        <v>22</v>
      </c>
      <c r="C396" s="58"/>
      <c r="D396" s="60" t="s">
        <v>17</v>
      </c>
      <c r="E396" s="60">
        <v>3</v>
      </c>
      <c r="F396" s="87" t="s">
        <v>201</v>
      </c>
      <c r="G396" s="87">
        <v>1</v>
      </c>
      <c r="H396" s="60">
        <v>230</v>
      </c>
      <c r="I396" s="60">
        <v>0</v>
      </c>
      <c r="J396" s="60">
        <v>27</v>
      </c>
      <c r="K396" s="60">
        <v>0</v>
      </c>
      <c r="L396" s="60">
        <v>27</v>
      </c>
      <c r="M396" s="60">
        <v>0</v>
      </c>
      <c r="N396" s="60">
        <v>23</v>
      </c>
      <c r="P396" s="118">
        <f t="shared" si="33"/>
        <v>0</v>
      </c>
      <c r="Q396" s="118">
        <f t="shared" si="29"/>
        <v>5903.3333333333339</v>
      </c>
      <c r="R396" s="104">
        <f t="shared" si="30"/>
        <v>0</v>
      </c>
      <c r="S396" s="179"/>
      <c r="T396" s="63"/>
      <c r="U396" s="63"/>
      <c r="V396" s="63"/>
      <c r="Y396" s="87"/>
      <c r="Z396" s="329"/>
      <c r="AA396" s="118"/>
      <c r="AB396" s="118"/>
    </row>
    <row r="397" spans="1:31" s="60" customFormat="1" x14ac:dyDescent="0.2">
      <c r="A397" s="132">
        <v>42908</v>
      </c>
      <c r="B397" s="118">
        <v>19</v>
      </c>
      <c r="C397" s="58"/>
      <c r="D397" s="60" t="s">
        <v>88</v>
      </c>
      <c r="E397" s="60">
        <v>3</v>
      </c>
      <c r="F397" s="87">
        <v>224</v>
      </c>
      <c r="G397" s="87">
        <v>1</v>
      </c>
      <c r="H397" s="60">
        <v>310</v>
      </c>
      <c r="I397" s="60">
        <v>13</v>
      </c>
      <c r="J397" s="60">
        <v>0</v>
      </c>
      <c r="K397" s="60">
        <v>6</v>
      </c>
      <c r="L397" s="60">
        <v>0</v>
      </c>
      <c r="M397" s="60">
        <v>10</v>
      </c>
      <c r="N397" s="60">
        <v>0</v>
      </c>
      <c r="P397" s="118">
        <f t="shared" si="33"/>
        <v>2996.6666666666665</v>
      </c>
      <c r="Q397" s="118">
        <f t="shared" si="29"/>
        <v>0</v>
      </c>
      <c r="R397" s="104">
        <f t="shared" si="30"/>
        <v>1</v>
      </c>
      <c r="S397" s="180" t="str">
        <f>D397</f>
        <v>HL-10 Ambient</v>
      </c>
      <c r="T397" s="63"/>
      <c r="U397" s="63"/>
      <c r="V397" s="63"/>
      <c r="Y397" s="87" t="str">
        <f>D397</f>
        <v>HL-10 Ambient</v>
      </c>
      <c r="Z397" s="323">
        <f>(SUMIFS($P$313:$P$376, $D$313:$D$376, Y397, $F$313:$F$376, "&lt;200"))+(SUMIFS($Q$313:$Q$376, $D$313:$D$376, Y397, $F$313:$F$376, "&lt;200"))</f>
        <v>20466.666666666664</v>
      </c>
      <c r="AA397" s="118">
        <f>SUM(P397:Q400)</f>
        <v>51856.666666666664</v>
      </c>
      <c r="AB397" s="118">
        <f>SUMIFS(Collection!O:O, Collection!B:B, "*" &amp; 'Bucket Counts'!Y397 &amp; "*", Collection!A:A, "&lt;" &amp; 'Bucket Counts'!A397,Collection!A:A,  "&gt;=" &amp; 'Bucket Counts'!$A$313)</f>
        <v>53456.666666666672</v>
      </c>
      <c r="AC397" s="104">
        <f>AA397/(Z397+AB397)</f>
        <v>0.70149253731343275</v>
      </c>
    </row>
    <row r="398" spans="1:31" s="60" customFormat="1" x14ac:dyDescent="0.2">
      <c r="A398" s="132">
        <v>42908</v>
      </c>
      <c r="B398" s="118">
        <v>19</v>
      </c>
      <c r="C398" s="58"/>
      <c r="D398" s="60" t="s">
        <v>88</v>
      </c>
      <c r="E398" s="60">
        <v>3</v>
      </c>
      <c r="F398" s="87">
        <v>180</v>
      </c>
      <c r="G398" s="87">
        <v>1</v>
      </c>
      <c r="H398" s="60">
        <v>790</v>
      </c>
      <c r="I398" s="60">
        <v>13</v>
      </c>
      <c r="J398" s="60">
        <v>0</v>
      </c>
      <c r="K398" s="60">
        <v>8</v>
      </c>
      <c r="L398" s="60">
        <v>0</v>
      </c>
      <c r="M398" s="60">
        <v>16</v>
      </c>
      <c r="N398" s="60">
        <v>0</v>
      </c>
      <c r="P398" s="118">
        <f t="shared" si="33"/>
        <v>9743.3333333333339</v>
      </c>
      <c r="Q398" s="118">
        <f t="shared" si="29"/>
        <v>0</v>
      </c>
      <c r="R398" s="104">
        <f t="shared" si="30"/>
        <v>1</v>
      </c>
      <c r="S398" s="178">
        <f>(SUM(P397:P400)/(SUM(P397:Q400)))</f>
        <v>0.82059523044288751</v>
      </c>
      <c r="T398" s="63"/>
      <c r="Y398" s="87"/>
      <c r="Z398" s="329"/>
      <c r="AA398" s="118"/>
      <c r="AB398" s="118"/>
    </row>
    <row r="399" spans="1:31" s="60" customFormat="1" x14ac:dyDescent="0.2">
      <c r="A399" s="132">
        <v>42908</v>
      </c>
      <c r="B399" s="118">
        <v>19</v>
      </c>
      <c r="C399" s="58"/>
      <c r="D399" s="60" t="s">
        <v>88</v>
      </c>
      <c r="E399" s="60">
        <v>3</v>
      </c>
      <c r="F399" s="87">
        <v>100</v>
      </c>
      <c r="G399" s="87">
        <v>1</v>
      </c>
      <c r="H399" s="60">
        <v>520</v>
      </c>
      <c r="I399" s="60">
        <v>52</v>
      </c>
      <c r="J399" s="60">
        <v>4</v>
      </c>
      <c r="K399" s="60">
        <v>61</v>
      </c>
      <c r="L399" s="60">
        <v>3</v>
      </c>
      <c r="M399" s="60">
        <v>59</v>
      </c>
      <c r="N399" s="60">
        <v>1</v>
      </c>
      <c r="P399" s="118">
        <f t="shared" si="33"/>
        <v>29813.333333333336</v>
      </c>
      <c r="Q399" s="118">
        <f t="shared" si="29"/>
        <v>1386.6666666666665</v>
      </c>
      <c r="R399" s="104">
        <f t="shared" si="30"/>
        <v>0.95555555555555549</v>
      </c>
      <c r="S399" s="179"/>
      <c r="T399" s="63"/>
      <c r="Y399" s="87"/>
      <c r="Z399" s="329"/>
      <c r="AA399" s="118"/>
      <c r="AB399" s="118"/>
    </row>
    <row r="400" spans="1:31" s="60" customFormat="1" x14ac:dyDescent="0.2">
      <c r="A400" s="132">
        <v>42908</v>
      </c>
      <c r="B400" s="118">
        <v>19</v>
      </c>
      <c r="C400" s="58"/>
      <c r="D400" s="60" t="s">
        <v>88</v>
      </c>
      <c r="E400" s="60">
        <v>3</v>
      </c>
      <c r="F400" s="87" t="s">
        <v>201</v>
      </c>
      <c r="G400" s="87">
        <v>1</v>
      </c>
      <c r="H400" s="60">
        <v>250</v>
      </c>
      <c r="I400" s="60">
        <v>0</v>
      </c>
      <c r="J400" s="60">
        <v>30</v>
      </c>
      <c r="K400" s="60">
        <v>0</v>
      </c>
      <c r="L400" s="60">
        <v>31</v>
      </c>
      <c r="M400" s="60">
        <v>0</v>
      </c>
      <c r="N400" s="60">
        <v>34</v>
      </c>
      <c r="P400" s="118">
        <f t="shared" si="33"/>
        <v>0</v>
      </c>
      <c r="Q400" s="118">
        <f t="shared" si="29"/>
        <v>7916.666666666667</v>
      </c>
      <c r="R400" s="104">
        <f t="shared" si="30"/>
        <v>0</v>
      </c>
      <c r="S400" s="179"/>
      <c r="T400" s="63"/>
      <c r="Y400" s="87"/>
      <c r="Z400" s="329"/>
      <c r="AA400" s="118"/>
      <c r="AB400" s="118"/>
    </row>
    <row r="401" spans="1:29" s="60" customFormat="1" x14ac:dyDescent="0.2">
      <c r="A401" s="132">
        <v>42908</v>
      </c>
      <c r="B401" s="409">
        <v>20</v>
      </c>
      <c r="C401" s="58"/>
      <c r="D401" s="59" t="s">
        <v>46</v>
      </c>
      <c r="E401" s="60">
        <v>4</v>
      </c>
      <c r="F401" s="87">
        <v>224</v>
      </c>
      <c r="G401" s="87">
        <v>1</v>
      </c>
      <c r="H401" s="60">
        <v>230</v>
      </c>
      <c r="I401" s="60">
        <v>5</v>
      </c>
      <c r="J401" s="60">
        <v>0</v>
      </c>
      <c r="K401" s="60">
        <v>3</v>
      </c>
      <c r="L401" s="60">
        <v>0</v>
      </c>
      <c r="M401" s="60">
        <v>2</v>
      </c>
      <c r="N401" s="60">
        <v>0</v>
      </c>
      <c r="P401" s="118">
        <f t="shared" si="33"/>
        <v>766.66666666666674</v>
      </c>
      <c r="Q401" s="118">
        <f t="shared" si="29"/>
        <v>0</v>
      </c>
      <c r="R401" s="104">
        <f t="shared" si="30"/>
        <v>1</v>
      </c>
      <c r="S401" s="177" t="str">
        <f>D401</f>
        <v>K-6 Low</v>
      </c>
      <c r="T401" s="63"/>
      <c r="Y401" s="87" t="str">
        <f>D401</f>
        <v>K-6 Low</v>
      </c>
      <c r="Z401" s="323">
        <f>(SUMIFS($P$313:$P$376, $D$313:$D$376, Y401, $F$313:$F$376, "&lt;200"))+(SUMIFS($Q$313:$Q$376, $D$313:$D$376, Y401, $F$313:$F$376, "&lt;200"))</f>
        <v>34666.666666666664</v>
      </c>
      <c r="AA401" s="118">
        <f>SUM(P401:Q404)</f>
        <v>30933.333333333336</v>
      </c>
      <c r="AB401" s="118">
        <f>SUMIFS(Collection!O:O, Collection!B:B, "*" &amp; 'Bucket Counts'!Y401 &amp; "*", Collection!A:A, "&lt;" &amp; 'Bucket Counts'!A401,Collection!A:A,  "&gt;=" &amp; 'Bucket Counts'!$A$313)</f>
        <v>0</v>
      </c>
      <c r="AC401" s="104">
        <f>AA401/(Z401+AB401)</f>
        <v>0.89230769230769247</v>
      </c>
    </row>
    <row r="402" spans="1:29" s="60" customFormat="1" x14ac:dyDescent="0.2">
      <c r="A402" s="132">
        <v>42908</v>
      </c>
      <c r="B402" s="409">
        <v>20</v>
      </c>
      <c r="C402" s="58"/>
      <c r="D402" s="59" t="s">
        <v>46</v>
      </c>
      <c r="E402" s="60">
        <v>4</v>
      </c>
      <c r="F402" s="87">
        <v>180</v>
      </c>
      <c r="G402" s="87">
        <v>1</v>
      </c>
      <c r="H402" s="60">
        <v>500</v>
      </c>
      <c r="I402" s="60">
        <v>38</v>
      </c>
      <c r="J402" s="60">
        <v>0</v>
      </c>
      <c r="K402" s="60">
        <v>45</v>
      </c>
      <c r="L402" s="60">
        <v>0</v>
      </c>
      <c r="M402" s="60">
        <v>41</v>
      </c>
      <c r="N402" s="60">
        <v>0</v>
      </c>
      <c r="P402" s="118">
        <f t="shared" si="33"/>
        <v>20666.666666666668</v>
      </c>
      <c r="Q402" s="118">
        <f t="shared" si="29"/>
        <v>0</v>
      </c>
      <c r="R402" s="104">
        <f t="shared" si="30"/>
        <v>1</v>
      </c>
      <c r="S402" s="178">
        <f>(SUM(P401:P404)/(SUM(P401:Q404)))</f>
        <v>0.94504310344827591</v>
      </c>
      <c r="T402" s="63"/>
      <c r="Y402" s="87"/>
      <c r="Z402" s="329"/>
      <c r="AA402" s="118"/>
      <c r="AB402" s="118"/>
    </row>
    <row r="403" spans="1:29" s="60" customFormat="1" x14ac:dyDescent="0.2">
      <c r="A403" s="132">
        <v>42908</v>
      </c>
      <c r="B403" s="409">
        <v>20</v>
      </c>
      <c r="C403" s="58"/>
      <c r="D403" s="59" t="s">
        <v>46</v>
      </c>
      <c r="E403" s="60">
        <v>4</v>
      </c>
      <c r="F403" s="87">
        <v>100</v>
      </c>
      <c r="G403" s="87">
        <v>1</v>
      </c>
      <c r="H403" s="148">
        <v>300</v>
      </c>
      <c r="I403" s="60">
        <v>27</v>
      </c>
      <c r="J403" s="60">
        <v>0</v>
      </c>
      <c r="K403" s="60">
        <v>18</v>
      </c>
      <c r="L403" s="60">
        <v>0</v>
      </c>
      <c r="M403" s="60">
        <v>24</v>
      </c>
      <c r="N403" s="60">
        <v>0</v>
      </c>
      <c r="P403" s="118">
        <f t="shared" si="33"/>
        <v>6900</v>
      </c>
      <c r="Q403" s="118">
        <f t="shared" si="29"/>
        <v>0</v>
      </c>
      <c r="R403" s="104">
        <f t="shared" si="30"/>
        <v>1</v>
      </c>
      <c r="S403" s="176"/>
      <c r="T403" s="63"/>
      <c r="Y403" s="87"/>
      <c r="Z403" s="329"/>
      <c r="AA403" s="118"/>
      <c r="AB403" s="118"/>
    </row>
    <row r="404" spans="1:29" s="60" customFormat="1" x14ac:dyDescent="0.2">
      <c r="A404" s="132">
        <v>42908</v>
      </c>
      <c r="B404" s="409">
        <v>20</v>
      </c>
      <c r="C404" s="58"/>
      <c r="D404" s="59" t="s">
        <v>46</v>
      </c>
      <c r="E404" s="60">
        <v>4</v>
      </c>
      <c r="F404" s="87" t="s">
        <v>201</v>
      </c>
      <c r="G404" s="87">
        <v>1</v>
      </c>
      <c r="H404" s="148">
        <v>300</v>
      </c>
      <c r="I404" s="60">
        <v>3</v>
      </c>
      <c r="J404" s="60">
        <v>7</v>
      </c>
      <c r="K404" s="60">
        <v>6</v>
      </c>
      <c r="L404" s="60">
        <v>4</v>
      </c>
      <c r="M404" s="60">
        <v>0</v>
      </c>
      <c r="N404" s="60">
        <v>6</v>
      </c>
      <c r="P404" s="118">
        <f>(AVERAGE(I404,K404,M404)/G404)*H404</f>
        <v>900</v>
      </c>
      <c r="Q404" s="118">
        <f t="shared" si="29"/>
        <v>1700</v>
      </c>
      <c r="R404" s="104">
        <f t="shared" si="30"/>
        <v>0.34615384615384615</v>
      </c>
      <c r="S404" s="179"/>
      <c r="T404" s="63"/>
      <c r="Y404" s="87"/>
      <c r="Z404" s="329"/>
      <c r="AA404" s="118"/>
      <c r="AB404" s="118"/>
    </row>
    <row r="405" spans="1:29" s="60" customFormat="1" x14ac:dyDescent="0.2">
      <c r="A405" s="132">
        <v>42908</v>
      </c>
      <c r="B405" s="409">
        <v>17</v>
      </c>
      <c r="C405" s="58"/>
      <c r="D405" s="59" t="s">
        <v>38</v>
      </c>
      <c r="E405" s="60">
        <v>4</v>
      </c>
      <c r="F405" s="87">
        <v>224</v>
      </c>
      <c r="G405" s="87">
        <v>1</v>
      </c>
      <c r="H405" s="60">
        <v>300</v>
      </c>
      <c r="I405" s="60">
        <v>9</v>
      </c>
      <c r="J405" s="60">
        <v>0</v>
      </c>
      <c r="K405" s="60">
        <v>5</v>
      </c>
      <c r="L405" s="60">
        <v>0</v>
      </c>
      <c r="M405" s="60">
        <v>5</v>
      </c>
      <c r="N405" s="60">
        <v>0</v>
      </c>
      <c r="P405" s="118">
        <f t="shared" ref="P405:P417" si="34">(AVERAGE(I405,K405,M405)/G405)*H405</f>
        <v>1900</v>
      </c>
      <c r="Q405" s="118">
        <f t="shared" si="29"/>
        <v>0</v>
      </c>
      <c r="R405" s="104">
        <f t="shared" si="30"/>
        <v>1</v>
      </c>
      <c r="S405" s="180" t="str">
        <f>D405</f>
        <v>K-6 Ambient</v>
      </c>
      <c r="T405" s="63"/>
      <c r="Y405" s="87" t="str">
        <f>D405</f>
        <v>K-6 Ambient</v>
      </c>
      <c r="Z405" s="323">
        <f>(SUMIFS($P$313:$P$376, $D$313:$D$376, Y405, $F$313:$F$376, "&lt;200"))+(SUMIFS($Q$313:$Q$376, $D$313:$D$376, Y405, $F$313:$F$376, "&lt;200"))</f>
        <v>33586.666666666664</v>
      </c>
      <c r="AA405" s="118">
        <f>SUM(P405:Q408)</f>
        <v>114666.66666666666</v>
      </c>
      <c r="AB405" s="118">
        <f>SUMIFS(Collection!O:O, Collection!B:B, "*" &amp; 'Bucket Counts'!Y405 &amp; "*", Collection!A:A, "&lt;" &amp; 'Bucket Counts'!A405,Collection!A:A,  "&gt;=" &amp; 'Bucket Counts'!$A$313)</f>
        <v>103683.33333333334</v>
      </c>
      <c r="AC405" s="104">
        <f>AA405/(Z405+AB405)</f>
        <v>0.83533668439328812</v>
      </c>
    </row>
    <row r="406" spans="1:29" s="60" customFormat="1" x14ac:dyDescent="0.2">
      <c r="A406" s="132">
        <v>42908</v>
      </c>
      <c r="B406" s="409">
        <v>17</v>
      </c>
      <c r="C406" s="58"/>
      <c r="D406" s="59" t="s">
        <v>38</v>
      </c>
      <c r="E406" s="60">
        <v>4</v>
      </c>
      <c r="F406" s="87">
        <v>180</v>
      </c>
      <c r="G406" s="87">
        <v>1</v>
      </c>
      <c r="H406" s="60">
        <v>340</v>
      </c>
      <c r="I406" s="60">
        <v>27</v>
      </c>
      <c r="J406" s="60">
        <v>0</v>
      </c>
      <c r="K406" s="60">
        <v>16</v>
      </c>
      <c r="L406" s="60">
        <v>0</v>
      </c>
      <c r="M406" s="60">
        <v>17</v>
      </c>
      <c r="N406" s="60">
        <v>0</v>
      </c>
      <c r="P406" s="118">
        <f t="shared" si="34"/>
        <v>6800</v>
      </c>
      <c r="Q406" s="118">
        <f t="shared" si="29"/>
        <v>0</v>
      </c>
      <c r="R406" s="104">
        <f t="shared" si="30"/>
        <v>1</v>
      </c>
      <c r="S406" s="178">
        <f>(SUM(P405:P408)/(SUM(P405:Q408)))</f>
        <v>0.66209302325581398</v>
      </c>
      <c r="T406" s="63"/>
      <c r="Y406" s="87"/>
      <c r="Z406" s="329"/>
      <c r="AA406" s="118"/>
      <c r="AB406" s="118"/>
    </row>
    <row r="407" spans="1:29" s="60" customFormat="1" x14ac:dyDescent="0.2">
      <c r="A407" s="132">
        <v>42908</v>
      </c>
      <c r="B407" s="409">
        <v>17</v>
      </c>
      <c r="C407" s="58"/>
      <c r="D407" s="59" t="s">
        <v>38</v>
      </c>
      <c r="E407" s="60">
        <v>4</v>
      </c>
      <c r="F407" s="87">
        <v>100</v>
      </c>
      <c r="G407" s="87">
        <v>1</v>
      </c>
      <c r="H407" s="148">
        <v>520</v>
      </c>
      <c r="I407" s="60">
        <v>128</v>
      </c>
      <c r="J407" s="60">
        <v>5</v>
      </c>
      <c r="K407" s="60">
        <v>129</v>
      </c>
      <c r="L407" s="60">
        <v>1</v>
      </c>
      <c r="M407" s="60">
        <v>126</v>
      </c>
      <c r="N407" s="60">
        <v>6</v>
      </c>
      <c r="P407" s="118">
        <f t="shared" si="34"/>
        <v>66386.666666666672</v>
      </c>
      <c r="Q407" s="118">
        <f t="shared" si="29"/>
        <v>2080</v>
      </c>
      <c r="R407" s="104">
        <f t="shared" si="30"/>
        <v>0.96962025316455691</v>
      </c>
      <c r="S407" s="179"/>
      <c r="T407" s="63"/>
      <c r="Y407" s="87"/>
      <c r="Z407" s="329"/>
      <c r="AA407" s="118"/>
      <c r="AB407" s="118"/>
    </row>
    <row r="408" spans="1:29" s="60" customFormat="1" x14ac:dyDescent="0.2">
      <c r="A408" s="132">
        <v>42908</v>
      </c>
      <c r="B408" s="409">
        <v>17</v>
      </c>
      <c r="C408" s="58"/>
      <c r="D408" s="59" t="s">
        <v>38</v>
      </c>
      <c r="E408" s="60">
        <v>4</v>
      </c>
      <c r="F408" s="87" t="s">
        <v>201</v>
      </c>
      <c r="G408" s="87">
        <v>1</v>
      </c>
      <c r="H408" s="148">
        <v>500</v>
      </c>
      <c r="I408" s="60">
        <v>2</v>
      </c>
      <c r="J408" s="60">
        <v>54</v>
      </c>
      <c r="K408" s="60">
        <v>2</v>
      </c>
      <c r="L408" s="60">
        <v>82</v>
      </c>
      <c r="M408" s="60">
        <v>1</v>
      </c>
      <c r="N408" s="60">
        <v>84</v>
      </c>
      <c r="P408" s="118">
        <f t="shared" si="34"/>
        <v>833.33333333333337</v>
      </c>
      <c r="Q408" s="118">
        <f t="shared" si="29"/>
        <v>36666.666666666664</v>
      </c>
      <c r="R408" s="104">
        <f t="shared" si="30"/>
        <v>2.2222222222222223E-2</v>
      </c>
      <c r="S408" s="179"/>
      <c r="T408" s="63"/>
      <c r="Y408" s="87"/>
      <c r="Z408" s="329"/>
      <c r="AA408" s="118"/>
      <c r="AB408" s="118"/>
    </row>
    <row r="409" spans="1:29" s="60" customFormat="1" x14ac:dyDescent="0.2">
      <c r="A409" s="132">
        <v>42908</v>
      </c>
      <c r="B409" s="118">
        <v>10</v>
      </c>
      <c r="C409" s="58"/>
      <c r="D409" s="60" t="s">
        <v>104</v>
      </c>
      <c r="E409" s="60">
        <v>5</v>
      </c>
      <c r="F409" s="87">
        <v>224</v>
      </c>
      <c r="G409" s="87">
        <v>1</v>
      </c>
      <c r="H409" s="60">
        <v>320</v>
      </c>
      <c r="I409" s="60">
        <v>0</v>
      </c>
      <c r="J409" s="60">
        <v>1</v>
      </c>
      <c r="K409" s="60">
        <v>0</v>
      </c>
      <c r="L409" s="60">
        <v>0</v>
      </c>
      <c r="M409" s="60">
        <v>4</v>
      </c>
      <c r="N409" s="60">
        <v>1</v>
      </c>
      <c r="P409" s="118">
        <f t="shared" si="34"/>
        <v>426.66666666666663</v>
      </c>
      <c r="Q409" s="118">
        <f t="shared" si="29"/>
        <v>213.33333333333331</v>
      </c>
      <c r="R409" s="104">
        <f t="shared" si="30"/>
        <v>0.66666666666666663</v>
      </c>
      <c r="S409" s="180" t="str">
        <f>D409</f>
        <v>NF-6 Low</v>
      </c>
      <c r="Y409" s="87" t="str">
        <f>D409</f>
        <v>NF-6 Low</v>
      </c>
      <c r="Z409" s="323">
        <f>(SUMIFS($P$313:$P$376, $D$313:$D$376, Y409, $F$313:$F$376, "&lt;200"))+(SUMIFS($Q$313:$Q$376, $D$313:$D$376, Y409, $F$313:$F$376, "&lt;200"))</f>
        <v>64433.333333333336</v>
      </c>
      <c r="AA409" s="118">
        <f>SUM(P409:Q412)</f>
        <v>91783.333333333343</v>
      </c>
      <c r="AB409" s="118">
        <f>SUMIFS(Collection!O:O, Collection!B:B, "*" &amp; 'Bucket Counts'!Y409 &amp; "*", Collection!A:A, "&lt;" &amp; 'Bucket Counts'!A409,Collection!A:A,  "&gt;=" &amp; 'Bucket Counts'!$A$313)</f>
        <v>59640</v>
      </c>
      <c r="AC409" s="104">
        <f>AA409/(Z409+AB409)</f>
        <v>0.73975068507871689</v>
      </c>
    </row>
    <row r="410" spans="1:29" s="60" customFormat="1" x14ac:dyDescent="0.2">
      <c r="A410" s="132">
        <v>42908</v>
      </c>
      <c r="B410" s="118">
        <v>10</v>
      </c>
      <c r="C410" s="58"/>
      <c r="D410" s="60" t="s">
        <v>104</v>
      </c>
      <c r="E410" s="60">
        <v>5</v>
      </c>
      <c r="F410" s="87">
        <v>180</v>
      </c>
      <c r="G410" s="87">
        <v>1</v>
      </c>
      <c r="H410" s="60">
        <v>530</v>
      </c>
      <c r="I410" s="60">
        <v>16</v>
      </c>
      <c r="J410" s="60">
        <v>1</v>
      </c>
      <c r="K410" s="60">
        <v>12</v>
      </c>
      <c r="L410" s="60">
        <v>0</v>
      </c>
      <c r="M410" s="60">
        <v>17</v>
      </c>
      <c r="N410" s="60">
        <v>0</v>
      </c>
      <c r="P410" s="118">
        <f t="shared" si="34"/>
        <v>7950</v>
      </c>
      <c r="Q410" s="118">
        <f t="shared" si="29"/>
        <v>176.66666666666666</v>
      </c>
      <c r="R410" s="104">
        <f t="shared" si="30"/>
        <v>0.97826086956521741</v>
      </c>
      <c r="S410" s="178">
        <f>(SUM(P409:P412)/(SUM(P409:Q412)))</f>
        <v>0.70608316687851802</v>
      </c>
      <c r="Y410" s="87"/>
      <c r="Z410" s="329"/>
      <c r="AA410" s="118"/>
      <c r="AB410" s="118"/>
    </row>
    <row r="411" spans="1:29" s="60" customFormat="1" x14ac:dyDescent="0.2">
      <c r="A411" s="132">
        <v>42908</v>
      </c>
      <c r="B411" s="118">
        <v>10</v>
      </c>
      <c r="C411" s="58"/>
      <c r="D411" s="60" t="s">
        <v>104</v>
      </c>
      <c r="E411" s="60">
        <v>5</v>
      </c>
      <c r="F411" s="87">
        <v>100</v>
      </c>
      <c r="G411" s="87">
        <v>1</v>
      </c>
      <c r="H411" s="60">
        <v>520</v>
      </c>
      <c r="I411" s="60">
        <v>108</v>
      </c>
      <c r="J411" s="60">
        <v>5</v>
      </c>
      <c r="K411" s="60">
        <v>96</v>
      </c>
      <c r="L411" s="60">
        <v>13</v>
      </c>
      <c r="M411" s="60">
        <v>121</v>
      </c>
      <c r="N411" s="60">
        <v>6</v>
      </c>
      <c r="P411" s="118">
        <f t="shared" si="34"/>
        <v>56333.333333333328</v>
      </c>
      <c r="Q411" s="118">
        <f t="shared" si="29"/>
        <v>4160</v>
      </c>
      <c r="R411" s="104">
        <f t="shared" si="30"/>
        <v>0.93123209169054444</v>
      </c>
      <c r="S411" s="179"/>
      <c r="Y411" s="87"/>
      <c r="Z411" s="329"/>
      <c r="AA411" s="118"/>
      <c r="AB411" s="118"/>
    </row>
    <row r="412" spans="1:29" s="60" customFormat="1" x14ac:dyDescent="0.2">
      <c r="A412" s="132">
        <v>42908</v>
      </c>
      <c r="B412" s="118">
        <v>10</v>
      </c>
      <c r="C412" s="58"/>
      <c r="D412" s="60" t="s">
        <v>104</v>
      </c>
      <c r="E412" s="60">
        <v>5</v>
      </c>
      <c r="F412" s="87" t="s">
        <v>201</v>
      </c>
      <c r="G412" s="87">
        <v>1</v>
      </c>
      <c r="H412" s="60">
        <v>290</v>
      </c>
      <c r="I412" s="60">
        <v>1</v>
      </c>
      <c r="J412" s="60">
        <v>84</v>
      </c>
      <c r="K412" s="60">
        <v>0</v>
      </c>
      <c r="L412" s="60">
        <v>75</v>
      </c>
      <c r="M412" s="60">
        <v>0</v>
      </c>
      <c r="N412" s="60">
        <v>73</v>
      </c>
      <c r="P412" s="118">
        <f t="shared" si="34"/>
        <v>96.666666666666657</v>
      </c>
      <c r="Q412" s="118">
        <f t="shared" si="29"/>
        <v>22426.666666666664</v>
      </c>
      <c r="R412" s="104">
        <f t="shared" si="30"/>
        <v>4.2918454935622317E-3</v>
      </c>
      <c r="S412" s="179"/>
      <c r="Y412" s="87"/>
      <c r="Z412" s="329"/>
      <c r="AA412" s="118"/>
      <c r="AB412" s="118"/>
    </row>
    <row r="413" spans="1:29" s="60" customFormat="1" x14ac:dyDescent="0.2">
      <c r="A413" s="132">
        <v>42908</v>
      </c>
      <c r="B413" s="118">
        <v>13</v>
      </c>
      <c r="C413" s="58"/>
      <c r="D413" s="60" t="s">
        <v>77</v>
      </c>
      <c r="E413" s="60">
        <v>5</v>
      </c>
      <c r="F413" s="87">
        <v>224</v>
      </c>
      <c r="G413" s="87">
        <v>1</v>
      </c>
      <c r="H413" s="60">
        <v>300</v>
      </c>
      <c r="I413" s="60">
        <v>1</v>
      </c>
      <c r="J413" s="60">
        <v>6</v>
      </c>
      <c r="K413" s="60">
        <v>3</v>
      </c>
      <c r="L413" s="60">
        <v>1</v>
      </c>
      <c r="M413" s="60">
        <v>0</v>
      </c>
      <c r="N413" s="60">
        <v>7</v>
      </c>
      <c r="P413" s="118">
        <f t="shared" si="34"/>
        <v>400</v>
      </c>
      <c r="Q413" s="118">
        <f t="shared" si="29"/>
        <v>1400</v>
      </c>
      <c r="R413" s="104">
        <f t="shared" si="30"/>
        <v>0.22222222222222221</v>
      </c>
      <c r="S413" s="180" t="str">
        <f>D413</f>
        <v>SN-6 Low</v>
      </c>
      <c r="T413" s="63"/>
      <c r="U413" s="63"/>
      <c r="V413" s="63"/>
      <c r="Y413" s="87" t="str">
        <f>D413</f>
        <v>SN-6 Low</v>
      </c>
      <c r="Z413" s="323">
        <f>(SUMIFS($P$313:$P$376, $D$313:$D$376, Y413, $F$313:$F$376, "&lt;200"))+(SUMIFS($Q$313:$Q$376, $D$313:$D$376, Y413, $F$313:$F$376, "&lt;200"))</f>
        <v>64143.333333333343</v>
      </c>
      <c r="AA413" s="118">
        <f>SUM(P413:Q416)</f>
        <v>71580</v>
      </c>
      <c r="AB413" s="118">
        <f>SUMIFS(Collection!O:O, Collection!B:B, "*" &amp; 'Bucket Counts'!Y413 &amp; "*", Collection!A:A, "&lt;" &amp; 'Bucket Counts'!A413,Collection!A:A,  "&gt;=" &amp; 'Bucket Counts'!$A$313)</f>
        <v>0</v>
      </c>
      <c r="AC413" s="104">
        <f>AA413/(Z413+AB413)</f>
        <v>1.1159382632645636</v>
      </c>
    </row>
    <row r="414" spans="1:29" s="60" customFormat="1" x14ac:dyDescent="0.2">
      <c r="A414" s="132">
        <v>42908</v>
      </c>
      <c r="B414" s="118">
        <v>13</v>
      </c>
      <c r="C414" s="58"/>
      <c r="D414" s="60" t="s">
        <v>77</v>
      </c>
      <c r="E414" s="60">
        <v>5</v>
      </c>
      <c r="F414" s="87">
        <v>180</v>
      </c>
      <c r="G414" s="87">
        <v>1</v>
      </c>
      <c r="H414" s="60">
        <v>300</v>
      </c>
      <c r="I414" s="60">
        <v>8</v>
      </c>
      <c r="J414" s="60">
        <v>80</v>
      </c>
      <c r="K414" s="60">
        <v>6</v>
      </c>
      <c r="L414" s="60">
        <v>79</v>
      </c>
      <c r="M414" s="60">
        <v>8</v>
      </c>
      <c r="N414" s="60">
        <v>53</v>
      </c>
      <c r="P414" s="118">
        <f t="shared" si="34"/>
        <v>2200</v>
      </c>
      <c r="Q414" s="118">
        <f t="shared" si="29"/>
        <v>21200</v>
      </c>
      <c r="R414" s="104">
        <f t="shared" si="30"/>
        <v>9.4017094017094016E-2</v>
      </c>
      <c r="S414" s="178">
        <f>(SUM(P413:P416)/(SUM(P413:Q416)))</f>
        <v>0.33286765390705042</v>
      </c>
      <c r="T414" s="63"/>
      <c r="U414" s="63"/>
      <c r="V414" s="63"/>
      <c r="Y414" s="87"/>
      <c r="Z414" s="329"/>
      <c r="AA414" s="118"/>
      <c r="AB414" s="118"/>
    </row>
    <row r="415" spans="1:29" s="60" customFormat="1" x14ac:dyDescent="0.2">
      <c r="A415" s="132">
        <v>42908</v>
      </c>
      <c r="B415" s="118">
        <v>13</v>
      </c>
      <c r="C415" s="58"/>
      <c r="D415" s="60" t="s">
        <v>77</v>
      </c>
      <c r="E415" s="60">
        <v>5</v>
      </c>
      <c r="F415" s="87">
        <v>100</v>
      </c>
      <c r="G415" s="87">
        <v>1</v>
      </c>
      <c r="H415" s="60">
        <v>300</v>
      </c>
      <c r="I415" s="60">
        <v>72</v>
      </c>
      <c r="J415" s="60">
        <v>39</v>
      </c>
      <c r="K415" s="60">
        <v>62</v>
      </c>
      <c r="L415" s="60">
        <v>53</v>
      </c>
      <c r="M415" s="60">
        <v>74</v>
      </c>
      <c r="N415" s="60">
        <v>39</v>
      </c>
      <c r="P415" s="118">
        <f t="shared" si="34"/>
        <v>20800</v>
      </c>
      <c r="Q415" s="118">
        <f t="shared" si="29"/>
        <v>13100</v>
      </c>
      <c r="R415" s="104">
        <f t="shared" si="30"/>
        <v>0.6135693215339233</v>
      </c>
      <c r="S415" s="179"/>
      <c r="T415" s="63"/>
      <c r="U415" s="63"/>
      <c r="V415" s="63"/>
      <c r="Y415" s="87"/>
      <c r="Z415" s="329"/>
      <c r="AA415" s="118"/>
      <c r="AB415" s="118"/>
    </row>
    <row r="416" spans="1:29" s="60" customFormat="1" x14ac:dyDescent="0.2">
      <c r="A416" s="132">
        <v>42908</v>
      </c>
      <c r="B416" s="118">
        <v>13</v>
      </c>
      <c r="C416" s="58"/>
      <c r="D416" s="60" t="s">
        <v>77</v>
      </c>
      <c r="E416" s="60">
        <v>5</v>
      </c>
      <c r="F416" s="87" t="s">
        <v>201</v>
      </c>
      <c r="G416" s="87">
        <v>1</v>
      </c>
      <c r="H416" s="60">
        <v>320</v>
      </c>
      <c r="I416" s="60">
        <v>2</v>
      </c>
      <c r="J416" s="60">
        <v>42</v>
      </c>
      <c r="K416" s="60">
        <v>0</v>
      </c>
      <c r="L416" s="60">
        <v>34</v>
      </c>
      <c r="M416" s="60">
        <v>2</v>
      </c>
      <c r="N416" s="60">
        <v>37</v>
      </c>
      <c r="P416" s="118">
        <f t="shared" si="34"/>
        <v>426.66666666666663</v>
      </c>
      <c r="Q416" s="118">
        <f t="shared" ref="Q416:Q479" si="35">(AVERAGE(J416,L416,N416)/G416)*H416</f>
        <v>12053.333333333332</v>
      </c>
      <c r="R416" s="104">
        <f t="shared" ref="R416:R479" si="36">P416/(P416+Q416)</f>
        <v>3.4188034188034191E-2</v>
      </c>
      <c r="S416" s="179"/>
      <c r="T416" s="63"/>
      <c r="U416" s="63"/>
      <c r="V416" s="63"/>
      <c r="Y416" s="87"/>
      <c r="Z416" s="329"/>
      <c r="AA416" s="118"/>
      <c r="AB416" s="118"/>
    </row>
    <row r="417" spans="1:29" s="60" customFormat="1" x14ac:dyDescent="0.2">
      <c r="A417" s="132">
        <v>42908</v>
      </c>
      <c r="B417" s="118">
        <v>8</v>
      </c>
      <c r="C417" s="58"/>
      <c r="D417" s="60" t="s">
        <v>85</v>
      </c>
      <c r="E417" s="60">
        <v>6</v>
      </c>
      <c r="F417" s="87">
        <v>224</v>
      </c>
      <c r="G417" s="87">
        <v>1</v>
      </c>
      <c r="H417" s="60">
        <v>540</v>
      </c>
      <c r="I417" s="60">
        <v>9</v>
      </c>
      <c r="J417" s="60">
        <v>3</v>
      </c>
      <c r="K417" s="60">
        <v>5</v>
      </c>
      <c r="L417" s="60">
        <v>1</v>
      </c>
      <c r="M417" s="60">
        <v>5</v>
      </c>
      <c r="N417" s="60">
        <v>2</v>
      </c>
      <c r="P417" s="118">
        <f t="shared" si="34"/>
        <v>3420</v>
      </c>
      <c r="Q417" s="118">
        <f t="shared" si="35"/>
        <v>1080</v>
      </c>
      <c r="R417" s="104">
        <f t="shared" si="36"/>
        <v>0.76</v>
      </c>
      <c r="S417" s="180" t="str">
        <f>D417</f>
        <v>NF-6 Ambient</v>
      </c>
      <c r="T417" s="63"/>
      <c r="U417" s="63"/>
      <c r="V417" s="63"/>
      <c r="Y417" s="87" t="str">
        <f>D417</f>
        <v>NF-6 Ambient</v>
      </c>
      <c r="Z417" s="323">
        <f>(SUMIFS($P$313:$P$376, $D$313:$D$376, Y417, $F$313:$F$376, "&lt;200"))+(SUMIFS($Q$313:$Q$376, $D$313:$D$376, Y417, $F$313:$F$376, "&lt;200"))</f>
        <v>22860</v>
      </c>
      <c r="AA417" s="118">
        <f>SUM(P417:Q420)</f>
        <v>14090</v>
      </c>
      <c r="AB417" s="118">
        <f>SUMIFS(Collection!O:O, Collection!B:B, "*" &amp; 'Bucket Counts'!Y417 &amp; "*", Collection!A:A, "&lt;" &amp; 'Bucket Counts'!A417,Collection!A:A,  "&gt;=" &amp; 'Bucket Counts'!$A$313)</f>
        <v>0</v>
      </c>
      <c r="AC417" s="104">
        <f>AA417/(Z417+AB417)</f>
        <v>0.61636045494313207</v>
      </c>
    </row>
    <row r="418" spans="1:29" s="60" customFormat="1" x14ac:dyDescent="0.2">
      <c r="A418" s="132">
        <v>42908</v>
      </c>
      <c r="B418" s="118">
        <v>8</v>
      </c>
      <c r="C418" s="58"/>
      <c r="D418" s="60" t="s">
        <v>85</v>
      </c>
      <c r="E418" s="60">
        <v>6</v>
      </c>
      <c r="F418" s="87">
        <v>180</v>
      </c>
      <c r="G418" s="87">
        <v>1</v>
      </c>
      <c r="H418" s="60">
        <v>300</v>
      </c>
      <c r="I418" s="60">
        <v>27</v>
      </c>
      <c r="J418" s="60">
        <v>10</v>
      </c>
      <c r="K418" s="60">
        <v>18</v>
      </c>
      <c r="L418" s="60">
        <v>6</v>
      </c>
      <c r="M418" s="60">
        <v>15</v>
      </c>
      <c r="N418" s="60">
        <v>7</v>
      </c>
      <c r="P418" s="118">
        <f>(AVERAGE(I418,K418,M418)/G418)*H418</f>
        <v>6000</v>
      </c>
      <c r="Q418" s="118">
        <f t="shared" si="35"/>
        <v>2300</v>
      </c>
      <c r="R418" s="104">
        <f t="shared" si="36"/>
        <v>0.72289156626506024</v>
      </c>
      <c r="S418" s="178">
        <f>(SUM(P417:P420)/(SUM(P417:Q420)))</f>
        <v>0.68985095812633068</v>
      </c>
      <c r="T418" s="63"/>
      <c r="U418" s="63"/>
      <c r="V418" s="63"/>
      <c r="Y418" s="87"/>
      <c r="Z418" s="329"/>
      <c r="AA418" s="118"/>
      <c r="AB418" s="118"/>
    </row>
    <row r="419" spans="1:29" s="60" customFormat="1" x14ac:dyDescent="0.2">
      <c r="A419" s="132">
        <v>42908</v>
      </c>
      <c r="B419" s="118">
        <v>8</v>
      </c>
      <c r="C419" s="58"/>
      <c r="D419" s="60" t="s">
        <v>85</v>
      </c>
      <c r="E419" s="60">
        <v>6</v>
      </c>
      <c r="F419" s="87">
        <v>100</v>
      </c>
      <c r="G419" s="87">
        <v>1</v>
      </c>
      <c r="H419" s="60">
        <v>300</v>
      </c>
      <c r="I419" s="60">
        <v>1</v>
      </c>
      <c r="J419" s="60">
        <v>0</v>
      </c>
      <c r="K419" s="60">
        <v>1</v>
      </c>
      <c r="L419" s="60">
        <v>0</v>
      </c>
      <c r="M419" s="60">
        <v>1</v>
      </c>
      <c r="N419" s="60">
        <v>0</v>
      </c>
      <c r="P419" s="118">
        <f t="shared" ref="P419:P440" si="37">(AVERAGE(I419,K419,M419)/G419)*H419</f>
        <v>300</v>
      </c>
      <c r="Q419" s="118">
        <f t="shared" si="35"/>
        <v>0</v>
      </c>
      <c r="R419" s="104">
        <f t="shared" si="36"/>
        <v>1</v>
      </c>
      <c r="S419" s="179"/>
      <c r="T419" s="63"/>
      <c r="U419" s="63"/>
      <c r="V419" s="63"/>
      <c r="Y419" s="87"/>
      <c r="Z419" s="329"/>
      <c r="AA419" s="118"/>
      <c r="AB419" s="118"/>
    </row>
    <row r="420" spans="1:29" s="60" customFormat="1" x14ac:dyDescent="0.2">
      <c r="A420" s="132">
        <v>42908</v>
      </c>
      <c r="B420" s="118">
        <v>8</v>
      </c>
      <c r="C420" s="58"/>
      <c r="D420" s="60" t="s">
        <v>85</v>
      </c>
      <c r="E420" s="60">
        <v>6</v>
      </c>
      <c r="F420" s="87" t="s">
        <v>201</v>
      </c>
      <c r="G420" s="87">
        <v>1</v>
      </c>
      <c r="H420" s="60">
        <v>270</v>
      </c>
      <c r="I420" s="60">
        <v>0</v>
      </c>
      <c r="J420" s="60">
        <v>3</v>
      </c>
      <c r="K420" s="60">
        <v>0</v>
      </c>
      <c r="L420" s="60">
        <v>5</v>
      </c>
      <c r="M420" s="60">
        <v>0</v>
      </c>
      <c r="N420" s="60">
        <v>3</v>
      </c>
      <c r="P420" s="118">
        <f t="shared" si="37"/>
        <v>0</v>
      </c>
      <c r="Q420" s="118">
        <f t="shared" si="35"/>
        <v>990</v>
      </c>
      <c r="R420" s="104">
        <f t="shared" si="36"/>
        <v>0</v>
      </c>
      <c r="S420" s="179"/>
      <c r="T420" s="63"/>
      <c r="U420" s="63"/>
      <c r="V420" s="63"/>
      <c r="Y420" s="87"/>
      <c r="Z420" s="329"/>
      <c r="AA420" s="118"/>
      <c r="AB420" s="118"/>
    </row>
    <row r="421" spans="1:29" s="60" customFormat="1" x14ac:dyDescent="0.2">
      <c r="A421" s="132">
        <v>42908</v>
      </c>
      <c r="B421" s="118">
        <v>5</v>
      </c>
      <c r="C421" s="58"/>
      <c r="D421" s="60" t="s">
        <v>86</v>
      </c>
      <c r="E421" s="60">
        <v>6</v>
      </c>
      <c r="F421" s="87">
        <v>224</v>
      </c>
      <c r="G421" s="87">
        <v>1</v>
      </c>
      <c r="H421" s="60">
        <v>500</v>
      </c>
      <c r="I421" s="60">
        <v>1</v>
      </c>
      <c r="J421" s="60">
        <v>26</v>
      </c>
      <c r="K421" s="60">
        <v>1</v>
      </c>
      <c r="L421" s="60">
        <v>24</v>
      </c>
      <c r="M421" s="60">
        <v>4</v>
      </c>
      <c r="N421" s="60">
        <v>41</v>
      </c>
      <c r="P421" s="118">
        <f t="shared" si="37"/>
        <v>1000</v>
      </c>
      <c r="Q421" s="118">
        <f t="shared" si="35"/>
        <v>15166.666666666666</v>
      </c>
      <c r="R421" s="104">
        <f t="shared" si="36"/>
        <v>6.1855670103092786E-2</v>
      </c>
      <c r="S421" s="180" t="str">
        <f>D421</f>
        <v>SN-10 Ambient</v>
      </c>
      <c r="T421" s="63"/>
      <c r="U421" s="63"/>
      <c r="V421" s="63"/>
      <c r="Y421" s="87" t="str">
        <f>D421</f>
        <v>SN-10 Ambient</v>
      </c>
      <c r="Z421" s="323">
        <f>(SUMIFS($P$313:$P$376, $D$313:$D$376, Y421, $F$313:$F$376, "&lt;200"))+(SUMIFS($Q$313:$Q$376, $D$313:$D$376, Y421, $F$313:$F$376, "&lt;200"))</f>
        <v>98259.999999999985</v>
      </c>
      <c r="AA421" s="118">
        <f>SUM(P421:Q424)</f>
        <v>87458.333333333328</v>
      </c>
      <c r="AB421" s="118">
        <f>SUMIFS(Collection!O:O, Collection!B:B, "*" &amp; 'Bucket Counts'!Y421 &amp; "*", Collection!A:A, "&lt;" &amp; 'Bucket Counts'!A421,Collection!A:A,  "&gt;=" &amp; 'Bucket Counts'!$A$313)</f>
        <v>0</v>
      </c>
      <c r="AC421" s="104">
        <f>AA421/(Z421+AB421)</f>
        <v>0.89007056109641092</v>
      </c>
    </row>
    <row r="422" spans="1:29" s="60" customFormat="1" x14ac:dyDescent="0.2">
      <c r="A422" s="132">
        <v>42908</v>
      </c>
      <c r="B422" s="118">
        <v>5</v>
      </c>
      <c r="C422" s="58"/>
      <c r="D422" s="60" t="s">
        <v>86</v>
      </c>
      <c r="E422" s="60">
        <v>6</v>
      </c>
      <c r="F422" s="87">
        <v>180</v>
      </c>
      <c r="G422" s="87">
        <v>1</v>
      </c>
      <c r="H422" s="60">
        <v>500</v>
      </c>
      <c r="I422" s="60">
        <v>4</v>
      </c>
      <c r="J422" s="60">
        <v>60</v>
      </c>
      <c r="K422" s="60">
        <v>4</v>
      </c>
      <c r="L422" s="60">
        <v>54</v>
      </c>
      <c r="M422" s="60">
        <v>4</v>
      </c>
      <c r="N422" s="60">
        <v>48</v>
      </c>
      <c r="P422" s="118">
        <f t="shared" si="37"/>
        <v>2000</v>
      </c>
      <c r="Q422" s="118">
        <f t="shared" si="35"/>
        <v>27000</v>
      </c>
      <c r="R422" s="104">
        <f t="shared" si="36"/>
        <v>6.8965517241379309E-2</v>
      </c>
      <c r="S422" s="178">
        <f>(SUM(P421:P424)/(SUM(P421:Q424)))</f>
        <v>0.30404954740352547</v>
      </c>
      <c r="T422" s="63"/>
      <c r="U422" s="63"/>
      <c r="V422" s="63"/>
      <c r="Y422" s="87"/>
      <c r="Z422" s="329"/>
      <c r="AA422" s="118"/>
      <c r="AB422" s="118"/>
    </row>
    <row r="423" spans="1:29" s="60" customFormat="1" x14ac:dyDescent="0.2">
      <c r="A423" s="132">
        <v>42908</v>
      </c>
      <c r="B423" s="118">
        <v>5</v>
      </c>
      <c r="C423" s="58"/>
      <c r="D423" s="60" t="s">
        <v>86</v>
      </c>
      <c r="E423" s="60">
        <v>6</v>
      </c>
      <c r="F423" s="87">
        <v>100</v>
      </c>
      <c r="G423" s="87">
        <v>1</v>
      </c>
      <c r="H423" s="60">
        <v>475</v>
      </c>
      <c r="I423" s="60">
        <v>51</v>
      </c>
      <c r="J423" s="60">
        <v>32</v>
      </c>
      <c r="K423" s="60">
        <v>56</v>
      </c>
      <c r="L423" s="60">
        <v>31</v>
      </c>
      <c r="M423" s="60">
        <v>42</v>
      </c>
      <c r="N423" s="60">
        <v>33</v>
      </c>
      <c r="P423" s="118">
        <f t="shared" si="37"/>
        <v>23591.666666666664</v>
      </c>
      <c r="Q423" s="118">
        <f t="shared" si="35"/>
        <v>15200</v>
      </c>
      <c r="R423" s="104">
        <f t="shared" si="36"/>
        <v>0.60816326530612241</v>
      </c>
      <c r="S423" s="179"/>
      <c r="T423" s="63"/>
      <c r="U423" s="63"/>
      <c r="V423" s="63"/>
      <c r="Y423" s="87"/>
      <c r="Z423" s="329"/>
      <c r="AA423" s="118"/>
      <c r="AB423" s="118"/>
    </row>
    <row r="424" spans="1:29" s="60" customFormat="1" x14ac:dyDescent="0.2">
      <c r="A424" s="132">
        <v>42908</v>
      </c>
      <c r="B424" s="118">
        <v>5</v>
      </c>
      <c r="C424" s="58"/>
      <c r="D424" s="60" t="s">
        <v>86</v>
      </c>
      <c r="E424" s="60">
        <v>6</v>
      </c>
      <c r="F424" s="87" t="s">
        <v>201</v>
      </c>
      <c r="G424" s="87">
        <v>1</v>
      </c>
      <c r="H424" s="60">
        <v>300</v>
      </c>
      <c r="I424" s="60">
        <v>0</v>
      </c>
      <c r="J424" s="60">
        <v>9</v>
      </c>
      <c r="K424" s="60">
        <v>0</v>
      </c>
      <c r="L424" s="60">
        <v>12</v>
      </c>
      <c r="M424" s="60">
        <v>0</v>
      </c>
      <c r="N424" s="60">
        <v>14</v>
      </c>
      <c r="P424" s="118">
        <f t="shared" si="37"/>
        <v>0</v>
      </c>
      <c r="Q424" s="118">
        <f t="shared" si="35"/>
        <v>3500</v>
      </c>
      <c r="R424" s="104">
        <f t="shared" si="36"/>
        <v>0</v>
      </c>
      <c r="S424" s="179"/>
      <c r="T424" s="63"/>
      <c r="U424" s="63"/>
      <c r="V424" s="63"/>
      <c r="Y424" s="87"/>
      <c r="Z424" s="329"/>
      <c r="AA424" s="118"/>
      <c r="AB424" s="118"/>
    </row>
    <row r="425" spans="1:29" s="60" customFormat="1" x14ac:dyDescent="0.2">
      <c r="A425" s="132">
        <v>42908</v>
      </c>
      <c r="B425" s="118">
        <v>7</v>
      </c>
      <c r="C425" s="58"/>
      <c r="D425" s="60" t="s">
        <v>74</v>
      </c>
      <c r="E425" s="60">
        <v>7</v>
      </c>
      <c r="F425" s="87">
        <v>224</v>
      </c>
      <c r="G425" s="87">
        <v>1</v>
      </c>
      <c r="H425" s="60">
        <v>300</v>
      </c>
      <c r="I425" s="60">
        <v>0</v>
      </c>
      <c r="J425" s="60">
        <v>6</v>
      </c>
      <c r="K425" s="60">
        <v>2</v>
      </c>
      <c r="L425" s="60">
        <v>9</v>
      </c>
      <c r="M425" s="60">
        <v>0</v>
      </c>
      <c r="N425" s="60">
        <v>4</v>
      </c>
      <c r="P425" s="118">
        <f t="shared" si="37"/>
        <v>200</v>
      </c>
      <c r="Q425" s="118">
        <f t="shared" si="35"/>
        <v>1900</v>
      </c>
      <c r="R425" s="104">
        <f t="shared" si="36"/>
        <v>9.5238095238095233E-2</v>
      </c>
      <c r="S425" s="180" t="str">
        <f>D425</f>
        <v>SN-10 Low</v>
      </c>
      <c r="T425" s="63"/>
      <c r="U425" s="63"/>
      <c r="V425" s="63"/>
      <c r="Y425" s="87" t="str">
        <f>D425</f>
        <v>SN-10 Low</v>
      </c>
      <c r="Z425" s="323">
        <f>(SUMIFS($P$313:$P$376, $D$313:$D$376, Y425, $F$313:$F$376, "&lt;200"))+(SUMIFS($Q$313:$Q$376, $D$313:$D$376, Y425, $F$313:$F$376, "&lt;200"))</f>
        <v>74333.333333333328</v>
      </c>
      <c r="AA425" s="118">
        <f>SUM(P425:Q428)</f>
        <v>82160</v>
      </c>
      <c r="AB425" s="118">
        <f>SUMIFS(Collection!O:O, Collection!B:B, "*" &amp; 'Bucket Counts'!Y425 &amp; "*", Collection!A:A, "&lt;" &amp; 'Bucket Counts'!A425,Collection!A:A,  "&gt;=" &amp; 'Bucket Counts'!$A$313)</f>
        <v>0</v>
      </c>
      <c r="AC425" s="104">
        <f>AA425/(Z425+AB425)</f>
        <v>1.1052914798206279</v>
      </c>
    </row>
    <row r="426" spans="1:29" s="60" customFormat="1" x14ac:dyDescent="0.2">
      <c r="A426" s="132">
        <v>42908</v>
      </c>
      <c r="B426" s="118">
        <v>7</v>
      </c>
      <c r="C426" s="58"/>
      <c r="D426" s="60" t="s">
        <v>74</v>
      </c>
      <c r="E426" s="60">
        <v>7</v>
      </c>
      <c r="F426" s="87">
        <v>180</v>
      </c>
      <c r="G426" s="87">
        <v>1</v>
      </c>
      <c r="H426" s="60">
        <v>500</v>
      </c>
      <c r="I426" s="60">
        <v>1</v>
      </c>
      <c r="J426" s="60">
        <v>25</v>
      </c>
      <c r="K426" s="60">
        <v>2</v>
      </c>
      <c r="L426" s="60">
        <v>35</v>
      </c>
      <c r="M426" s="60">
        <v>1</v>
      </c>
      <c r="N426" s="60">
        <v>28</v>
      </c>
      <c r="P426" s="118">
        <f t="shared" si="37"/>
        <v>666.66666666666663</v>
      </c>
      <c r="Q426" s="118">
        <f t="shared" si="35"/>
        <v>14666.666666666666</v>
      </c>
      <c r="R426" s="104">
        <f t="shared" si="36"/>
        <v>4.3478260869565216E-2</v>
      </c>
      <c r="S426" s="178">
        <f>(SUM(P425:P428)/(SUM(P425:Q428)))</f>
        <v>0.64954560207724765</v>
      </c>
      <c r="T426" s="63"/>
      <c r="U426" s="63"/>
      <c r="V426" s="63"/>
      <c r="Y426" s="87"/>
      <c r="Z426" s="329"/>
      <c r="AA426" s="118"/>
      <c r="AB426" s="118"/>
    </row>
    <row r="427" spans="1:29" s="60" customFormat="1" x14ac:dyDescent="0.2">
      <c r="A427" s="132">
        <v>42908</v>
      </c>
      <c r="B427" s="118">
        <v>7</v>
      </c>
      <c r="C427" s="58"/>
      <c r="D427" s="60" t="s">
        <v>74</v>
      </c>
      <c r="E427" s="60">
        <v>7</v>
      </c>
      <c r="F427" s="87">
        <v>100</v>
      </c>
      <c r="G427" s="87">
        <v>1</v>
      </c>
      <c r="H427" s="60">
        <v>490</v>
      </c>
      <c r="I427" s="60">
        <v>112</v>
      </c>
      <c r="J427" s="60">
        <v>1</v>
      </c>
      <c r="K427" s="60">
        <v>108</v>
      </c>
      <c r="L427" s="60">
        <v>10</v>
      </c>
      <c r="M427" s="60">
        <v>100</v>
      </c>
      <c r="N427" s="60">
        <v>6</v>
      </c>
      <c r="P427" s="118">
        <f t="shared" si="37"/>
        <v>52266.666666666672</v>
      </c>
      <c r="Q427" s="118">
        <f t="shared" si="35"/>
        <v>2776.666666666667</v>
      </c>
      <c r="R427" s="104">
        <f t="shared" si="36"/>
        <v>0.94955489614243327</v>
      </c>
      <c r="S427" s="179"/>
      <c r="T427" s="63"/>
      <c r="U427" s="63"/>
      <c r="V427" s="63"/>
      <c r="Y427" s="87"/>
      <c r="Z427" s="329"/>
      <c r="AA427" s="118"/>
      <c r="AB427" s="118"/>
    </row>
    <row r="428" spans="1:29" s="60" customFormat="1" x14ac:dyDescent="0.2">
      <c r="A428" s="132">
        <v>42908</v>
      </c>
      <c r="B428" s="118">
        <v>7</v>
      </c>
      <c r="C428" s="58"/>
      <c r="D428" s="60" t="s">
        <v>74</v>
      </c>
      <c r="E428" s="60">
        <v>7</v>
      </c>
      <c r="F428" s="87" t="s">
        <v>201</v>
      </c>
      <c r="G428" s="87">
        <v>1</v>
      </c>
      <c r="H428" s="60">
        <v>350</v>
      </c>
      <c r="I428" s="60">
        <v>1</v>
      </c>
      <c r="J428" s="60">
        <v>33</v>
      </c>
      <c r="K428" s="60">
        <v>1</v>
      </c>
      <c r="L428" s="60">
        <v>20</v>
      </c>
      <c r="M428" s="60">
        <v>0</v>
      </c>
      <c r="N428" s="60">
        <v>28</v>
      </c>
      <c r="P428" s="118">
        <f t="shared" si="37"/>
        <v>233.33333333333331</v>
      </c>
      <c r="Q428" s="118">
        <f t="shared" si="35"/>
        <v>9450</v>
      </c>
      <c r="R428" s="104">
        <f t="shared" si="36"/>
        <v>2.4096385542168672E-2</v>
      </c>
      <c r="S428" s="179"/>
      <c r="T428" s="63"/>
      <c r="U428" s="63"/>
      <c r="V428" s="63"/>
      <c r="Y428" s="87"/>
      <c r="Z428" s="329"/>
      <c r="AA428" s="118"/>
      <c r="AB428" s="118"/>
    </row>
    <row r="429" spans="1:29" s="60" customFormat="1" x14ac:dyDescent="0.2">
      <c r="A429" s="132">
        <v>42908</v>
      </c>
      <c r="B429" s="118">
        <v>24</v>
      </c>
      <c r="C429" s="58"/>
      <c r="D429" s="60" t="s">
        <v>118</v>
      </c>
      <c r="E429" s="60">
        <v>7</v>
      </c>
      <c r="F429" s="87">
        <v>224</v>
      </c>
      <c r="G429" s="87">
        <v>1</v>
      </c>
      <c r="H429" s="60">
        <v>225</v>
      </c>
      <c r="I429" s="60">
        <v>0</v>
      </c>
      <c r="J429" s="60">
        <v>0</v>
      </c>
      <c r="K429" s="60">
        <v>0</v>
      </c>
      <c r="L429" s="60">
        <v>0</v>
      </c>
      <c r="M429" s="60">
        <v>0</v>
      </c>
      <c r="N429" s="60">
        <v>0</v>
      </c>
      <c r="P429" s="118">
        <f t="shared" si="37"/>
        <v>0</v>
      </c>
      <c r="Q429" s="118">
        <f t="shared" si="35"/>
        <v>0</v>
      </c>
      <c r="R429" s="104" t="e">
        <f t="shared" si="36"/>
        <v>#DIV/0!</v>
      </c>
      <c r="S429" s="180" t="str">
        <f>D429</f>
        <v>HL-6 Ambient</v>
      </c>
      <c r="T429" s="63"/>
      <c r="U429" s="63"/>
      <c r="V429" s="63"/>
      <c r="Y429" s="87" t="str">
        <f>D429</f>
        <v>HL-6 Ambient</v>
      </c>
      <c r="Z429" s="323">
        <f>(SUMIFS($P$313:$P$376, $D$313:$D$376, Y429, $F$313:$F$376, "&lt;200"))+(SUMIFS($Q$313:$Q$376, $D$313:$D$376, Y429, $F$313:$F$376, "&lt;200"))</f>
        <v>37600.000000000007</v>
      </c>
      <c r="AA429" s="118">
        <f>SUM(P429:Q432)</f>
        <v>30825</v>
      </c>
      <c r="AB429" s="118">
        <f>SUMIFS(Collection!O:O, Collection!B:B, "*" &amp; 'Bucket Counts'!Y429 &amp; "*", Collection!A:A, "&lt;" &amp; 'Bucket Counts'!A429,Collection!A:A,  "&gt;=" &amp; 'Bucket Counts'!$A$313)</f>
        <v>0</v>
      </c>
      <c r="AC429" s="104">
        <f>AA429/(Z429+AB429)</f>
        <v>0.81981382978723394</v>
      </c>
    </row>
    <row r="430" spans="1:29" s="60" customFormat="1" x14ac:dyDescent="0.2">
      <c r="A430" s="132">
        <v>42908</v>
      </c>
      <c r="B430" s="118">
        <v>24</v>
      </c>
      <c r="C430" s="58"/>
      <c r="D430" s="60" t="s">
        <v>118</v>
      </c>
      <c r="E430" s="60">
        <v>7</v>
      </c>
      <c r="F430" s="87">
        <v>180</v>
      </c>
      <c r="G430" s="87">
        <v>1</v>
      </c>
      <c r="H430" s="60">
        <v>250</v>
      </c>
      <c r="I430" s="60">
        <v>0</v>
      </c>
      <c r="J430" s="60">
        <v>0</v>
      </c>
      <c r="K430" s="60">
        <v>1</v>
      </c>
      <c r="L430" s="60">
        <v>0</v>
      </c>
      <c r="M430" s="60">
        <v>1</v>
      </c>
      <c r="N430" s="60">
        <v>0</v>
      </c>
      <c r="P430" s="118">
        <f t="shared" si="37"/>
        <v>166.66666666666666</v>
      </c>
      <c r="Q430" s="118">
        <f t="shared" si="35"/>
        <v>0</v>
      </c>
      <c r="R430" s="104">
        <f t="shared" si="36"/>
        <v>1</v>
      </c>
      <c r="S430" s="178">
        <f>(SUM(P429:P432)/(SUM(P429:Q432)))</f>
        <v>0.91419302514193024</v>
      </c>
      <c r="T430" s="63"/>
      <c r="U430" s="63"/>
      <c r="V430" s="63"/>
      <c r="Y430" s="87"/>
      <c r="Z430" s="329"/>
      <c r="AA430" s="118"/>
      <c r="AB430" s="118"/>
    </row>
    <row r="431" spans="1:29" s="60" customFormat="1" x14ac:dyDescent="0.2">
      <c r="A431" s="132">
        <v>42908</v>
      </c>
      <c r="B431" s="118">
        <v>24</v>
      </c>
      <c r="C431" s="58"/>
      <c r="D431" s="60" t="s">
        <v>118</v>
      </c>
      <c r="E431" s="60">
        <v>7</v>
      </c>
      <c r="F431" s="87">
        <v>100</v>
      </c>
      <c r="G431" s="87">
        <v>1</v>
      </c>
      <c r="H431" s="60">
        <v>475</v>
      </c>
      <c r="I431" s="60">
        <v>61</v>
      </c>
      <c r="J431" s="60">
        <v>3</v>
      </c>
      <c r="K431" s="60">
        <v>56</v>
      </c>
      <c r="L431" s="60">
        <v>9</v>
      </c>
      <c r="M431" s="60">
        <v>59</v>
      </c>
      <c r="N431" s="60">
        <v>1</v>
      </c>
      <c r="P431" s="118">
        <f t="shared" si="37"/>
        <v>27866.666666666664</v>
      </c>
      <c r="Q431" s="118">
        <f t="shared" si="35"/>
        <v>2058.333333333333</v>
      </c>
      <c r="R431" s="104">
        <f t="shared" si="36"/>
        <v>0.93121693121693128</v>
      </c>
      <c r="S431" s="179"/>
      <c r="T431" s="63"/>
      <c r="U431" s="63"/>
      <c r="V431" s="63"/>
      <c r="Y431" s="87"/>
      <c r="Z431" s="329"/>
      <c r="AA431" s="118"/>
      <c r="AB431" s="118"/>
    </row>
    <row r="432" spans="1:29" s="60" customFormat="1" x14ac:dyDescent="0.2">
      <c r="A432" s="132">
        <v>42908</v>
      </c>
      <c r="B432" s="118">
        <v>24</v>
      </c>
      <c r="C432" s="58"/>
      <c r="D432" s="60" t="s">
        <v>118</v>
      </c>
      <c r="E432" s="60">
        <v>7</v>
      </c>
      <c r="F432" s="87" t="s">
        <v>201</v>
      </c>
      <c r="G432" s="87">
        <v>1</v>
      </c>
      <c r="H432" s="60">
        <v>220</v>
      </c>
      <c r="I432" s="60">
        <v>1</v>
      </c>
      <c r="J432" s="60">
        <v>3</v>
      </c>
      <c r="K432" s="60">
        <v>1</v>
      </c>
      <c r="L432" s="60">
        <v>0</v>
      </c>
      <c r="M432" s="60">
        <v>0</v>
      </c>
      <c r="N432" s="60">
        <v>5</v>
      </c>
      <c r="P432" s="118">
        <f t="shared" si="37"/>
        <v>146.66666666666666</v>
      </c>
      <c r="Q432" s="118">
        <f t="shared" si="35"/>
        <v>586.66666666666663</v>
      </c>
      <c r="R432" s="104">
        <f t="shared" si="36"/>
        <v>0.2</v>
      </c>
      <c r="S432" s="179"/>
      <c r="T432" s="63"/>
      <c r="U432" s="63"/>
      <c r="V432" s="63"/>
      <c r="Y432" s="87"/>
      <c r="Z432" s="329"/>
      <c r="AA432" s="118"/>
      <c r="AB432" s="118"/>
    </row>
    <row r="433" spans="1:29" s="60" customFormat="1" x14ac:dyDescent="0.2">
      <c r="A433" s="132">
        <v>42908</v>
      </c>
      <c r="B433" s="118">
        <v>23</v>
      </c>
      <c r="C433" s="58"/>
      <c r="D433" s="60" t="s">
        <v>21</v>
      </c>
      <c r="E433" s="60">
        <v>8</v>
      </c>
      <c r="F433" s="87">
        <v>224</v>
      </c>
      <c r="G433" s="87">
        <v>1</v>
      </c>
      <c r="H433" s="60">
        <v>220</v>
      </c>
      <c r="I433" s="60">
        <v>0</v>
      </c>
      <c r="J433" s="60">
        <v>0</v>
      </c>
      <c r="K433" s="60">
        <v>0</v>
      </c>
      <c r="L433" s="60">
        <v>0</v>
      </c>
      <c r="M433" s="60">
        <v>0</v>
      </c>
      <c r="N433" s="60">
        <v>0</v>
      </c>
      <c r="P433" s="118">
        <f t="shared" si="37"/>
        <v>0</v>
      </c>
      <c r="Q433" s="118">
        <f t="shared" si="35"/>
        <v>0</v>
      </c>
      <c r="R433" s="104" t="e">
        <f t="shared" si="36"/>
        <v>#DIV/0!</v>
      </c>
      <c r="S433" s="180" t="str">
        <f>D433</f>
        <v>HL-6 Low</v>
      </c>
      <c r="T433" s="63"/>
      <c r="U433" s="63"/>
      <c r="V433" s="63"/>
      <c r="Y433" s="87" t="str">
        <f>D433</f>
        <v>HL-6 Low</v>
      </c>
      <c r="Z433" s="323">
        <f>(SUMIFS($P$313:$P$376, $D$313:$D$376, Y433, $F$313:$F$376, "&lt;200"))+(SUMIFS($Q$313:$Q$376, $D$313:$D$376, Y433, $F$313:$F$376, "&lt;200"))</f>
        <v>77333.333333333343</v>
      </c>
      <c r="AA433" s="118">
        <f>SUM(P433:Q436)</f>
        <v>104533.33333333333</v>
      </c>
      <c r="AB433" s="118">
        <f>SUMIFS(Collection!O:O, Collection!B:B, "*" &amp; 'Bucket Counts'!Y433 &amp; "*", Collection!A:A, "&lt;" &amp; 'Bucket Counts'!A433,Collection!A:A,  "&gt;=" &amp; 'Bucket Counts'!$A$313)</f>
        <v>50000</v>
      </c>
      <c r="AC433" s="104">
        <f>AA433/(Z433+AB433)</f>
        <v>0.8209424083769632</v>
      </c>
    </row>
    <row r="434" spans="1:29" s="60" customFormat="1" x14ac:dyDescent="0.2">
      <c r="A434" s="132">
        <v>42908</v>
      </c>
      <c r="B434" s="118">
        <v>23</v>
      </c>
      <c r="C434" s="58"/>
      <c r="D434" s="60" t="s">
        <v>21</v>
      </c>
      <c r="E434" s="60">
        <v>8</v>
      </c>
      <c r="F434" s="87">
        <v>180</v>
      </c>
      <c r="G434" s="87">
        <v>1</v>
      </c>
      <c r="H434" s="60">
        <v>300</v>
      </c>
      <c r="I434" s="60">
        <v>3</v>
      </c>
      <c r="J434" s="60">
        <v>0</v>
      </c>
      <c r="K434" s="60">
        <v>1</v>
      </c>
      <c r="L434" s="60">
        <v>0</v>
      </c>
      <c r="M434" s="60">
        <v>5</v>
      </c>
      <c r="N434" s="60">
        <v>0</v>
      </c>
      <c r="P434" s="118">
        <f t="shared" si="37"/>
        <v>900</v>
      </c>
      <c r="Q434" s="118">
        <f t="shared" si="35"/>
        <v>0</v>
      </c>
      <c r="R434" s="104">
        <f t="shared" si="36"/>
        <v>1</v>
      </c>
      <c r="S434" s="178">
        <f>(SUM(P433:P436)/(SUM(P433:Q436)))</f>
        <v>0.84783163265306127</v>
      </c>
      <c r="T434" s="63"/>
      <c r="Y434" s="87"/>
      <c r="Z434" s="329"/>
      <c r="AA434" s="118"/>
      <c r="AB434" s="118"/>
    </row>
    <row r="435" spans="1:29" s="60" customFormat="1" x14ac:dyDescent="0.2">
      <c r="A435" s="132">
        <v>42908</v>
      </c>
      <c r="B435" s="118">
        <v>23</v>
      </c>
      <c r="C435" s="58"/>
      <c r="D435" s="60" t="s">
        <v>21</v>
      </c>
      <c r="E435" s="60">
        <v>8</v>
      </c>
      <c r="F435" s="87">
        <v>100</v>
      </c>
      <c r="G435" s="87">
        <v>1</v>
      </c>
      <c r="H435" s="60">
        <v>520</v>
      </c>
      <c r="I435" s="60">
        <v>176</v>
      </c>
      <c r="J435" s="60">
        <v>5</v>
      </c>
      <c r="K435" s="60">
        <v>168</v>
      </c>
      <c r="L435" s="60">
        <v>1</v>
      </c>
      <c r="M435" s="60">
        <v>161</v>
      </c>
      <c r="N435" s="60">
        <v>1</v>
      </c>
      <c r="P435" s="118">
        <f t="shared" si="37"/>
        <v>87533.333333333343</v>
      </c>
      <c r="Q435" s="118">
        <f t="shared" si="35"/>
        <v>1213.3333333333335</v>
      </c>
      <c r="R435" s="104">
        <f t="shared" si="36"/>
        <v>0.986328125</v>
      </c>
      <c r="S435" s="179"/>
      <c r="T435" s="63"/>
      <c r="Y435" s="87"/>
      <c r="Z435" s="329"/>
      <c r="AA435" s="118"/>
      <c r="AB435" s="118"/>
    </row>
    <row r="436" spans="1:29" s="60" customFormat="1" x14ac:dyDescent="0.2">
      <c r="A436" s="132">
        <v>42908</v>
      </c>
      <c r="B436" s="118">
        <v>23</v>
      </c>
      <c r="C436" s="58"/>
      <c r="D436" s="60" t="s">
        <v>21</v>
      </c>
      <c r="E436" s="60">
        <v>8</v>
      </c>
      <c r="F436" s="87" t="s">
        <v>201</v>
      </c>
      <c r="G436" s="87">
        <v>1</v>
      </c>
      <c r="H436" s="60">
        <v>290</v>
      </c>
      <c r="I436" s="60">
        <v>0</v>
      </c>
      <c r="J436" s="60">
        <v>58</v>
      </c>
      <c r="K436" s="60">
        <v>0</v>
      </c>
      <c r="L436" s="60">
        <v>51</v>
      </c>
      <c r="M436" s="60">
        <v>2</v>
      </c>
      <c r="N436" s="60">
        <v>43</v>
      </c>
      <c r="P436" s="118">
        <f>(AVERAGE(I436,K436,M436)/G436)*H436</f>
        <v>193.33333333333331</v>
      </c>
      <c r="Q436" s="118">
        <f t="shared" si="35"/>
        <v>14693.333333333332</v>
      </c>
      <c r="R436" s="104">
        <f t="shared" si="36"/>
        <v>1.2987012987012986E-2</v>
      </c>
      <c r="S436" s="179"/>
      <c r="T436" s="63"/>
      <c r="Y436" s="87"/>
      <c r="Z436" s="329"/>
      <c r="AA436" s="118"/>
      <c r="AB436" s="118"/>
    </row>
    <row r="437" spans="1:29" s="60" customFormat="1" x14ac:dyDescent="0.2">
      <c r="A437" s="132">
        <v>42908</v>
      </c>
      <c r="B437" s="409">
        <v>12</v>
      </c>
      <c r="C437" s="58"/>
      <c r="D437" s="59" t="s">
        <v>83</v>
      </c>
      <c r="E437" s="60">
        <v>8</v>
      </c>
      <c r="F437" s="87">
        <v>224</v>
      </c>
      <c r="G437" s="87">
        <v>1</v>
      </c>
      <c r="H437" s="60">
        <v>325</v>
      </c>
      <c r="I437" s="60">
        <v>1</v>
      </c>
      <c r="J437" s="60">
        <v>15</v>
      </c>
      <c r="K437" s="60">
        <v>0</v>
      </c>
      <c r="L437" s="60">
        <v>12</v>
      </c>
      <c r="M437" s="60">
        <v>1</v>
      </c>
      <c r="N437" s="60">
        <v>15</v>
      </c>
      <c r="P437" s="118">
        <f>(AVERAGE(I437,K437,M437)/G437)*H437</f>
        <v>216.66666666666666</v>
      </c>
      <c r="Q437" s="118">
        <f t="shared" si="35"/>
        <v>4550</v>
      </c>
      <c r="R437" s="104">
        <f t="shared" si="36"/>
        <v>4.5454545454545449E-2</v>
      </c>
      <c r="S437" s="180" t="str">
        <f>D437</f>
        <v>NF-10 Low</v>
      </c>
      <c r="T437" s="63"/>
      <c r="Y437" s="87" t="str">
        <f>D437</f>
        <v>NF-10 Low</v>
      </c>
      <c r="Z437" s="323">
        <f>(SUMIFS($P$313:$P$376, $D$313:$D$376, Y437, $F$313:$F$376, "&lt;200"))+(SUMIFS($Q$313:$Q$376, $D$313:$D$376, Y437, $F$313:$F$376, "&lt;200"))</f>
        <v>28440</v>
      </c>
      <c r="AA437" s="118">
        <f>SUM(P437:Q440)</f>
        <v>28950.000000000004</v>
      </c>
      <c r="AB437" s="118">
        <f>SUMIFS(Collection!O:O, Collection!B:B, "*" &amp; 'Bucket Counts'!Y437 &amp; "*", Collection!A:A, "&lt;" &amp; 'Bucket Counts'!A437,Collection!A:A,  "&gt;=" &amp; 'Bucket Counts'!$A$313)</f>
        <v>0</v>
      </c>
      <c r="AC437" s="104">
        <f>AA437/(Z437+AB437)</f>
        <v>1.017932489451477</v>
      </c>
    </row>
    <row r="438" spans="1:29" s="60" customFormat="1" x14ac:dyDescent="0.2">
      <c r="A438" s="132">
        <v>42908</v>
      </c>
      <c r="B438" s="409">
        <v>12</v>
      </c>
      <c r="C438" s="58"/>
      <c r="D438" s="59" t="s">
        <v>83</v>
      </c>
      <c r="E438" s="60">
        <v>8</v>
      </c>
      <c r="F438" s="87">
        <v>180</v>
      </c>
      <c r="G438" s="87">
        <v>1</v>
      </c>
      <c r="H438" s="60">
        <v>500</v>
      </c>
      <c r="I438" s="60">
        <v>0</v>
      </c>
      <c r="J438" s="60">
        <v>55</v>
      </c>
      <c r="K438" s="60">
        <v>0</v>
      </c>
      <c r="L438" s="60">
        <v>45</v>
      </c>
      <c r="M438" s="60">
        <v>1</v>
      </c>
      <c r="N438" s="60">
        <v>35</v>
      </c>
      <c r="P438" s="118">
        <f>(AVERAGE(I438,K438,M438)/G438)*H438</f>
        <v>166.66666666666666</v>
      </c>
      <c r="Q438" s="118">
        <f t="shared" si="35"/>
        <v>22500</v>
      </c>
      <c r="R438" s="104">
        <f t="shared" si="36"/>
        <v>7.3529411764705873E-3</v>
      </c>
      <c r="S438" s="178">
        <f>(SUM(P437:P440)/(SUM(P437:Q440)))</f>
        <v>1.3241220495106502E-2</v>
      </c>
      <c r="T438" s="63"/>
      <c r="Y438" s="87"/>
      <c r="Z438" s="329"/>
      <c r="AA438" s="118"/>
      <c r="AB438" s="118"/>
    </row>
    <row r="439" spans="1:29" s="60" customFormat="1" x14ac:dyDescent="0.2">
      <c r="A439" s="132">
        <v>42908</v>
      </c>
      <c r="B439" s="409">
        <v>12</v>
      </c>
      <c r="C439" s="58"/>
      <c r="D439" s="59" t="s">
        <v>83</v>
      </c>
      <c r="E439" s="60">
        <v>8</v>
      </c>
      <c r="F439" s="87">
        <v>100</v>
      </c>
      <c r="G439" s="87">
        <v>1</v>
      </c>
      <c r="H439" s="60">
        <v>300</v>
      </c>
      <c r="I439" s="60">
        <v>0</v>
      </c>
      <c r="J439" s="60">
        <v>2</v>
      </c>
      <c r="K439" s="60">
        <v>0</v>
      </c>
      <c r="L439" s="60">
        <v>1</v>
      </c>
      <c r="M439" s="60">
        <v>0</v>
      </c>
      <c r="N439" s="60">
        <v>3</v>
      </c>
      <c r="P439" s="118">
        <f t="shared" si="37"/>
        <v>0</v>
      </c>
      <c r="Q439" s="118">
        <f t="shared" si="35"/>
        <v>600</v>
      </c>
      <c r="R439" s="104">
        <f t="shared" si="36"/>
        <v>0</v>
      </c>
      <c r="S439" s="179"/>
      <c r="T439" s="63"/>
      <c r="Y439" s="87"/>
      <c r="Z439" s="329"/>
      <c r="AA439" s="118"/>
      <c r="AB439" s="118"/>
    </row>
    <row r="440" spans="1:29" s="67" customFormat="1" ht="17" thickBot="1" x14ac:dyDescent="0.25">
      <c r="A440" s="243">
        <v>42908</v>
      </c>
      <c r="B440" s="409">
        <v>12</v>
      </c>
      <c r="C440" s="65"/>
      <c r="D440" s="59" t="s">
        <v>83</v>
      </c>
      <c r="E440" s="67">
        <v>8</v>
      </c>
      <c r="F440" s="146" t="s">
        <v>201</v>
      </c>
      <c r="G440" s="146">
        <v>1</v>
      </c>
      <c r="H440" s="67">
        <v>250</v>
      </c>
      <c r="I440" s="67">
        <v>0</v>
      </c>
      <c r="J440" s="67">
        <v>4</v>
      </c>
      <c r="K440" s="67">
        <v>0</v>
      </c>
      <c r="L440" s="67">
        <v>0</v>
      </c>
      <c r="M440" s="67">
        <v>0</v>
      </c>
      <c r="N440" s="67">
        <v>7</v>
      </c>
      <c r="P440" s="147">
        <f t="shared" si="37"/>
        <v>0</v>
      </c>
      <c r="Q440" s="147">
        <f t="shared" si="35"/>
        <v>916.66666666666663</v>
      </c>
      <c r="R440" s="162">
        <f t="shared" si="36"/>
        <v>0</v>
      </c>
      <c r="S440" s="193"/>
      <c r="Y440" s="146"/>
      <c r="Z440" s="337"/>
      <c r="AA440" s="147"/>
      <c r="AB440" s="147"/>
    </row>
    <row r="441" spans="1:29" s="144" customFormat="1" x14ac:dyDescent="0.2">
      <c r="A441" s="187">
        <v>42912</v>
      </c>
      <c r="B441" s="415">
        <v>5</v>
      </c>
      <c r="C441" s="188"/>
      <c r="D441" s="145" t="s">
        <v>86</v>
      </c>
      <c r="E441" s="144">
        <v>1</v>
      </c>
      <c r="F441" s="189">
        <v>224</v>
      </c>
      <c r="G441" s="189">
        <v>2</v>
      </c>
      <c r="H441" s="144">
        <v>700</v>
      </c>
      <c r="I441" s="144">
        <v>0</v>
      </c>
      <c r="J441" s="144">
        <v>1</v>
      </c>
      <c r="K441" s="144">
        <v>0</v>
      </c>
      <c r="L441" s="144">
        <v>0</v>
      </c>
      <c r="M441" s="144">
        <v>0</v>
      </c>
      <c r="N441" s="144">
        <v>0</v>
      </c>
      <c r="P441" s="190">
        <f>(AVERAGE(I441,K441,M441)/G441)*H441</f>
        <v>0</v>
      </c>
      <c r="Q441" s="190">
        <f t="shared" si="35"/>
        <v>116.66666666666666</v>
      </c>
      <c r="R441" s="191">
        <f t="shared" si="36"/>
        <v>0</v>
      </c>
      <c r="S441" s="183" t="str">
        <f>D441</f>
        <v>SN-10 Ambient</v>
      </c>
      <c r="T441" s="192"/>
      <c r="U441" s="192"/>
      <c r="V441" s="192"/>
      <c r="Y441" s="85" t="str">
        <f>D441</f>
        <v>SN-10 Ambient</v>
      </c>
      <c r="Z441" s="324">
        <f>SUMIFS($P$377:$P$440, $D$377:$D$440, Y441, $F$377:$F$440, "&lt;200") + SUMIFS($Q$377:$Q$440, $D$377:$D$440, Y441, $F$377:$F$440, "&lt;200")</f>
        <v>67791.666666666657</v>
      </c>
      <c r="AA441" s="122">
        <f>SUM(P441:Q444)</f>
        <v>66416.666666666672</v>
      </c>
      <c r="AB441" s="122">
        <f>SUMIFS(Collection!O:O, Collection!B:B, "*" &amp; 'Bucket Counts'!Y441 &amp; "*", Collection!A:A, "&lt;" &amp; 'Bucket Counts'!A441,Collection!A:A,  "&gt;=" &amp; 'Bucket Counts'!$A$377)</f>
        <v>0</v>
      </c>
      <c r="AC441" s="158">
        <f>AA441/(Z441+AB441)</f>
        <v>0.97971727105101436</v>
      </c>
    </row>
    <row r="442" spans="1:29" s="78" customFormat="1" x14ac:dyDescent="0.2">
      <c r="A442" s="187">
        <v>42912</v>
      </c>
      <c r="B442" s="415">
        <v>5</v>
      </c>
      <c r="C442" s="76"/>
      <c r="D442" s="145" t="s">
        <v>86</v>
      </c>
      <c r="E442" s="144">
        <v>1</v>
      </c>
      <c r="F442" s="85">
        <v>180</v>
      </c>
      <c r="G442" s="85">
        <v>2</v>
      </c>
      <c r="H442" s="78">
        <v>300</v>
      </c>
      <c r="I442" s="78">
        <v>1</v>
      </c>
      <c r="J442" s="78">
        <v>0</v>
      </c>
      <c r="K442" s="78">
        <v>0</v>
      </c>
      <c r="L442" s="78">
        <v>1</v>
      </c>
      <c r="M442" s="85">
        <v>0</v>
      </c>
      <c r="N442" s="78">
        <v>3</v>
      </c>
      <c r="P442" s="122">
        <f t="shared" ref="P442:P451" si="38">(AVERAGE(I442,K442,M442)/G442)*H442</f>
        <v>50</v>
      </c>
      <c r="Q442" s="122">
        <f t="shared" si="35"/>
        <v>200</v>
      </c>
      <c r="R442" s="158">
        <f t="shared" si="36"/>
        <v>0.2</v>
      </c>
      <c r="S442" s="184">
        <f>(SUM(P441:P444)/(SUM(P441:Q444)))</f>
        <v>6.7754077791718943E-3</v>
      </c>
      <c r="T442" s="79"/>
      <c r="U442" s="79"/>
      <c r="V442" s="79"/>
      <c r="Y442" s="85"/>
      <c r="Z442" s="333"/>
      <c r="AA442" s="122"/>
      <c r="AB442" s="122"/>
    </row>
    <row r="443" spans="1:29" s="78" customFormat="1" x14ac:dyDescent="0.2">
      <c r="A443" s="187">
        <v>42912</v>
      </c>
      <c r="B443" s="415">
        <v>5</v>
      </c>
      <c r="C443" s="76"/>
      <c r="D443" s="145" t="s">
        <v>86</v>
      </c>
      <c r="E443" s="144">
        <v>1</v>
      </c>
      <c r="F443" s="85">
        <v>100</v>
      </c>
      <c r="G443" s="85">
        <v>2</v>
      </c>
      <c r="H443" s="78">
        <v>300</v>
      </c>
      <c r="I443" s="78">
        <v>3</v>
      </c>
      <c r="J443" s="78">
        <v>2</v>
      </c>
      <c r="K443" s="78">
        <v>4</v>
      </c>
      <c r="L443" s="78">
        <v>3</v>
      </c>
      <c r="M443" s="78">
        <v>1</v>
      </c>
      <c r="N443" s="78">
        <v>2</v>
      </c>
      <c r="P443" s="122">
        <f t="shared" si="38"/>
        <v>400</v>
      </c>
      <c r="Q443" s="122">
        <f t="shared" si="35"/>
        <v>350</v>
      </c>
      <c r="R443" s="158">
        <f t="shared" si="36"/>
        <v>0.53333333333333333</v>
      </c>
      <c r="S443" s="182"/>
      <c r="T443" s="79"/>
      <c r="U443" s="79"/>
      <c r="V443" s="79"/>
      <c r="Y443" s="85"/>
      <c r="Z443" s="333"/>
      <c r="AA443" s="122"/>
      <c r="AB443" s="122"/>
    </row>
    <row r="444" spans="1:29" s="78" customFormat="1" x14ac:dyDescent="0.2">
      <c r="A444" s="187">
        <v>42912</v>
      </c>
      <c r="B444" s="415">
        <v>5</v>
      </c>
      <c r="C444" s="76"/>
      <c r="D444" s="145" t="s">
        <v>86</v>
      </c>
      <c r="E444" s="144">
        <v>1</v>
      </c>
      <c r="F444" s="85" t="s">
        <v>201</v>
      </c>
      <c r="G444" s="85">
        <v>1</v>
      </c>
      <c r="H444" s="78">
        <v>300</v>
      </c>
      <c r="I444" s="78">
        <v>0</v>
      </c>
      <c r="J444" s="78">
        <v>257</v>
      </c>
      <c r="K444" s="78">
        <v>0</v>
      </c>
      <c r="L444" s="78">
        <v>202</v>
      </c>
      <c r="M444" s="78">
        <v>0</v>
      </c>
      <c r="N444" s="78">
        <v>194</v>
      </c>
      <c r="P444" s="122">
        <f>(AVERAGE(I444,K444,M444)/G444)*H444</f>
        <v>0</v>
      </c>
      <c r="Q444" s="122">
        <f>(AVERAGE(J444,L444,N444)/G444)*H444</f>
        <v>65300</v>
      </c>
      <c r="R444" s="158">
        <f t="shared" si="36"/>
        <v>0</v>
      </c>
      <c r="S444" s="185"/>
      <c r="T444" s="79"/>
      <c r="U444" s="79"/>
      <c r="V444" s="79"/>
      <c r="Y444" s="85"/>
      <c r="Z444" s="333"/>
      <c r="AA444" s="122"/>
      <c r="AB444" s="122"/>
    </row>
    <row r="445" spans="1:29" s="78" customFormat="1" x14ac:dyDescent="0.2">
      <c r="A445" s="187">
        <v>42912</v>
      </c>
      <c r="B445" s="122">
        <v>13</v>
      </c>
      <c r="C445" s="76"/>
      <c r="D445" s="78" t="s">
        <v>77</v>
      </c>
      <c r="E445" s="144">
        <v>1</v>
      </c>
      <c r="F445" s="85">
        <v>224</v>
      </c>
      <c r="G445" s="85">
        <v>2</v>
      </c>
      <c r="H445" s="78">
        <v>300</v>
      </c>
      <c r="I445" s="78">
        <v>0</v>
      </c>
      <c r="J445" s="78">
        <v>0</v>
      </c>
      <c r="K445" s="78">
        <v>1</v>
      </c>
      <c r="L445" s="78">
        <v>0</v>
      </c>
      <c r="M445" s="78">
        <v>2</v>
      </c>
      <c r="N445" s="78">
        <v>0</v>
      </c>
      <c r="P445" s="122">
        <f t="shared" si="38"/>
        <v>150</v>
      </c>
      <c r="Q445" s="122">
        <f t="shared" si="35"/>
        <v>0</v>
      </c>
      <c r="R445" s="158">
        <f t="shared" si="36"/>
        <v>1</v>
      </c>
      <c r="S445" s="186" t="str">
        <f>D445</f>
        <v>SN-6 Low</v>
      </c>
      <c r="T445" s="79"/>
      <c r="U445" s="79"/>
      <c r="V445" s="79"/>
      <c r="W445" s="78" t="s">
        <v>250</v>
      </c>
      <c r="Y445" s="85" t="str">
        <f>D445</f>
        <v>SN-6 Low</v>
      </c>
      <c r="Z445" s="324">
        <f>SUMIFS($P$377:$P$440, $D$377:$D$440, Y445, $F$377:$F$440, "&lt;200") + SUMIFS($Q$377:$Q$440, $D$377:$D$440, Y445, $F$377:$F$440, "&lt;200")</f>
        <v>57300</v>
      </c>
      <c r="AA445" s="122">
        <f>SUM(P445:Q448)</f>
        <v>49210</v>
      </c>
      <c r="AB445" s="122">
        <f>SUMIFS(Collection!O:O, Collection!B:B, "*" &amp; 'Bucket Counts'!Y445 &amp; "*", Collection!A:A, "&lt;" &amp; 'Bucket Counts'!A445,Collection!A:A,  "&gt;=" &amp; 'Bucket Counts'!$A$377)</f>
        <v>0</v>
      </c>
      <c r="AC445" s="158">
        <f>AA445/(Z445+AB445)</f>
        <v>0.8588132635253054</v>
      </c>
    </row>
    <row r="446" spans="1:29" s="78" customFormat="1" x14ac:dyDescent="0.2">
      <c r="A446" s="187">
        <v>42912</v>
      </c>
      <c r="B446" s="122">
        <v>13</v>
      </c>
      <c r="C446" s="76"/>
      <c r="D446" s="78" t="s">
        <v>77</v>
      </c>
      <c r="E446" s="144">
        <v>1</v>
      </c>
      <c r="F446" s="85">
        <v>180</v>
      </c>
      <c r="G446" s="85">
        <v>2</v>
      </c>
      <c r="H446" s="78">
        <v>300</v>
      </c>
      <c r="I446" s="78">
        <v>11</v>
      </c>
      <c r="J446" s="78">
        <v>0</v>
      </c>
      <c r="K446" s="78">
        <v>11</v>
      </c>
      <c r="L446" s="78">
        <v>0</v>
      </c>
      <c r="M446" s="78">
        <v>9</v>
      </c>
      <c r="N446" s="78">
        <v>0</v>
      </c>
      <c r="P446" s="122">
        <f t="shared" si="38"/>
        <v>1550</v>
      </c>
      <c r="Q446" s="122">
        <f t="shared" si="35"/>
        <v>0</v>
      </c>
      <c r="R446" s="158">
        <f t="shared" si="36"/>
        <v>1</v>
      </c>
      <c r="S446" s="184">
        <f>(SUM(P445:P448)/(SUM(P445:Q448)))</f>
        <v>0.1261938630359683</v>
      </c>
      <c r="T446" s="79"/>
      <c r="U446" s="79"/>
      <c r="V446" s="79"/>
      <c r="Y446" s="85"/>
      <c r="Z446" s="333"/>
      <c r="AA446" s="122"/>
      <c r="AB446" s="122"/>
    </row>
    <row r="447" spans="1:29" s="78" customFormat="1" x14ac:dyDescent="0.2">
      <c r="A447" s="187">
        <v>42912</v>
      </c>
      <c r="B447" s="122">
        <v>13</v>
      </c>
      <c r="C447" s="76"/>
      <c r="D447" s="78" t="s">
        <v>77</v>
      </c>
      <c r="E447" s="144">
        <v>1</v>
      </c>
      <c r="F447" s="85">
        <v>100</v>
      </c>
      <c r="G447" s="85">
        <v>2</v>
      </c>
      <c r="H447" s="78">
        <v>330</v>
      </c>
      <c r="I447" s="78">
        <v>40</v>
      </c>
      <c r="J447" s="78">
        <v>0</v>
      </c>
      <c r="K447" s="78">
        <v>19</v>
      </c>
      <c r="L447" s="78">
        <v>0</v>
      </c>
      <c r="M447" s="78">
        <v>23</v>
      </c>
      <c r="N447" s="78">
        <v>0</v>
      </c>
      <c r="P447" s="122">
        <f t="shared" si="38"/>
        <v>4510</v>
      </c>
      <c r="Q447" s="122">
        <f t="shared" si="35"/>
        <v>0</v>
      </c>
      <c r="R447" s="158">
        <f t="shared" si="36"/>
        <v>1</v>
      </c>
      <c r="S447" s="185"/>
      <c r="T447" s="79"/>
      <c r="U447" s="79"/>
      <c r="V447" s="79"/>
      <c r="Y447" s="85"/>
      <c r="Z447" s="333"/>
      <c r="AA447" s="122"/>
      <c r="AB447" s="122"/>
    </row>
    <row r="448" spans="1:29" s="78" customFormat="1" x14ac:dyDescent="0.2">
      <c r="A448" s="187">
        <v>42912</v>
      </c>
      <c r="B448" s="122">
        <v>13</v>
      </c>
      <c r="C448" s="76"/>
      <c r="D448" s="78" t="s">
        <v>77</v>
      </c>
      <c r="E448" s="144">
        <v>1</v>
      </c>
      <c r="F448" s="85" t="s">
        <v>201</v>
      </c>
      <c r="G448" s="85">
        <v>1</v>
      </c>
      <c r="H448" s="78">
        <v>500</v>
      </c>
      <c r="I448" s="78">
        <v>0</v>
      </c>
      <c r="J448" s="78">
        <v>93</v>
      </c>
      <c r="K448" s="78">
        <v>0</v>
      </c>
      <c r="L448" s="78">
        <v>67</v>
      </c>
      <c r="M448" s="78">
        <v>0</v>
      </c>
      <c r="N448" s="78">
        <v>98</v>
      </c>
      <c r="P448" s="122">
        <f t="shared" si="38"/>
        <v>0</v>
      </c>
      <c r="Q448" s="122">
        <f t="shared" si="35"/>
        <v>43000</v>
      </c>
      <c r="R448" s="158">
        <f t="shared" si="36"/>
        <v>0</v>
      </c>
      <c r="S448" s="185"/>
      <c r="T448" s="79"/>
      <c r="U448" s="79"/>
      <c r="V448" s="79"/>
      <c r="Y448" s="85"/>
      <c r="Z448" s="333"/>
      <c r="AA448" s="122"/>
      <c r="AB448" s="122"/>
    </row>
    <row r="449" spans="1:29" s="78" customFormat="1" x14ac:dyDescent="0.2">
      <c r="A449" s="187">
        <v>42912</v>
      </c>
      <c r="B449" s="122">
        <v>8</v>
      </c>
      <c r="C449" s="76"/>
      <c r="D449" s="78" t="s">
        <v>85</v>
      </c>
      <c r="E449" s="78">
        <v>2</v>
      </c>
      <c r="F449" s="85">
        <v>224</v>
      </c>
      <c r="G449" s="85">
        <v>1</v>
      </c>
      <c r="H449" s="78">
        <v>500</v>
      </c>
      <c r="I449" s="78">
        <v>3</v>
      </c>
      <c r="J449" s="78">
        <v>0</v>
      </c>
      <c r="K449" s="78">
        <v>1</v>
      </c>
      <c r="L449" s="78">
        <v>0</v>
      </c>
      <c r="M449" s="78">
        <v>3</v>
      </c>
      <c r="N449" s="78">
        <v>0</v>
      </c>
      <c r="P449" s="122">
        <f t="shared" si="38"/>
        <v>1166.6666666666667</v>
      </c>
      <c r="Q449" s="122">
        <f t="shared" si="35"/>
        <v>0</v>
      </c>
      <c r="R449" s="158">
        <f t="shared" si="36"/>
        <v>1</v>
      </c>
      <c r="S449" s="186" t="str">
        <f>D449</f>
        <v>NF-6 Ambient</v>
      </c>
      <c r="T449" s="79"/>
      <c r="U449" s="79"/>
      <c r="V449" s="79"/>
      <c r="Y449" s="85" t="str">
        <f>D449</f>
        <v>NF-6 Ambient</v>
      </c>
      <c r="Z449" s="324">
        <f>SUMIFS($P$377:$P$440, $D$377:$D$440, Y449, $F$377:$F$440, "&lt;200") + SUMIFS($Q$377:$Q$440, $D$377:$D$440, Y449, $F$377:$F$440, "&lt;200")</f>
        <v>8600</v>
      </c>
      <c r="AA449" s="122">
        <f>SUM(P449:Q452)</f>
        <v>19386.666666666668</v>
      </c>
      <c r="AB449" s="122">
        <f>SUMIFS(Collection!O:O, Collection!B:B, "*" &amp; 'Bucket Counts'!Y449 &amp; "*", Collection!A:A, "&lt;" &amp; 'Bucket Counts'!A449,Collection!A:A,  "&gt;=" &amp; 'Bucket Counts'!$A$377)</f>
        <v>33.333333333333329</v>
      </c>
      <c r="AC449" s="158">
        <f>AA449/(Z449+AB449)</f>
        <v>2.2455598455598453</v>
      </c>
    </row>
    <row r="450" spans="1:29" s="78" customFormat="1" x14ac:dyDescent="0.2">
      <c r="A450" s="187">
        <v>42912</v>
      </c>
      <c r="B450" s="122">
        <v>8</v>
      </c>
      <c r="C450" s="76"/>
      <c r="D450" s="78" t="s">
        <v>85</v>
      </c>
      <c r="E450" s="78">
        <v>2</v>
      </c>
      <c r="F450" s="85">
        <v>180</v>
      </c>
      <c r="G450" s="85">
        <v>1</v>
      </c>
      <c r="H450" s="78">
        <v>490</v>
      </c>
      <c r="I450" s="78">
        <v>7</v>
      </c>
      <c r="J450" s="78">
        <v>0</v>
      </c>
      <c r="K450" s="78">
        <v>7</v>
      </c>
      <c r="L450" s="78">
        <v>3</v>
      </c>
      <c r="M450" s="78">
        <v>5</v>
      </c>
      <c r="N450" s="78">
        <v>2</v>
      </c>
      <c r="P450" s="122">
        <f t="shared" si="38"/>
        <v>3103.333333333333</v>
      </c>
      <c r="Q450" s="122">
        <f t="shared" si="35"/>
        <v>816.66666666666674</v>
      </c>
      <c r="R450" s="158">
        <f t="shared" si="36"/>
        <v>0.79166666666666663</v>
      </c>
      <c r="S450" s="184">
        <f>(SUM(P449:P452)/(SUM(P449:Q452)))</f>
        <v>0.23572902338376889</v>
      </c>
      <c r="T450" s="79"/>
      <c r="U450" s="79"/>
      <c r="V450" s="79"/>
      <c r="Y450" s="85"/>
      <c r="Z450" s="333"/>
      <c r="AA450" s="122"/>
      <c r="AB450" s="122"/>
    </row>
    <row r="451" spans="1:29" s="78" customFormat="1" x14ac:dyDescent="0.2">
      <c r="A451" s="187">
        <v>42912</v>
      </c>
      <c r="B451" s="122">
        <v>8</v>
      </c>
      <c r="C451" s="76"/>
      <c r="D451" s="78" t="s">
        <v>85</v>
      </c>
      <c r="E451" s="78">
        <v>2</v>
      </c>
      <c r="F451" s="85">
        <v>100</v>
      </c>
      <c r="G451" s="85">
        <v>1</v>
      </c>
      <c r="H451" s="78">
        <v>300</v>
      </c>
      <c r="I451" s="78">
        <v>1</v>
      </c>
      <c r="J451" s="78">
        <v>3</v>
      </c>
      <c r="K451" s="78">
        <v>2</v>
      </c>
      <c r="L451" s="78">
        <v>0</v>
      </c>
      <c r="M451" s="78">
        <v>0</v>
      </c>
      <c r="N451" s="78">
        <v>1</v>
      </c>
      <c r="P451" s="122">
        <f t="shared" si="38"/>
        <v>300</v>
      </c>
      <c r="Q451" s="122">
        <f t="shared" si="35"/>
        <v>400</v>
      </c>
      <c r="R451" s="158">
        <f t="shared" si="36"/>
        <v>0.42857142857142855</v>
      </c>
      <c r="S451" s="185"/>
      <c r="T451" s="79"/>
      <c r="U451" s="79"/>
      <c r="V451" s="79"/>
      <c r="Y451" s="85"/>
      <c r="Z451" s="333"/>
      <c r="AA451" s="122"/>
      <c r="AB451" s="122"/>
    </row>
    <row r="452" spans="1:29" s="78" customFormat="1" x14ac:dyDescent="0.2">
      <c r="A452" s="187">
        <v>42912</v>
      </c>
      <c r="B452" s="122">
        <v>8</v>
      </c>
      <c r="C452" s="76"/>
      <c r="D452" s="78" t="s">
        <v>85</v>
      </c>
      <c r="E452" s="78">
        <v>2</v>
      </c>
      <c r="F452" s="85" t="s">
        <v>201</v>
      </c>
      <c r="G452" s="85">
        <v>1</v>
      </c>
      <c r="H452" s="78">
        <v>300</v>
      </c>
      <c r="I452" s="78">
        <v>0</v>
      </c>
      <c r="J452" s="78">
        <v>52</v>
      </c>
      <c r="K452" s="78">
        <v>0</v>
      </c>
      <c r="L452" s="78">
        <v>42</v>
      </c>
      <c r="M452" s="78">
        <v>0</v>
      </c>
      <c r="N452" s="78">
        <v>42</v>
      </c>
      <c r="P452" s="122">
        <f>(AVERAGE(I452,K452,M452)/G452)*H452</f>
        <v>0</v>
      </c>
      <c r="Q452" s="122">
        <f t="shared" si="35"/>
        <v>13600</v>
      </c>
      <c r="R452" s="158">
        <f t="shared" si="36"/>
        <v>0</v>
      </c>
      <c r="S452" s="185"/>
      <c r="T452" s="79"/>
      <c r="U452" s="79"/>
      <c r="V452" s="79"/>
      <c r="Y452" s="85"/>
      <c r="Z452" s="333"/>
      <c r="AA452" s="122"/>
      <c r="AB452" s="122"/>
    </row>
    <row r="453" spans="1:29" s="78" customFormat="1" x14ac:dyDescent="0.2">
      <c r="A453" s="187">
        <v>42912</v>
      </c>
      <c r="B453" s="412">
        <v>10</v>
      </c>
      <c r="C453" s="76"/>
      <c r="D453" s="77" t="s">
        <v>104</v>
      </c>
      <c r="E453" s="78">
        <v>2</v>
      </c>
      <c r="F453" s="85">
        <v>224</v>
      </c>
      <c r="G453" s="85">
        <v>1</v>
      </c>
      <c r="H453" s="231">
        <v>290</v>
      </c>
      <c r="I453" s="78">
        <v>9</v>
      </c>
      <c r="J453" s="78">
        <v>0</v>
      </c>
      <c r="K453" s="78">
        <v>9</v>
      </c>
      <c r="L453" s="78">
        <v>0</v>
      </c>
      <c r="M453" s="78">
        <v>3</v>
      </c>
      <c r="N453" s="78">
        <v>0</v>
      </c>
      <c r="P453" s="122">
        <f>(AVERAGE(I453,K453,M453)/G453)*H453</f>
        <v>2030</v>
      </c>
      <c r="Q453" s="122">
        <f t="shared" si="35"/>
        <v>0</v>
      </c>
      <c r="R453" s="158">
        <f t="shared" si="36"/>
        <v>1</v>
      </c>
      <c r="S453" s="186" t="str">
        <f>D453</f>
        <v>NF-6 Low</v>
      </c>
      <c r="T453" s="79"/>
      <c r="U453" s="79"/>
      <c r="V453" s="79"/>
      <c r="Y453" s="85" t="str">
        <f>D453</f>
        <v>NF-6 Low</v>
      </c>
      <c r="Z453" s="324">
        <f>SUMIFS($P$377:$P$440, $D$377:$D$440, Y453, $F$377:$F$440, "&lt;200") + SUMIFS($Q$377:$Q$440, $D$377:$D$440, Y453, $F$377:$F$440, "&lt;200")</f>
        <v>68620</v>
      </c>
      <c r="AA453" s="122">
        <f>SUM(P453:Q456)</f>
        <v>64473.333333333343</v>
      </c>
      <c r="AB453" s="122">
        <f>SUMIFS(Collection!O:O, Collection!B:B, "*" &amp; 'Bucket Counts'!Y453 &amp; "*", Collection!A:A, "&lt;" &amp; 'Bucket Counts'!A453,Collection!A:A,  "&gt;=" &amp; 'Bucket Counts'!$A$377)</f>
        <v>888.8888888888888</v>
      </c>
      <c r="AC453" s="158">
        <f>AA453/(Z453+AB453)</f>
        <v>0.92755522874772223</v>
      </c>
    </row>
    <row r="454" spans="1:29" s="78" customFormat="1" x14ac:dyDescent="0.2">
      <c r="A454" s="187">
        <v>42912</v>
      </c>
      <c r="B454" s="412">
        <v>10</v>
      </c>
      <c r="C454" s="76"/>
      <c r="D454" s="77" t="s">
        <v>104</v>
      </c>
      <c r="E454" s="78">
        <v>2</v>
      </c>
      <c r="F454" s="85">
        <v>180</v>
      </c>
      <c r="G454" s="85">
        <v>1</v>
      </c>
      <c r="H454" s="231">
        <v>490</v>
      </c>
      <c r="I454" s="78">
        <v>12</v>
      </c>
      <c r="J454" s="78">
        <v>0</v>
      </c>
      <c r="K454" s="78">
        <v>22</v>
      </c>
      <c r="L454" s="78">
        <v>0</v>
      </c>
      <c r="M454" s="78">
        <v>21</v>
      </c>
      <c r="N454" s="78">
        <v>0</v>
      </c>
      <c r="P454" s="122">
        <f t="shared" ref="P454:P464" si="39">(AVERAGE(I454,K454,M454)/G454)*H454</f>
        <v>8983.3333333333321</v>
      </c>
      <c r="Q454" s="122">
        <f t="shared" si="35"/>
        <v>0</v>
      </c>
      <c r="R454" s="158">
        <f t="shared" si="36"/>
        <v>1</v>
      </c>
      <c r="S454" s="184">
        <f>(SUM(P453:P456)/(SUM(P453:Q456)))</f>
        <v>0.75762589184158824</v>
      </c>
      <c r="T454" s="79"/>
      <c r="U454" s="79"/>
      <c r="V454" s="79"/>
      <c r="Y454" s="85"/>
      <c r="Z454" s="333"/>
      <c r="AA454" s="122"/>
      <c r="AB454" s="122"/>
    </row>
    <row r="455" spans="1:29" s="78" customFormat="1" x14ac:dyDescent="0.2">
      <c r="A455" s="187">
        <v>42912</v>
      </c>
      <c r="B455" s="412">
        <v>10</v>
      </c>
      <c r="C455" s="76"/>
      <c r="D455" s="77" t="s">
        <v>104</v>
      </c>
      <c r="E455" s="78">
        <v>2</v>
      </c>
      <c r="F455" s="85">
        <v>100</v>
      </c>
      <c r="G455" s="85">
        <v>1</v>
      </c>
      <c r="H455" s="231">
        <v>500</v>
      </c>
      <c r="I455" s="78">
        <v>76</v>
      </c>
      <c r="J455" s="78">
        <v>1</v>
      </c>
      <c r="K455" s="78">
        <v>83</v>
      </c>
      <c r="L455" s="78">
        <v>0</v>
      </c>
      <c r="M455" s="78">
        <v>68</v>
      </c>
      <c r="N455" s="78">
        <v>1</v>
      </c>
      <c r="P455" s="122">
        <f t="shared" si="39"/>
        <v>37833.333333333336</v>
      </c>
      <c r="Q455" s="122">
        <f t="shared" si="35"/>
        <v>333.33333333333331</v>
      </c>
      <c r="R455" s="158">
        <f t="shared" si="36"/>
        <v>0.99126637554585151</v>
      </c>
      <c r="S455" s="185"/>
      <c r="T455" s="79"/>
      <c r="U455" s="79"/>
      <c r="V455" s="79"/>
      <c r="Y455" s="85"/>
      <c r="Z455" s="333"/>
      <c r="AA455" s="122"/>
      <c r="AB455" s="122"/>
    </row>
    <row r="456" spans="1:29" s="78" customFormat="1" x14ac:dyDescent="0.2">
      <c r="A456" s="187">
        <v>42912</v>
      </c>
      <c r="B456" s="412">
        <v>10</v>
      </c>
      <c r="C456" s="76"/>
      <c r="D456" s="77" t="s">
        <v>104</v>
      </c>
      <c r="E456" s="78">
        <v>2</v>
      </c>
      <c r="F456" s="85" t="s">
        <v>201</v>
      </c>
      <c r="G456" s="85">
        <v>1</v>
      </c>
      <c r="H456" s="231">
        <v>310</v>
      </c>
      <c r="I456" s="78">
        <v>0</v>
      </c>
      <c r="J456" s="78">
        <v>50</v>
      </c>
      <c r="K456" s="78">
        <v>0</v>
      </c>
      <c r="L456" s="78">
        <v>46</v>
      </c>
      <c r="M456" s="78">
        <v>0</v>
      </c>
      <c r="N456" s="78">
        <v>52</v>
      </c>
      <c r="P456" s="122">
        <f t="shared" si="39"/>
        <v>0</v>
      </c>
      <c r="Q456" s="122">
        <f t="shared" si="35"/>
        <v>15293.333333333334</v>
      </c>
      <c r="R456" s="158">
        <f t="shared" si="36"/>
        <v>0</v>
      </c>
      <c r="S456" s="185"/>
      <c r="T456" s="79"/>
      <c r="U456" s="79"/>
      <c r="V456" s="79"/>
      <c r="Y456" s="85"/>
      <c r="Z456" s="333"/>
      <c r="AA456" s="122"/>
      <c r="AB456" s="122"/>
    </row>
    <row r="457" spans="1:29" s="78" customFormat="1" x14ac:dyDescent="0.2">
      <c r="A457" s="187">
        <v>42912</v>
      </c>
      <c r="B457" s="122">
        <v>24</v>
      </c>
      <c r="C457" s="76"/>
      <c r="D457" s="78" t="s">
        <v>118</v>
      </c>
      <c r="E457" s="78">
        <v>3</v>
      </c>
      <c r="F457" s="85">
        <v>224</v>
      </c>
      <c r="G457" s="85">
        <v>2</v>
      </c>
      <c r="H457" s="78">
        <v>290</v>
      </c>
      <c r="I457" s="78">
        <v>0</v>
      </c>
      <c r="J457" s="78">
        <v>0</v>
      </c>
      <c r="K457" s="78">
        <v>0</v>
      </c>
      <c r="L457" s="78">
        <v>0</v>
      </c>
      <c r="M457" s="78">
        <v>0</v>
      </c>
      <c r="N457" s="78">
        <v>0</v>
      </c>
      <c r="P457" s="122">
        <f t="shared" si="39"/>
        <v>0</v>
      </c>
      <c r="Q457" s="122">
        <f t="shared" si="35"/>
        <v>0</v>
      </c>
      <c r="R457" s="158" t="e">
        <f t="shared" si="36"/>
        <v>#DIV/0!</v>
      </c>
      <c r="S457" s="186" t="str">
        <f>D457</f>
        <v>HL-6 Ambient</v>
      </c>
      <c r="T457" s="79"/>
      <c r="U457" s="79"/>
      <c r="V457" s="79"/>
      <c r="W457" s="78" t="s">
        <v>257</v>
      </c>
      <c r="Y457" s="85" t="str">
        <f>D457</f>
        <v>HL-6 Ambient</v>
      </c>
      <c r="Z457" s="324">
        <f>SUMIFS($P$377:$P$440, $D$377:$D$440, Y457, $F$377:$F$440, "&lt;200") + SUMIFS($Q$377:$Q$440, $D$377:$D$440, Y457, $F$377:$F$440, "&lt;200")</f>
        <v>30091.666666666664</v>
      </c>
      <c r="AA457" s="122">
        <f>SUM(P457:Q460)</f>
        <v>31100</v>
      </c>
      <c r="AB457" s="122">
        <f>SUMIFS(Collection!O:O, Collection!B:B, "*" &amp; 'Bucket Counts'!Y457 &amp; "*", Collection!A:A, "&lt;" &amp; 'Bucket Counts'!A457,Collection!A:A,  "&gt;=" &amp; 'Bucket Counts'!$A$377)</f>
        <v>0</v>
      </c>
      <c r="AC457" s="158">
        <f>AA457/(Z457+AB457)</f>
        <v>1.0335087233453337</v>
      </c>
    </row>
    <row r="458" spans="1:29" s="78" customFormat="1" x14ac:dyDescent="0.2">
      <c r="A458" s="187">
        <v>42912</v>
      </c>
      <c r="B458" s="122">
        <v>24</v>
      </c>
      <c r="C458" s="76"/>
      <c r="D458" s="78" t="s">
        <v>118</v>
      </c>
      <c r="E458" s="78">
        <v>3</v>
      </c>
      <c r="F458" s="85">
        <v>180</v>
      </c>
      <c r="G458" s="85">
        <v>1</v>
      </c>
      <c r="H458" s="78">
        <v>500</v>
      </c>
      <c r="I458" s="78">
        <v>5</v>
      </c>
      <c r="J458" s="78">
        <v>0</v>
      </c>
      <c r="K458" s="78">
        <v>5</v>
      </c>
      <c r="L458" s="78">
        <v>0</v>
      </c>
      <c r="M458" s="78">
        <v>8</v>
      </c>
      <c r="N458" s="78">
        <v>0</v>
      </c>
      <c r="P458" s="122">
        <f t="shared" si="39"/>
        <v>3000</v>
      </c>
      <c r="Q458" s="122">
        <f t="shared" si="35"/>
        <v>0</v>
      </c>
      <c r="R458" s="158">
        <f t="shared" si="36"/>
        <v>1</v>
      </c>
      <c r="S458" s="184">
        <f>(SUM(P457:P460)/(SUM(P457:Q460)))</f>
        <v>0.89389067524115751</v>
      </c>
      <c r="T458" s="79"/>
      <c r="U458" s="79"/>
      <c r="V458" s="79"/>
      <c r="Y458" s="85"/>
      <c r="Z458" s="333"/>
      <c r="AA458" s="122"/>
      <c r="AB458" s="122"/>
    </row>
    <row r="459" spans="1:29" s="78" customFormat="1" x14ac:dyDescent="0.2">
      <c r="A459" s="187">
        <v>42912</v>
      </c>
      <c r="B459" s="122">
        <v>24</v>
      </c>
      <c r="C459" s="76"/>
      <c r="D459" s="78" t="s">
        <v>118</v>
      </c>
      <c r="E459" s="78">
        <v>3</v>
      </c>
      <c r="F459" s="85">
        <v>100</v>
      </c>
      <c r="G459" s="85">
        <v>0.5</v>
      </c>
      <c r="H459" s="78">
        <v>400</v>
      </c>
      <c r="I459" s="78">
        <v>32</v>
      </c>
      <c r="J459" s="78">
        <v>0</v>
      </c>
      <c r="K459" s="78">
        <v>31</v>
      </c>
      <c r="L459" s="78">
        <v>0</v>
      </c>
      <c r="M459" s="78">
        <v>30</v>
      </c>
      <c r="N459" s="78">
        <v>1</v>
      </c>
      <c r="P459" s="122">
        <f t="shared" si="39"/>
        <v>24800</v>
      </c>
      <c r="Q459" s="122">
        <f t="shared" si="35"/>
        <v>266.66666666666663</v>
      </c>
      <c r="R459" s="158">
        <f t="shared" si="36"/>
        <v>0.9893617021276595</v>
      </c>
      <c r="S459" s="185"/>
      <c r="T459" s="79"/>
      <c r="U459" s="79"/>
      <c r="V459" s="79"/>
      <c r="Y459" s="85"/>
      <c r="Z459" s="333"/>
      <c r="AA459" s="122"/>
      <c r="AB459" s="122"/>
    </row>
    <row r="460" spans="1:29" s="78" customFormat="1" x14ac:dyDescent="0.2">
      <c r="A460" s="187">
        <v>42912</v>
      </c>
      <c r="B460" s="122">
        <v>24</v>
      </c>
      <c r="C460" s="76"/>
      <c r="D460" s="78" t="s">
        <v>118</v>
      </c>
      <c r="E460" s="78">
        <v>3</v>
      </c>
      <c r="F460" s="85" t="s">
        <v>201</v>
      </c>
      <c r="G460" s="85">
        <v>1</v>
      </c>
      <c r="H460" s="78">
        <v>325</v>
      </c>
      <c r="I460" s="78">
        <v>0</v>
      </c>
      <c r="J460" s="78">
        <v>12</v>
      </c>
      <c r="K460" s="78">
        <v>0</v>
      </c>
      <c r="L460" s="78">
        <v>9</v>
      </c>
      <c r="M460" s="78">
        <v>0</v>
      </c>
      <c r="N460" s="78">
        <v>7</v>
      </c>
      <c r="P460" s="122">
        <f t="shared" si="39"/>
        <v>0</v>
      </c>
      <c r="Q460" s="122">
        <f t="shared" si="35"/>
        <v>3033.3333333333335</v>
      </c>
      <c r="R460" s="158">
        <f t="shared" si="36"/>
        <v>0</v>
      </c>
      <c r="S460" s="185"/>
      <c r="T460" s="79"/>
      <c r="U460" s="79"/>
      <c r="V460" s="79"/>
      <c r="Y460" s="85"/>
      <c r="Z460" s="333"/>
      <c r="AA460" s="122"/>
      <c r="AB460" s="122"/>
    </row>
    <row r="461" spans="1:29" s="78" customFormat="1" x14ac:dyDescent="0.2">
      <c r="A461" s="187">
        <v>42912</v>
      </c>
      <c r="B461" s="122">
        <v>12</v>
      </c>
      <c r="C461" s="76"/>
      <c r="D461" s="78" t="s">
        <v>83</v>
      </c>
      <c r="E461" s="78">
        <v>3</v>
      </c>
      <c r="F461" s="85">
        <v>224</v>
      </c>
      <c r="G461" s="85">
        <v>2</v>
      </c>
      <c r="H461" s="78">
        <v>300</v>
      </c>
      <c r="I461" s="78">
        <v>0</v>
      </c>
      <c r="J461" s="78">
        <v>0</v>
      </c>
      <c r="K461" s="78">
        <v>0</v>
      </c>
      <c r="L461" s="78">
        <v>0</v>
      </c>
      <c r="M461" s="78">
        <v>0</v>
      </c>
      <c r="N461" s="78">
        <v>0</v>
      </c>
      <c r="P461" s="122">
        <f t="shared" si="39"/>
        <v>0</v>
      </c>
      <c r="Q461" s="122">
        <f t="shared" si="35"/>
        <v>0</v>
      </c>
      <c r="R461" s="158" t="e">
        <f t="shared" si="36"/>
        <v>#DIV/0!</v>
      </c>
      <c r="S461" s="186" t="str">
        <f>D461</f>
        <v>NF-10 Low</v>
      </c>
      <c r="T461" s="79"/>
      <c r="U461" s="79"/>
      <c r="V461" s="79"/>
      <c r="W461" s="78" t="s">
        <v>257</v>
      </c>
      <c r="Y461" s="85" t="str">
        <f>D461</f>
        <v>NF-10 Low</v>
      </c>
      <c r="Z461" s="324">
        <f>SUMIFS($P$377:$P$440, $D$377:$D$440, Y461, $F$377:$F$440, "&lt;200") + SUMIFS($Q$377:$Q$440, $D$377:$D$440, Y461, $F$377:$F$440, "&lt;200")</f>
        <v>23266.666666666668</v>
      </c>
      <c r="AA461" s="122">
        <f>SUM(P461:Q464)</f>
        <v>22846.666666666668</v>
      </c>
      <c r="AB461" s="122">
        <f>SUMIFS(Collection!O:O, Collection!B:B, "*" &amp; 'Bucket Counts'!Y461 &amp; "*", Collection!A:A, "&lt;" &amp; 'Bucket Counts'!A461,Collection!A:A,  "&gt;=" &amp; 'Bucket Counts'!$A$377)</f>
        <v>0</v>
      </c>
      <c r="AC461" s="158">
        <f>AA461/(Z461+AB461)</f>
        <v>0.98194842406876792</v>
      </c>
    </row>
    <row r="462" spans="1:29" s="78" customFormat="1" x14ac:dyDescent="0.2">
      <c r="A462" s="187">
        <v>42912</v>
      </c>
      <c r="B462" s="122">
        <v>12</v>
      </c>
      <c r="C462" s="76"/>
      <c r="D462" s="78" t="s">
        <v>83</v>
      </c>
      <c r="E462" s="78">
        <v>3</v>
      </c>
      <c r="F462" s="85">
        <v>180</v>
      </c>
      <c r="G462" s="85">
        <v>2</v>
      </c>
      <c r="H462" s="78">
        <v>250</v>
      </c>
      <c r="I462" s="78">
        <v>1</v>
      </c>
      <c r="J462" s="78">
        <v>0</v>
      </c>
      <c r="K462" s="78">
        <v>1</v>
      </c>
      <c r="L462" s="78">
        <v>0</v>
      </c>
      <c r="M462" s="78">
        <v>2</v>
      </c>
      <c r="N462" s="78">
        <v>0</v>
      </c>
      <c r="P462" s="122">
        <f t="shared" si="39"/>
        <v>166.66666666666666</v>
      </c>
      <c r="Q462" s="122">
        <f t="shared" si="35"/>
        <v>0</v>
      </c>
      <c r="R462" s="158">
        <f t="shared" si="36"/>
        <v>1</v>
      </c>
      <c r="S462" s="184">
        <f>(SUM(P461:P464)/(SUM(P461:Q464)))</f>
        <v>1.0796615115261161E-2</v>
      </c>
      <c r="T462" s="79"/>
      <c r="Y462" s="85"/>
      <c r="Z462" s="333"/>
      <c r="AA462" s="122"/>
      <c r="AB462" s="122"/>
    </row>
    <row r="463" spans="1:29" s="78" customFormat="1" x14ac:dyDescent="0.2">
      <c r="A463" s="187">
        <v>42912</v>
      </c>
      <c r="B463" s="122">
        <v>12</v>
      </c>
      <c r="C463" s="76"/>
      <c r="D463" s="78" t="s">
        <v>83</v>
      </c>
      <c r="E463" s="78">
        <v>3</v>
      </c>
      <c r="F463" s="85">
        <v>100</v>
      </c>
      <c r="G463" s="85">
        <v>2</v>
      </c>
      <c r="H463" s="78">
        <v>240</v>
      </c>
      <c r="I463" s="78">
        <v>0</v>
      </c>
      <c r="J463" s="78">
        <v>0</v>
      </c>
      <c r="K463" s="78">
        <v>1</v>
      </c>
      <c r="L463" s="78">
        <v>0</v>
      </c>
      <c r="M463" s="78">
        <v>1</v>
      </c>
      <c r="N463" s="78">
        <v>0</v>
      </c>
      <c r="P463" s="122">
        <f t="shared" si="39"/>
        <v>80</v>
      </c>
      <c r="Q463" s="122">
        <f t="shared" si="35"/>
        <v>0</v>
      </c>
      <c r="R463" s="158">
        <f t="shared" si="36"/>
        <v>1</v>
      </c>
      <c r="S463" s="185"/>
      <c r="T463" s="79"/>
      <c r="Y463" s="85"/>
      <c r="Z463" s="333"/>
      <c r="AA463" s="122"/>
      <c r="AB463" s="122"/>
    </row>
    <row r="464" spans="1:29" s="78" customFormat="1" x14ac:dyDescent="0.2">
      <c r="A464" s="187">
        <v>42912</v>
      </c>
      <c r="B464" s="122">
        <v>12</v>
      </c>
      <c r="C464" s="76"/>
      <c r="D464" s="78" t="s">
        <v>83</v>
      </c>
      <c r="E464" s="78">
        <v>3</v>
      </c>
      <c r="F464" s="85" t="s">
        <v>201</v>
      </c>
      <c r="G464" s="85">
        <v>1</v>
      </c>
      <c r="H464" s="78">
        <v>300</v>
      </c>
      <c r="I464" s="78">
        <v>0</v>
      </c>
      <c r="J464" s="78">
        <v>91</v>
      </c>
      <c r="K464" s="78">
        <v>0</v>
      </c>
      <c r="L464" s="78">
        <v>70</v>
      </c>
      <c r="M464" s="78">
        <v>0</v>
      </c>
      <c r="N464" s="78">
        <v>65</v>
      </c>
      <c r="P464" s="122">
        <f t="shared" si="39"/>
        <v>0</v>
      </c>
      <c r="Q464" s="122">
        <f t="shared" si="35"/>
        <v>22600</v>
      </c>
      <c r="R464" s="158">
        <f t="shared" si="36"/>
        <v>0</v>
      </c>
      <c r="S464" s="185"/>
      <c r="T464" s="79"/>
      <c r="Y464" s="85"/>
      <c r="Z464" s="333"/>
      <c r="AA464" s="122"/>
      <c r="AB464" s="122"/>
    </row>
    <row r="465" spans="1:29" s="78" customFormat="1" x14ac:dyDescent="0.2">
      <c r="A465" s="187">
        <v>42912</v>
      </c>
      <c r="B465" s="412">
        <v>23</v>
      </c>
      <c r="C465" s="76"/>
      <c r="D465" s="77" t="s">
        <v>21</v>
      </c>
      <c r="E465" s="78">
        <v>4</v>
      </c>
      <c r="F465" s="85">
        <v>224</v>
      </c>
      <c r="G465" s="85">
        <v>2</v>
      </c>
      <c r="H465" s="78">
        <v>240</v>
      </c>
      <c r="I465" s="78">
        <v>0</v>
      </c>
      <c r="J465" s="78">
        <v>0</v>
      </c>
      <c r="K465" s="78">
        <v>0</v>
      </c>
      <c r="L465" s="78">
        <v>0</v>
      </c>
      <c r="M465" s="78">
        <v>0</v>
      </c>
      <c r="N465" s="78">
        <v>0</v>
      </c>
      <c r="P465" s="122">
        <f t="shared" ref="P465:P476" si="40">(AVERAGE(I466,K466,M466)/G465)*H465</f>
        <v>680</v>
      </c>
      <c r="Q465" s="122">
        <f t="shared" ref="Q465:Q476" si="41">(AVERAGE(J466,L466,N466)/G465)*H465</f>
        <v>0</v>
      </c>
      <c r="R465" s="158">
        <f t="shared" si="36"/>
        <v>1</v>
      </c>
      <c r="S465" s="183" t="str">
        <f>D465</f>
        <v>HL-6 Low</v>
      </c>
      <c r="T465" s="79"/>
      <c r="W465" s="78" t="s">
        <v>257</v>
      </c>
      <c r="Y465" s="85" t="str">
        <f>D465</f>
        <v>HL-6 Low</v>
      </c>
      <c r="Z465" s="324">
        <f>SUMIFS($P$377:$P$440, $D$377:$D$440, Y465, $F$377:$F$440, "&lt;200") + SUMIFS($Q$377:$Q$440, $D$377:$D$440, Y465, $F$377:$F$440, "&lt;200")</f>
        <v>89646.666666666672</v>
      </c>
      <c r="AA465" s="122">
        <f>SUM(P465:Q468)</f>
        <v>47058.333333333336</v>
      </c>
      <c r="AB465" s="122">
        <f>SUMIFS(Collection!O:O, Collection!B:B, "*" &amp; 'Bucket Counts'!Y465 &amp; "*", Collection!A:A, "&lt;" &amp; 'Bucket Counts'!A465,Collection!A:A,  "&gt;=" &amp; 'Bucket Counts'!$A$377)</f>
        <v>995.55555555555554</v>
      </c>
      <c r="AC465" s="158">
        <f>AA465/(Z465+AB465)</f>
        <v>0.51916570644046189</v>
      </c>
    </row>
    <row r="466" spans="1:29" s="78" customFormat="1" x14ac:dyDescent="0.2">
      <c r="A466" s="187">
        <v>42912</v>
      </c>
      <c r="B466" s="412">
        <v>23</v>
      </c>
      <c r="C466" s="76"/>
      <c r="D466" s="77" t="s">
        <v>21</v>
      </c>
      <c r="E466" s="78">
        <v>4</v>
      </c>
      <c r="F466" s="85">
        <v>180</v>
      </c>
      <c r="G466" s="85">
        <v>1</v>
      </c>
      <c r="H466" s="78">
        <v>480</v>
      </c>
      <c r="I466" s="78">
        <v>7</v>
      </c>
      <c r="J466" s="78">
        <v>0</v>
      </c>
      <c r="K466" s="78">
        <v>5</v>
      </c>
      <c r="L466" s="78">
        <v>0</v>
      </c>
      <c r="M466" s="78">
        <v>5</v>
      </c>
      <c r="N466" s="78">
        <v>0</v>
      </c>
      <c r="P466" s="122">
        <f t="shared" si="40"/>
        <v>23040</v>
      </c>
      <c r="Q466" s="122">
        <f t="shared" si="41"/>
        <v>0</v>
      </c>
      <c r="R466" s="158">
        <f t="shared" si="36"/>
        <v>1</v>
      </c>
      <c r="S466" s="184">
        <f>(SUM(P465:P468)/(SUM(P465:Q468)))</f>
        <v>0.58009562599610409</v>
      </c>
      <c r="T466" s="79"/>
      <c r="Y466" s="85"/>
      <c r="Z466" s="333"/>
      <c r="AA466" s="122"/>
      <c r="AB466" s="122"/>
    </row>
    <row r="467" spans="1:29" s="78" customFormat="1" x14ac:dyDescent="0.2">
      <c r="A467" s="187">
        <v>42912</v>
      </c>
      <c r="B467" s="412">
        <v>23</v>
      </c>
      <c r="C467" s="76"/>
      <c r="D467" s="77" t="s">
        <v>21</v>
      </c>
      <c r="E467" s="78">
        <v>4</v>
      </c>
      <c r="F467" s="85">
        <v>100</v>
      </c>
      <c r="G467" s="85">
        <v>0.5</v>
      </c>
      <c r="H467" s="224">
        <v>520</v>
      </c>
      <c r="I467" s="78">
        <v>51</v>
      </c>
      <c r="J467" s="78">
        <v>0</v>
      </c>
      <c r="K467" s="78">
        <v>46</v>
      </c>
      <c r="L467" s="78">
        <v>0</v>
      </c>
      <c r="M467" s="78">
        <v>47</v>
      </c>
      <c r="N467" s="78">
        <v>0</v>
      </c>
      <c r="P467" s="122">
        <f t="shared" si="40"/>
        <v>3120</v>
      </c>
      <c r="Q467" s="122">
        <f t="shared" si="41"/>
        <v>19760</v>
      </c>
      <c r="R467" s="158">
        <f t="shared" si="36"/>
        <v>0.13636363636363635</v>
      </c>
      <c r="S467" s="182"/>
      <c r="T467" s="79"/>
      <c r="Y467" s="85"/>
      <c r="Z467" s="333"/>
      <c r="AA467" s="122"/>
      <c r="AB467" s="122"/>
    </row>
    <row r="468" spans="1:29" s="78" customFormat="1" x14ac:dyDescent="0.2">
      <c r="A468" s="187">
        <v>42912</v>
      </c>
      <c r="B468" s="412">
        <v>23</v>
      </c>
      <c r="C468" s="76"/>
      <c r="D468" s="77" t="s">
        <v>21</v>
      </c>
      <c r="E468" s="78">
        <v>4</v>
      </c>
      <c r="F468" s="85" t="s">
        <v>201</v>
      </c>
      <c r="G468" s="85">
        <v>1</v>
      </c>
      <c r="H468" s="224">
        <v>275</v>
      </c>
      <c r="I468" s="78">
        <v>2</v>
      </c>
      <c r="J468" s="78">
        <v>21</v>
      </c>
      <c r="K468" s="78">
        <v>3</v>
      </c>
      <c r="L468" s="78">
        <v>14</v>
      </c>
      <c r="M468" s="78">
        <v>4</v>
      </c>
      <c r="N468" s="78">
        <v>22</v>
      </c>
      <c r="P468" s="122">
        <f t="shared" si="40"/>
        <v>458.33333333333337</v>
      </c>
      <c r="Q468" s="122">
        <f t="shared" si="41"/>
        <v>0</v>
      </c>
      <c r="R468" s="158">
        <f t="shared" si="36"/>
        <v>1</v>
      </c>
      <c r="S468" s="185"/>
      <c r="T468" s="79"/>
      <c r="Y468" s="85"/>
      <c r="Z468" s="333"/>
      <c r="AA468" s="122"/>
      <c r="AB468" s="122"/>
    </row>
    <row r="469" spans="1:29" s="78" customFormat="1" x14ac:dyDescent="0.2">
      <c r="A469" s="187">
        <v>42912</v>
      </c>
      <c r="B469" s="412">
        <v>7</v>
      </c>
      <c r="C469" s="76"/>
      <c r="D469" s="77" t="s">
        <v>74</v>
      </c>
      <c r="E469" s="78">
        <v>4</v>
      </c>
      <c r="F469" s="85">
        <v>224</v>
      </c>
      <c r="G469" s="85">
        <v>2</v>
      </c>
      <c r="H469" s="78">
        <v>290</v>
      </c>
      <c r="I469" s="78">
        <v>2</v>
      </c>
      <c r="J469" s="78">
        <v>0</v>
      </c>
      <c r="K469" s="78">
        <v>3</v>
      </c>
      <c r="L469" s="78">
        <v>0</v>
      </c>
      <c r="M469" s="78">
        <v>0</v>
      </c>
      <c r="N469" s="78">
        <v>0</v>
      </c>
      <c r="P469" s="122">
        <f t="shared" si="40"/>
        <v>4060</v>
      </c>
      <c r="Q469" s="122">
        <f t="shared" si="41"/>
        <v>48.333333333333329</v>
      </c>
      <c r="R469" s="158">
        <f t="shared" si="36"/>
        <v>0.9882352941176471</v>
      </c>
      <c r="S469" s="186" t="str">
        <f>D469</f>
        <v>SN-10 Low</v>
      </c>
      <c r="T469" s="79"/>
      <c r="Y469" s="85" t="str">
        <f>D469</f>
        <v>SN-10 Low</v>
      </c>
      <c r="Z469" s="324">
        <f>SUMIFS($P$377:$P$440, $D$377:$D$440, Y469, $F$377:$F$440, "&lt;200") + SUMIFS($Q$377:$Q$440, $D$377:$D$440, Y469, $F$377:$F$440, "&lt;200")</f>
        <v>70376.666666666672</v>
      </c>
      <c r="AA469" s="122">
        <f>SUM(P469:Q472)</f>
        <v>134281.66666666666</v>
      </c>
      <c r="AB469" s="122">
        <f>SUMIFS(Collection!O:O, Collection!B:B, "*" &amp; 'Bucket Counts'!Y469 &amp; "*", Collection!A:A, "&lt;" &amp; 'Bucket Counts'!A469,Collection!A:A,  "&gt;=" &amp; 'Bucket Counts'!$A$377)</f>
        <v>78433.333333333328</v>
      </c>
      <c r="AC469" s="158">
        <f>AA469/(Z469+AB469)</f>
        <v>0.90236991241628017</v>
      </c>
    </row>
    <row r="470" spans="1:29" s="78" customFormat="1" x14ac:dyDescent="0.2">
      <c r="A470" s="187">
        <v>42912</v>
      </c>
      <c r="B470" s="412">
        <v>7</v>
      </c>
      <c r="C470" s="76"/>
      <c r="D470" s="77" t="s">
        <v>74</v>
      </c>
      <c r="E470" s="78">
        <v>4</v>
      </c>
      <c r="F470" s="85">
        <v>180</v>
      </c>
      <c r="G470" s="85">
        <v>1</v>
      </c>
      <c r="H470" s="78">
        <v>300</v>
      </c>
      <c r="I470" s="78">
        <v>24</v>
      </c>
      <c r="J470" s="78">
        <v>0</v>
      </c>
      <c r="K470" s="78">
        <v>28</v>
      </c>
      <c r="L470" s="78">
        <v>1</v>
      </c>
      <c r="M470" s="78">
        <v>32</v>
      </c>
      <c r="N470" s="78">
        <v>0</v>
      </c>
      <c r="P470" s="122">
        <f t="shared" si="40"/>
        <v>23200</v>
      </c>
      <c r="Q470" s="122">
        <f t="shared" si="41"/>
        <v>800</v>
      </c>
      <c r="R470" s="158">
        <f t="shared" si="36"/>
        <v>0.96666666666666667</v>
      </c>
      <c r="S470" s="184">
        <f>(SUM(P469:P472)/(SUM(P469:Q472)))</f>
        <v>0.25920639451898375</v>
      </c>
      <c r="T470" s="79"/>
      <c r="Y470" s="85"/>
      <c r="Z470" s="333"/>
      <c r="AA470" s="122"/>
      <c r="AB470" s="122"/>
    </row>
    <row r="471" spans="1:29" s="78" customFormat="1" x14ac:dyDescent="0.2">
      <c r="A471" s="187">
        <v>42912</v>
      </c>
      <c r="B471" s="412">
        <v>7</v>
      </c>
      <c r="C471" s="76"/>
      <c r="D471" s="77" t="s">
        <v>74</v>
      </c>
      <c r="E471" s="78">
        <v>4</v>
      </c>
      <c r="F471" s="85">
        <v>100</v>
      </c>
      <c r="G471" s="85">
        <v>1</v>
      </c>
      <c r="H471" s="224">
        <v>520</v>
      </c>
      <c r="I471" s="78">
        <v>84</v>
      </c>
      <c r="J471" s="78">
        <v>1</v>
      </c>
      <c r="K471" s="78">
        <v>84</v>
      </c>
      <c r="L471" s="78">
        <v>4</v>
      </c>
      <c r="M471" s="78">
        <v>64</v>
      </c>
      <c r="N471" s="78">
        <v>3</v>
      </c>
      <c r="P471" s="122">
        <f t="shared" si="40"/>
        <v>5546.6666666666661</v>
      </c>
      <c r="Q471" s="122">
        <f t="shared" si="41"/>
        <v>98626.666666666657</v>
      </c>
      <c r="R471" s="158">
        <f t="shared" si="36"/>
        <v>5.3244592346089845E-2</v>
      </c>
      <c r="S471" s="185"/>
      <c r="T471" s="79"/>
      <c r="Y471" s="85"/>
      <c r="Z471" s="333"/>
      <c r="AA471" s="122"/>
      <c r="AB471" s="122"/>
    </row>
    <row r="472" spans="1:29" s="78" customFormat="1" x14ac:dyDescent="0.2">
      <c r="A472" s="187">
        <v>42912</v>
      </c>
      <c r="B472" s="412">
        <v>7</v>
      </c>
      <c r="C472" s="76"/>
      <c r="D472" s="77" t="s">
        <v>74</v>
      </c>
      <c r="E472" s="78">
        <v>4</v>
      </c>
      <c r="F472" s="85" t="s">
        <v>201</v>
      </c>
      <c r="G472" s="85">
        <v>1</v>
      </c>
      <c r="H472" s="224">
        <v>400</v>
      </c>
      <c r="I472" s="78">
        <v>9</v>
      </c>
      <c r="J472" s="78">
        <v>196</v>
      </c>
      <c r="K472" s="78">
        <v>8</v>
      </c>
      <c r="L472" s="78">
        <v>199</v>
      </c>
      <c r="M472" s="78">
        <v>15</v>
      </c>
      <c r="N472" s="78">
        <v>174</v>
      </c>
      <c r="P472" s="122">
        <f t="shared" si="40"/>
        <v>2000</v>
      </c>
      <c r="Q472" s="122">
        <f t="shared" si="41"/>
        <v>0</v>
      </c>
      <c r="R472" s="158">
        <f t="shared" si="36"/>
        <v>1</v>
      </c>
      <c r="S472" s="185"/>
      <c r="T472" s="79"/>
      <c r="Y472" s="85"/>
      <c r="Z472" s="333"/>
      <c r="AA472" s="122"/>
      <c r="AB472" s="122"/>
    </row>
    <row r="473" spans="1:29" s="78" customFormat="1" x14ac:dyDescent="0.2">
      <c r="A473" s="187">
        <v>42912</v>
      </c>
      <c r="B473" s="122">
        <v>17</v>
      </c>
      <c r="C473" s="76"/>
      <c r="D473" s="78" t="s">
        <v>38</v>
      </c>
      <c r="E473" s="78">
        <v>5</v>
      </c>
      <c r="F473" s="85">
        <v>224</v>
      </c>
      <c r="G473" s="85">
        <v>2</v>
      </c>
      <c r="H473" s="78">
        <v>300</v>
      </c>
      <c r="I473" s="78">
        <v>5</v>
      </c>
      <c r="J473" s="78">
        <v>0</v>
      </c>
      <c r="K473" s="78">
        <v>4</v>
      </c>
      <c r="L473" s="78">
        <v>0</v>
      </c>
      <c r="M473" s="78">
        <v>6</v>
      </c>
      <c r="N473" s="78">
        <v>0</v>
      </c>
      <c r="P473" s="122">
        <f t="shared" si="40"/>
        <v>1850</v>
      </c>
      <c r="Q473" s="122">
        <f t="shared" si="41"/>
        <v>0</v>
      </c>
      <c r="R473" s="158">
        <f t="shared" si="36"/>
        <v>1</v>
      </c>
      <c r="S473" s="186" t="str">
        <f>D473</f>
        <v>K-6 Ambient</v>
      </c>
      <c r="Y473" s="85" t="str">
        <f>D473</f>
        <v>K-6 Ambient</v>
      </c>
      <c r="Z473" s="324">
        <f>SUMIFS($P$377:$P$440, $D$377:$D$440, Y473, $F$377:$F$440, "&lt;200") + SUMIFS($Q$377:$Q$440, $D$377:$D$440, Y473, $F$377:$F$440, "&lt;200")</f>
        <v>75266.666666666672</v>
      </c>
      <c r="AA473" s="122">
        <f>SUM(P473:Q476)</f>
        <v>60583.333333333336</v>
      </c>
      <c r="AB473" s="122">
        <f>SUMIFS(Collection!O:O, Collection!B:B, "*" &amp; 'Bucket Counts'!Y473 &amp; "*", Collection!A:A, "&lt;" &amp; 'Bucket Counts'!A473,Collection!A:A,  "&gt;=" &amp; 'Bucket Counts'!$A$377)</f>
        <v>193.33333333333331</v>
      </c>
      <c r="AC473" s="158">
        <f>AA473/(Z473+AB473)</f>
        <v>0.80285360897605795</v>
      </c>
    </row>
    <row r="474" spans="1:29" s="78" customFormat="1" x14ac:dyDescent="0.2">
      <c r="A474" s="187">
        <v>42912</v>
      </c>
      <c r="B474" s="122">
        <v>17</v>
      </c>
      <c r="C474" s="76"/>
      <c r="D474" s="78" t="s">
        <v>38</v>
      </c>
      <c r="E474" s="78">
        <v>5</v>
      </c>
      <c r="F474" s="85">
        <v>180</v>
      </c>
      <c r="G474" s="85">
        <v>1</v>
      </c>
      <c r="H474" s="78">
        <v>520</v>
      </c>
      <c r="I474" s="78">
        <v>15</v>
      </c>
      <c r="J474" s="78">
        <v>0</v>
      </c>
      <c r="K474" s="78">
        <v>15</v>
      </c>
      <c r="L474" s="78">
        <v>0</v>
      </c>
      <c r="M474" s="78">
        <v>7</v>
      </c>
      <c r="N474" s="78">
        <v>0</v>
      </c>
      <c r="P474" s="122">
        <f t="shared" si="40"/>
        <v>27733.333333333336</v>
      </c>
      <c r="Q474" s="122">
        <f t="shared" si="41"/>
        <v>0</v>
      </c>
      <c r="R474" s="158">
        <f t="shared" si="36"/>
        <v>1</v>
      </c>
      <c r="S474" s="184">
        <f>(SUM(P473:P476)/(SUM(P473:Q476)))</f>
        <v>0.74690508940852818</v>
      </c>
      <c r="Y474" s="85"/>
      <c r="Z474" s="333"/>
      <c r="AA474" s="122"/>
      <c r="AB474" s="122"/>
    </row>
    <row r="475" spans="1:29" s="78" customFormat="1" x14ac:dyDescent="0.2">
      <c r="A475" s="187">
        <v>42912</v>
      </c>
      <c r="B475" s="122">
        <v>17</v>
      </c>
      <c r="C475" s="76"/>
      <c r="D475" s="78" t="s">
        <v>38</v>
      </c>
      <c r="E475" s="78">
        <v>5</v>
      </c>
      <c r="F475" s="85">
        <v>100</v>
      </c>
      <c r="G475" s="85">
        <v>0.5</v>
      </c>
      <c r="H475" s="78">
        <v>500</v>
      </c>
      <c r="I475" s="78">
        <v>62</v>
      </c>
      <c r="J475" s="78">
        <v>0</v>
      </c>
      <c r="K475" s="78">
        <v>57</v>
      </c>
      <c r="L475" s="78">
        <v>0</v>
      </c>
      <c r="M475" s="78">
        <v>41</v>
      </c>
      <c r="N475" s="78">
        <v>0</v>
      </c>
      <c r="P475" s="122">
        <f t="shared" si="40"/>
        <v>12666.666666666666</v>
      </c>
      <c r="Q475" s="122">
        <f t="shared" si="41"/>
        <v>15333.333333333334</v>
      </c>
      <c r="R475" s="158">
        <f t="shared" si="36"/>
        <v>0.45238095238095238</v>
      </c>
      <c r="S475" s="185"/>
      <c r="Y475" s="85"/>
      <c r="Z475" s="333"/>
      <c r="AA475" s="122"/>
      <c r="AB475" s="122"/>
    </row>
    <row r="476" spans="1:29" s="78" customFormat="1" x14ac:dyDescent="0.2">
      <c r="A476" s="187">
        <v>42912</v>
      </c>
      <c r="B476" s="122">
        <v>17</v>
      </c>
      <c r="C476" s="76"/>
      <c r="D476" s="78" t="s">
        <v>38</v>
      </c>
      <c r="E476" s="78">
        <v>5</v>
      </c>
      <c r="F476" s="85" t="s">
        <v>201</v>
      </c>
      <c r="G476" s="85">
        <v>1</v>
      </c>
      <c r="H476" s="78">
        <v>500</v>
      </c>
      <c r="I476" s="78">
        <v>13</v>
      </c>
      <c r="J476" s="78">
        <v>10</v>
      </c>
      <c r="K476" s="78">
        <v>9</v>
      </c>
      <c r="L476" s="78">
        <v>23</v>
      </c>
      <c r="M476" s="78">
        <v>16</v>
      </c>
      <c r="N476" s="78">
        <v>13</v>
      </c>
      <c r="P476" s="122">
        <f t="shared" si="40"/>
        <v>3000</v>
      </c>
      <c r="Q476" s="122">
        <f t="shared" si="41"/>
        <v>0</v>
      </c>
      <c r="R476" s="158">
        <f t="shared" si="36"/>
        <v>1</v>
      </c>
      <c r="S476" s="185"/>
      <c r="Y476" s="85"/>
      <c r="Z476" s="333"/>
      <c r="AA476" s="122"/>
      <c r="AB476" s="122"/>
    </row>
    <row r="477" spans="1:29" s="78" customFormat="1" x14ac:dyDescent="0.2">
      <c r="A477" s="187">
        <v>42912</v>
      </c>
      <c r="B477" s="122">
        <v>16</v>
      </c>
      <c r="C477" s="76"/>
      <c r="D477" s="78" t="s">
        <v>87</v>
      </c>
      <c r="E477" s="78">
        <v>5</v>
      </c>
      <c r="F477" s="85">
        <v>224</v>
      </c>
      <c r="G477" s="85">
        <v>1</v>
      </c>
      <c r="H477" s="78">
        <v>260</v>
      </c>
      <c r="I477" s="78">
        <v>6</v>
      </c>
      <c r="J477" s="78">
        <v>0</v>
      </c>
      <c r="K477" s="78">
        <v>7</v>
      </c>
      <c r="L477" s="78">
        <v>0</v>
      </c>
      <c r="M477" s="78">
        <v>5</v>
      </c>
      <c r="N477" s="78">
        <v>0</v>
      </c>
      <c r="P477" s="122">
        <f t="shared" ref="P477:P482" si="42">(AVERAGE(I477,K477,M477)/G477)*H477</f>
        <v>1560</v>
      </c>
      <c r="Q477" s="122">
        <f t="shared" si="35"/>
        <v>0</v>
      </c>
      <c r="R477" s="158">
        <f t="shared" si="36"/>
        <v>1</v>
      </c>
      <c r="S477" s="186" t="str">
        <f>D477</f>
        <v>SN-6 Ambient</v>
      </c>
      <c r="T477" s="79"/>
      <c r="U477" s="79"/>
      <c r="V477" s="79"/>
      <c r="Y477" s="85" t="str">
        <f>D477</f>
        <v>SN-6 Ambient</v>
      </c>
      <c r="Z477" s="324">
        <f>SUMIFS($P$377:$P$440, $D$377:$D$440, Y477, $F$377:$F$440, "&lt;200") + SUMIFS($Q$377:$Q$440, $D$377:$D$440, Y477, $F$377:$F$440, "&lt;200")</f>
        <v>74591.666666666657</v>
      </c>
      <c r="AA477" s="122">
        <f>SUM(P477:Q480)</f>
        <v>65606.666666666657</v>
      </c>
      <c r="AB477" s="122">
        <f>SUMIFS(Collection!O:O, Collection!B:B, "*" &amp; 'Bucket Counts'!Y477 &amp; "*", Collection!A:A, "&lt;" &amp; 'Bucket Counts'!A477,Collection!A:A,  "&gt;=" &amp; 'Bucket Counts'!$A$377)</f>
        <v>0</v>
      </c>
      <c r="AC477" s="158">
        <f>AA477/(Z477+AB477)</f>
        <v>0.87954418500726173</v>
      </c>
    </row>
    <row r="478" spans="1:29" s="78" customFormat="1" x14ac:dyDescent="0.2">
      <c r="A478" s="187">
        <v>42912</v>
      </c>
      <c r="B478" s="122">
        <v>16</v>
      </c>
      <c r="C478" s="76"/>
      <c r="D478" s="78" t="s">
        <v>87</v>
      </c>
      <c r="E478" s="78">
        <v>5</v>
      </c>
      <c r="F478" s="85">
        <v>180</v>
      </c>
      <c r="G478" s="85">
        <v>1</v>
      </c>
      <c r="H478" s="78">
        <v>290</v>
      </c>
      <c r="I478" s="78">
        <v>22</v>
      </c>
      <c r="J478" s="78">
        <v>0</v>
      </c>
      <c r="K478" s="78">
        <v>18</v>
      </c>
      <c r="L478" s="78">
        <v>0</v>
      </c>
      <c r="M478" s="78">
        <v>16</v>
      </c>
      <c r="N478" s="78">
        <v>0</v>
      </c>
      <c r="P478" s="122">
        <f t="shared" si="42"/>
        <v>5413.3333333333339</v>
      </c>
      <c r="Q478" s="122">
        <f t="shared" si="35"/>
        <v>0</v>
      </c>
      <c r="R478" s="158">
        <f t="shared" si="36"/>
        <v>1</v>
      </c>
      <c r="S478" s="184">
        <f>(SUM(P477:P480)/(SUM(P477:Q480)))</f>
        <v>0.65389696169088518</v>
      </c>
      <c r="T478" s="79"/>
      <c r="U478" s="79"/>
      <c r="V478" s="79"/>
      <c r="W478" s="78" t="s">
        <v>258</v>
      </c>
      <c r="Y478" s="85"/>
      <c r="Z478" s="333"/>
      <c r="AA478" s="122"/>
      <c r="AB478" s="122"/>
    </row>
    <row r="479" spans="1:29" s="78" customFormat="1" x14ac:dyDescent="0.2">
      <c r="A479" s="187">
        <v>42912</v>
      </c>
      <c r="B479" s="122">
        <v>16</v>
      </c>
      <c r="C479" s="76"/>
      <c r="D479" s="78" t="s">
        <v>87</v>
      </c>
      <c r="E479" s="78">
        <v>5</v>
      </c>
      <c r="F479" s="85">
        <v>100</v>
      </c>
      <c r="G479" s="85">
        <v>1</v>
      </c>
      <c r="H479" s="78">
        <v>500</v>
      </c>
      <c r="I479" s="78">
        <v>50</v>
      </c>
      <c r="J479" s="78">
        <v>0</v>
      </c>
      <c r="K479" s="78">
        <v>70</v>
      </c>
      <c r="L479" s="78">
        <v>1</v>
      </c>
      <c r="M479" s="78">
        <v>56</v>
      </c>
      <c r="N479" s="78">
        <v>0</v>
      </c>
      <c r="P479" s="122">
        <f t="shared" si="42"/>
        <v>29333.333333333332</v>
      </c>
      <c r="Q479" s="122">
        <f t="shared" si="35"/>
        <v>166.66666666666666</v>
      </c>
      <c r="R479" s="158">
        <f t="shared" si="36"/>
        <v>0.99435028248587565</v>
      </c>
      <c r="S479" s="185"/>
      <c r="T479" s="79"/>
      <c r="U479" s="79"/>
      <c r="V479" s="79"/>
      <c r="Y479" s="85"/>
      <c r="Z479" s="333"/>
      <c r="AA479" s="122"/>
      <c r="AB479" s="122"/>
    </row>
    <row r="480" spans="1:29" s="78" customFormat="1" x14ac:dyDescent="0.2">
      <c r="A480" s="187">
        <v>42912</v>
      </c>
      <c r="B480" s="122">
        <v>16</v>
      </c>
      <c r="C480" s="76"/>
      <c r="D480" s="78" t="s">
        <v>87</v>
      </c>
      <c r="E480" s="78">
        <v>5</v>
      </c>
      <c r="F480" s="85" t="s">
        <v>201</v>
      </c>
      <c r="G480" s="85">
        <v>1</v>
      </c>
      <c r="H480" s="78">
        <v>460</v>
      </c>
      <c r="I480" s="78">
        <v>20</v>
      </c>
      <c r="J480" s="78">
        <v>47</v>
      </c>
      <c r="K480" s="78">
        <v>14</v>
      </c>
      <c r="L480" s="78">
        <v>40</v>
      </c>
      <c r="M480" s="78">
        <v>9</v>
      </c>
      <c r="N480" s="78">
        <v>60</v>
      </c>
      <c r="P480" s="122">
        <f t="shared" si="42"/>
        <v>6593.3333333333339</v>
      </c>
      <c r="Q480" s="122">
        <f t="shared" ref="Q480:Q543" si="43">(AVERAGE(J480,L480,N480)/G480)*H480</f>
        <v>22540</v>
      </c>
      <c r="R480" s="158">
        <f t="shared" ref="R480:R543" si="44">P480/(P480+Q480)</f>
        <v>0.22631578947368422</v>
      </c>
      <c r="S480" s="185"/>
      <c r="T480" s="79"/>
      <c r="U480" s="79"/>
      <c r="V480" s="79"/>
      <c r="Y480" s="85"/>
      <c r="Z480" s="333"/>
      <c r="AA480" s="122"/>
      <c r="AB480" s="122"/>
    </row>
    <row r="481" spans="1:29" s="78" customFormat="1" x14ac:dyDescent="0.2">
      <c r="A481" s="187">
        <v>42912</v>
      </c>
      <c r="B481" s="122">
        <v>18</v>
      </c>
      <c r="C481" s="76"/>
      <c r="D481" s="78" t="s">
        <v>20</v>
      </c>
      <c r="E481" s="78">
        <v>6</v>
      </c>
      <c r="F481" s="85">
        <v>224</v>
      </c>
      <c r="G481" s="85">
        <v>2</v>
      </c>
      <c r="H481" s="78">
        <v>250</v>
      </c>
      <c r="I481" s="78">
        <v>1</v>
      </c>
      <c r="J481" s="78">
        <v>0</v>
      </c>
      <c r="K481" s="78">
        <v>1</v>
      </c>
      <c r="L481" s="78">
        <v>0</v>
      </c>
      <c r="M481" s="78">
        <v>1</v>
      </c>
      <c r="N481" s="78">
        <v>0</v>
      </c>
      <c r="P481" s="122">
        <f t="shared" si="42"/>
        <v>125</v>
      </c>
      <c r="Q481" s="122">
        <f t="shared" si="43"/>
        <v>0</v>
      </c>
      <c r="R481" s="158">
        <f t="shared" si="44"/>
        <v>1</v>
      </c>
      <c r="S481" s="186" t="str">
        <f>D481</f>
        <v>K-10 Low</v>
      </c>
      <c r="T481" s="79"/>
      <c r="U481" s="79"/>
      <c r="V481" s="79"/>
      <c r="Y481" s="85" t="str">
        <f>D481</f>
        <v>K-10 Low</v>
      </c>
      <c r="Z481" s="324">
        <f>SUMIFS($P$377:$P$440, $D$377:$D$440, Y481, $F$377:$F$440, "&lt;200") + SUMIFS($Q$377:$Q$440, $D$377:$D$440, Y481, $F$377:$F$440, "&lt;200")</f>
        <v>7926.666666666667</v>
      </c>
      <c r="AA481" s="122">
        <f>SUM(P481:Q484)</f>
        <v>7183.333333333333</v>
      </c>
      <c r="AB481" s="122">
        <f>SUMIFS(Collection!O:O, Collection!B:B, "*" &amp; 'Bucket Counts'!Y481 &amp; "*", Collection!A:A, "&lt;" &amp; 'Bucket Counts'!A481,Collection!A:A,  "&gt;=" &amp; 'Bucket Counts'!$A$377)</f>
        <v>0</v>
      </c>
      <c r="AC481" s="158">
        <f>AA481/(Z481+AB481)</f>
        <v>0.90622371740958785</v>
      </c>
    </row>
    <row r="482" spans="1:29" s="78" customFormat="1" x14ac:dyDescent="0.2">
      <c r="A482" s="187">
        <v>42912</v>
      </c>
      <c r="B482" s="122">
        <v>18</v>
      </c>
      <c r="C482" s="76"/>
      <c r="D482" s="78" t="s">
        <v>20</v>
      </c>
      <c r="E482" s="78">
        <v>6</v>
      </c>
      <c r="F482" s="85">
        <v>180</v>
      </c>
      <c r="G482" s="85">
        <v>2</v>
      </c>
      <c r="H482" s="78">
        <v>250</v>
      </c>
      <c r="I482" s="78">
        <v>1</v>
      </c>
      <c r="J482" s="78">
        <v>0</v>
      </c>
      <c r="K482" s="78">
        <v>1</v>
      </c>
      <c r="L482" s="78">
        <v>0</v>
      </c>
      <c r="M482" s="78">
        <v>5</v>
      </c>
      <c r="N482" s="78">
        <v>0</v>
      </c>
      <c r="P482" s="122">
        <f t="shared" si="42"/>
        <v>291.66666666666669</v>
      </c>
      <c r="Q482" s="122">
        <f t="shared" si="43"/>
        <v>0</v>
      </c>
      <c r="R482" s="158">
        <f t="shared" si="44"/>
        <v>1</v>
      </c>
      <c r="S482" s="184">
        <f>(SUM(P481:P484)/(SUM(P481:Q484)))</f>
        <v>0.94153132250580052</v>
      </c>
      <c r="T482" s="79"/>
      <c r="U482" s="79"/>
      <c r="V482" s="79"/>
      <c r="Y482" s="85"/>
      <c r="Z482" s="333"/>
      <c r="AA482" s="122"/>
      <c r="AB482" s="122"/>
    </row>
    <row r="483" spans="1:29" s="78" customFormat="1" x14ac:dyDescent="0.2">
      <c r="A483" s="187">
        <v>42912</v>
      </c>
      <c r="B483" s="122">
        <v>18</v>
      </c>
      <c r="C483" s="76"/>
      <c r="D483" s="78" t="s">
        <v>20</v>
      </c>
      <c r="E483" s="78">
        <v>6</v>
      </c>
      <c r="F483" s="85">
        <v>100</v>
      </c>
      <c r="G483" s="85">
        <v>2</v>
      </c>
      <c r="H483" s="78">
        <v>280</v>
      </c>
      <c r="I483" s="78">
        <v>52</v>
      </c>
      <c r="J483" s="78">
        <v>1</v>
      </c>
      <c r="K483" s="78">
        <v>49</v>
      </c>
      <c r="L483" s="78">
        <v>0</v>
      </c>
      <c r="M483" s="78">
        <v>30</v>
      </c>
      <c r="N483" s="78">
        <v>0</v>
      </c>
      <c r="P483" s="122">
        <f t="shared" ref="P483:P504" si="45">(AVERAGE(I483,K483,M483)/G483)*H483</f>
        <v>6113.333333333333</v>
      </c>
      <c r="Q483" s="122">
        <f t="shared" si="43"/>
        <v>46.666666666666664</v>
      </c>
      <c r="R483" s="158">
        <f t="shared" si="44"/>
        <v>0.99242424242424232</v>
      </c>
      <c r="S483" s="185"/>
      <c r="T483" s="79"/>
      <c r="U483" s="79"/>
      <c r="V483" s="79"/>
      <c r="Y483" s="85"/>
      <c r="Z483" s="333"/>
      <c r="AA483" s="122"/>
      <c r="AB483" s="122"/>
    </row>
    <row r="484" spans="1:29" s="78" customFormat="1" x14ac:dyDescent="0.2">
      <c r="A484" s="187">
        <v>42912</v>
      </c>
      <c r="B484" s="122">
        <v>18</v>
      </c>
      <c r="C484" s="76"/>
      <c r="D484" s="78" t="s">
        <v>20</v>
      </c>
      <c r="E484" s="78">
        <v>6</v>
      </c>
      <c r="F484" s="85" t="s">
        <v>201</v>
      </c>
      <c r="G484" s="85">
        <v>2</v>
      </c>
      <c r="H484" s="78">
        <v>280</v>
      </c>
      <c r="I484" s="78">
        <v>2</v>
      </c>
      <c r="J484" s="78">
        <v>5</v>
      </c>
      <c r="K484" s="78">
        <v>1</v>
      </c>
      <c r="L484" s="78">
        <v>2</v>
      </c>
      <c r="M484" s="78">
        <v>2</v>
      </c>
      <c r="N484" s="78">
        <v>1</v>
      </c>
      <c r="P484" s="122">
        <f t="shared" si="45"/>
        <v>233.33333333333334</v>
      </c>
      <c r="Q484" s="122">
        <f t="shared" si="43"/>
        <v>373.33333333333331</v>
      </c>
      <c r="R484" s="158">
        <f t="shared" si="44"/>
        <v>0.38461538461538464</v>
      </c>
      <c r="S484" s="185"/>
      <c r="T484" s="79"/>
      <c r="U484" s="79"/>
      <c r="V484" s="79"/>
      <c r="Y484" s="85"/>
      <c r="Z484" s="333"/>
      <c r="AA484" s="122"/>
      <c r="AB484" s="122"/>
    </row>
    <row r="485" spans="1:29" s="78" customFormat="1" x14ac:dyDescent="0.2">
      <c r="A485" s="187">
        <v>42912</v>
      </c>
      <c r="B485" s="122">
        <v>3</v>
      </c>
      <c r="C485" s="76"/>
      <c r="D485" s="78" t="s">
        <v>84</v>
      </c>
      <c r="E485" s="78">
        <v>6</v>
      </c>
      <c r="F485" s="85">
        <v>224</v>
      </c>
      <c r="G485" s="85">
        <v>2</v>
      </c>
      <c r="H485" s="78">
        <v>300</v>
      </c>
      <c r="I485" s="78">
        <v>5</v>
      </c>
      <c r="J485" s="78">
        <v>0</v>
      </c>
      <c r="K485" s="78">
        <v>6</v>
      </c>
      <c r="L485" s="78">
        <v>1</v>
      </c>
      <c r="M485" s="78">
        <v>2</v>
      </c>
      <c r="N485" s="78">
        <v>1</v>
      </c>
      <c r="P485" s="122">
        <f t="shared" si="45"/>
        <v>650</v>
      </c>
      <c r="Q485" s="122">
        <f t="shared" si="43"/>
        <v>100</v>
      </c>
      <c r="R485" s="158">
        <f t="shared" si="44"/>
        <v>0.8666666666666667</v>
      </c>
      <c r="S485" s="186" t="str">
        <f>D485</f>
        <v>NF-10 Ambient</v>
      </c>
      <c r="T485" s="79"/>
      <c r="U485" s="79"/>
      <c r="V485" s="79"/>
      <c r="Y485" s="85" t="str">
        <f>D485</f>
        <v>NF-10 Ambient</v>
      </c>
      <c r="Z485" s="324">
        <f>SUMIFS($P$377:$P$440, $D$377:$D$440, Y485, $F$377:$F$440, "&lt;200") + SUMIFS($Q$377:$Q$440, $D$377:$D$440, Y485, $F$377:$F$440, "&lt;200")</f>
        <v>25900</v>
      </c>
      <c r="AA485" s="122">
        <f>SUM(P485:Q488)</f>
        <v>28533.333333333336</v>
      </c>
      <c r="AB485" s="122">
        <f>SUMIFS(Collection!O:O, Collection!B:B, "*" &amp; 'Bucket Counts'!Y485 &amp; "*", Collection!A:A, "&lt;" &amp; 'Bucket Counts'!A485,Collection!A:A,  "&gt;=" &amp; 'Bucket Counts'!$A$377)</f>
        <v>0</v>
      </c>
      <c r="AC485" s="158">
        <f>AA485/(Z485+AB485)</f>
        <v>1.1016731016731018</v>
      </c>
    </row>
    <row r="486" spans="1:29" s="78" customFormat="1" x14ac:dyDescent="0.2">
      <c r="A486" s="187">
        <v>42912</v>
      </c>
      <c r="B486" s="122">
        <v>3</v>
      </c>
      <c r="C486" s="76"/>
      <c r="D486" s="78" t="s">
        <v>84</v>
      </c>
      <c r="E486" s="78">
        <v>6</v>
      </c>
      <c r="F486" s="85">
        <v>180</v>
      </c>
      <c r="G486" s="85">
        <v>2</v>
      </c>
      <c r="H486" s="78">
        <v>300</v>
      </c>
      <c r="I486" s="78">
        <v>12</v>
      </c>
      <c r="J486" s="78">
        <v>0</v>
      </c>
      <c r="K486" s="78">
        <v>15</v>
      </c>
      <c r="L486" s="78">
        <v>1</v>
      </c>
      <c r="M486" s="78">
        <v>13</v>
      </c>
      <c r="N486" s="78">
        <v>0</v>
      </c>
      <c r="P486" s="122">
        <f t="shared" si="45"/>
        <v>2000</v>
      </c>
      <c r="Q486" s="122">
        <f t="shared" si="43"/>
        <v>50</v>
      </c>
      <c r="R486" s="158">
        <f t="shared" si="44"/>
        <v>0.97560975609756095</v>
      </c>
      <c r="S486" s="184">
        <f>(SUM(P485:P488)/(SUM(P485:Q488)))</f>
        <v>0.35630841121495321</v>
      </c>
      <c r="T486" s="79"/>
      <c r="U486" s="79"/>
      <c r="V486" s="79"/>
      <c r="Y486" s="85"/>
      <c r="Z486" s="333"/>
      <c r="AA486" s="122"/>
      <c r="AB486" s="122"/>
    </row>
    <row r="487" spans="1:29" s="78" customFormat="1" x14ac:dyDescent="0.2">
      <c r="A487" s="187">
        <v>42912</v>
      </c>
      <c r="B487" s="122">
        <v>3</v>
      </c>
      <c r="C487" s="76"/>
      <c r="D487" s="78" t="s">
        <v>84</v>
      </c>
      <c r="E487" s="78">
        <v>6</v>
      </c>
      <c r="F487" s="85">
        <v>100</v>
      </c>
      <c r="G487" s="85">
        <v>2</v>
      </c>
      <c r="H487" s="78">
        <v>300</v>
      </c>
      <c r="I487" s="78">
        <v>43</v>
      </c>
      <c r="J487" s="78">
        <v>1</v>
      </c>
      <c r="K487" s="78">
        <v>48</v>
      </c>
      <c r="L487" s="78">
        <v>0</v>
      </c>
      <c r="M487" s="78">
        <v>36</v>
      </c>
      <c r="N487" s="78">
        <v>0</v>
      </c>
      <c r="P487" s="122">
        <f t="shared" si="45"/>
        <v>6350</v>
      </c>
      <c r="Q487" s="122">
        <f t="shared" si="43"/>
        <v>50</v>
      </c>
      <c r="R487" s="158">
        <f t="shared" si="44"/>
        <v>0.9921875</v>
      </c>
      <c r="S487" s="185"/>
      <c r="T487" s="79"/>
      <c r="U487" s="79"/>
      <c r="V487" s="79"/>
      <c r="Y487" s="85"/>
      <c r="Z487" s="333"/>
      <c r="AA487" s="122"/>
      <c r="AB487" s="122"/>
    </row>
    <row r="488" spans="1:29" s="78" customFormat="1" x14ac:dyDescent="0.2">
      <c r="A488" s="187">
        <v>42912</v>
      </c>
      <c r="B488" s="122">
        <v>3</v>
      </c>
      <c r="C488" s="76"/>
      <c r="D488" s="78" t="s">
        <v>84</v>
      </c>
      <c r="E488" s="78">
        <v>6</v>
      </c>
      <c r="F488" s="85" t="s">
        <v>201</v>
      </c>
      <c r="G488" s="85">
        <v>1</v>
      </c>
      <c r="H488" s="78">
        <v>500</v>
      </c>
      <c r="I488" s="78">
        <v>2</v>
      </c>
      <c r="J488" s="78">
        <v>31</v>
      </c>
      <c r="K488" s="78">
        <v>2</v>
      </c>
      <c r="L488" s="78">
        <v>45</v>
      </c>
      <c r="M488" s="78">
        <v>3</v>
      </c>
      <c r="N488" s="78">
        <v>33</v>
      </c>
      <c r="P488" s="122">
        <f t="shared" si="45"/>
        <v>1166.6666666666667</v>
      </c>
      <c r="Q488" s="122">
        <f t="shared" si="43"/>
        <v>18166.666666666668</v>
      </c>
      <c r="R488" s="158">
        <f t="shared" si="44"/>
        <v>6.0344827586206892E-2</v>
      </c>
      <c r="S488" s="185"/>
      <c r="T488" s="79"/>
      <c r="U488" s="79"/>
      <c r="V488" s="79"/>
      <c r="Y488" s="85"/>
      <c r="Z488" s="333"/>
      <c r="AA488" s="122"/>
      <c r="AB488" s="122"/>
    </row>
    <row r="489" spans="1:29" s="78" customFormat="1" x14ac:dyDescent="0.2">
      <c r="A489" s="187">
        <v>42912</v>
      </c>
      <c r="B489" s="122">
        <v>21</v>
      </c>
      <c r="C489" s="76"/>
      <c r="D489" s="78" t="s">
        <v>108</v>
      </c>
      <c r="E489" s="78">
        <v>7</v>
      </c>
      <c r="F489" s="85">
        <v>224</v>
      </c>
      <c r="G489" s="85">
        <v>2</v>
      </c>
      <c r="H489" s="78">
        <v>280</v>
      </c>
      <c r="I489" s="78">
        <v>5</v>
      </c>
      <c r="J489" s="78">
        <v>0</v>
      </c>
      <c r="K489" s="78">
        <v>4</v>
      </c>
      <c r="L489" s="78">
        <v>0</v>
      </c>
      <c r="M489" s="78">
        <v>5</v>
      </c>
      <c r="N489" s="78">
        <v>0</v>
      </c>
      <c r="P489" s="122">
        <f t="shared" si="45"/>
        <v>653.33333333333337</v>
      </c>
      <c r="Q489" s="122">
        <f t="shared" si="43"/>
        <v>0</v>
      </c>
      <c r="R489" s="158">
        <f t="shared" si="44"/>
        <v>1</v>
      </c>
      <c r="S489" s="186" t="str">
        <f>D489</f>
        <v>HL-10 Low</v>
      </c>
      <c r="T489" s="79"/>
      <c r="U489" s="79"/>
      <c r="V489" s="79"/>
      <c r="Y489" s="85" t="str">
        <f>D489</f>
        <v>HL-10 Low</v>
      </c>
      <c r="Z489" s="324">
        <f>SUMIFS($P$377:$P$440, $D$377:$D$440, Y489, $F$377:$F$440, "&lt;200") + SUMIFS($Q$377:$Q$440, $D$377:$D$440, Y489, $F$377:$F$440, "&lt;200")</f>
        <v>84933.333333333328</v>
      </c>
      <c r="AA489" s="122">
        <f>SUM(P489:Q492)</f>
        <v>82111.666666666657</v>
      </c>
      <c r="AB489" s="122">
        <f>SUMIFS(Collection!O:O, Collection!B:B, "*" &amp; 'Bucket Counts'!Y489 &amp; "*", Collection!A:A, "&lt;" &amp; 'Bucket Counts'!A489,Collection!A:A,  "&gt;=" &amp; 'Bucket Counts'!$A$377)</f>
        <v>10000</v>
      </c>
      <c r="AC489" s="158">
        <f>AA489/(Z489+AB489)</f>
        <v>0.86494030898876395</v>
      </c>
    </row>
    <row r="490" spans="1:29" s="78" customFormat="1" x14ac:dyDescent="0.2">
      <c r="A490" s="187">
        <v>42912</v>
      </c>
      <c r="B490" s="122">
        <v>21</v>
      </c>
      <c r="C490" s="76"/>
      <c r="D490" s="78" t="s">
        <v>108</v>
      </c>
      <c r="E490" s="78">
        <v>7</v>
      </c>
      <c r="F490" s="85">
        <v>180</v>
      </c>
      <c r="G490" s="85">
        <v>1</v>
      </c>
      <c r="H490" s="78">
        <v>500</v>
      </c>
      <c r="I490" s="78">
        <v>14</v>
      </c>
      <c r="J490" s="78">
        <v>0</v>
      </c>
      <c r="K490" s="78">
        <v>13</v>
      </c>
      <c r="L490" s="78">
        <v>0</v>
      </c>
      <c r="M490" s="78">
        <v>16</v>
      </c>
      <c r="N490" s="78">
        <v>0</v>
      </c>
      <c r="P490" s="122">
        <f t="shared" si="45"/>
        <v>7166.666666666667</v>
      </c>
      <c r="Q490" s="122">
        <f t="shared" si="43"/>
        <v>0</v>
      </c>
      <c r="R490" s="158">
        <f t="shared" si="44"/>
        <v>1</v>
      </c>
      <c r="S490" s="184">
        <f>(SUM(P489:P492)/(SUM(P489:Q492)))</f>
        <v>0.56999614346317007</v>
      </c>
      <c r="T490" s="79"/>
      <c r="U490" s="79"/>
      <c r="V490" s="79"/>
      <c r="Y490" s="85"/>
      <c r="Z490" s="333"/>
      <c r="AA490" s="122"/>
      <c r="AB490" s="122"/>
    </row>
    <row r="491" spans="1:29" s="78" customFormat="1" x14ac:dyDescent="0.2">
      <c r="A491" s="187">
        <v>42912</v>
      </c>
      <c r="B491" s="122">
        <v>21</v>
      </c>
      <c r="C491" s="76"/>
      <c r="D491" s="78" t="s">
        <v>108</v>
      </c>
      <c r="E491" s="78">
        <v>7</v>
      </c>
      <c r="F491" s="85">
        <v>100</v>
      </c>
      <c r="G491" s="85">
        <v>1</v>
      </c>
      <c r="H491" s="78">
        <v>500</v>
      </c>
      <c r="I491" s="78">
        <v>62</v>
      </c>
      <c r="J491" s="78">
        <v>0</v>
      </c>
      <c r="K491" s="78">
        <v>77</v>
      </c>
      <c r="L491" s="78">
        <v>0</v>
      </c>
      <c r="M491" s="78">
        <v>93</v>
      </c>
      <c r="N491" s="78">
        <v>0</v>
      </c>
      <c r="P491" s="122">
        <f t="shared" si="45"/>
        <v>38666.666666666664</v>
      </c>
      <c r="Q491" s="122">
        <f t="shared" si="43"/>
        <v>0</v>
      </c>
      <c r="R491" s="158">
        <f t="shared" si="44"/>
        <v>1</v>
      </c>
      <c r="S491" s="185"/>
      <c r="T491" s="79"/>
      <c r="U491" s="79"/>
      <c r="V491" s="79"/>
      <c r="Y491" s="85"/>
      <c r="Z491" s="333"/>
      <c r="AA491" s="122"/>
      <c r="AB491" s="122"/>
    </row>
    <row r="492" spans="1:29" s="78" customFormat="1" x14ac:dyDescent="0.2">
      <c r="A492" s="187">
        <v>42912</v>
      </c>
      <c r="B492" s="122">
        <v>21</v>
      </c>
      <c r="C492" s="76"/>
      <c r="D492" s="78" t="s">
        <v>108</v>
      </c>
      <c r="E492" s="78">
        <v>7</v>
      </c>
      <c r="F492" s="85" t="s">
        <v>201</v>
      </c>
      <c r="G492" s="85">
        <v>1</v>
      </c>
      <c r="H492" s="78">
        <v>475</v>
      </c>
      <c r="I492" s="78">
        <v>1</v>
      </c>
      <c r="J492" s="78">
        <v>77</v>
      </c>
      <c r="K492" s="78">
        <v>1</v>
      </c>
      <c r="L492" s="78">
        <v>82</v>
      </c>
      <c r="M492" s="78">
        <v>0</v>
      </c>
      <c r="N492" s="78">
        <v>64</v>
      </c>
      <c r="P492" s="122">
        <f t="shared" si="45"/>
        <v>316.66666666666663</v>
      </c>
      <c r="Q492" s="122">
        <f t="shared" si="43"/>
        <v>35308.333333333328</v>
      </c>
      <c r="R492" s="158">
        <f t="shared" si="44"/>
        <v>8.8888888888888889E-3</v>
      </c>
      <c r="S492" s="185"/>
      <c r="T492" s="79"/>
      <c r="U492" s="79"/>
      <c r="V492" s="79"/>
      <c r="Y492" s="85"/>
      <c r="Z492" s="333"/>
      <c r="AA492" s="122"/>
      <c r="AB492" s="122"/>
    </row>
    <row r="493" spans="1:29" s="78" customFormat="1" x14ac:dyDescent="0.2">
      <c r="A493" s="187">
        <v>42912</v>
      </c>
      <c r="B493" s="122">
        <v>22</v>
      </c>
      <c r="C493" s="76"/>
      <c r="D493" s="78" t="s">
        <v>17</v>
      </c>
      <c r="E493" s="78">
        <v>7</v>
      </c>
      <c r="F493" s="85">
        <v>224</v>
      </c>
      <c r="G493" s="85">
        <v>2</v>
      </c>
      <c r="H493" s="78">
        <v>240</v>
      </c>
      <c r="I493" s="78">
        <v>5</v>
      </c>
      <c r="J493" s="78">
        <v>0</v>
      </c>
      <c r="K493" s="78">
        <v>5</v>
      </c>
      <c r="L493" s="78">
        <v>0</v>
      </c>
      <c r="M493" s="78">
        <v>5</v>
      </c>
      <c r="N493" s="78">
        <v>0</v>
      </c>
      <c r="P493" s="122">
        <f t="shared" si="45"/>
        <v>600</v>
      </c>
      <c r="Q493" s="122">
        <f t="shared" si="43"/>
        <v>0</v>
      </c>
      <c r="R493" s="158">
        <f t="shared" si="44"/>
        <v>1</v>
      </c>
      <c r="S493" s="186" t="str">
        <f>D493</f>
        <v>K-10 Ambient</v>
      </c>
      <c r="T493" s="79"/>
      <c r="U493" s="79"/>
      <c r="V493" s="79"/>
      <c r="Y493" s="85" t="str">
        <f>D493</f>
        <v>K-10 Ambient</v>
      </c>
      <c r="Z493" s="324">
        <f>SUMIFS($P$377:$P$440, $D$377:$D$440, Y493, $F$377:$F$440, "&lt;200") + SUMIFS($Q$377:$Q$440, $D$377:$D$440, Y493, $F$377:$F$440, "&lt;200")</f>
        <v>27800</v>
      </c>
      <c r="AA493" s="122">
        <f>SUM(P493:Q496)</f>
        <v>20090</v>
      </c>
      <c r="AB493" s="122">
        <f>SUMIFS(Collection!O:O, Collection!B:B, "*" &amp; 'Bucket Counts'!Y493 &amp; "*", Collection!A:A, "&lt;" &amp; 'Bucket Counts'!A493,Collection!A:A,  "&gt;=" &amp; 'Bucket Counts'!$A$377)</f>
        <v>0</v>
      </c>
      <c r="AC493" s="158">
        <f>AA493/(Z493+AB493)</f>
        <v>0.72266187050359709</v>
      </c>
    </row>
    <row r="494" spans="1:29" s="78" customFormat="1" x14ac:dyDescent="0.2">
      <c r="A494" s="187">
        <v>42912</v>
      </c>
      <c r="B494" s="122">
        <v>22</v>
      </c>
      <c r="C494" s="76"/>
      <c r="D494" s="78" t="s">
        <v>17</v>
      </c>
      <c r="E494" s="78">
        <v>7</v>
      </c>
      <c r="F494" s="85">
        <v>180</v>
      </c>
      <c r="G494" s="85">
        <v>1</v>
      </c>
      <c r="H494" s="78">
        <v>330</v>
      </c>
      <c r="I494" s="78">
        <v>8</v>
      </c>
      <c r="J494" s="78">
        <v>0</v>
      </c>
      <c r="K494" s="78">
        <v>15</v>
      </c>
      <c r="L494" s="78">
        <v>0</v>
      </c>
      <c r="M494" s="78">
        <v>16</v>
      </c>
      <c r="N494" s="78">
        <v>0</v>
      </c>
      <c r="P494" s="122">
        <f t="shared" si="45"/>
        <v>4290</v>
      </c>
      <c r="Q494" s="122">
        <f t="shared" si="43"/>
        <v>0</v>
      </c>
      <c r="R494" s="158">
        <f t="shared" si="44"/>
        <v>1</v>
      </c>
      <c r="S494" s="184">
        <f>(SUM(P493:P496)/(SUM(P493:Q496)))</f>
        <v>0.63497594159615067</v>
      </c>
      <c r="T494" s="79"/>
      <c r="U494" s="79"/>
      <c r="V494" s="79"/>
      <c r="Y494" s="85"/>
      <c r="Z494" s="333"/>
      <c r="AA494" s="122"/>
      <c r="AB494" s="122"/>
    </row>
    <row r="495" spans="1:29" s="78" customFormat="1" x14ac:dyDescent="0.2">
      <c r="A495" s="187">
        <v>42912</v>
      </c>
      <c r="B495" s="122">
        <v>22</v>
      </c>
      <c r="C495" s="76"/>
      <c r="D495" s="78" t="s">
        <v>17</v>
      </c>
      <c r="E495" s="78">
        <v>7</v>
      </c>
      <c r="F495" s="85">
        <v>100</v>
      </c>
      <c r="G495" s="85">
        <v>1</v>
      </c>
      <c r="H495" s="78">
        <v>300</v>
      </c>
      <c r="I495" s="78">
        <v>10</v>
      </c>
      <c r="J495" s="78">
        <v>0</v>
      </c>
      <c r="K495" s="78">
        <v>28</v>
      </c>
      <c r="L495" s="78">
        <v>0</v>
      </c>
      <c r="M495" s="78">
        <v>30</v>
      </c>
      <c r="N495" s="78">
        <v>0</v>
      </c>
      <c r="P495" s="122">
        <f t="shared" si="45"/>
        <v>6800</v>
      </c>
      <c r="Q495" s="122">
        <f t="shared" si="43"/>
        <v>0</v>
      </c>
      <c r="R495" s="158">
        <f t="shared" si="44"/>
        <v>1</v>
      </c>
      <c r="S495" s="185"/>
      <c r="T495" s="79"/>
      <c r="U495" s="79"/>
      <c r="V495" s="79"/>
      <c r="Y495" s="85"/>
      <c r="Z495" s="333"/>
      <c r="AA495" s="122"/>
      <c r="AB495" s="122"/>
    </row>
    <row r="496" spans="1:29" s="78" customFormat="1" x14ac:dyDescent="0.2">
      <c r="A496" s="187">
        <v>42912</v>
      </c>
      <c r="B496" s="122">
        <v>22</v>
      </c>
      <c r="C496" s="76"/>
      <c r="D496" s="78" t="s">
        <v>17</v>
      </c>
      <c r="E496" s="78">
        <v>7</v>
      </c>
      <c r="F496" s="85" t="s">
        <v>201</v>
      </c>
      <c r="G496" s="85">
        <v>1</v>
      </c>
      <c r="H496" s="78">
        <v>400</v>
      </c>
      <c r="I496" s="78">
        <v>1</v>
      </c>
      <c r="J496" s="78">
        <v>17</v>
      </c>
      <c r="K496" s="78">
        <v>4</v>
      </c>
      <c r="L496" s="78">
        <v>21</v>
      </c>
      <c r="M496" s="78">
        <v>3</v>
      </c>
      <c r="N496" s="78">
        <v>17</v>
      </c>
      <c r="P496" s="122">
        <f t="shared" si="45"/>
        <v>1066.6666666666665</v>
      </c>
      <c r="Q496" s="122">
        <f t="shared" si="43"/>
        <v>7333.333333333333</v>
      </c>
      <c r="R496" s="158">
        <f t="shared" si="44"/>
        <v>0.12698412698412698</v>
      </c>
      <c r="S496" s="185"/>
      <c r="T496" s="79"/>
      <c r="U496" s="79"/>
      <c r="V496" s="79"/>
      <c r="Y496" s="85"/>
      <c r="Z496" s="333"/>
      <c r="AA496" s="122"/>
      <c r="AB496" s="122"/>
    </row>
    <row r="497" spans="1:30" s="78" customFormat="1" x14ac:dyDescent="0.2">
      <c r="A497" s="187">
        <v>42912</v>
      </c>
      <c r="B497" s="122">
        <v>19</v>
      </c>
      <c r="C497" s="76"/>
      <c r="D497" s="78" t="s">
        <v>88</v>
      </c>
      <c r="E497" s="78">
        <v>8</v>
      </c>
      <c r="F497" s="85">
        <v>224</v>
      </c>
      <c r="G497" s="85">
        <v>1</v>
      </c>
      <c r="H497" s="78">
        <v>300</v>
      </c>
      <c r="I497" s="78">
        <v>5</v>
      </c>
      <c r="J497" s="78">
        <v>0</v>
      </c>
      <c r="K497" s="78">
        <v>6</v>
      </c>
      <c r="L497" s="78">
        <v>0</v>
      </c>
      <c r="M497" s="78">
        <v>9</v>
      </c>
      <c r="N497" s="78">
        <v>0</v>
      </c>
      <c r="P497" s="122">
        <f t="shared" si="45"/>
        <v>2000</v>
      </c>
      <c r="Q497" s="122">
        <f t="shared" si="43"/>
        <v>0</v>
      </c>
      <c r="R497" s="158">
        <f t="shared" si="44"/>
        <v>1</v>
      </c>
      <c r="S497" s="186" t="str">
        <f>D497</f>
        <v>HL-10 Ambient</v>
      </c>
      <c r="T497" s="79"/>
      <c r="U497" s="79"/>
      <c r="V497" s="79"/>
      <c r="Y497" s="85" t="str">
        <f>D497</f>
        <v>HL-10 Ambient</v>
      </c>
      <c r="Z497" s="324">
        <f>SUMIFS($P$377:$P$440, $D$377:$D$440, Y497, $F$377:$F$440, "&lt;200") + SUMIFS($Q$377:$Q$440, $D$377:$D$440, Y497, $F$377:$F$440, "&lt;200")</f>
        <v>40943.333333333336</v>
      </c>
      <c r="AA497" s="122">
        <f>SUM(P497:Q500)</f>
        <v>47853.333333333328</v>
      </c>
      <c r="AB497" s="122">
        <f>SUMIFS(Collection!O:O, Collection!B:B, "*" &amp; 'Bucket Counts'!Y497 &amp; "*", Collection!A:A, "&lt;" &amp; 'Bucket Counts'!A497,Collection!A:A,  "&gt;=" &amp; 'Bucket Counts'!$A$377)</f>
        <v>1564.4444444444443</v>
      </c>
      <c r="AC497" s="158">
        <f>AA497/(Z497+AB497)</f>
        <v>1.1257547638340695</v>
      </c>
    </row>
    <row r="498" spans="1:30" s="78" customFormat="1" x14ac:dyDescent="0.2">
      <c r="A498" s="187">
        <v>42912</v>
      </c>
      <c r="B498" s="122">
        <v>19</v>
      </c>
      <c r="C498" s="76"/>
      <c r="D498" s="78" t="s">
        <v>88</v>
      </c>
      <c r="E498" s="78">
        <v>8</v>
      </c>
      <c r="F498" s="85">
        <v>180</v>
      </c>
      <c r="G498" s="85">
        <v>1</v>
      </c>
      <c r="H498" s="78">
        <v>480</v>
      </c>
      <c r="I498" s="78">
        <v>5</v>
      </c>
      <c r="J498" s="78">
        <v>0</v>
      </c>
      <c r="K498" s="78">
        <v>2</v>
      </c>
      <c r="L498" s="78">
        <v>0</v>
      </c>
      <c r="M498" s="78">
        <v>8</v>
      </c>
      <c r="N498" s="78">
        <v>0</v>
      </c>
      <c r="P498" s="122">
        <f t="shared" si="45"/>
        <v>2400</v>
      </c>
      <c r="Q498" s="122">
        <f t="shared" si="43"/>
        <v>0</v>
      </c>
      <c r="R498" s="158">
        <f t="shared" si="44"/>
        <v>1</v>
      </c>
      <c r="S498" s="184">
        <f>(SUM(P497:P500)/(SUM(P497:Q500)))</f>
        <v>0.60420730008358881</v>
      </c>
      <c r="T498" s="79"/>
      <c r="Y498" s="85"/>
      <c r="Z498" s="333"/>
      <c r="AA498" s="122"/>
      <c r="AB498" s="122"/>
    </row>
    <row r="499" spans="1:30" s="78" customFormat="1" x14ac:dyDescent="0.2">
      <c r="A499" s="187">
        <v>42912</v>
      </c>
      <c r="B499" s="122">
        <v>19</v>
      </c>
      <c r="C499" s="76"/>
      <c r="D499" s="78" t="s">
        <v>88</v>
      </c>
      <c r="E499" s="78">
        <v>8</v>
      </c>
      <c r="F499" s="85">
        <v>100</v>
      </c>
      <c r="G499" s="85">
        <v>1</v>
      </c>
      <c r="H499" s="78">
        <v>410</v>
      </c>
      <c r="I499" s="78">
        <v>53</v>
      </c>
      <c r="J499" s="78">
        <v>1</v>
      </c>
      <c r="K499" s="78">
        <v>40</v>
      </c>
      <c r="L499" s="78">
        <v>1</v>
      </c>
      <c r="M499" s="78">
        <v>61</v>
      </c>
      <c r="N499" s="78">
        <v>0</v>
      </c>
      <c r="P499" s="122">
        <f t="shared" si="45"/>
        <v>21046.666666666668</v>
      </c>
      <c r="Q499" s="122">
        <f t="shared" si="43"/>
        <v>273.33333333333331</v>
      </c>
      <c r="R499" s="158">
        <f t="shared" si="44"/>
        <v>0.98717948717948723</v>
      </c>
      <c r="S499" s="185"/>
      <c r="T499" s="79"/>
      <c r="Y499" s="85"/>
      <c r="Z499" s="333"/>
      <c r="AA499" s="122"/>
      <c r="AB499" s="122"/>
    </row>
    <row r="500" spans="1:30" s="78" customFormat="1" x14ac:dyDescent="0.2">
      <c r="A500" s="187">
        <v>42912</v>
      </c>
      <c r="B500" s="122">
        <v>19</v>
      </c>
      <c r="C500" s="76"/>
      <c r="D500" s="78" t="s">
        <v>88</v>
      </c>
      <c r="E500" s="78">
        <v>8</v>
      </c>
      <c r="F500" s="85" t="s">
        <v>201</v>
      </c>
      <c r="G500" s="85">
        <v>1</v>
      </c>
      <c r="H500" s="78">
        <v>400</v>
      </c>
      <c r="I500" s="78">
        <v>8</v>
      </c>
      <c r="J500" s="78">
        <v>54</v>
      </c>
      <c r="K500" s="78">
        <v>8</v>
      </c>
      <c r="L500" s="78">
        <v>37</v>
      </c>
      <c r="M500" s="78">
        <v>10</v>
      </c>
      <c r="N500" s="78">
        <v>49</v>
      </c>
      <c r="P500" s="122">
        <f t="shared" si="45"/>
        <v>3466.6666666666665</v>
      </c>
      <c r="Q500" s="122">
        <f t="shared" si="43"/>
        <v>18666.666666666664</v>
      </c>
      <c r="R500" s="158">
        <f t="shared" si="44"/>
        <v>0.15662650602409639</v>
      </c>
      <c r="S500" s="185"/>
      <c r="T500" s="79"/>
      <c r="Y500" s="85"/>
      <c r="Z500" s="333"/>
      <c r="AA500" s="122"/>
      <c r="AB500" s="122"/>
    </row>
    <row r="501" spans="1:30" s="78" customFormat="1" x14ac:dyDescent="0.2">
      <c r="A501" s="187">
        <v>42912</v>
      </c>
      <c r="B501" s="412">
        <v>20</v>
      </c>
      <c r="C501" s="76"/>
      <c r="D501" s="77" t="s">
        <v>46</v>
      </c>
      <c r="E501" s="78">
        <v>8</v>
      </c>
      <c r="F501" s="85">
        <v>224</v>
      </c>
      <c r="G501" s="85">
        <v>1</v>
      </c>
      <c r="H501" s="78">
        <v>300</v>
      </c>
      <c r="I501" s="78">
        <v>8</v>
      </c>
      <c r="J501" s="78">
        <v>0</v>
      </c>
      <c r="K501" s="78">
        <v>5</v>
      </c>
      <c r="L501" s="78">
        <v>0</v>
      </c>
      <c r="M501" s="78">
        <v>7</v>
      </c>
      <c r="N501" s="78">
        <v>0</v>
      </c>
      <c r="P501" s="122">
        <f t="shared" si="45"/>
        <v>2000</v>
      </c>
      <c r="Q501" s="122">
        <f t="shared" si="43"/>
        <v>0</v>
      </c>
      <c r="R501" s="158">
        <f t="shared" si="44"/>
        <v>1</v>
      </c>
      <c r="S501" s="186" t="str">
        <f>D501</f>
        <v>K-6 Low</v>
      </c>
      <c r="T501" s="79"/>
      <c r="Y501" s="85" t="str">
        <f>D501</f>
        <v>K-6 Low</v>
      </c>
      <c r="Z501" s="324">
        <f>SUMIFS($P$377:$P$440, $D$377:$D$440, Y501, $F$377:$F$440, "&lt;200") + SUMIFS($Q$377:$Q$440, $D$377:$D$440, Y501, $F$377:$F$440, "&lt;200")</f>
        <v>27566.666666666668</v>
      </c>
      <c r="AA501" s="122">
        <f>SUM(P501:Q504)</f>
        <v>28800</v>
      </c>
      <c r="AB501" s="122">
        <f>SUMIFS(Collection!O:O, Collection!B:B, "*" &amp; 'Bucket Counts'!Y501 &amp; "*", Collection!A:A, "&lt;" &amp; 'Bucket Counts'!A501,Collection!A:A,  "&gt;=" &amp; 'Bucket Counts'!$A$377)</f>
        <v>0</v>
      </c>
      <c r="AC501" s="158">
        <f>AA501/(Z501+AB501)</f>
        <v>1.0447400241837967</v>
      </c>
    </row>
    <row r="502" spans="1:30" s="78" customFormat="1" x14ac:dyDescent="0.2">
      <c r="A502" s="187">
        <v>42912</v>
      </c>
      <c r="B502" s="412">
        <v>20</v>
      </c>
      <c r="C502" s="76"/>
      <c r="D502" s="77" t="s">
        <v>46</v>
      </c>
      <c r="E502" s="78">
        <v>8</v>
      </c>
      <c r="F502" s="85">
        <v>180</v>
      </c>
      <c r="G502" s="85">
        <v>1</v>
      </c>
      <c r="H502" s="78">
        <v>500</v>
      </c>
      <c r="I502" s="78">
        <v>42</v>
      </c>
      <c r="J502" s="78">
        <v>0</v>
      </c>
      <c r="K502" s="78">
        <v>24</v>
      </c>
      <c r="L502" s="78">
        <v>0</v>
      </c>
      <c r="M502" s="78">
        <v>30</v>
      </c>
      <c r="N502" s="78">
        <v>0</v>
      </c>
      <c r="P502" s="122">
        <f t="shared" si="45"/>
        <v>16000</v>
      </c>
      <c r="Q502" s="122">
        <f t="shared" si="43"/>
        <v>0</v>
      </c>
      <c r="R502" s="158">
        <f t="shared" si="44"/>
        <v>1</v>
      </c>
      <c r="S502" s="184">
        <f>(SUM(P501:P504)/(SUM(P501:Q504)))</f>
        <v>0.71180555555555558</v>
      </c>
      <c r="T502" s="79"/>
      <c r="Y502" s="85"/>
      <c r="Z502" s="333"/>
      <c r="AA502" s="122"/>
      <c r="AB502" s="122"/>
    </row>
    <row r="503" spans="1:30" s="78" customFormat="1" x14ac:dyDescent="0.2">
      <c r="A503" s="187">
        <v>42912</v>
      </c>
      <c r="B503" s="412">
        <v>20</v>
      </c>
      <c r="C503" s="76"/>
      <c r="D503" s="77" t="s">
        <v>46</v>
      </c>
      <c r="E503" s="78">
        <v>8</v>
      </c>
      <c r="F503" s="85">
        <v>100</v>
      </c>
      <c r="G503" s="85">
        <v>1</v>
      </c>
      <c r="H503" s="78">
        <v>300</v>
      </c>
      <c r="I503" s="78">
        <v>7</v>
      </c>
      <c r="J503" s="78">
        <v>0</v>
      </c>
      <c r="K503" s="78">
        <v>4</v>
      </c>
      <c r="L503" s="78">
        <v>0</v>
      </c>
      <c r="M503" s="78">
        <v>8</v>
      </c>
      <c r="N503" s="78">
        <v>0</v>
      </c>
      <c r="P503" s="122">
        <f t="shared" si="45"/>
        <v>1900</v>
      </c>
      <c r="Q503" s="122">
        <f t="shared" si="43"/>
        <v>0</v>
      </c>
      <c r="R503" s="158">
        <f t="shared" si="44"/>
        <v>1</v>
      </c>
      <c r="S503" s="185"/>
      <c r="T503" s="79"/>
      <c r="Y503" s="85"/>
      <c r="Z503" s="333"/>
      <c r="AA503" s="122"/>
      <c r="AB503" s="122"/>
    </row>
    <row r="504" spans="1:30" s="154" customFormat="1" ht="17" thickBot="1" x14ac:dyDescent="0.25">
      <c r="A504" s="256">
        <v>42912</v>
      </c>
      <c r="B504" s="413">
        <v>20</v>
      </c>
      <c r="C504" s="153"/>
      <c r="D504" s="232" t="s">
        <v>46</v>
      </c>
      <c r="E504" s="154">
        <v>8</v>
      </c>
      <c r="F504" s="155" t="s">
        <v>201</v>
      </c>
      <c r="G504" s="155">
        <v>1</v>
      </c>
      <c r="H504" s="154">
        <v>300</v>
      </c>
      <c r="I504" s="154">
        <v>1</v>
      </c>
      <c r="J504" s="154">
        <v>21</v>
      </c>
      <c r="K504" s="154">
        <v>2</v>
      </c>
      <c r="L504" s="154">
        <v>29</v>
      </c>
      <c r="M504" s="154">
        <v>3</v>
      </c>
      <c r="N504" s="154">
        <v>33</v>
      </c>
      <c r="P504" s="156">
        <f t="shared" si="45"/>
        <v>600</v>
      </c>
      <c r="Q504" s="156">
        <f t="shared" si="43"/>
        <v>8300</v>
      </c>
      <c r="R504" s="159">
        <f t="shared" si="44"/>
        <v>6.741573033707865E-2</v>
      </c>
      <c r="S504" s="233"/>
      <c r="Y504" s="155"/>
      <c r="Z504" s="334"/>
      <c r="AA504" s="156"/>
      <c r="AB504" s="156"/>
    </row>
    <row r="505" spans="1:30" s="237" customFormat="1" x14ac:dyDescent="0.2">
      <c r="A505" s="234">
        <v>42915</v>
      </c>
      <c r="B505" s="416">
        <v>17</v>
      </c>
      <c r="C505" s="235"/>
      <c r="D505" s="266" t="s">
        <v>38</v>
      </c>
      <c r="E505" s="237">
        <v>1</v>
      </c>
      <c r="F505" s="238">
        <v>224</v>
      </c>
      <c r="G505" s="238">
        <v>1</v>
      </c>
      <c r="H505" s="237">
        <v>240</v>
      </c>
      <c r="I505" s="237">
        <v>3</v>
      </c>
      <c r="J505" s="237">
        <v>0</v>
      </c>
      <c r="K505" s="237">
        <v>3</v>
      </c>
      <c r="L505" s="237">
        <v>0</v>
      </c>
      <c r="M505" s="237">
        <v>2</v>
      </c>
      <c r="N505" s="237">
        <v>0</v>
      </c>
      <c r="P505" s="239">
        <f t="shared" ref="P505:P539" si="46">(AVERAGE(I505,K505,M505)/G505)*H505</f>
        <v>640</v>
      </c>
      <c r="Q505" s="239">
        <f t="shared" si="43"/>
        <v>0</v>
      </c>
      <c r="R505" s="240">
        <f t="shared" si="44"/>
        <v>1</v>
      </c>
      <c r="S505" s="241" t="str">
        <f>D505</f>
        <v>K-6 Ambient</v>
      </c>
      <c r="T505" s="242"/>
      <c r="U505" s="242"/>
      <c r="V505" s="242"/>
      <c r="Y505" s="87" t="str">
        <f>D505</f>
        <v>K-6 Ambient</v>
      </c>
      <c r="Z505" s="323">
        <f>SUMIFS($P$441:$P$504, $D$441:$D$504, Y505, $F$441:$F$504, "&lt;200") + SUMIFS($Q$441:$Q$504, $D$441:$D$504, Y505, $F$441:$F$504, "&lt;200")</f>
        <v>55733.333333333336</v>
      </c>
      <c r="AA505" s="118">
        <f>SUM(P505:Q508)</f>
        <v>53133.333333333328</v>
      </c>
      <c r="AB505" s="118">
        <f>SUMIFS(Collection!O:O, Collection!B:B, "*" &amp; 'Bucket Counts'!Y505 &amp; "*", Collection!A:A, "&lt;" &amp; 'Bucket Counts'!A505,Collection!A:A,  "&gt;=" &amp; 'Bucket Counts'!$A$441)</f>
        <v>0</v>
      </c>
      <c r="AC505" s="104">
        <f>AA505/(Z505+AB505)</f>
        <v>0.95334928229665061</v>
      </c>
    </row>
    <row r="506" spans="1:30" s="60" customFormat="1" x14ac:dyDescent="0.2">
      <c r="A506" s="132">
        <v>42915</v>
      </c>
      <c r="B506" s="409">
        <v>17</v>
      </c>
      <c r="C506" s="58"/>
      <c r="D506" s="59" t="s">
        <v>38</v>
      </c>
      <c r="E506" s="135">
        <v>1</v>
      </c>
      <c r="F506" s="87">
        <v>180</v>
      </c>
      <c r="G506" s="87">
        <v>1</v>
      </c>
      <c r="H506" s="60">
        <v>500</v>
      </c>
      <c r="I506" s="60">
        <v>24</v>
      </c>
      <c r="J506" s="60">
        <v>0</v>
      </c>
      <c r="K506" s="60">
        <v>27</v>
      </c>
      <c r="L506" s="60">
        <v>0</v>
      </c>
      <c r="M506" s="87">
        <v>18</v>
      </c>
      <c r="N506" s="60">
        <v>0</v>
      </c>
      <c r="P506" s="118">
        <f t="shared" si="46"/>
        <v>11500</v>
      </c>
      <c r="Q506" s="118">
        <f t="shared" si="43"/>
        <v>0</v>
      </c>
      <c r="R506" s="104">
        <f t="shared" si="44"/>
        <v>1</v>
      </c>
      <c r="S506" s="178">
        <f>(SUM(P505:P508)/(SUM(P505:Q508)))</f>
        <v>0.94002509410288582</v>
      </c>
      <c r="T506" s="63"/>
      <c r="U506" s="63"/>
      <c r="V506" s="63"/>
      <c r="Y506" s="87"/>
      <c r="Z506" s="329"/>
      <c r="AA506" s="118"/>
      <c r="AB506" s="118"/>
    </row>
    <row r="507" spans="1:30" s="60" customFormat="1" x14ac:dyDescent="0.2">
      <c r="A507" s="132">
        <v>42915</v>
      </c>
      <c r="B507" s="409">
        <v>17</v>
      </c>
      <c r="C507" s="58"/>
      <c r="D507" s="59" t="s">
        <v>38</v>
      </c>
      <c r="E507" s="135">
        <v>1</v>
      </c>
      <c r="F507" s="87">
        <v>100</v>
      </c>
      <c r="G507" s="87">
        <v>1</v>
      </c>
      <c r="H507" s="60">
        <v>500</v>
      </c>
      <c r="I507" s="60">
        <v>68</v>
      </c>
      <c r="J507" s="60">
        <v>2</v>
      </c>
      <c r="K507" s="60">
        <v>73</v>
      </c>
      <c r="L507" s="60">
        <v>1</v>
      </c>
      <c r="M507" s="60">
        <v>64</v>
      </c>
      <c r="N507" s="60">
        <v>0</v>
      </c>
      <c r="P507" s="118">
        <f t="shared" si="46"/>
        <v>34166.666666666664</v>
      </c>
      <c r="Q507" s="118">
        <f t="shared" si="43"/>
        <v>500</v>
      </c>
      <c r="R507" s="104">
        <f t="shared" si="44"/>
        <v>0.98557692307692313</v>
      </c>
      <c r="S507" s="176"/>
      <c r="T507" s="63"/>
      <c r="U507" s="63"/>
      <c r="V507" s="63"/>
      <c r="Y507" s="87"/>
      <c r="Z507" s="329"/>
      <c r="AA507" s="118"/>
      <c r="AB507" s="118"/>
    </row>
    <row r="508" spans="1:30" s="60" customFormat="1" x14ac:dyDescent="0.2">
      <c r="A508" s="132">
        <v>42915</v>
      </c>
      <c r="B508" s="417">
        <v>17</v>
      </c>
      <c r="C508" s="58"/>
      <c r="D508" s="244" t="s">
        <v>38</v>
      </c>
      <c r="E508" s="135">
        <v>1</v>
      </c>
      <c r="F508" s="87" t="s">
        <v>201</v>
      </c>
      <c r="G508" s="87">
        <v>1</v>
      </c>
      <c r="H508" s="60">
        <v>260</v>
      </c>
      <c r="I508" s="60">
        <v>10</v>
      </c>
      <c r="J508" s="60">
        <v>6</v>
      </c>
      <c r="K508" s="60">
        <v>17</v>
      </c>
      <c r="L508" s="60">
        <v>13</v>
      </c>
      <c r="M508" s="60">
        <v>15</v>
      </c>
      <c r="N508" s="60">
        <v>12</v>
      </c>
      <c r="P508" s="118">
        <f t="shared" si="46"/>
        <v>3640</v>
      </c>
      <c r="Q508" s="118">
        <f t="shared" si="43"/>
        <v>2686.666666666667</v>
      </c>
      <c r="R508" s="104">
        <f t="shared" si="44"/>
        <v>0.57534246575342463</v>
      </c>
      <c r="S508" s="179"/>
      <c r="T508" s="63"/>
      <c r="U508" s="63"/>
      <c r="V508" s="63"/>
      <c r="Y508" s="87"/>
      <c r="Z508" s="329"/>
      <c r="AA508" s="118"/>
      <c r="AB508" s="118"/>
    </row>
    <row r="509" spans="1:30" s="60" customFormat="1" x14ac:dyDescent="0.2">
      <c r="A509" s="132">
        <v>42915</v>
      </c>
      <c r="B509" s="118">
        <v>16</v>
      </c>
      <c r="C509" s="58"/>
      <c r="D509" s="60" t="s">
        <v>87</v>
      </c>
      <c r="E509" s="135">
        <v>1</v>
      </c>
      <c r="F509" s="87">
        <v>224</v>
      </c>
      <c r="G509" s="87">
        <v>2</v>
      </c>
      <c r="H509" s="60">
        <v>240</v>
      </c>
      <c r="I509" s="60">
        <v>0</v>
      </c>
      <c r="J509" s="60">
        <v>0</v>
      </c>
      <c r="K509" s="60">
        <v>0</v>
      </c>
      <c r="L509" s="60">
        <v>0</v>
      </c>
      <c r="M509" s="60">
        <v>1</v>
      </c>
      <c r="N509" s="60">
        <v>0</v>
      </c>
      <c r="P509" s="118">
        <f t="shared" si="46"/>
        <v>40</v>
      </c>
      <c r="Q509" s="118">
        <f t="shared" si="43"/>
        <v>0</v>
      </c>
      <c r="R509" s="104">
        <f t="shared" si="44"/>
        <v>1</v>
      </c>
      <c r="S509" s="180" t="str">
        <f>D509</f>
        <v>SN-6 Ambient</v>
      </c>
      <c r="T509" s="63"/>
      <c r="U509" s="63"/>
      <c r="V509" s="63"/>
      <c r="W509" s="60" t="s">
        <v>259</v>
      </c>
      <c r="Y509" s="87" t="str">
        <f>D509</f>
        <v>SN-6 Ambient</v>
      </c>
      <c r="Z509" s="323">
        <f>SUMIFS($P$441:$P$504, $D$441:$D$504, Y509, $F$441:$F$504, "&lt;200") + SUMIFS($Q$441:$Q$504, $D$441:$D$504, Y509, $F$441:$F$504, "&lt;200")</f>
        <v>34913.333333333328</v>
      </c>
      <c r="AA509" s="118">
        <f>SUM(P509:Q512)</f>
        <v>21863.333333333332</v>
      </c>
      <c r="AB509" s="118">
        <f>SUMIFS(Collection!O:O, Collection!B:B, "*" &amp; 'Bucket Counts'!Y509 &amp; "*", Collection!A:A, "&lt;" &amp; 'Bucket Counts'!A509,Collection!A:A,  "&gt;=" &amp; 'Bucket Counts'!$A$441)</f>
        <v>0</v>
      </c>
      <c r="AC509" s="104">
        <f>AA509/(Z509+AB509)</f>
        <v>0.62621729998090514</v>
      </c>
      <c r="AD509" s="345">
        <f>0.94*Z509-AA509</f>
        <v>10955.199999999993</v>
      </c>
    </row>
    <row r="510" spans="1:30" s="60" customFormat="1" x14ac:dyDescent="0.2">
      <c r="A510" s="132">
        <v>42915</v>
      </c>
      <c r="B510" s="118">
        <v>16</v>
      </c>
      <c r="C510" s="58"/>
      <c r="D510" s="60" t="s">
        <v>87</v>
      </c>
      <c r="E510" s="135">
        <v>1</v>
      </c>
      <c r="F510" s="87">
        <v>180</v>
      </c>
      <c r="G510" s="87">
        <v>1</v>
      </c>
      <c r="H510" s="60">
        <v>340</v>
      </c>
      <c r="I510" s="60">
        <v>13</v>
      </c>
      <c r="J510" s="60">
        <v>0</v>
      </c>
      <c r="K510" s="60">
        <v>17</v>
      </c>
      <c r="L510" s="60">
        <v>1</v>
      </c>
      <c r="M510" s="60">
        <v>17</v>
      </c>
      <c r="N510" s="60">
        <v>2</v>
      </c>
      <c r="P510" s="118">
        <f t="shared" si="46"/>
        <v>5326.6666666666661</v>
      </c>
      <c r="Q510" s="118">
        <f t="shared" ref="Q510:Q525" si="47">(AVERAGE(J514,L514,N514)/G510)*H510</f>
        <v>0</v>
      </c>
      <c r="R510" s="104">
        <f t="shared" si="44"/>
        <v>1</v>
      </c>
      <c r="S510" s="178">
        <f>(SUM(P509:P512)/(SUM(P509:Q512)))</f>
        <v>0.89983229150785182</v>
      </c>
      <c r="T510" s="63"/>
      <c r="U510" s="63"/>
      <c r="V510" s="63"/>
      <c r="Y510" s="87"/>
      <c r="Z510" s="329"/>
      <c r="AA510" s="118"/>
      <c r="AB510" s="118"/>
    </row>
    <row r="511" spans="1:30" s="60" customFormat="1" x14ac:dyDescent="0.2">
      <c r="A511" s="132">
        <v>42915</v>
      </c>
      <c r="B511" s="118">
        <v>16</v>
      </c>
      <c r="C511" s="58"/>
      <c r="D511" s="60" t="s">
        <v>87</v>
      </c>
      <c r="E511" s="135">
        <v>1</v>
      </c>
      <c r="F511" s="87">
        <v>100</v>
      </c>
      <c r="G511" s="87">
        <v>1</v>
      </c>
      <c r="H511" s="60">
        <v>350</v>
      </c>
      <c r="I511" s="60">
        <v>32</v>
      </c>
      <c r="J511" s="60">
        <v>5</v>
      </c>
      <c r="K511" s="60">
        <v>44</v>
      </c>
      <c r="L511" s="60">
        <v>6</v>
      </c>
      <c r="M511" s="60">
        <v>34</v>
      </c>
      <c r="N511" s="60">
        <v>5</v>
      </c>
      <c r="P511" s="118">
        <f t="shared" si="46"/>
        <v>12833.333333333332</v>
      </c>
      <c r="Q511" s="118">
        <f t="shared" si="47"/>
        <v>1283.3333333333333</v>
      </c>
      <c r="R511" s="104">
        <f t="shared" si="44"/>
        <v>0.90909090909090906</v>
      </c>
      <c r="S511" s="179"/>
      <c r="T511" s="63"/>
      <c r="U511" s="63"/>
      <c r="V511" s="63"/>
      <c r="Y511" s="87"/>
      <c r="Z511" s="329"/>
      <c r="AA511" s="118"/>
      <c r="AB511" s="118"/>
    </row>
    <row r="512" spans="1:30" s="60" customFormat="1" x14ac:dyDescent="0.2">
      <c r="A512" s="132">
        <v>42915</v>
      </c>
      <c r="B512" s="118">
        <v>16</v>
      </c>
      <c r="C512" s="58"/>
      <c r="D512" s="60" t="s">
        <v>87</v>
      </c>
      <c r="E512" s="135">
        <v>1</v>
      </c>
      <c r="F512" s="87" t="s">
        <v>201</v>
      </c>
      <c r="G512" s="87">
        <v>1</v>
      </c>
      <c r="H512" s="60">
        <v>340</v>
      </c>
      <c r="I512" s="60">
        <v>9</v>
      </c>
      <c r="J512" s="60">
        <v>21</v>
      </c>
      <c r="K512" s="60">
        <v>2</v>
      </c>
      <c r="L512" s="60">
        <v>40</v>
      </c>
      <c r="M512" s="60">
        <v>2</v>
      </c>
      <c r="N512" s="60">
        <v>35</v>
      </c>
      <c r="P512" s="118">
        <f t="shared" si="46"/>
        <v>1473.3333333333333</v>
      </c>
      <c r="Q512" s="118">
        <f t="shared" si="47"/>
        <v>906.66666666666663</v>
      </c>
      <c r="R512" s="104">
        <f t="shared" si="44"/>
        <v>0.61904761904761907</v>
      </c>
      <c r="S512" s="179"/>
      <c r="T512" s="63"/>
      <c r="U512" s="63"/>
      <c r="V512" s="63"/>
      <c r="Y512" s="87"/>
      <c r="Z512" s="329"/>
      <c r="AA512" s="118"/>
      <c r="AB512" s="118"/>
    </row>
    <row r="513" spans="1:29" s="60" customFormat="1" x14ac:dyDescent="0.2">
      <c r="A513" s="132">
        <v>42915</v>
      </c>
      <c r="B513" s="118">
        <v>18</v>
      </c>
      <c r="C513" s="58"/>
      <c r="D513" s="60" t="s">
        <v>20</v>
      </c>
      <c r="E513" s="60">
        <v>2</v>
      </c>
      <c r="F513" s="87">
        <v>224</v>
      </c>
      <c r="G513" s="87">
        <v>2</v>
      </c>
      <c r="H513" s="60">
        <v>270</v>
      </c>
      <c r="I513" s="60">
        <v>0</v>
      </c>
      <c r="J513" s="60">
        <v>0</v>
      </c>
      <c r="K513" s="60">
        <v>0</v>
      </c>
      <c r="L513" s="60">
        <v>0</v>
      </c>
      <c r="M513" s="60">
        <v>0</v>
      </c>
      <c r="N513" s="60">
        <v>0</v>
      </c>
      <c r="P513" s="118">
        <f t="shared" si="46"/>
        <v>0</v>
      </c>
      <c r="Q513" s="118">
        <f t="shared" si="47"/>
        <v>135</v>
      </c>
      <c r="R513" s="104">
        <f t="shared" si="44"/>
        <v>0</v>
      </c>
      <c r="S513" s="180" t="str">
        <f>D513</f>
        <v>K-10 Low</v>
      </c>
      <c r="T513" s="63"/>
      <c r="U513" s="63"/>
      <c r="V513" s="63"/>
      <c r="W513" s="60" t="s">
        <v>260</v>
      </c>
      <c r="Y513" s="87" t="str">
        <f>D513</f>
        <v>K-10 Low</v>
      </c>
      <c r="Z513" s="323">
        <f>SUMIFS($P$441:$P$504, $D$441:$D$504, Y513, $F$441:$F$504, "&lt;200") + SUMIFS($Q$441:$Q$504, $D$441:$D$504, Y513, $F$441:$F$504, "&lt;200")</f>
        <v>6451.666666666667</v>
      </c>
      <c r="AA513" s="118">
        <f>SUM(P513:Q516)</f>
        <v>7426.6666666666661</v>
      </c>
      <c r="AB513" s="118">
        <f>SUMIFS(Collection!O:O, Collection!B:B, "*" &amp; 'Bucket Counts'!Y513 &amp; "*", Collection!A:A, "&lt;" &amp; 'Bucket Counts'!A513,Collection!A:A,  "&gt;=" &amp; 'Bucket Counts'!$A$441)</f>
        <v>0</v>
      </c>
      <c r="AC513" s="104">
        <f>AA513/(Z513+AB513)</f>
        <v>1.1511237406354946</v>
      </c>
    </row>
    <row r="514" spans="1:29" s="60" customFormat="1" x14ac:dyDescent="0.2">
      <c r="A514" s="132">
        <v>42915</v>
      </c>
      <c r="B514" s="118">
        <v>18</v>
      </c>
      <c r="C514" s="58"/>
      <c r="D514" s="60" t="s">
        <v>20</v>
      </c>
      <c r="E514" s="60">
        <v>2</v>
      </c>
      <c r="F514" s="87">
        <v>180</v>
      </c>
      <c r="G514" s="87">
        <v>2</v>
      </c>
      <c r="H514" s="60">
        <v>250</v>
      </c>
      <c r="I514" s="60">
        <v>10</v>
      </c>
      <c r="J514" s="60">
        <v>0</v>
      </c>
      <c r="K514" s="60">
        <v>6</v>
      </c>
      <c r="L514" s="60">
        <v>0</v>
      </c>
      <c r="M514" s="60">
        <v>5</v>
      </c>
      <c r="N514" s="60">
        <v>0</v>
      </c>
      <c r="P514" s="118">
        <f t="shared" si="46"/>
        <v>875</v>
      </c>
      <c r="Q514" s="118">
        <f t="shared" si="47"/>
        <v>83.333333333333329</v>
      </c>
      <c r="R514" s="104">
        <f t="shared" si="44"/>
        <v>0.91304347826086951</v>
      </c>
      <c r="S514" s="178">
        <f>(SUM(P513:P516)/(SUM(P513:Q516)))</f>
        <v>0.6115350089766608</v>
      </c>
      <c r="T514" s="63"/>
      <c r="U514" s="63"/>
      <c r="V514" s="63"/>
      <c r="Y514" s="87"/>
      <c r="Z514" s="329"/>
      <c r="AA514" s="118"/>
      <c r="AB514" s="118"/>
    </row>
    <row r="515" spans="1:29" s="60" customFormat="1" x14ac:dyDescent="0.2">
      <c r="A515" s="132">
        <v>42915</v>
      </c>
      <c r="B515" s="118">
        <v>18</v>
      </c>
      <c r="C515" s="58"/>
      <c r="D515" s="60" t="s">
        <v>20</v>
      </c>
      <c r="E515" s="60">
        <v>2</v>
      </c>
      <c r="F515" s="87">
        <v>100</v>
      </c>
      <c r="G515" s="87">
        <v>1</v>
      </c>
      <c r="H515" s="60">
        <v>250</v>
      </c>
      <c r="I515" s="60">
        <v>10</v>
      </c>
      <c r="J515" s="60">
        <v>4</v>
      </c>
      <c r="K515" s="60">
        <v>11</v>
      </c>
      <c r="L515" s="60">
        <v>1</v>
      </c>
      <c r="M515" s="60">
        <v>12</v>
      </c>
      <c r="N515" s="60">
        <v>6</v>
      </c>
      <c r="P515" s="118">
        <f t="shared" si="46"/>
        <v>2750</v>
      </c>
      <c r="Q515" s="118">
        <f t="shared" si="47"/>
        <v>500</v>
      </c>
      <c r="R515" s="104">
        <f t="shared" si="44"/>
        <v>0.84615384615384615</v>
      </c>
      <c r="S515" s="179"/>
      <c r="T515" s="63"/>
      <c r="U515" s="63"/>
      <c r="V515" s="63"/>
      <c r="Y515" s="87"/>
      <c r="Z515" s="329"/>
      <c r="AA515" s="118"/>
      <c r="AB515" s="118"/>
    </row>
    <row r="516" spans="1:29" s="60" customFormat="1" x14ac:dyDescent="0.2">
      <c r="A516" s="132">
        <v>42915</v>
      </c>
      <c r="B516" s="118">
        <v>18</v>
      </c>
      <c r="C516" s="58"/>
      <c r="D516" s="60" t="s">
        <v>20</v>
      </c>
      <c r="E516" s="60">
        <v>2</v>
      </c>
      <c r="F516" s="87" t="s">
        <v>201</v>
      </c>
      <c r="G516" s="87">
        <v>1</v>
      </c>
      <c r="H516" s="245">
        <v>250</v>
      </c>
      <c r="I516" s="60">
        <v>4</v>
      </c>
      <c r="J516" s="60">
        <v>3</v>
      </c>
      <c r="K516" s="60">
        <v>4</v>
      </c>
      <c r="L516" s="60">
        <v>3</v>
      </c>
      <c r="M516" s="60">
        <v>3</v>
      </c>
      <c r="N516" s="60">
        <v>2</v>
      </c>
      <c r="P516" s="118">
        <f t="shared" si="46"/>
        <v>916.66666666666663</v>
      </c>
      <c r="Q516" s="118">
        <f t="shared" si="47"/>
        <v>2166.6666666666665</v>
      </c>
      <c r="R516" s="104">
        <f t="shared" si="44"/>
        <v>0.29729729729729731</v>
      </c>
      <c r="S516" s="179"/>
      <c r="T516" s="63"/>
      <c r="U516" s="63"/>
      <c r="V516" s="63"/>
      <c r="Y516" s="87"/>
      <c r="Z516" s="329"/>
      <c r="AA516" s="118"/>
      <c r="AB516" s="118"/>
    </row>
    <row r="517" spans="1:29" s="60" customFormat="1" x14ac:dyDescent="0.2">
      <c r="A517" s="132">
        <v>42915</v>
      </c>
      <c r="B517" s="409">
        <v>3</v>
      </c>
      <c r="C517" s="58"/>
      <c r="D517" s="59" t="s">
        <v>84</v>
      </c>
      <c r="E517" s="60">
        <v>2</v>
      </c>
      <c r="F517" s="87">
        <v>224</v>
      </c>
      <c r="G517" s="87">
        <v>2</v>
      </c>
      <c r="H517" s="245">
        <v>230</v>
      </c>
      <c r="I517" s="60">
        <v>1</v>
      </c>
      <c r="J517" s="60">
        <v>0</v>
      </c>
      <c r="K517" s="60">
        <v>1</v>
      </c>
      <c r="L517" s="60">
        <v>1</v>
      </c>
      <c r="M517" s="60">
        <v>1</v>
      </c>
      <c r="N517" s="60">
        <v>2</v>
      </c>
      <c r="P517" s="118">
        <f t="shared" si="46"/>
        <v>115</v>
      </c>
      <c r="Q517" s="118">
        <f t="shared" si="47"/>
        <v>0</v>
      </c>
      <c r="R517" s="104">
        <f t="shared" si="44"/>
        <v>1</v>
      </c>
      <c r="S517" s="180" t="str">
        <f>D517</f>
        <v>NF-10 Ambient</v>
      </c>
      <c r="T517" s="63"/>
      <c r="U517" s="63"/>
      <c r="V517" s="63"/>
      <c r="Y517" s="87" t="str">
        <f>D517</f>
        <v>NF-10 Ambient</v>
      </c>
      <c r="Z517" s="323">
        <f>SUMIFS($P$441:$P$504, $D$441:$D$504, Y517, $F$441:$F$504, "&lt;200") + SUMIFS($Q$441:$Q$504, $D$441:$D$504, Y517, $F$441:$F$504, "&lt;200")</f>
        <v>8450</v>
      </c>
      <c r="AA517" s="118">
        <f>SUM(P517:Q520)</f>
        <v>5918.333333333333</v>
      </c>
      <c r="AB517" s="118">
        <f>SUMIFS(Collection!O:O, Collection!B:B, "*" &amp; 'Bucket Counts'!Y517 &amp; "*", Collection!A:A, "&lt;" &amp; 'Bucket Counts'!A517,Collection!A:A,  "&gt;=" &amp; 'Bucket Counts'!$A$441)</f>
        <v>0</v>
      </c>
      <c r="AC517" s="104">
        <f>AA517/(Z517+AB517)</f>
        <v>0.70039447731755422</v>
      </c>
    </row>
    <row r="518" spans="1:29" s="60" customFormat="1" x14ac:dyDescent="0.2">
      <c r="A518" s="132">
        <v>42915</v>
      </c>
      <c r="B518" s="409">
        <v>3</v>
      </c>
      <c r="C518" s="58"/>
      <c r="D518" s="59" t="s">
        <v>84</v>
      </c>
      <c r="E518" s="60">
        <v>2</v>
      </c>
      <c r="F518" s="87">
        <v>180</v>
      </c>
      <c r="G518" s="87">
        <v>2</v>
      </c>
      <c r="H518" s="245">
        <v>290</v>
      </c>
      <c r="I518" s="60">
        <v>10</v>
      </c>
      <c r="J518" s="60">
        <v>1</v>
      </c>
      <c r="K518" s="60">
        <v>5</v>
      </c>
      <c r="L518" s="60">
        <v>0</v>
      </c>
      <c r="M518" s="60">
        <v>5</v>
      </c>
      <c r="N518" s="60">
        <v>1</v>
      </c>
      <c r="P518" s="118">
        <f t="shared" si="46"/>
        <v>966.66666666666674</v>
      </c>
      <c r="Q518" s="118">
        <f t="shared" si="47"/>
        <v>0</v>
      </c>
      <c r="R518" s="104">
        <f t="shared" si="44"/>
        <v>1</v>
      </c>
      <c r="S518" s="178">
        <f>(SUM(P517:P520)/(SUM(P517:Q520)))</f>
        <v>0.5212616164460715</v>
      </c>
      <c r="T518" s="63"/>
      <c r="U518" s="63"/>
      <c r="V518" s="63"/>
      <c r="Y518" s="87"/>
      <c r="Z518" s="329"/>
      <c r="AA518" s="118"/>
      <c r="AB518" s="118"/>
    </row>
    <row r="519" spans="1:29" s="60" customFormat="1" x14ac:dyDescent="0.2">
      <c r="A519" s="132">
        <v>42915</v>
      </c>
      <c r="B519" s="409">
        <v>3</v>
      </c>
      <c r="C519" s="58"/>
      <c r="D519" s="59" t="s">
        <v>84</v>
      </c>
      <c r="E519" s="60">
        <v>2</v>
      </c>
      <c r="F519" s="87">
        <v>100</v>
      </c>
      <c r="G519" s="87">
        <v>1</v>
      </c>
      <c r="H519" s="245">
        <v>290</v>
      </c>
      <c r="I519" s="60">
        <v>7</v>
      </c>
      <c r="J519" s="60">
        <v>2</v>
      </c>
      <c r="K519" s="60">
        <v>6</v>
      </c>
      <c r="L519" s="60">
        <v>3</v>
      </c>
      <c r="M519" s="60">
        <v>6</v>
      </c>
      <c r="N519" s="60">
        <v>1</v>
      </c>
      <c r="P519" s="118">
        <f t="shared" si="46"/>
        <v>1836.6666666666665</v>
      </c>
      <c r="Q519" s="118">
        <f t="shared" si="47"/>
        <v>0</v>
      </c>
      <c r="R519" s="104">
        <f t="shared" si="44"/>
        <v>1</v>
      </c>
      <c r="S519" s="179"/>
      <c r="T519" s="63"/>
      <c r="U519" s="63"/>
      <c r="V519" s="63"/>
      <c r="Y519" s="87"/>
      <c r="Z519" s="329"/>
      <c r="AA519" s="118"/>
      <c r="AB519" s="118"/>
    </row>
    <row r="520" spans="1:29" s="60" customFormat="1" x14ac:dyDescent="0.2">
      <c r="A520" s="132">
        <v>42915</v>
      </c>
      <c r="B520" s="409">
        <v>3</v>
      </c>
      <c r="C520" s="58"/>
      <c r="D520" s="59" t="s">
        <v>84</v>
      </c>
      <c r="E520" s="60">
        <v>2</v>
      </c>
      <c r="F520" s="87" t="s">
        <v>201</v>
      </c>
      <c r="G520" s="87">
        <v>1</v>
      </c>
      <c r="H520" s="245">
        <v>250</v>
      </c>
      <c r="I520" s="60">
        <v>1</v>
      </c>
      <c r="J520" s="60">
        <v>11</v>
      </c>
      <c r="K520" s="60">
        <v>1</v>
      </c>
      <c r="L520" s="60">
        <v>9</v>
      </c>
      <c r="M520" s="60">
        <v>0</v>
      </c>
      <c r="N520" s="60">
        <v>6</v>
      </c>
      <c r="P520" s="118">
        <f t="shared" si="46"/>
        <v>166.66666666666666</v>
      </c>
      <c r="Q520" s="118">
        <f t="shared" si="47"/>
        <v>2833.3333333333335</v>
      </c>
      <c r="R520" s="104">
        <f t="shared" si="44"/>
        <v>5.5555555555555552E-2</v>
      </c>
      <c r="S520" s="179"/>
      <c r="T520" s="63"/>
      <c r="U520" s="63"/>
      <c r="V520" s="63"/>
      <c r="Y520" s="87"/>
      <c r="Z520" s="329"/>
      <c r="AA520" s="118"/>
      <c r="AB520" s="118"/>
    </row>
    <row r="521" spans="1:29" s="60" customFormat="1" x14ac:dyDescent="0.2">
      <c r="A521" s="132">
        <v>42915</v>
      </c>
      <c r="B521" s="118">
        <v>21</v>
      </c>
      <c r="C521" s="58"/>
      <c r="D521" s="60" t="s">
        <v>108</v>
      </c>
      <c r="E521" s="60">
        <v>3</v>
      </c>
      <c r="F521" s="87">
        <v>224</v>
      </c>
      <c r="G521" s="87">
        <v>1</v>
      </c>
      <c r="H521" s="245">
        <v>330</v>
      </c>
      <c r="I521" s="60">
        <v>1</v>
      </c>
      <c r="J521" s="60">
        <v>0</v>
      </c>
      <c r="K521" s="60">
        <v>0</v>
      </c>
      <c r="L521" s="60">
        <v>0</v>
      </c>
      <c r="M521" s="60">
        <v>1</v>
      </c>
      <c r="N521" s="60">
        <v>0</v>
      </c>
      <c r="P521" s="118">
        <f t="shared" si="46"/>
        <v>220</v>
      </c>
      <c r="Q521" s="118">
        <f t="shared" si="47"/>
        <v>0</v>
      </c>
      <c r="R521" s="104">
        <f t="shared" si="44"/>
        <v>1</v>
      </c>
      <c r="S521" s="180" t="str">
        <f>D521</f>
        <v>HL-10 Low</v>
      </c>
      <c r="T521" s="63"/>
      <c r="U521" s="63"/>
      <c r="V521" s="63"/>
      <c r="Y521" s="87" t="str">
        <f>D521</f>
        <v>HL-10 Low</v>
      </c>
      <c r="Z521" s="323">
        <f>SUMIFS($P$441:$P$504, $D$441:$D$504, Y521, $F$441:$F$504, "&lt;200") + SUMIFS($Q$441:$Q$504, $D$441:$D$504, Y521, $F$441:$F$504, "&lt;200")</f>
        <v>45833.333333333328</v>
      </c>
      <c r="AA521" s="118">
        <f>SUM(P521:Q524)</f>
        <v>43313.333333333336</v>
      </c>
      <c r="AB521" s="118">
        <f>SUMIFS(Collection!O:O, Collection!B:B, "*" &amp; 'Bucket Counts'!Y521 &amp; "*", Collection!A:A, "&lt;" &amp; 'Bucket Counts'!A521,Collection!A:A,  "&gt;=" &amp; 'Bucket Counts'!$A$441)</f>
        <v>0</v>
      </c>
      <c r="AC521" s="104">
        <f>AA521/(Z521+AB521)</f>
        <v>0.94501818181818198</v>
      </c>
    </row>
    <row r="522" spans="1:29" s="60" customFormat="1" x14ac:dyDescent="0.2">
      <c r="A522" s="132">
        <v>42915</v>
      </c>
      <c r="B522" s="118">
        <v>21</v>
      </c>
      <c r="C522" s="58"/>
      <c r="D522" s="60" t="s">
        <v>108</v>
      </c>
      <c r="E522" s="60">
        <v>3</v>
      </c>
      <c r="F522" s="87">
        <v>180</v>
      </c>
      <c r="G522" s="87">
        <v>1</v>
      </c>
      <c r="H522" s="245">
        <v>490</v>
      </c>
      <c r="I522" s="60">
        <v>19</v>
      </c>
      <c r="J522" s="60">
        <v>0</v>
      </c>
      <c r="K522" s="60">
        <v>26</v>
      </c>
      <c r="L522" s="60">
        <v>0</v>
      </c>
      <c r="M522" s="60">
        <v>29</v>
      </c>
      <c r="N522" s="60">
        <v>0</v>
      </c>
      <c r="P522" s="118">
        <f t="shared" si="46"/>
        <v>12086.666666666668</v>
      </c>
      <c r="Q522" s="118">
        <f t="shared" si="47"/>
        <v>0</v>
      </c>
      <c r="R522" s="104">
        <f t="shared" si="44"/>
        <v>1</v>
      </c>
      <c r="S522" s="178">
        <f>(SUM(P521:P524)/(SUM(P521:Q524)))</f>
        <v>0.96929352008619363</v>
      </c>
      <c r="T522" s="63"/>
      <c r="U522" s="63"/>
      <c r="V522" s="63"/>
      <c r="Y522" s="87"/>
      <c r="Z522" s="329"/>
      <c r="AA522" s="118"/>
      <c r="AB522" s="118"/>
    </row>
    <row r="523" spans="1:29" s="60" customFormat="1" x14ac:dyDescent="0.2">
      <c r="A523" s="132">
        <v>42915</v>
      </c>
      <c r="B523" s="118">
        <v>21</v>
      </c>
      <c r="C523" s="58"/>
      <c r="D523" s="60" t="s">
        <v>108</v>
      </c>
      <c r="E523" s="60">
        <v>3</v>
      </c>
      <c r="F523" s="87">
        <v>100</v>
      </c>
      <c r="G523" s="87">
        <v>1</v>
      </c>
      <c r="H523" s="245">
        <v>480</v>
      </c>
      <c r="I523" s="60">
        <v>64</v>
      </c>
      <c r="J523" s="60">
        <v>0</v>
      </c>
      <c r="K523" s="60">
        <v>64</v>
      </c>
      <c r="L523" s="60">
        <v>0</v>
      </c>
      <c r="M523" s="60">
        <v>57</v>
      </c>
      <c r="N523" s="60">
        <v>0</v>
      </c>
      <c r="P523" s="118">
        <f t="shared" si="46"/>
        <v>29600</v>
      </c>
      <c r="Q523" s="118">
        <f t="shared" si="47"/>
        <v>640</v>
      </c>
      <c r="R523" s="104">
        <f t="shared" si="44"/>
        <v>0.97883597883597884</v>
      </c>
      <c r="S523" s="179"/>
      <c r="T523" s="63"/>
      <c r="U523" s="63"/>
      <c r="V523" s="63"/>
      <c r="Y523" s="87"/>
      <c r="Z523" s="329"/>
      <c r="AA523" s="118"/>
      <c r="AB523" s="118"/>
    </row>
    <row r="524" spans="1:29" s="60" customFormat="1" x14ac:dyDescent="0.2">
      <c r="A524" s="132">
        <v>42915</v>
      </c>
      <c r="B524" s="118">
        <v>21</v>
      </c>
      <c r="C524" s="58"/>
      <c r="D524" s="60" t="s">
        <v>108</v>
      </c>
      <c r="E524" s="60">
        <v>3</v>
      </c>
      <c r="F524" s="87" t="s">
        <v>201</v>
      </c>
      <c r="G524" s="87">
        <v>1</v>
      </c>
      <c r="H524" s="60">
        <v>230</v>
      </c>
      <c r="I524" s="60">
        <v>0</v>
      </c>
      <c r="J524" s="60">
        <v>15</v>
      </c>
      <c r="K524" s="60">
        <v>0</v>
      </c>
      <c r="L524" s="60">
        <v>5</v>
      </c>
      <c r="M524" s="60">
        <v>1</v>
      </c>
      <c r="N524" s="60">
        <v>14</v>
      </c>
      <c r="P524" s="118">
        <f t="shared" si="46"/>
        <v>76.666666666666657</v>
      </c>
      <c r="Q524" s="118">
        <f t="shared" si="47"/>
        <v>690</v>
      </c>
      <c r="R524" s="104">
        <f t="shared" si="44"/>
        <v>9.9999999999999992E-2</v>
      </c>
      <c r="S524" s="179"/>
      <c r="T524" s="63"/>
      <c r="U524" s="63"/>
      <c r="V524" s="63"/>
      <c r="Y524" s="87"/>
      <c r="Z524" s="329"/>
      <c r="AA524" s="118"/>
      <c r="AB524" s="118"/>
    </row>
    <row r="525" spans="1:29" s="60" customFormat="1" x14ac:dyDescent="0.2">
      <c r="A525" s="132">
        <v>42915</v>
      </c>
      <c r="B525" s="118">
        <v>22</v>
      </c>
      <c r="C525" s="58"/>
      <c r="D525" s="60" t="s">
        <v>17</v>
      </c>
      <c r="E525" s="60">
        <v>3</v>
      </c>
      <c r="F525" s="87">
        <v>224</v>
      </c>
      <c r="G525" s="87">
        <v>1</v>
      </c>
      <c r="H525" s="60">
        <v>230</v>
      </c>
      <c r="I525" s="60">
        <v>1</v>
      </c>
      <c r="J525" s="60">
        <v>0</v>
      </c>
      <c r="K525" s="60">
        <v>0</v>
      </c>
      <c r="L525" s="60">
        <v>0</v>
      </c>
      <c r="M525" s="60">
        <v>1</v>
      </c>
      <c r="N525" s="60">
        <v>0</v>
      </c>
      <c r="P525" s="118">
        <f t="shared" si="46"/>
        <v>153.33333333333331</v>
      </c>
      <c r="Q525" s="118">
        <f t="shared" si="47"/>
        <v>76.666666666666657</v>
      </c>
      <c r="R525" s="104">
        <f t="shared" si="44"/>
        <v>0.66666666666666663</v>
      </c>
      <c r="S525" s="180" t="str">
        <f>D525</f>
        <v>K-10 Ambient</v>
      </c>
      <c r="T525" s="63"/>
      <c r="U525" s="63"/>
      <c r="V525" s="63"/>
      <c r="Y525" s="87" t="str">
        <f>D525</f>
        <v>K-10 Ambient</v>
      </c>
      <c r="Z525" s="323">
        <f>SUMIFS($P$441:$P$504, $D$441:$D$504, Y525, $F$441:$F$504, "&lt;200") + SUMIFS($Q$441:$Q$504, $D$441:$D$504, Y525, $F$441:$F$504, "&lt;200")</f>
        <v>11090</v>
      </c>
      <c r="AA525" s="118">
        <f>SUM(P525:Q528)</f>
        <v>9063.3333333333321</v>
      </c>
      <c r="AB525" s="118">
        <f>SUMIFS(Collection!O:O, Collection!B:B, "*" &amp; 'Bucket Counts'!Y525 &amp; "*", Collection!A:A, "&lt;" &amp; 'Bucket Counts'!A525,Collection!A:A,  "&gt;=" &amp; 'Bucket Counts'!$A$441)</f>
        <v>0</v>
      </c>
      <c r="AC525" s="104">
        <f>AA525/(Z525+AB525)</f>
        <v>0.81725278028253667</v>
      </c>
    </row>
    <row r="526" spans="1:29" s="60" customFormat="1" x14ac:dyDescent="0.2">
      <c r="A526" s="132">
        <v>42915</v>
      </c>
      <c r="B526" s="118">
        <v>22</v>
      </c>
      <c r="C526" s="58"/>
      <c r="D526" s="60" t="s">
        <v>17</v>
      </c>
      <c r="E526" s="60">
        <v>3</v>
      </c>
      <c r="F526" s="87">
        <v>180</v>
      </c>
      <c r="G526" s="87">
        <v>1</v>
      </c>
      <c r="H526" s="60">
        <v>275</v>
      </c>
      <c r="I526" s="60">
        <v>16</v>
      </c>
      <c r="J526" s="60">
        <v>0</v>
      </c>
      <c r="K526" s="60">
        <v>12</v>
      </c>
      <c r="L526" s="60">
        <v>0</v>
      </c>
      <c r="M526" s="60">
        <v>16</v>
      </c>
      <c r="N526" s="60">
        <v>0</v>
      </c>
      <c r="P526" s="118">
        <f t="shared" si="46"/>
        <v>4033.333333333333</v>
      </c>
      <c r="Q526" s="118">
        <f t="shared" si="43"/>
        <v>0</v>
      </c>
      <c r="R526" s="104">
        <f t="shared" si="44"/>
        <v>1</v>
      </c>
      <c r="S526" s="178">
        <f>(SUM(P525:P528)/(SUM(P525:Q528)))</f>
        <v>0.84810592129459361</v>
      </c>
      <c r="T526" s="63"/>
      <c r="Y526" s="87"/>
      <c r="Z526" s="329"/>
      <c r="AA526" s="118"/>
      <c r="AB526" s="118"/>
    </row>
    <row r="527" spans="1:29" s="60" customFormat="1" x14ac:dyDescent="0.2">
      <c r="A527" s="132">
        <v>42915</v>
      </c>
      <c r="B527" s="118">
        <v>22</v>
      </c>
      <c r="C527" s="58"/>
      <c r="D527" s="60" t="s">
        <v>17</v>
      </c>
      <c r="E527" s="60">
        <v>3</v>
      </c>
      <c r="F527" s="87">
        <v>100</v>
      </c>
      <c r="G527" s="87">
        <v>1</v>
      </c>
      <c r="H527" s="60">
        <v>300</v>
      </c>
      <c r="I527" s="60">
        <v>9</v>
      </c>
      <c r="J527" s="60">
        <v>1</v>
      </c>
      <c r="K527" s="60">
        <v>11</v>
      </c>
      <c r="L527" s="60">
        <v>1</v>
      </c>
      <c r="M527" s="60">
        <v>12</v>
      </c>
      <c r="N527" s="60">
        <v>2</v>
      </c>
      <c r="P527" s="118">
        <f t="shared" si="46"/>
        <v>3200</v>
      </c>
      <c r="Q527" s="118">
        <f t="shared" si="43"/>
        <v>400</v>
      </c>
      <c r="R527" s="104">
        <f t="shared" si="44"/>
        <v>0.88888888888888884</v>
      </c>
      <c r="S527" s="179"/>
      <c r="T527" s="63"/>
      <c r="Y527" s="87"/>
      <c r="Z527" s="329"/>
      <c r="AA527" s="118"/>
      <c r="AB527" s="118"/>
    </row>
    <row r="528" spans="1:29" s="60" customFormat="1" x14ac:dyDescent="0.2">
      <c r="A528" s="132">
        <v>42915</v>
      </c>
      <c r="B528" s="118">
        <v>22</v>
      </c>
      <c r="C528" s="58"/>
      <c r="D528" s="60" t="s">
        <v>17</v>
      </c>
      <c r="E528" s="60">
        <v>3</v>
      </c>
      <c r="F528" s="87" t="s">
        <v>201</v>
      </c>
      <c r="G528" s="87">
        <v>1</v>
      </c>
      <c r="H528" s="60">
        <v>300</v>
      </c>
      <c r="I528" s="60">
        <v>1</v>
      </c>
      <c r="J528" s="60">
        <v>2</v>
      </c>
      <c r="K528" s="60">
        <v>1</v>
      </c>
      <c r="L528" s="60">
        <v>5</v>
      </c>
      <c r="M528" s="60">
        <v>1</v>
      </c>
      <c r="N528" s="60">
        <v>2</v>
      </c>
      <c r="P528" s="118">
        <f t="shared" si="46"/>
        <v>300</v>
      </c>
      <c r="Q528" s="118">
        <f t="shared" si="43"/>
        <v>900</v>
      </c>
      <c r="R528" s="104">
        <f t="shared" si="44"/>
        <v>0.25</v>
      </c>
      <c r="S528" s="179"/>
      <c r="T528" s="63"/>
      <c r="Y528" s="87"/>
      <c r="Z528" s="329"/>
      <c r="AA528" s="118"/>
      <c r="AB528" s="118"/>
    </row>
    <row r="529" spans="1:29" s="60" customFormat="1" x14ac:dyDescent="0.2">
      <c r="A529" s="132">
        <v>42915</v>
      </c>
      <c r="B529" s="409">
        <v>19</v>
      </c>
      <c r="C529" s="58"/>
      <c r="D529" s="59" t="s">
        <v>88</v>
      </c>
      <c r="E529" s="60">
        <v>4</v>
      </c>
      <c r="F529" s="87">
        <v>224</v>
      </c>
      <c r="G529" s="87">
        <v>1</v>
      </c>
      <c r="H529" s="60">
        <v>350</v>
      </c>
      <c r="I529" s="60">
        <v>1</v>
      </c>
      <c r="J529" s="60">
        <v>0</v>
      </c>
      <c r="K529" s="60">
        <v>1</v>
      </c>
      <c r="L529" s="60">
        <v>0</v>
      </c>
      <c r="M529" s="60">
        <v>1</v>
      </c>
      <c r="N529" s="60">
        <v>1</v>
      </c>
      <c r="P529" s="118">
        <f t="shared" si="46"/>
        <v>350</v>
      </c>
      <c r="Q529" s="118">
        <f t="shared" si="43"/>
        <v>116.66666666666666</v>
      </c>
      <c r="R529" s="104">
        <f t="shared" si="44"/>
        <v>0.75000000000000011</v>
      </c>
      <c r="S529" s="177" t="str">
        <f>D529</f>
        <v>HL-10 Ambient</v>
      </c>
      <c r="T529" s="63"/>
      <c r="Y529" s="87" t="str">
        <f>D529</f>
        <v>HL-10 Ambient</v>
      </c>
      <c r="Z529" s="323">
        <f>SUMIFS($P$441:$P$504, $D$441:$D$504, Y529, $F$441:$F$504, "&lt;200") + SUMIFS($Q$441:$Q$504, $D$441:$D$504, Y529, $F$441:$F$504, "&lt;200")</f>
        <v>23720</v>
      </c>
      <c r="AA529" s="118">
        <f>SUM(P529:Q532)</f>
        <v>24333.333333333336</v>
      </c>
      <c r="AB529" s="118">
        <f>SUMIFS(Collection!O:O, Collection!B:B, "*" &amp; 'Bucket Counts'!Y529 &amp; "*", Collection!A:A, "&lt;" &amp; 'Bucket Counts'!A529,Collection!A:A,  "&gt;=" &amp; 'Bucket Counts'!$A$441)</f>
        <v>0</v>
      </c>
      <c r="AC529" s="104">
        <f>AA529/(Z529+AB529)</f>
        <v>1.0258572231590783</v>
      </c>
    </row>
    <row r="530" spans="1:29" s="60" customFormat="1" x14ac:dyDescent="0.2">
      <c r="A530" s="132">
        <v>42915</v>
      </c>
      <c r="B530" s="409">
        <v>19</v>
      </c>
      <c r="C530" s="58"/>
      <c r="D530" s="59" t="s">
        <v>88</v>
      </c>
      <c r="E530" s="60">
        <v>4</v>
      </c>
      <c r="F530" s="87">
        <v>180</v>
      </c>
      <c r="G530" s="87">
        <v>1</v>
      </c>
      <c r="H530" s="60">
        <v>350</v>
      </c>
      <c r="I530" s="60">
        <v>9</v>
      </c>
      <c r="J530" s="60">
        <v>1</v>
      </c>
      <c r="K530" s="60">
        <v>12</v>
      </c>
      <c r="L530" s="60">
        <v>1</v>
      </c>
      <c r="M530" s="60">
        <v>12</v>
      </c>
      <c r="N530" s="60">
        <v>1</v>
      </c>
      <c r="P530" s="118">
        <f t="shared" si="46"/>
        <v>3850</v>
      </c>
      <c r="Q530" s="118">
        <f t="shared" si="43"/>
        <v>350</v>
      </c>
      <c r="R530" s="104">
        <f t="shared" si="44"/>
        <v>0.91666666666666663</v>
      </c>
      <c r="S530" s="178">
        <f>(SUM(P529:P532)/(SUM(P529:Q532)))</f>
        <v>0.5</v>
      </c>
      <c r="T530" s="63"/>
      <c r="Y530" s="87"/>
      <c r="Z530" s="329"/>
      <c r="AA530" s="118"/>
      <c r="AB530" s="118"/>
    </row>
    <row r="531" spans="1:29" s="60" customFormat="1" x14ac:dyDescent="0.2">
      <c r="A531" s="132">
        <v>42915</v>
      </c>
      <c r="B531" s="409">
        <v>19</v>
      </c>
      <c r="C531" s="58"/>
      <c r="D531" s="59" t="s">
        <v>88</v>
      </c>
      <c r="E531" s="60">
        <v>4</v>
      </c>
      <c r="F531" s="87">
        <v>100</v>
      </c>
      <c r="G531" s="87">
        <v>1</v>
      </c>
      <c r="H531" s="148">
        <v>400</v>
      </c>
      <c r="I531" s="60">
        <v>30</v>
      </c>
      <c r="J531" s="60">
        <v>5</v>
      </c>
      <c r="K531" s="60">
        <v>15</v>
      </c>
      <c r="L531" s="60">
        <v>9</v>
      </c>
      <c r="M531" s="60">
        <v>14</v>
      </c>
      <c r="N531" s="60">
        <v>13</v>
      </c>
      <c r="P531" s="118">
        <f t="shared" si="46"/>
        <v>7866.666666666667</v>
      </c>
      <c r="Q531" s="118">
        <f t="shared" si="43"/>
        <v>3600</v>
      </c>
      <c r="R531" s="104">
        <f t="shared" si="44"/>
        <v>0.68604651162790697</v>
      </c>
      <c r="S531" s="176"/>
      <c r="T531" s="63"/>
      <c r="Y531" s="87"/>
      <c r="Z531" s="329"/>
      <c r="AA531" s="118"/>
      <c r="AB531" s="118"/>
    </row>
    <row r="532" spans="1:29" s="60" customFormat="1" x14ac:dyDescent="0.2">
      <c r="A532" s="132">
        <v>42915</v>
      </c>
      <c r="B532" s="409">
        <v>19</v>
      </c>
      <c r="C532" s="58"/>
      <c r="D532" s="59" t="s">
        <v>88</v>
      </c>
      <c r="E532" s="60">
        <v>4</v>
      </c>
      <c r="F532" s="87" t="s">
        <v>201</v>
      </c>
      <c r="G532" s="87">
        <v>1</v>
      </c>
      <c r="H532" s="148">
        <v>300</v>
      </c>
      <c r="I532" s="60">
        <v>1</v>
      </c>
      <c r="J532" s="60">
        <v>24</v>
      </c>
      <c r="K532" s="60">
        <v>0</v>
      </c>
      <c r="L532" s="60">
        <v>31</v>
      </c>
      <c r="M532" s="60">
        <v>0</v>
      </c>
      <c r="N532" s="60">
        <v>26</v>
      </c>
      <c r="P532" s="118">
        <f t="shared" si="46"/>
        <v>100</v>
      </c>
      <c r="Q532" s="118">
        <f t="shared" si="43"/>
        <v>8100</v>
      </c>
      <c r="R532" s="104">
        <f t="shared" si="44"/>
        <v>1.2195121951219513E-2</v>
      </c>
      <c r="S532" s="179"/>
      <c r="T532" s="63"/>
      <c r="Y532" s="87"/>
      <c r="Z532" s="329"/>
      <c r="AA532" s="118"/>
      <c r="AB532" s="118"/>
    </row>
    <row r="533" spans="1:29" s="60" customFormat="1" x14ac:dyDescent="0.2">
      <c r="A533" s="132">
        <v>42915</v>
      </c>
      <c r="B533" s="409">
        <v>20</v>
      </c>
      <c r="C533" s="58"/>
      <c r="D533" s="59" t="s">
        <v>46</v>
      </c>
      <c r="E533" s="60">
        <v>4</v>
      </c>
      <c r="F533" s="87">
        <v>224</v>
      </c>
      <c r="G533" s="87">
        <v>1</v>
      </c>
      <c r="H533" s="60">
        <v>300</v>
      </c>
      <c r="I533" s="60">
        <v>8</v>
      </c>
      <c r="J533" s="60">
        <v>0</v>
      </c>
      <c r="K533" s="60">
        <v>7</v>
      </c>
      <c r="L533" s="60">
        <v>0</v>
      </c>
      <c r="M533" s="60">
        <v>5</v>
      </c>
      <c r="N533" s="60">
        <v>0</v>
      </c>
      <c r="P533" s="118">
        <f t="shared" si="46"/>
        <v>2000</v>
      </c>
      <c r="Q533" s="118">
        <f t="shared" si="43"/>
        <v>0</v>
      </c>
      <c r="R533" s="104">
        <f t="shared" si="44"/>
        <v>1</v>
      </c>
      <c r="S533" s="180" t="str">
        <f>D533</f>
        <v>K-6 Low</v>
      </c>
      <c r="T533" s="63"/>
      <c r="Y533" s="87" t="str">
        <f>D533</f>
        <v>K-6 Low</v>
      </c>
      <c r="Z533" s="323">
        <f>SUMIFS($P$441:$P$504, $D$441:$D$504, Y533, $F$441:$F$504, "&lt;200") + SUMIFS($Q$441:$Q$504, $D$441:$D$504, Y533, $F$441:$F$504, "&lt;200")</f>
        <v>17900</v>
      </c>
      <c r="AA533" s="118">
        <f>SUM(P533:Q536)</f>
        <v>25583.333333333328</v>
      </c>
      <c r="AB533" s="118">
        <f>SUMIFS(Collection!O:O, Collection!B:B, "*" &amp; 'Bucket Counts'!Y533 &amp; "*", Collection!A:A, "&lt;" &amp; 'Bucket Counts'!A533,Collection!A:A,  "&gt;=" &amp; 'Bucket Counts'!$A$441)</f>
        <v>0</v>
      </c>
      <c r="AC533" s="104">
        <f>AA533/(Z533+AB533)</f>
        <v>1.429236499068901</v>
      </c>
    </row>
    <row r="534" spans="1:29" s="60" customFormat="1" x14ac:dyDescent="0.2">
      <c r="A534" s="132">
        <v>42915</v>
      </c>
      <c r="B534" s="409">
        <v>20</v>
      </c>
      <c r="C534" s="58"/>
      <c r="D534" s="59" t="s">
        <v>46</v>
      </c>
      <c r="E534" s="60">
        <v>4</v>
      </c>
      <c r="F534" s="87">
        <v>180</v>
      </c>
      <c r="G534" s="87">
        <v>1</v>
      </c>
      <c r="H534" s="60">
        <v>350</v>
      </c>
      <c r="I534" s="60">
        <v>38</v>
      </c>
      <c r="J534" s="60">
        <v>0</v>
      </c>
      <c r="K534" s="60">
        <v>25</v>
      </c>
      <c r="L534" s="60">
        <v>0</v>
      </c>
      <c r="M534" s="60">
        <v>39</v>
      </c>
      <c r="N534" s="60">
        <v>1</v>
      </c>
      <c r="P534" s="118">
        <f t="shared" si="46"/>
        <v>11900</v>
      </c>
      <c r="Q534" s="118">
        <f t="shared" si="43"/>
        <v>116.66666666666666</v>
      </c>
      <c r="R534" s="104">
        <f t="shared" si="44"/>
        <v>0.99029126213592233</v>
      </c>
      <c r="S534" s="178">
        <f>(SUM(P533:P536)/(SUM(P533:Q536)))</f>
        <v>0.91986970684039104</v>
      </c>
      <c r="T534" s="63"/>
      <c r="Y534" s="87"/>
      <c r="Z534" s="329"/>
      <c r="AA534" s="118"/>
      <c r="AB534" s="118"/>
    </row>
    <row r="535" spans="1:29" s="60" customFormat="1" x14ac:dyDescent="0.2">
      <c r="A535" s="132">
        <v>42915</v>
      </c>
      <c r="B535" s="409">
        <v>20</v>
      </c>
      <c r="C535" s="58"/>
      <c r="D535" s="59" t="s">
        <v>46</v>
      </c>
      <c r="E535" s="60">
        <v>4</v>
      </c>
      <c r="F535" s="87">
        <v>100</v>
      </c>
      <c r="G535" s="87">
        <v>1</v>
      </c>
      <c r="H535" s="148">
        <v>300</v>
      </c>
      <c r="I535" s="60">
        <v>23</v>
      </c>
      <c r="J535" s="60">
        <v>0</v>
      </c>
      <c r="K535" s="60">
        <v>26</v>
      </c>
      <c r="L535" s="60">
        <v>1</v>
      </c>
      <c r="M535" s="60">
        <v>29</v>
      </c>
      <c r="N535" s="60">
        <v>0</v>
      </c>
      <c r="P535" s="118">
        <f t="shared" si="46"/>
        <v>7800</v>
      </c>
      <c r="Q535" s="118">
        <f t="shared" si="43"/>
        <v>100</v>
      </c>
      <c r="R535" s="104">
        <f t="shared" si="44"/>
        <v>0.98734177215189878</v>
      </c>
      <c r="S535" s="179"/>
      <c r="T535" s="63"/>
      <c r="Y535" s="87"/>
      <c r="Z535" s="329"/>
      <c r="AA535" s="118"/>
      <c r="AB535" s="118"/>
    </row>
    <row r="536" spans="1:29" s="60" customFormat="1" x14ac:dyDescent="0.2">
      <c r="A536" s="132">
        <v>42915</v>
      </c>
      <c r="B536" s="409">
        <v>20</v>
      </c>
      <c r="C536" s="58"/>
      <c r="D536" s="59" t="s">
        <v>46</v>
      </c>
      <c r="E536" s="60">
        <v>4</v>
      </c>
      <c r="F536" s="87" t="s">
        <v>201</v>
      </c>
      <c r="G536" s="87">
        <v>1</v>
      </c>
      <c r="H536" s="148">
        <v>250</v>
      </c>
      <c r="I536" s="60">
        <v>5</v>
      </c>
      <c r="J536" s="60">
        <v>4</v>
      </c>
      <c r="K536" s="60">
        <v>11</v>
      </c>
      <c r="L536" s="60">
        <v>3</v>
      </c>
      <c r="M536" s="60">
        <v>6</v>
      </c>
      <c r="N536" s="60">
        <v>15</v>
      </c>
      <c r="P536" s="118">
        <f t="shared" si="46"/>
        <v>1833.3333333333333</v>
      </c>
      <c r="Q536" s="118">
        <f t="shared" si="43"/>
        <v>1833.3333333333333</v>
      </c>
      <c r="R536" s="104">
        <f t="shared" si="44"/>
        <v>0.5</v>
      </c>
      <c r="S536" s="179"/>
      <c r="T536" s="63"/>
      <c r="Y536" s="87"/>
      <c r="Z536" s="329"/>
      <c r="AA536" s="118"/>
      <c r="AB536" s="118"/>
    </row>
    <row r="537" spans="1:29" s="60" customFormat="1" x14ac:dyDescent="0.2">
      <c r="A537" s="132">
        <v>42915</v>
      </c>
      <c r="B537" s="118">
        <v>5</v>
      </c>
      <c r="C537" s="58"/>
      <c r="D537" s="60" t="s">
        <v>86</v>
      </c>
      <c r="E537" s="60">
        <v>5</v>
      </c>
      <c r="F537" s="87">
        <v>224</v>
      </c>
      <c r="G537" s="87">
        <v>2</v>
      </c>
      <c r="H537" s="60">
        <v>250</v>
      </c>
      <c r="I537" s="60">
        <v>0</v>
      </c>
      <c r="J537" s="60">
        <v>0</v>
      </c>
      <c r="K537" s="60">
        <v>0</v>
      </c>
      <c r="L537" s="60">
        <v>0</v>
      </c>
      <c r="M537" s="60">
        <v>0</v>
      </c>
      <c r="N537" s="60">
        <v>0</v>
      </c>
      <c r="P537" s="118">
        <f t="shared" si="46"/>
        <v>0</v>
      </c>
      <c r="Q537" s="118">
        <f t="shared" si="43"/>
        <v>0</v>
      </c>
      <c r="R537" s="104" t="e">
        <f t="shared" si="44"/>
        <v>#DIV/0!</v>
      </c>
      <c r="S537" s="180" t="str">
        <f>D537</f>
        <v>SN-10 Ambient</v>
      </c>
      <c r="Y537" s="87" t="str">
        <f>D537</f>
        <v>SN-10 Ambient</v>
      </c>
      <c r="Z537" s="323">
        <f>SUMIFS($P$441:$P$504, $D$441:$D$504, Y537, $F$441:$F$504, "&lt;200") + SUMIFS($Q$441:$Q$504, $D$441:$D$504, Y537, $F$441:$F$504, "&lt;200")</f>
        <v>1000</v>
      </c>
      <c r="AA537" s="118">
        <f>SUM(P537:Q540)</f>
        <v>2930</v>
      </c>
      <c r="AB537" s="118">
        <f>SUMIFS(Collection!O:O, Collection!B:B, "*" &amp; 'Bucket Counts'!Y537 &amp; "*", Collection!A:A, "&lt;" &amp; 'Bucket Counts'!A537,Collection!A:A,  "&gt;=" &amp; 'Bucket Counts'!$A$441)</f>
        <v>0</v>
      </c>
      <c r="AC537" s="104">
        <f>AA537/(Z537+AB537)</f>
        <v>2.93</v>
      </c>
    </row>
    <row r="538" spans="1:29" s="60" customFormat="1" x14ac:dyDescent="0.2">
      <c r="A538" s="132">
        <v>42915</v>
      </c>
      <c r="B538" s="118">
        <v>5</v>
      </c>
      <c r="C538" s="58"/>
      <c r="D538" s="60" t="s">
        <v>86</v>
      </c>
      <c r="E538" s="60">
        <v>5</v>
      </c>
      <c r="F538" s="87">
        <v>180</v>
      </c>
      <c r="G538" s="87">
        <v>1</v>
      </c>
      <c r="H538" s="60">
        <v>350</v>
      </c>
      <c r="I538" s="60">
        <v>3</v>
      </c>
      <c r="J538" s="60">
        <v>0</v>
      </c>
      <c r="K538" s="60">
        <v>0</v>
      </c>
      <c r="L538" s="60">
        <v>0</v>
      </c>
      <c r="M538" s="60">
        <v>4</v>
      </c>
      <c r="N538" s="60">
        <v>0</v>
      </c>
      <c r="P538" s="118">
        <f t="shared" si="46"/>
        <v>816.66666666666674</v>
      </c>
      <c r="Q538" s="118">
        <f t="shared" si="43"/>
        <v>0</v>
      </c>
      <c r="R538" s="104">
        <f t="shared" si="44"/>
        <v>1</v>
      </c>
      <c r="S538" s="178">
        <f>(SUM(P537:P540)/(SUM(P537:Q540)))</f>
        <v>0.64391353811149032</v>
      </c>
      <c r="Y538" s="87"/>
      <c r="Z538" s="329"/>
      <c r="AA538" s="118"/>
      <c r="AB538" s="118"/>
    </row>
    <row r="539" spans="1:29" s="60" customFormat="1" x14ac:dyDescent="0.2">
      <c r="A539" s="132">
        <v>42915</v>
      </c>
      <c r="B539" s="118">
        <v>5</v>
      </c>
      <c r="C539" s="58"/>
      <c r="D539" s="60" t="s">
        <v>86</v>
      </c>
      <c r="E539" s="60">
        <v>5</v>
      </c>
      <c r="F539" s="87">
        <v>100</v>
      </c>
      <c r="G539" s="87">
        <v>1</v>
      </c>
      <c r="H539" s="60">
        <v>260</v>
      </c>
      <c r="I539" s="60">
        <v>3</v>
      </c>
      <c r="J539" s="60">
        <v>0</v>
      </c>
      <c r="K539" s="60">
        <v>4</v>
      </c>
      <c r="L539" s="60">
        <v>1</v>
      </c>
      <c r="M539" s="60">
        <v>2</v>
      </c>
      <c r="N539" s="60">
        <v>1</v>
      </c>
      <c r="P539" s="118">
        <f t="shared" si="46"/>
        <v>780</v>
      </c>
      <c r="Q539" s="118">
        <f t="shared" si="43"/>
        <v>173.33333333333331</v>
      </c>
      <c r="R539" s="104">
        <f t="shared" si="44"/>
        <v>0.81818181818181823</v>
      </c>
      <c r="S539" s="179"/>
      <c r="Y539" s="87"/>
      <c r="Z539" s="329"/>
      <c r="AA539" s="118"/>
      <c r="AB539" s="118"/>
    </row>
    <row r="540" spans="1:29" s="60" customFormat="1" x14ac:dyDescent="0.2">
      <c r="A540" s="132">
        <v>42915</v>
      </c>
      <c r="B540" s="118">
        <v>5</v>
      </c>
      <c r="C540" s="58"/>
      <c r="D540" s="60" t="s">
        <v>86</v>
      </c>
      <c r="E540" s="60">
        <v>5</v>
      </c>
      <c r="F540" s="87" t="s">
        <v>201</v>
      </c>
      <c r="G540" s="87">
        <v>1</v>
      </c>
      <c r="H540" s="60">
        <v>290</v>
      </c>
      <c r="I540" s="60">
        <v>2</v>
      </c>
      <c r="J540" s="60">
        <v>2</v>
      </c>
      <c r="K540" s="60">
        <v>1</v>
      </c>
      <c r="L540" s="60">
        <v>3</v>
      </c>
      <c r="M540" s="60">
        <v>0</v>
      </c>
      <c r="N540" s="60">
        <v>4</v>
      </c>
      <c r="P540" s="118">
        <f t="shared" ref="P540:P545" si="48">(AVERAGE(I540,K540,M540)/G540)*H540</f>
        <v>290</v>
      </c>
      <c r="Q540" s="118">
        <f t="shared" si="43"/>
        <v>870</v>
      </c>
      <c r="R540" s="104">
        <f t="shared" si="44"/>
        <v>0.25</v>
      </c>
      <c r="S540" s="179"/>
      <c r="Y540" s="87"/>
      <c r="Z540" s="329"/>
      <c r="AA540" s="118"/>
      <c r="AB540" s="118"/>
    </row>
    <row r="541" spans="1:29" s="60" customFormat="1" x14ac:dyDescent="0.2">
      <c r="A541" s="132">
        <v>42915</v>
      </c>
      <c r="B541" s="118">
        <v>13</v>
      </c>
      <c r="C541" s="58"/>
      <c r="D541" s="60" t="s">
        <v>77</v>
      </c>
      <c r="E541" s="60">
        <v>5</v>
      </c>
      <c r="F541" s="87">
        <v>224</v>
      </c>
      <c r="G541" s="87">
        <v>2</v>
      </c>
      <c r="H541" s="60">
        <v>250</v>
      </c>
      <c r="I541" s="60">
        <v>0</v>
      </c>
      <c r="J541" s="60">
        <v>0</v>
      </c>
      <c r="K541" s="60">
        <v>0</v>
      </c>
      <c r="L541" s="60">
        <v>0</v>
      </c>
      <c r="M541" s="60">
        <v>1</v>
      </c>
      <c r="N541" s="60">
        <v>0</v>
      </c>
      <c r="P541" s="118">
        <f t="shared" si="48"/>
        <v>41.666666666666664</v>
      </c>
      <c r="Q541" s="118">
        <f t="shared" si="43"/>
        <v>0</v>
      </c>
      <c r="R541" s="104">
        <f t="shared" si="44"/>
        <v>1</v>
      </c>
      <c r="S541" s="180" t="str">
        <f>D541</f>
        <v>SN-6 Low</v>
      </c>
      <c r="T541" s="63"/>
      <c r="U541" s="63"/>
      <c r="V541" s="63"/>
      <c r="Y541" s="87" t="str">
        <f>D541</f>
        <v>SN-6 Low</v>
      </c>
      <c r="Z541" s="323">
        <f>SUMIFS($P$441:$P$504, $D$441:$D$504, Y541, $F$441:$F$504, "&lt;200") + SUMIFS($Q$441:$Q$504, $D$441:$D$504, Y541, $F$441:$F$504, "&lt;200")</f>
        <v>6060</v>
      </c>
      <c r="AA541" s="118">
        <f>SUM(P541:Q544)</f>
        <v>3938.3333333333335</v>
      </c>
      <c r="AB541" s="118">
        <f>SUMIFS(Collection!O:O, Collection!B:B, "*" &amp; 'Bucket Counts'!Y541 &amp; "*", Collection!A:A, "&lt;" &amp; 'Bucket Counts'!A541,Collection!A:A,  "&gt;=" &amp; 'Bucket Counts'!$A$441)</f>
        <v>0</v>
      </c>
      <c r="AC541" s="104">
        <f>AA541/(Z541+AB541)</f>
        <v>0.64988998899889994</v>
      </c>
    </row>
    <row r="542" spans="1:29" s="60" customFormat="1" x14ac:dyDescent="0.2">
      <c r="A542" s="132">
        <v>42915</v>
      </c>
      <c r="B542" s="118">
        <v>13</v>
      </c>
      <c r="C542" s="58"/>
      <c r="D542" s="60" t="s">
        <v>77</v>
      </c>
      <c r="E542" s="60">
        <v>5</v>
      </c>
      <c r="F542" s="87">
        <v>180</v>
      </c>
      <c r="G542" s="87">
        <v>1</v>
      </c>
      <c r="H542" s="60">
        <v>290</v>
      </c>
      <c r="I542" s="60">
        <v>4</v>
      </c>
      <c r="J542" s="60">
        <v>0</v>
      </c>
      <c r="K542" s="60">
        <v>8</v>
      </c>
      <c r="L542" s="60">
        <v>0</v>
      </c>
      <c r="M542" s="60">
        <v>6</v>
      </c>
      <c r="N542" s="60">
        <v>0</v>
      </c>
      <c r="P542" s="118">
        <f>(AVERAGE(I542,K542,M542)/G542)*H542</f>
        <v>1740</v>
      </c>
      <c r="Q542" s="118">
        <f t="shared" si="43"/>
        <v>0</v>
      </c>
      <c r="R542" s="104">
        <f t="shared" si="44"/>
        <v>1</v>
      </c>
      <c r="S542" s="178">
        <f>(SUM(P541:P544)/(SUM(P541:Q544)))</f>
        <v>0.67752856538298778</v>
      </c>
      <c r="T542" s="63"/>
      <c r="U542" s="63"/>
      <c r="V542" s="63"/>
      <c r="Y542" s="87"/>
      <c r="Z542" s="329"/>
      <c r="AA542" s="118"/>
      <c r="AB542" s="118"/>
    </row>
    <row r="543" spans="1:29" s="60" customFormat="1" x14ac:dyDescent="0.2">
      <c r="A543" s="132">
        <v>42915</v>
      </c>
      <c r="B543" s="118">
        <v>13</v>
      </c>
      <c r="C543" s="58"/>
      <c r="D543" s="60" t="s">
        <v>77</v>
      </c>
      <c r="E543" s="60">
        <v>5</v>
      </c>
      <c r="F543" s="87">
        <v>100</v>
      </c>
      <c r="G543" s="87">
        <v>1</v>
      </c>
      <c r="H543" s="60">
        <v>300</v>
      </c>
      <c r="I543" s="60">
        <v>2</v>
      </c>
      <c r="J543" s="60">
        <v>2</v>
      </c>
      <c r="K543" s="60">
        <v>1</v>
      </c>
      <c r="L543" s="60">
        <v>0</v>
      </c>
      <c r="M543" s="60">
        <v>2</v>
      </c>
      <c r="N543" s="60">
        <v>2</v>
      </c>
      <c r="P543" s="118">
        <f t="shared" si="48"/>
        <v>500</v>
      </c>
      <c r="Q543" s="118">
        <f t="shared" si="43"/>
        <v>400</v>
      </c>
      <c r="R543" s="104">
        <f t="shared" si="44"/>
        <v>0.55555555555555558</v>
      </c>
      <c r="S543" s="179"/>
      <c r="T543" s="63"/>
      <c r="U543" s="63"/>
      <c r="V543" s="63"/>
      <c r="Y543" s="87"/>
      <c r="Z543" s="329"/>
      <c r="AA543" s="118"/>
      <c r="AB543" s="118"/>
    </row>
    <row r="544" spans="1:29" s="60" customFormat="1" x14ac:dyDescent="0.2">
      <c r="A544" s="132">
        <v>42915</v>
      </c>
      <c r="B544" s="118">
        <v>13</v>
      </c>
      <c r="C544" s="58"/>
      <c r="D544" s="60" t="s">
        <v>77</v>
      </c>
      <c r="E544" s="60">
        <v>5</v>
      </c>
      <c r="F544" s="87" t="s">
        <v>201</v>
      </c>
      <c r="G544" s="87">
        <v>1</v>
      </c>
      <c r="H544" s="60">
        <v>290</v>
      </c>
      <c r="I544" s="60">
        <v>4</v>
      </c>
      <c r="J544" s="60">
        <v>3</v>
      </c>
      <c r="K544" s="60">
        <v>0</v>
      </c>
      <c r="L544" s="60">
        <v>3</v>
      </c>
      <c r="M544" s="60">
        <v>0</v>
      </c>
      <c r="N544" s="60">
        <v>3</v>
      </c>
      <c r="P544" s="118">
        <f t="shared" si="48"/>
        <v>386.66666666666663</v>
      </c>
      <c r="Q544" s="118">
        <f t="shared" ref="Q544:Q592" si="49">(AVERAGE(J544,L544,N544)/G544)*H544</f>
        <v>870</v>
      </c>
      <c r="R544" s="104">
        <f t="shared" ref="R544:R607" si="50">P544/(P544+Q544)</f>
        <v>0.30769230769230771</v>
      </c>
      <c r="S544" s="179"/>
      <c r="T544" s="63"/>
      <c r="U544" s="63"/>
      <c r="V544" s="63"/>
      <c r="Y544" s="87"/>
      <c r="Z544" s="329"/>
      <c r="AA544" s="118"/>
      <c r="AB544" s="118"/>
    </row>
    <row r="545" spans="1:29" s="60" customFormat="1" x14ac:dyDescent="0.2">
      <c r="A545" s="132">
        <v>42915</v>
      </c>
      <c r="B545" s="118">
        <v>8</v>
      </c>
      <c r="C545" s="58"/>
      <c r="D545" s="60" t="s">
        <v>85</v>
      </c>
      <c r="E545" s="60">
        <v>6</v>
      </c>
      <c r="F545" s="87">
        <v>224</v>
      </c>
      <c r="G545" s="87">
        <v>2</v>
      </c>
      <c r="H545" s="60">
        <v>300</v>
      </c>
      <c r="I545" s="60">
        <v>3</v>
      </c>
      <c r="J545" s="60">
        <v>1</v>
      </c>
      <c r="K545" s="60">
        <v>3</v>
      </c>
      <c r="L545" s="60">
        <v>0</v>
      </c>
      <c r="M545" s="60">
        <v>1</v>
      </c>
      <c r="N545" s="60">
        <v>0</v>
      </c>
      <c r="P545" s="118">
        <f t="shared" si="48"/>
        <v>350</v>
      </c>
      <c r="Q545" s="118">
        <f t="shared" si="49"/>
        <v>50</v>
      </c>
      <c r="R545" s="104">
        <f t="shared" si="50"/>
        <v>0.875</v>
      </c>
      <c r="S545" s="180" t="str">
        <f>D545</f>
        <v>NF-6 Ambient</v>
      </c>
      <c r="T545" s="63"/>
      <c r="U545" s="63"/>
      <c r="V545" s="63"/>
      <c r="Y545" s="87" t="str">
        <f>D545</f>
        <v>NF-6 Ambient</v>
      </c>
      <c r="Z545" s="323">
        <f>SUMIFS($P$441:$P$504, $D$441:$D$504, Y545, $F$441:$F$504, "&lt;200") + SUMIFS($Q$441:$Q$504, $D$441:$D$504, Y545, $F$441:$F$504, "&lt;200")</f>
        <v>4620</v>
      </c>
      <c r="AA545" s="118">
        <f>SUM(P545:Q548)</f>
        <v>3180</v>
      </c>
      <c r="AB545" s="118">
        <f>SUMIFS(Collection!O:O, Collection!B:B, "*" &amp; 'Bucket Counts'!Y545 &amp; "*", Collection!A:A, "&lt;" &amp; 'Bucket Counts'!A545,Collection!A:A,  "&gt;=" &amp; 'Bucket Counts'!$A$441)</f>
        <v>0</v>
      </c>
      <c r="AC545" s="104">
        <f>AA545/(Z545+AB545)</f>
        <v>0.68831168831168832</v>
      </c>
    </row>
    <row r="546" spans="1:29" s="60" customFormat="1" x14ac:dyDescent="0.2">
      <c r="A546" s="132">
        <v>42915</v>
      </c>
      <c r="B546" s="118">
        <v>8</v>
      </c>
      <c r="C546" s="58"/>
      <c r="D546" s="60" t="s">
        <v>85</v>
      </c>
      <c r="E546" s="60">
        <v>6</v>
      </c>
      <c r="F546" s="87">
        <v>180</v>
      </c>
      <c r="G546" s="87">
        <v>1</v>
      </c>
      <c r="H546" s="60">
        <v>275</v>
      </c>
      <c r="I546" s="60">
        <v>6</v>
      </c>
      <c r="J546" s="60">
        <v>0</v>
      </c>
      <c r="K546" s="60">
        <v>6</v>
      </c>
      <c r="L546" s="60">
        <v>0</v>
      </c>
      <c r="M546" s="60">
        <v>7</v>
      </c>
      <c r="N546" s="60">
        <v>0</v>
      </c>
      <c r="P546" s="118">
        <f>(AVERAGE(I546,K546,M546)/G546)*H546</f>
        <v>1741.6666666666665</v>
      </c>
      <c r="Q546" s="118">
        <f t="shared" si="49"/>
        <v>0</v>
      </c>
      <c r="R546" s="104">
        <f t="shared" si="50"/>
        <v>1</v>
      </c>
      <c r="S546" s="178">
        <f>(SUM(P545:P548)/(SUM(P545:Q548)))</f>
        <v>0.70754716981132071</v>
      </c>
      <c r="T546" s="63"/>
      <c r="U546" s="63"/>
      <c r="V546" s="63"/>
      <c r="Y546" s="87"/>
      <c r="Z546" s="329"/>
      <c r="AA546" s="118"/>
      <c r="AB546" s="118"/>
    </row>
    <row r="547" spans="1:29" s="60" customFormat="1" x14ac:dyDescent="0.2">
      <c r="A547" s="132">
        <v>42915</v>
      </c>
      <c r="B547" s="118">
        <v>8</v>
      </c>
      <c r="C547" s="58"/>
      <c r="D547" s="60" t="s">
        <v>85</v>
      </c>
      <c r="E547" s="60">
        <v>6</v>
      </c>
      <c r="F547" s="87">
        <v>100</v>
      </c>
      <c r="G547" s="87">
        <v>2</v>
      </c>
      <c r="H547" s="60">
        <v>290</v>
      </c>
      <c r="I547" s="60">
        <v>0</v>
      </c>
      <c r="J547" s="60">
        <v>0</v>
      </c>
      <c r="K547" s="60">
        <v>1</v>
      </c>
      <c r="L547" s="60">
        <v>0</v>
      </c>
      <c r="M547" s="60">
        <v>0</v>
      </c>
      <c r="N547" s="60">
        <v>0</v>
      </c>
      <c r="P547" s="118">
        <f t="shared" ref="P547:P568" si="51">(AVERAGE(I547,K547,M547)/G547)*H547</f>
        <v>48.333333333333329</v>
      </c>
      <c r="Q547" s="118">
        <f t="shared" si="49"/>
        <v>0</v>
      </c>
      <c r="R547" s="104">
        <f t="shared" si="50"/>
        <v>1</v>
      </c>
      <c r="S547" s="179"/>
      <c r="T547" s="63"/>
      <c r="U547" s="63"/>
      <c r="V547" s="63"/>
      <c r="Y547" s="87"/>
      <c r="Z547" s="329"/>
      <c r="AA547" s="118"/>
      <c r="AB547" s="118"/>
    </row>
    <row r="548" spans="1:29" s="60" customFormat="1" x14ac:dyDescent="0.2">
      <c r="A548" s="132">
        <v>42915</v>
      </c>
      <c r="B548" s="118">
        <v>8</v>
      </c>
      <c r="C548" s="58"/>
      <c r="D548" s="60" t="s">
        <v>85</v>
      </c>
      <c r="E548" s="60">
        <v>6</v>
      </c>
      <c r="F548" s="87" t="s">
        <v>201</v>
      </c>
      <c r="G548" s="87">
        <v>1</v>
      </c>
      <c r="H548" s="60">
        <v>330</v>
      </c>
      <c r="I548" s="60">
        <v>0</v>
      </c>
      <c r="J548" s="60">
        <v>3</v>
      </c>
      <c r="K548" s="60">
        <v>1</v>
      </c>
      <c r="L548" s="60">
        <v>3</v>
      </c>
      <c r="M548" s="60">
        <v>0</v>
      </c>
      <c r="N548" s="60">
        <v>2</v>
      </c>
      <c r="P548" s="118">
        <f t="shared" si="51"/>
        <v>110</v>
      </c>
      <c r="Q548" s="118">
        <f t="shared" si="49"/>
        <v>880</v>
      </c>
      <c r="R548" s="104">
        <f t="shared" si="50"/>
        <v>0.1111111111111111</v>
      </c>
      <c r="S548" s="179"/>
      <c r="T548" s="63"/>
      <c r="U548" s="63"/>
      <c r="V548" s="63"/>
      <c r="Y548" s="87"/>
      <c r="Z548" s="329"/>
      <c r="AA548" s="118"/>
      <c r="AB548" s="118"/>
    </row>
    <row r="549" spans="1:29" s="60" customFormat="1" x14ac:dyDescent="0.2">
      <c r="A549" s="132">
        <v>42915</v>
      </c>
      <c r="B549" s="118">
        <v>10</v>
      </c>
      <c r="C549" s="58"/>
      <c r="D549" s="60" t="s">
        <v>104</v>
      </c>
      <c r="E549" s="60">
        <v>6</v>
      </c>
      <c r="F549" s="87">
        <v>224</v>
      </c>
      <c r="G549" s="87">
        <v>1</v>
      </c>
      <c r="H549" s="60">
        <v>300</v>
      </c>
      <c r="I549" s="60">
        <v>6</v>
      </c>
      <c r="J549" s="60">
        <v>0</v>
      </c>
      <c r="K549" s="60">
        <v>1</v>
      </c>
      <c r="L549" s="60">
        <v>0</v>
      </c>
      <c r="M549" s="60">
        <v>4</v>
      </c>
      <c r="N549" s="60">
        <v>0</v>
      </c>
      <c r="P549" s="118">
        <f t="shared" si="51"/>
        <v>1100</v>
      </c>
      <c r="Q549" s="118">
        <f t="shared" si="49"/>
        <v>0</v>
      </c>
      <c r="R549" s="104">
        <f t="shared" si="50"/>
        <v>1</v>
      </c>
      <c r="S549" s="180" t="str">
        <f>D549</f>
        <v>NF-6 Low</v>
      </c>
      <c r="T549" s="63"/>
      <c r="U549" s="63"/>
      <c r="V549" s="63"/>
      <c r="Y549" s="87" t="str">
        <f>D549</f>
        <v>NF-6 Low</v>
      </c>
      <c r="Z549" s="323">
        <f>SUMIFS($P$441:$P$504, $D$441:$D$504, Y549, $F$441:$F$504, "&lt;200") + SUMIFS($Q$441:$Q$504, $D$441:$D$504, Y549, $F$441:$F$504, "&lt;200")</f>
        <v>47150.000000000007</v>
      </c>
      <c r="AA549" s="118">
        <f>SUM(P549:Q552)</f>
        <v>37953.333333333328</v>
      </c>
      <c r="AB549" s="118">
        <f>SUMIFS(Collection!O:O, Collection!B:B, "*" &amp; 'Bucket Counts'!Y549 &amp; "*", Collection!A:A, "&lt;" &amp; 'Bucket Counts'!A549,Collection!A:A,  "&gt;=" &amp; 'Bucket Counts'!$A$441)</f>
        <v>0</v>
      </c>
      <c r="AC549" s="104">
        <f>AA549/(Z549+AB549)</f>
        <v>0.80494874513962511</v>
      </c>
    </row>
    <row r="550" spans="1:29" s="60" customFormat="1" x14ac:dyDescent="0.2">
      <c r="A550" s="132">
        <v>42915</v>
      </c>
      <c r="B550" s="118">
        <v>10</v>
      </c>
      <c r="C550" s="58"/>
      <c r="D550" s="60" t="s">
        <v>104</v>
      </c>
      <c r="E550" s="60">
        <v>6</v>
      </c>
      <c r="F550" s="87">
        <v>180</v>
      </c>
      <c r="G550" s="87">
        <v>1</v>
      </c>
      <c r="H550" s="60">
        <v>500</v>
      </c>
      <c r="I550" s="60">
        <v>30</v>
      </c>
      <c r="J550" s="60">
        <v>1</v>
      </c>
      <c r="K550" s="60">
        <v>30</v>
      </c>
      <c r="L550" s="60">
        <v>0</v>
      </c>
      <c r="M550" s="60">
        <v>31</v>
      </c>
      <c r="N550" s="60">
        <v>0</v>
      </c>
      <c r="P550" s="118">
        <f t="shared" si="51"/>
        <v>15166.666666666666</v>
      </c>
      <c r="Q550" s="118">
        <f t="shared" si="49"/>
        <v>166.66666666666666</v>
      </c>
      <c r="R550" s="104">
        <f t="shared" si="50"/>
        <v>0.98913043478260876</v>
      </c>
      <c r="S550" s="178">
        <f>(SUM(P549:P552)/(SUM(P549:Q552)))</f>
        <v>0.84577551378886362</v>
      </c>
      <c r="T550" s="63"/>
      <c r="U550" s="63"/>
      <c r="V550" s="63"/>
      <c r="Y550" s="87"/>
      <c r="Z550" s="329"/>
      <c r="AA550" s="118"/>
      <c r="AB550" s="118"/>
    </row>
    <row r="551" spans="1:29" s="60" customFormat="1" x14ac:dyDescent="0.2">
      <c r="A551" s="132">
        <v>42915</v>
      </c>
      <c r="B551" s="118">
        <v>10</v>
      </c>
      <c r="C551" s="58"/>
      <c r="D551" s="60" t="s">
        <v>104</v>
      </c>
      <c r="E551" s="60">
        <v>6</v>
      </c>
      <c r="F551" s="87">
        <v>100</v>
      </c>
      <c r="G551" s="87">
        <v>1</v>
      </c>
      <c r="H551" s="60">
        <v>500</v>
      </c>
      <c r="I551" s="60">
        <v>35</v>
      </c>
      <c r="J551" s="60">
        <v>4</v>
      </c>
      <c r="K551" s="60">
        <v>31</v>
      </c>
      <c r="L551" s="60">
        <v>5</v>
      </c>
      <c r="M551" s="60">
        <v>29</v>
      </c>
      <c r="N551" s="60">
        <v>4</v>
      </c>
      <c r="P551" s="118">
        <f t="shared" si="51"/>
        <v>15833.333333333334</v>
      </c>
      <c r="Q551" s="118">
        <f t="shared" si="49"/>
        <v>2166.6666666666665</v>
      </c>
      <c r="R551" s="104">
        <f t="shared" si="50"/>
        <v>0.87962962962962965</v>
      </c>
      <c r="S551" s="179"/>
      <c r="T551" s="63"/>
      <c r="U551" s="63"/>
      <c r="V551" s="63"/>
      <c r="Y551" s="87"/>
      <c r="Z551" s="329"/>
      <c r="AA551" s="118"/>
      <c r="AB551" s="118"/>
    </row>
    <row r="552" spans="1:29" s="60" customFormat="1" x14ac:dyDescent="0.2">
      <c r="A552" s="132">
        <v>42915</v>
      </c>
      <c r="B552" s="118">
        <v>10</v>
      </c>
      <c r="C552" s="58"/>
      <c r="D552" s="60" t="s">
        <v>104</v>
      </c>
      <c r="E552" s="60">
        <v>6</v>
      </c>
      <c r="F552" s="87" t="s">
        <v>201</v>
      </c>
      <c r="G552" s="87">
        <v>1</v>
      </c>
      <c r="H552" s="60">
        <v>330</v>
      </c>
      <c r="I552" s="60">
        <v>0</v>
      </c>
      <c r="J552" s="60">
        <v>12</v>
      </c>
      <c r="K552" s="60">
        <v>0</v>
      </c>
      <c r="L552" s="60">
        <v>12</v>
      </c>
      <c r="M552" s="60">
        <v>0</v>
      </c>
      <c r="N552" s="60">
        <v>8</v>
      </c>
      <c r="P552" s="118">
        <f t="shared" si="51"/>
        <v>0</v>
      </c>
      <c r="Q552" s="118">
        <f t="shared" si="49"/>
        <v>3520</v>
      </c>
      <c r="R552" s="104">
        <f t="shared" si="50"/>
        <v>0</v>
      </c>
      <c r="S552" s="179"/>
      <c r="T552" s="63"/>
      <c r="U552" s="63"/>
      <c r="V552" s="63"/>
      <c r="Y552" s="87"/>
      <c r="Z552" s="329"/>
      <c r="AA552" s="118"/>
      <c r="AB552" s="118"/>
    </row>
    <row r="553" spans="1:29" s="60" customFormat="1" x14ac:dyDescent="0.2">
      <c r="A553" s="132">
        <v>42915</v>
      </c>
      <c r="B553" s="118">
        <v>24</v>
      </c>
      <c r="C553" s="58"/>
      <c r="D553" s="60" t="s">
        <v>118</v>
      </c>
      <c r="E553" s="60">
        <v>7</v>
      </c>
      <c r="F553" s="87">
        <v>224</v>
      </c>
      <c r="G553" s="87">
        <v>2</v>
      </c>
      <c r="H553" s="60">
        <v>220</v>
      </c>
      <c r="I553" s="60">
        <v>0</v>
      </c>
      <c r="J553" s="60">
        <v>0</v>
      </c>
      <c r="K553" s="60">
        <v>0</v>
      </c>
      <c r="L553" s="60">
        <v>0</v>
      </c>
      <c r="M553" s="60">
        <v>0</v>
      </c>
      <c r="N553" s="60">
        <v>0</v>
      </c>
      <c r="P553" s="118">
        <f t="shared" si="51"/>
        <v>0</v>
      </c>
      <c r="Q553" s="118">
        <f t="shared" si="49"/>
        <v>0</v>
      </c>
      <c r="R553" s="104" t="e">
        <f t="shared" si="50"/>
        <v>#DIV/0!</v>
      </c>
      <c r="S553" s="180" t="str">
        <f>D553</f>
        <v>HL-6 Ambient</v>
      </c>
      <c r="T553" s="63"/>
      <c r="U553" s="63"/>
      <c r="V553" s="63"/>
      <c r="Y553" s="87" t="str">
        <f>D553</f>
        <v>HL-6 Ambient</v>
      </c>
      <c r="Z553" s="323">
        <f>SUMIFS($P$441:$P$504, $D$441:$D$504, Y553, $F$441:$F$504, "&lt;200") + SUMIFS($Q$441:$Q$504, $D$441:$D$504, Y553, $F$441:$F$504, "&lt;200")</f>
        <v>28066.666666666668</v>
      </c>
      <c r="AA553" s="118">
        <f>SUM(P553:Q556)</f>
        <v>23896.666666666668</v>
      </c>
      <c r="AB553" s="118">
        <f>SUMIFS(Collection!O:O, Collection!B:B, "*" &amp; 'Bucket Counts'!Y553 &amp; "*", Collection!A:A, "&lt;" &amp; 'Bucket Counts'!A553,Collection!A:A,  "&gt;=" &amp; 'Bucket Counts'!$A$441)</f>
        <v>0</v>
      </c>
      <c r="AC553" s="104">
        <f>AA553/(Z553+AB553)</f>
        <v>0.85142517814726837</v>
      </c>
    </row>
    <row r="554" spans="1:29" s="60" customFormat="1" x14ac:dyDescent="0.2">
      <c r="A554" s="132">
        <v>42915</v>
      </c>
      <c r="B554" s="118">
        <v>24</v>
      </c>
      <c r="C554" s="58"/>
      <c r="D554" s="60" t="s">
        <v>118</v>
      </c>
      <c r="E554" s="60">
        <v>7</v>
      </c>
      <c r="F554" s="87">
        <v>180</v>
      </c>
      <c r="G554" s="87">
        <v>1</v>
      </c>
      <c r="H554" s="60">
        <v>500</v>
      </c>
      <c r="I554" s="60">
        <v>21</v>
      </c>
      <c r="J554" s="60">
        <v>0</v>
      </c>
      <c r="K554" s="60">
        <v>15</v>
      </c>
      <c r="L554" s="60">
        <v>0</v>
      </c>
      <c r="M554" s="60">
        <v>15</v>
      </c>
      <c r="N554" s="60">
        <v>0</v>
      </c>
      <c r="P554" s="118">
        <f t="shared" si="51"/>
        <v>8500</v>
      </c>
      <c r="Q554" s="118">
        <f t="shared" si="49"/>
        <v>0</v>
      </c>
      <c r="R554" s="104">
        <f t="shared" si="50"/>
        <v>1</v>
      </c>
      <c r="S554" s="178">
        <f>(SUM(P553:P556)/(SUM(P553:Q556)))</f>
        <v>0.79997210210629099</v>
      </c>
      <c r="T554" s="63"/>
      <c r="U554" s="63"/>
      <c r="V554" s="63"/>
      <c r="Y554" s="87"/>
      <c r="Z554" s="329"/>
      <c r="AA554" s="118"/>
      <c r="AB554" s="118"/>
    </row>
    <row r="555" spans="1:29" s="60" customFormat="1" x14ac:dyDescent="0.2">
      <c r="A555" s="132">
        <v>42915</v>
      </c>
      <c r="B555" s="118">
        <v>24</v>
      </c>
      <c r="C555" s="58"/>
      <c r="D555" s="60" t="s">
        <v>118</v>
      </c>
      <c r="E555" s="60">
        <v>7</v>
      </c>
      <c r="F555" s="87">
        <v>100</v>
      </c>
      <c r="G555" s="87">
        <v>1</v>
      </c>
      <c r="H555" s="60">
        <v>490</v>
      </c>
      <c r="I555" s="60">
        <v>20</v>
      </c>
      <c r="J555" s="60">
        <v>1</v>
      </c>
      <c r="K555" s="60">
        <v>16</v>
      </c>
      <c r="L555" s="60">
        <v>3</v>
      </c>
      <c r="M555" s="60">
        <v>29</v>
      </c>
      <c r="N555" s="60">
        <v>2</v>
      </c>
      <c r="P555" s="118">
        <f t="shared" si="51"/>
        <v>10616.666666666668</v>
      </c>
      <c r="Q555" s="118">
        <f t="shared" si="49"/>
        <v>980</v>
      </c>
      <c r="R555" s="104">
        <f t="shared" si="50"/>
        <v>0.91549295774647887</v>
      </c>
      <c r="S555" s="179"/>
      <c r="T555" s="63"/>
      <c r="U555" s="63"/>
      <c r="V555" s="63"/>
      <c r="Y555" s="87"/>
      <c r="Z555" s="329"/>
      <c r="AA555" s="118"/>
      <c r="AB555" s="118"/>
    </row>
    <row r="556" spans="1:29" s="60" customFormat="1" x14ac:dyDescent="0.2">
      <c r="A556" s="132">
        <v>42915</v>
      </c>
      <c r="B556" s="118">
        <v>24</v>
      </c>
      <c r="C556" s="58"/>
      <c r="D556" s="60" t="s">
        <v>118</v>
      </c>
      <c r="E556" s="60">
        <v>7</v>
      </c>
      <c r="F556" s="87" t="s">
        <v>201</v>
      </c>
      <c r="G556" s="87">
        <v>1</v>
      </c>
      <c r="H556" s="60">
        <v>300</v>
      </c>
      <c r="I556" s="60">
        <v>0</v>
      </c>
      <c r="J556" s="60">
        <v>17</v>
      </c>
      <c r="K556" s="60">
        <v>0</v>
      </c>
      <c r="L556" s="60">
        <v>9</v>
      </c>
      <c r="M556" s="60">
        <v>0</v>
      </c>
      <c r="N556" s="60">
        <v>12</v>
      </c>
      <c r="P556" s="118">
        <f t="shared" si="51"/>
        <v>0</v>
      </c>
      <c r="Q556" s="118">
        <f t="shared" si="49"/>
        <v>3800</v>
      </c>
      <c r="R556" s="104">
        <f t="shared" si="50"/>
        <v>0</v>
      </c>
      <c r="S556" s="179"/>
      <c r="T556" s="63"/>
      <c r="U556" s="63"/>
      <c r="V556" s="63"/>
      <c r="Y556" s="87"/>
      <c r="Z556" s="329"/>
      <c r="AA556" s="118"/>
      <c r="AB556" s="118"/>
    </row>
    <row r="557" spans="1:29" s="60" customFormat="1" x14ac:dyDescent="0.2">
      <c r="A557" s="132">
        <v>42915</v>
      </c>
      <c r="B557" s="118">
        <v>12</v>
      </c>
      <c r="C557" s="58"/>
      <c r="D557" s="60" t="s">
        <v>83</v>
      </c>
      <c r="E557" s="60">
        <v>7</v>
      </c>
      <c r="F557" s="87">
        <v>224</v>
      </c>
      <c r="G557" s="87">
        <v>2</v>
      </c>
      <c r="H557" s="60">
        <v>230</v>
      </c>
      <c r="I557" s="60">
        <v>0</v>
      </c>
      <c r="J557" s="60">
        <v>0</v>
      </c>
      <c r="K557" s="60">
        <v>0</v>
      </c>
      <c r="L557" s="60">
        <v>0</v>
      </c>
      <c r="M557" s="60">
        <v>0</v>
      </c>
      <c r="N557" s="60">
        <v>0</v>
      </c>
      <c r="P557" s="118">
        <f t="shared" si="51"/>
        <v>0</v>
      </c>
      <c r="Q557" s="118">
        <f t="shared" si="49"/>
        <v>0</v>
      </c>
      <c r="R557" s="104" t="e">
        <f t="shared" si="50"/>
        <v>#DIV/0!</v>
      </c>
      <c r="S557" s="180" t="str">
        <f>D557</f>
        <v>NF-10 Low</v>
      </c>
      <c r="T557" s="63"/>
      <c r="U557" s="63"/>
      <c r="V557" s="63"/>
      <c r="Y557" s="87" t="str">
        <f>D557</f>
        <v>NF-10 Low</v>
      </c>
      <c r="Z557" s="323">
        <f>SUMIFS($P$441:$P$504, $D$441:$D$504, Y557, $F$441:$F$504, "&lt;200") + SUMIFS($Q$441:$Q$504, $D$441:$D$504, Y557, $F$441:$F$504, "&lt;200")</f>
        <v>246.66666666666666</v>
      </c>
      <c r="AA557" s="118">
        <f>SUM(P557:Q560)</f>
        <v>321.66666666666663</v>
      </c>
      <c r="AB557" s="118">
        <f>SUMIFS(Collection!O:O, Collection!B:B, "*" &amp; 'Bucket Counts'!Y557 &amp; "*", Collection!A:A, "&lt;" &amp; 'Bucket Counts'!A557,Collection!A:A,  "&gt;=" &amp; 'Bucket Counts'!$A$441)</f>
        <v>0</v>
      </c>
      <c r="AC557" s="104">
        <f>AA557/(Z557+AB557)</f>
        <v>1.3040540540540539</v>
      </c>
    </row>
    <row r="558" spans="1:29" s="60" customFormat="1" x14ac:dyDescent="0.2">
      <c r="A558" s="132">
        <v>42915</v>
      </c>
      <c r="B558" s="118">
        <v>12</v>
      </c>
      <c r="C558" s="58"/>
      <c r="D558" s="60" t="s">
        <v>83</v>
      </c>
      <c r="E558" s="60">
        <v>7</v>
      </c>
      <c r="F558" s="87">
        <v>180</v>
      </c>
      <c r="G558" s="87">
        <v>2</v>
      </c>
      <c r="H558" s="60">
        <v>250</v>
      </c>
      <c r="I558" s="60">
        <v>0</v>
      </c>
      <c r="J558" s="60">
        <v>0</v>
      </c>
      <c r="K558" s="60">
        <v>1</v>
      </c>
      <c r="L558" s="60">
        <v>0</v>
      </c>
      <c r="M558" s="60">
        <v>0</v>
      </c>
      <c r="N558" s="60">
        <v>0</v>
      </c>
      <c r="P558" s="118">
        <f t="shared" si="51"/>
        <v>41.666666666666664</v>
      </c>
      <c r="Q558" s="118">
        <f t="shared" si="49"/>
        <v>0</v>
      </c>
      <c r="R558" s="104">
        <f t="shared" si="50"/>
        <v>1</v>
      </c>
      <c r="S558" s="178">
        <f>(SUM(P557:P560)/(SUM(P557:Q560)))</f>
        <v>0.50259067357512954</v>
      </c>
      <c r="T558" s="63"/>
      <c r="U558" s="63"/>
      <c r="V558" s="63"/>
      <c r="Y558" s="87"/>
      <c r="Z558" s="329"/>
      <c r="AA558" s="118"/>
      <c r="AB558" s="118"/>
    </row>
    <row r="559" spans="1:29" s="60" customFormat="1" x14ac:dyDescent="0.2">
      <c r="A559" s="132">
        <v>42915</v>
      </c>
      <c r="B559" s="118">
        <v>12</v>
      </c>
      <c r="C559" s="58"/>
      <c r="D559" s="60" t="s">
        <v>83</v>
      </c>
      <c r="E559" s="60">
        <v>7</v>
      </c>
      <c r="F559" s="87">
        <v>100</v>
      </c>
      <c r="G559" s="87">
        <v>2</v>
      </c>
      <c r="H559" s="60">
        <v>240</v>
      </c>
      <c r="I559" s="60">
        <v>0</v>
      </c>
      <c r="J559" s="60">
        <v>0</v>
      </c>
      <c r="K559" s="60">
        <v>0</v>
      </c>
      <c r="L559" s="60">
        <v>0</v>
      </c>
      <c r="M559" s="60">
        <v>1</v>
      </c>
      <c r="N559" s="60">
        <v>0</v>
      </c>
      <c r="P559" s="118">
        <f t="shared" si="51"/>
        <v>40</v>
      </c>
      <c r="Q559" s="118">
        <f t="shared" si="49"/>
        <v>0</v>
      </c>
      <c r="R559" s="104">
        <f t="shared" si="50"/>
        <v>1</v>
      </c>
      <c r="S559" s="179"/>
      <c r="T559" s="63"/>
      <c r="U559" s="63"/>
      <c r="V559" s="63"/>
      <c r="Y559" s="87"/>
      <c r="Z559" s="329"/>
      <c r="AA559" s="118"/>
      <c r="AB559" s="118"/>
    </row>
    <row r="560" spans="1:29" s="60" customFormat="1" x14ac:dyDescent="0.2">
      <c r="A560" s="132">
        <v>42915</v>
      </c>
      <c r="B560" s="118">
        <v>12</v>
      </c>
      <c r="C560" s="58"/>
      <c r="D560" s="60" t="s">
        <v>83</v>
      </c>
      <c r="E560" s="60">
        <v>7</v>
      </c>
      <c r="F560" s="87" t="s">
        <v>201</v>
      </c>
      <c r="G560" s="87">
        <v>2</v>
      </c>
      <c r="H560" s="60">
        <v>240</v>
      </c>
      <c r="I560" s="60">
        <v>1</v>
      </c>
      <c r="J560" s="60">
        <v>1</v>
      </c>
      <c r="K560" s="60">
        <v>0</v>
      </c>
      <c r="L560" s="60">
        <v>0</v>
      </c>
      <c r="M560" s="60">
        <v>1</v>
      </c>
      <c r="N560" s="60">
        <v>3</v>
      </c>
      <c r="P560" s="118">
        <f t="shared" si="51"/>
        <v>80</v>
      </c>
      <c r="Q560" s="118">
        <f t="shared" si="49"/>
        <v>160</v>
      </c>
      <c r="R560" s="104">
        <f t="shared" si="50"/>
        <v>0.33333333333333331</v>
      </c>
      <c r="S560" s="179"/>
      <c r="T560" s="63"/>
      <c r="U560" s="63"/>
      <c r="V560" s="63"/>
      <c r="Y560" s="87"/>
      <c r="Z560" s="329"/>
      <c r="AA560" s="118"/>
      <c r="AB560" s="118"/>
    </row>
    <row r="561" spans="1:30" s="60" customFormat="1" x14ac:dyDescent="0.2">
      <c r="A561" s="132">
        <v>42915</v>
      </c>
      <c r="B561" s="118">
        <v>23</v>
      </c>
      <c r="C561" s="58"/>
      <c r="D561" s="60" t="s">
        <v>21</v>
      </c>
      <c r="E561" s="60">
        <v>8</v>
      </c>
      <c r="F561" s="87">
        <v>224</v>
      </c>
      <c r="G561" s="87">
        <v>2</v>
      </c>
      <c r="H561" s="60">
        <v>250</v>
      </c>
      <c r="I561" s="60">
        <v>2</v>
      </c>
      <c r="J561" s="60">
        <v>0</v>
      </c>
      <c r="K561" s="60">
        <v>3</v>
      </c>
      <c r="L561" s="60">
        <v>0</v>
      </c>
      <c r="M561" s="60">
        <v>1</v>
      </c>
      <c r="N561" s="60">
        <v>0</v>
      </c>
      <c r="P561" s="118">
        <f t="shared" si="51"/>
        <v>250</v>
      </c>
      <c r="Q561" s="118">
        <f t="shared" si="49"/>
        <v>0</v>
      </c>
      <c r="R561" s="104">
        <f t="shared" si="50"/>
        <v>1</v>
      </c>
      <c r="S561" s="180" t="str">
        <f>D561</f>
        <v>HL-6 Low</v>
      </c>
      <c r="T561" s="63"/>
      <c r="U561" s="63"/>
      <c r="V561" s="63"/>
      <c r="Y561" s="87" t="str">
        <f>D561</f>
        <v>HL-6 Low</v>
      </c>
      <c r="Z561" s="323">
        <f>SUMIFS($P$441:$P$504, $D$441:$D$504, Y561, $F$441:$F$504, "&lt;200") + SUMIFS($Q$441:$Q$504, $D$441:$D$504, Y561, $F$441:$F$504, "&lt;200")</f>
        <v>45920</v>
      </c>
      <c r="AA561" s="118">
        <f>SUM(P561:Q564)</f>
        <v>52716.666666666672</v>
      </c>
      <c r="AB561" s="118">
        <f>SUMIFS(Collection!O:O, Collection!B:B, "*" &amp; 'Bucket Counts'!Y561 &amp; "*", Collection!A:A, "&lt;" &amp; 'Bucket Counts'!A561,Collection!A:A,  "&gt;=" &amp; 'Bucket Counts'!$A$441)</f>
        <v>0</v>
      </c>
      <c r="AC561" s="104">
        <f>AA561/(Z561+AB561)</f>
        <v>1.1480110336817655</v>
      </c>
    </row>
    <row r="562" spans="1:30" s="60" customFormat="1" x14ac:dyDescent="0.2">
      <c r="A562" s="132">
        <v>42915</v>
      </c>
      <c r="B562" s="118">
        <v>23</v>
      </c>
      <c r="C562" s="58"/>
      <c r="D562" s="60" t="s">
        <v>21</v>
      </c>
      <c r="E562" s="60">
        <v>8</v>
      </c>
      <c r="F562" s="87">
        <v>180</v>
      </c>
      <c r="G562" s="87">
        <v>1</v>
      </c>
      <c r="H562" s="60">
        <v>400</v>
      </c>
      <c r="I562" s="60">
        <v>15</v>
      </c>
      <c r="J562" s="60">
        <v>0</v>
      </c>
      <c r="K562" s="60">
        <v>14</v>
      </c>
      <c r="L562" s="60">
        <v>0</v>
      </c>
      <c r="M562" s="60">
        <v>11</v>
      </c>
      <c r="N562" s="60">
        <v>0</v>
      </c>
      <c r="P562" s="118">
        <f t="shared" si="51"/>
        <v>5333.3333333333339</v>
      </c>
      <c r="Q562" s="118">
        <f t="shared" si="49"/>
        <v>0</v>
      </c>
      <c r="R562" s="104">
        <f t="shared" si="50"/>
        <v>1</v>
      </c>
      <c r="S562" s="178">
        <f>(SUM(P561:P564)/(SUM(P561:Q564)))</f>
        <v>0.84824533670565916</v>
      </c>
      <c r="T562" s="63"/>
      <c r="Y562" s="87"/>
      <c r="Z562" s="329"/>
      <c r="AA562" s="118"/>
      <c r="AB562" s="118"/>
    </row>
    <row r="563" spans="1:30" s="60" customFormat="1" x14ac:dyDescent="0.2">
      <c r="A563" s="132">
        <v>42915</v>
      </c>
      <c r="B563" s="118">
        <v>23</v>
      </c>
      <c r="C563" s="58"/>
      <c r="D563" s="60" t="s">
        <v>21</v>
      </c>
      <c r="E563" s="60">
        <v>8</v>
      </c>
      <c r="F563" s="87">
        <v>100</v>
      </c>
      <c r="G563" s="87">
        <v>1</v>
      </c>
      <c r="H563" s="60">
        <v>500</v>
      </c>
      <c r="I563" s="60">
        <v>68</v>
      </c>
      <c r="J563" s="60">
        <v>5</v>
      </c>
      <c r="K563" s="60">
        <v>81</v>
      </c>
      <c r="L563" s="60">
        <v>6</v>
      </c>
      <c r="M563" s="60">
        <v>84</v>
      </c>
      <c r="N563" s="60">
        <v>7</v>
      </c>
      <c r="P563" s="118">
        <f>(AVERAGE(I563,K563,M563)/G563)*H563</f>
        <v>38833.333333333336</v>
      </c>
      <c r="Q563" s="118">
        <f t="shared" si="49"/>
        <v>3000</v>
      </c>
      <c r="R563" s="104">
        <f t="shared" si="50"/>
        <v>0.92828685258964139</v>
      </c>
      <c r="S563" s="179"/>
      <c r="T563" s="63"/>
      <c r="Y563" s="87"/>
      <c r="Z563" s="329"/>
      <c r="AA563" s="118"/>
      <c r="AB563" s="118"/>
    </row>
    <row r="564" spans="1:30" s="60" customFormat="1" x14ac:dyDescent="0.2">
      <c r="A564" s="132">
        <v>42915</v>
      </c>
      <c r="B564" s="118">
        <v>23</v>
      </c>
      <c r="C564" s="58"/>
      <c r="D564" s="60" t="s">
        <v>21</v>
      </c>
      <c r="E564" s="60">
        <v>8</v>
      </c>
      <c r="F564" s="87" t="s">
        <v>201</v>
      </c>
      <c r="G564" s="87">
        <v>1</v>
      </c>
      <c r="H564" s="60">
        <v>300</v>
      </c>
      <c r="I564" s="60">
        <v>2</v>
      </c>
      <c r="J564" s="60">
        <v>21</v>
      </c>
      <c r="K564" s="60">
        <v>0</v>
      </c>
      <c r="L564" s="60">
        <v>14</v>
      </c>
      <c r="M564" s="60">
        <v>1</v>
      </c>
      <c r="N564" s="60">
        <v>15</v>
      </c>
      <c r="P564" s="118">
        <f t="shared" si="51"/>
        <v>300</v>
      </c>
      <c r="Q564" s="118">
        <f t="shared" si="49"/>
        <v>5000</v>
      </c>
      <c r="R564" s="104">
        <f t="shared" si="50"/>
        <v>5.6603773584905662E-2</v>
      </c>
      <c r="S564" s="179"/>
      <c r="T564" s="63"/>
      <c r="Y564" s="87"/>
      <c r="Z564" s="329"/>
      <c r="AA564" s="118"/>
      <c r="AB564" s="118"/>
    </row>
    <row r="565" spans="1:30" s="60" customFormat="1" x14ac:dyDescent="0.2">
      <c r="A565" s="132">
        <v>42915</v>
      </c>
      <c r="B565" s="409">
        <v>7</v>
      </c>
      <c r="C565" s="58"/>
      <c r="D565" s="59" t="s">
        <v>74</v>
      </c>
      <c r="E565" s="60">
        <v>8</v>
      </c>
      <c r="F565" s="87">
        <v>224</v>
      </c>
      <c r="G565" s="87">
        <v>2</v>
      </c>
      <c r="H565" s="60">
        <v>225</v>
      </c>
      <c r="I565" s="60">
        <v>1</v>
      </c>
      <c r="J565" s="60">
        <v>0</v>
      </c>
      <c r="K565" s="60">
        <v>0</v>
      </c>
      <c r="L565" s="60">
        <v>0</v>
      </c>
      <c r="M565" s="60">
        <v>2</v>
      </c>
      <c r="N565" s="60">
        <v>1</v>
      </c>
      <c r="P565" s="118">
        <f t="shared" si="51"/>
        <v>112.5</v>
      </c>
      <c r="Q565" s="118">
        <f t="shared" si="49"/>
        <v>37.5</v>
      </c>
      <c r="R565" s="104">
        <f t="shared" si="50"/>
        <v>0.75</v>
      </c>
      <c r="S565" s="180" t="str">
        <f>D565</f>
        <v>SN-10 Low</v>
      </c>
      <c r="T565" s="63"/>
      <c r="Y565" s="87" t="str">
        <f>D565</f>
        <v>SN-10 Low</v>
      </c>
      <c r="Z565" s="323">
        <f>SUMIFS($P$441:$P$504, $D$441:$D$504, Y565, $F$441:$F$504, "&lt;200") + SUMIFS($Q$441:$Q$504, $D$441:$D$504, Y565, $F$441:$F$504, "&lt;200")</f>
        <v>128173.33333333331</v>
      </c>
      <c r="AA565" s="118">
        <f>SUM(P565:Q568)</f>
        <v>43470</v>
      </c>
      <c r="AB565" s="118">
        <f>SUMIFS(Collection!O:O, Collection!B:B, "*" &amp; 'Bucket Counts'!Y565 &amp; "*", Collection!A:A, "&lt;" &amp; 'Bucket Counts'!A565,Collection!A:A,  "&gt;=" &amp; 'Bucket Counts'!$A$441)</f>
        <v>0</v>
      </c>
      <c r="AC565" s="104">
        <f>AA565/(Z565+AB565)</f>
        <v>0.33915010922708838</v>
      </c>
    </row>
    <row r="566" spans="1:30" s="60" customFormat="1" x14ac:dyDescent="0.2">
      <c r="A566" s="132">
        <v>42915</v>
      </c>
      <c r="B566" s="409">
        <v>7</v>
      </c>
      <c r="C566" s="58"/>
      <c r="D566" s="59" t="s">
        <v>74</v>
      </c>
      <c r="E566" s="60">
        <v>8</v>
      </c>
      <c r="F566" s="87">
        <v>180</v>
      </c>
      <c r="G566" s="87">
        <v>1</v>
      </c>
      <c r="H566" s="60">
        <v>480</v>
      </c>
      <c r="I566" s="60">
        <v>14</v>
      </c>
      <c r="J566" s="60">
        <v>2</v>
      </c>
      <c r="K566" s="60">
        <v>19</v>
      </c>
      <c r="L566" s="60">
        <v>4</v>
      </c>
      <c r="M566" s="60">
        <v>17</v>
      </c>
      <c r="N566" s="60">
        <v>6</v>
      </c>
      <c r="P566" s="118">
        <f t="shared" si="51"/>
        <v>8000.0000000000009</v>
      </c>
      <c r="Q566" s="118">
        <f t="shared" si="49"/>
        <v>1920</v>
      </c>
      <c r="R566" s="104">
        <f t="shared" si="50"/>
        <v>0.80645161290322587</v>
      </c>
      <c r="S566" s="178">
        <f>(SUM(P565:P568)/(SUM(P565:Q568)))</f>
        <v>0.59149988497814587</v>
      </c>
      <c r="T566" s="63"/>
      <c r="Y566" s="87"/>
      <c r="Z566" s="329"/>
      <c r="AA566" s="118"/>
      <c r="AB566" s="118"/>
    </row>
    <row r="567" spans="1:30" s="60" customFormat="1" x14ac:dyDescent="0.2">
      <c r="A567" s="132">
        <v>42915</v>
      </c>
      <c r="B567" s="409">
        <v>7</v>
      </c>
      <c r="C567" s="58"/>
      <c r="D567" s="59" t="s">
        <v>74</v>
      </c>
      <c r="E567" s="60">
        <v>8</v>
      </c>
      <c r="F567" s="87">
        <v>100</v>
      </c>
      <c r="G567" s="87">
        <v>1</v>
      </c>
      <c r="H567" s="60">
        <v>300</v>
      </c>
      <c r="I567" s="60">
        <v>45</v>
      </c>
      <c r="J567" s="60">
        <v>11</v>
      </c>
      <c r="K567" s="60">
        <v>46</v>
      </c>
      <c r="L567" s="60">
        <v>19</v>
      </c>
      <c r="M567" s="60">
        <v>82</v>
      </c>
      <c r="N567" s="60">
        <v>24</v>
      </c>
      <c r="P567" s="118">
        <f>(AVERAGE(I567,K567,M567)/G567)*H567</f>
        <v>17300</v>
      </c>
      <c r="Q567" s="118">
        <f>(AVERAGE(J567,L567,N567)/G567)*H567</f>
        <v>5400</v>
      </c>
      <c r="R567" s="104">
        <f t="shared" si="50"/>
        <v>0.76211453744493396</v>
      </c>
      <c r="S567" s="179"/>
      <c r="T567" s="63"/>
      <c r="Y567" s="87"/>
      <c r="Z567" s="329"/>
      <c r="AA567" s="118"/>
      <c r="AB567" s="118"/>
    </row>
    <row r="568" spans="1:30" s="67" customFormat="1" ht="17" thickBot="1" x14ac:dyDescent="0.25">
      <c r="A568" s="64">
        <v>42915</v>
      </c>
      <c r="B568" s="409">
        <v>7</v>
      </c>
      <c r="C568" s="65"/>
      <c r="D568" s="59" t="s">
        <v>74</v>
      </c>
      <c r="E568" s="67">
        <v>8</v>
      </c>
      <c r="F568" s="146" t="s">
        <v>201</v>
      </c>
      <c r="G568" s="146">
        <v>1</v>
      </c>
      <c r="H568" s="67">
        <v>300</v>
      </c>
      <c r="I568" s="67">
        <v>0</v>
      </c>
      <c r="J568" s="67">
        <v>30</v>
      </c>
      <c r="K568" s="67">
        <v>2</v>
      </c>
      <c r="L568" s="67">
        <v>39</v>
      </c>
      <c r="M568" s="67">
        <v>1</v>
      </c>
      <c r="N568" s="67">
        <v>35</v>
      </c>
      <c r="P568" s="147">
        <f t="shared" si="51"/>
        <v>300</v>
      </c>
      <c r="Q568" s="147">
        <f t="shared" si="49"/>
        <v>10400</v>
      </c>
      <c r="R568" s="162">
        <f t="shared" si="50"/>
        <v>2.8037383177570093E-2</v>
      </c>
      <c r="S568" s="193"/>
      <c r="Y568" s="146"/>
      <c r="Z568" s="337"/>
      <c r="AA568" s="147"/>
      <c r="AB568" s="147"/>
    </row>
    <row r="569" spans="1:30" s="258" customFormat="1" x14ac:dyDescent="0.2">
      <c r="A569" s="256">
        <v>42919</v>
      </c>
      <c r="B569" s="415">
        <v>7</v>
      </c>
      <c r="C569" s="257"/>
      <c r="D569" s="145" t="s">
        <v>74</v>
      </c>
      <c r="E569" s="144">
        <v>1</v>
      </c>
      <c r="F569" s="259">
        <v>224</v>
      </c>
      <c r="G569" s="259">
        <v>3</v>
      </c>
      <c r="H569" s="258">
        <v>230</v>
      </c>
      <c r="I569" s="258">
        <v>1</v>
      </c>
      <c r="J569" s="258">
        <v>0</v>
      </c>
      <c r="K569" s="258">
        <v>0</v>
      </c>
      <c r="L569" s="258">
        <v>0</v>
      </c>
      <c r="M569" s="258">
        <v>1</v>
      </c>
      <c r="N569" s="258">
        <v>0</v>
      </c>
      <c r="P569" s="260">
        <f>(AVERAGE(I569,K569,M569)/G569)*H569</f>
        <v>51.111111111111107</v>
      </c>
      <c r="Q569" s="260">
        <f t="shared" si="49"/>
        <v>0</v>
      </c>
      <c r="R569" s="261">
        <f t="shared" si="50"/>
        <v>1</v>
      </c>
      <c r="S569" s="262" t="str">
        <f>D569</f>
        <v>SN-10 Low</v>
      </c>
      <c r="T569" s="263"/>
      <c r="U569" s="263"/>
      <c r="V569" s="263"/>
      <c r="Y569" s="85" t="str">
        <f>D569</f>
        <v>SN-10 Low</v>
      </c>
      <c r="Z569" s="333">
        <f>SUMIFS($P$505:$P$568, $D$505:$D$568, Y569, $F$505:$F$568, "&lt;200") + SUMIFS($Q$505:$Q$568, $D$505:$D$568, Y569, $F$505:$F$568, "&lt;200")</f>
        <v>32620</v>
      </c>
      <c r="AA569" s="122">
        <f>SUM(P569:Q572)</f>
        <v>27097.777777777777</v>
      </c>
      <c r="AB569" s="122">
        <f>SUMIFS(Collection!O:O, Collection!B:B, "*" &amp; 'Bucket Counts'!Y569 &amp; "*", Collection!A:A, "&lt;" &amp; 'Bucket Counts'!A569,Collection!A:A,  "&gt;=" &amp; 'Bucket Counts'!$A$505)</f>
        <v>0</v>
      </c>
      <c r="AC569" s="158">
        <f>AA569/(Z569+AB569)</f>
        <v>0.83071053886504531</v>
      </c>
      <c r="AD569" s="346">
        <f>AVERAGE(AC569:AC575, AC579:AC620, AC623:AC631)</f>
        <v>0.93095287064624455</v>
      </c>
    </row>
    <row r="570" spans="1:30" s="78" customFormat="1" x14ac:dyDescent="0.2">
      <c r="A570" s="75">
        <v>42919</v>
      </c>
      <c r="B570" s="415">
        <v>7</v>
      </c>
      <c r="C570" s="76"/>
      <c r="D570" s="145" t="s">
        <v>74</v>
      </c>
      <c r="E570" s="144">
        <v>1</v>
      </c>
      <c r="F570" s="85">
        <v>180</v>
      </c>
      <c r="G570" s="85">
        <v>3</v>
      </c>
      <c r="H570" s="78">
        <v>300</v>
      </c>
      <c r="I570" s="78">
        <v>31</v>
      </c>
      <c r="J570" s="78">
        <v>15</v>
      </c>
      <c r="K570" s="78">
        <v>31</v>
      </c>
      <c r="L570" s="78">
        <v>13</v>
      </c>
      <c r="M570" s="85">
        <v>29</v>
      </c>
      <c r="N570" s="78">
        <v>12</v>
      </c>
      <c r="P570" s="122">
        <f>(AVERAGE(I570,K570,M570)/G570)*H570</f>
        <v>3033.333333333333</v>
      </c>
      <c r="Q570" s="122">
        <f t="shared" si="49"/>
        <v>1333.3333333333335</v>
      </c>
      <c r="R570" s="158">
        <f t="shared" si="50"/>
        <v>0.69465648854961837</v>
      </c>
      <c r="S570" s="182">
        <f>(SUM(P569:P572)/(SUM(P569:Q572)))</f>
        <v>0.14384123339347218</v>
      </c>
      <c r="T570" s="79"/>
      <c r="U570" s="79"/>
      <c r="V570" s="79"/>
      <c r="Y570" s="85"/>
      <c r="Z570" s="333"/>
      <c r="AA570" s="122"/>
      <c r="AB570" s="122"/>
    </row>
    <row r="571" spans="1:30" s="154" customFormat="1" x14ac:dyDescent="0.2">
      <c r="A571" s="152">
        <v>42919</v>
      </c>
      <c r="B571" s="415">
        <v>7</v>
      </c>
      <c r="C571" s="153"/>
      <c r="D571" s="145" t="s">
        <v>74</v>
      </c>
      <c r="E571" s="144">
        <v>1</v>
      </c>
      <c r="F571" s="155">
        <v>100</v>
      </c>
      <c r="G571" s="155">
        <v>3</v>
      </c>
      <c r="H571" s="154">
        <v>300</v>
      </c>
      <c r="I571" s="154">
        <v>13</v>
      </c>
      <c r="J571" s="154">
        <v>19</v>
      </c>
      <c r="K571" s="154">
        <v>14</v>
      </c>
      <c r="L571" s="154">
        <v>24</v>
      </c>
      <c r="M571" s="154">
        <v>10</v>
      </c>
      <c r="N571" s="154">
        <v>19</v>
      </c>
      <c r="P571" s="156">
        <f t="shared" ref="P571:P576" si="52">(AVERAGE(I572,K572,M572)/G571)*H571</f>
        <v>66.666666666666657</v>
      </c>
      <c r="Q571" s="156">
        <f t="shared" ref="Q571:Q576" si="53">(AVERAGE(J572,L572,N572)/G571)*H571</f>
        <v>21866.666666666664</v>
      </c>
      <c r="R571" s="159">
        <f t="shared" si="50"/>
        <v>3.0395136778115497E-3</v>
      </c>
      <c r="S571" s="184"/>
      <c r="T571" s="264"/>
      <c r="U571" s="264"/>
      <c r="V571" s="264"/>
      <c r="Y571" s="155"/>
      <c r="Z571" s="334"/>
      <c r="AA571" s="156"/>
      <c r="AB571" s="156"/>
    </row>
    <row r="572" spans="1:30" s="78" customFormat="1" x14ac:dyDescent="0.2">
      <c r="A572" s="75">
        <v>42919</v>
      </c>
      <c r="B572" s="415">
        <v>7</v>
      </c>
      <c r="C572" s="76"/>
      <c r="D572" s="145" t="s">
        <v>74</v>
      </c>
      <c r="E572" s="144">
        <v>1</v>
      </c>
      <c r="F572" s="85" t="s">
        <v>201</v>
      </c>
      <c r="G572" s="85">
        <v>2</v>
      </c>
      <c r="H572" s="78">
        <v>280</v>
      </c>
      <c r="I572" s="154">
        <v>2</v>
      </c>
      <c r="J572" s="154">
        <v>215</v>
      </c>
      <c r="K572" s="154">
        <v>0</v>
      </c>
      <c r="L572" s="154">
        <v>212</v>
      </c>
      <c r="M572" s="154">
        <v>0</v>
      </c>
      <c r="N572" s="154">
        <v>229</v>
      </c>
      <c r="P572" s="122">
        <f t="shared" si="52"/>
        <v>746.66666666666663</v>
      </c>
      <c r="Q572" s="122">
        <f t="shared" si="53"/>
        <v>0</v>
      </c>
      <c r="R572" s="158">
        <f t="shared" si="50"/>
        <v>1</v>
      </c>
      <c r="S572" s="185"/>
      <c r="T572" s="79"/>
      <c r="U572" s="79"/>
      <c r="V572" s="79"/>
      <c r="Y572" s="85"/>
      <c r="Z572" s="333"/>
      <c r="AA572" s="122"/>
      <c r="AB572" s="122"/>
    </row>
    <row r="573" spans="1:30" s="78" customFormat="1" x14ac:dyDescent="0.2">
      <c r="A573" s="187">
        <v>42919</v>
      </c>
      <c r="B573" s="122">
        <v>23</v>
      </c>
      <c r="C573" s="76"/>
      <c r="D573" s="78" t="s">
        <v>21</v>
      </c>
      <c r="E573" s="144">
        <v>1</v>
      </c>
      <c r="F573" s="85">
        <v>224</v>
      </c>
      <c r="G573" s="85">
        <v>2</v>
      </c>
      <c r="H573" s="78">
        <v>340</v>
      </c>
      <c r="I573" s="78">
        <v>6</v>
      </c>
      <c r="J573" s="78">
        <v>0</v>
      </c>
      <c r="K573" s="78">
        <v>4</v>
      </c>
      <c r="L573" s="78">
        <v>0</v>
      </c>
      <c r="M573" s="78">
        <v>6</v>
      </c>
      <c r="N573" s="78">
        <v>0</v>
      </c>
      <c r="P573" s="122">
        <f t="shared" si="52"/>
        <v>6290</v>
      </c>
      <c r="Q573" s="122">
        <f t="shared" si="53"/>
        <v>226.66666666666666</v>
      </c>
      <c r="R573" s="158">
        <f t="shared" si="50"/>
        <v>0.9652173913043478</v>
      </c>
      <c r="S573" s="186" t="str">
        <f>D573</f>
        <v>HL-6 Low</v>
      </c>
      <c r="T573" s="79"/>
      <c r="U573" s="79"/>
      <c r="V573" s="79"/>
      <c r="Y573" s="85" t="str">
        <f>D573</f>
        <v>HL-6 Low</v>
      </c>
      <c r="Z573" s="333">
        <f>SUMIFS($P$505:$P$568, $D$505:$D$568, Y573, $F$505:$F$568, "&lt;200") + SUMIFS($Q$505:$Q$568, $D$505:$D$568, Y573, $F$505:$F$568, "&lt;200")</f>
        <v>47166.666666666672</v>
      </c>
      <c r="AA573" s="122">
        <f>SUM(P573:Q576)</f>
        <v>42563.333333333336</v>
      </c>
      <c r="AB573" s="122">
        <f>SUMIFS(Collection!O:O, Collection!B:B, "*" &amp; 'Bucket Counts'!Y573 &amp; "*", Collection!A:A, "&lt;" &amp; 'Bucket Counts'!A573,Collection!A:A,  "&gt;=" &amp; 'Bucket Counts'!$A$505)</f>
        <v>0</v>
      </c>
      <c r="AC573" s="158">
        <f>AA573/(Z573+AB573)</f>
        <v>0.90240282685512363</v>
      </c>
    </row>
    <row r="574" spans="1:30" s="78" customFormat="1" x14ac:dyDescent="0.2">
      <c r="A574" s="187">
        <v>42919</v>
      </c>
      <c r="B574" s="122">
        <v>23</v>
      </c>
      <c r="C574" s="76"/>
      <c r="D574" s="78" t="s">
        <v>21</v>
      </c>
      <c r="E574" s="144">
        <v>1</v>
      </c>
      <c r="F574" s="85">
        <v>180</v>
      </c>
      <c r="G574" s="85">
        <v>1</v>
      </c>
      <c r="H574" s="78">
        <v>340</v>
      </c>
      <c r="I574" s="78">
        <v>27</v>
      </c>
      <c r="J574" s="78">
        <v>0</v>
      </c>
      <c r="K574" s="78">
        <v>47</v>
      </c>
      <c r="L574" s="78">
        <v>1</v>
      </c>
      <c r="M574" s="78">
        <v>37</v>
      </c>
      <c r="N574" s="78">
        <v>3</v>
      </c>
      <c r="P574" s="122">
        <f t="shared" si="52"/>
        <v>14506.666666666666</v>
      </c>
      <c r="Q574" s="122">
        <f t="shared" si="53"/>
        <v>3173.3333333333335</v>
      </c>
      <c r="R574" s="158">
        <f t="shared" si="50"/>
        <v>0.82051282051282048</v>
      </c>
      <c r="S574" s="184">
        <f>(SUM(P573:P576)/(SUM(P573:Q576)))</f>
        <v>0.50943691753465414</v>
      </c>
      <c r="T574" s="79"/>
      <c r="U574" s="79"/>
      <c r="V574" s="79"/>
      <c r="Y574" s="85"/>
      <c r="Z574" s="333"/>
      <c r="AA574" s="122"/>
      <c r="AB574" s="122"/>
    </row>
    <row r="575" spans="1:30" s="78" customFormat="1" x14ac:dyDescent="0.2">
      <c r="A575" s="187">
        <v>42919</v>
      </c>
      <c r="B575" s="122">
        <v>23</v>
      </c>
      <c r="C575" s="76"/>
      <c r="D575" s="78" t="s">
        <v>21</v>
      </c>
      <c r="E575" s="144">
        <v>1</v>
      </c>
      <c r="F575" s="85">
        <v>100</v>
      </c>
      <c r="G575" s="85">
        <v>1</v>
      </c>
      <c r="H575" s="78">
        <v>460</v>
      </c>
      <c r="I575" s="78">
        <v>43</v>
      </c>
      <c r="J575" s="78">
        <v>10</v>
      </c>
      <c r="K575" s="78">
        <v>47</v>
      </c>
      <c r="L575" s="78">
        <v>7</v>
      </c>
      <c r="M575" s="78">
        <v>38</v>
      </c>
      <c r="N575" s="78">
        <v>11</v>
      </c>
      <c r="P575" s="122">
        <f t="shared" si="52"/>
        <v>153.33333333333331</v>
      </c>
      <c r="Q575" s="122">
        <f t="shared" si="53"/>
        <v>17480</v>
      </c>
      <c r="R575" s="158">
        <f t="shared" si="50"/>
        <v>8.6956521739130436E-3</v>
      </c>
      <c r="S575" s="185"/>
      <c r="T575" s="79"/>
      <c r="U575" s="79"/>
      <c r="V575" s="79"/>
      <c r="Y575" s="85"/>
      <c r="Z575" s="333"/>
      <c r="AA575" s="122"/>
      <c r="AB575" s="122"/>
    </row>
    <row r="576" spans="1:30" s="78" customFormat="1" x14ac:dyDescent="0.2">
      <c r="A576" s="187">
        <v>42919</v>
      </c>
      <c r="B576" s="122">
        <v>23</v>
      </c>
      <c r="C576" s="76"/>
      <c r="D576" s="78" t="s">
        <v>21</v>
      </c>
      <c r="E576" s="144">
        <v>1</v>
      </c>
      <c r="F576" s="85" t="s">
        <v>201</v>
      </c>
      <c r="G576" s="85">
        <v>1</v>
      </c>
      <c r="H576" s="78">
        <v>275</v>
      </c>
      <c r="I576" s="78">
        <v>1</v>
      </c>
      <c r="J576" s="78">
        <v>34</v>
      </c>
      <c r="K576" s="78">
        <v>0</v>
      </c>
      <c r="L576" s="78">
        <v>41</v>
      </c>
      <c r="M576" s="78">
        <v>0</v>
      </c>
      <c r="N576" s="78">
        <v>39</v>
      </c>
      <c r="P576" s="122">
        <f t="shared" si="52"/>
        <v>733.33333333333326</v>
      </c>
      <c r="Q576" s="122">
        <f t="shared" si="53"/>
        <v>0</v>
      </c>
      <c r="R576" s="158">
        <f t="shared" si="50"/>
        <v>1</v>
      </c>
      <c r="S576" s="185"/>
      <c r="T576" s="79"/>
      <c r="U576" s="79"/>
      <c r="V576" s="79"/>
      <c r="Y576" s="85"/>
      <c r="Z576" s="333"/>
      <c r="AA576" s="122"/>
      <c r="AB576" s="122"/>
    </row>
    <row r="577" spans="1:30" s="78" customFormat="1" x14ac:dyDescent="0.2">
      <c r="A577" s="187">
        <v>42919</v>
      </c>
      <c r="B577" s="122">
        <v>24</v>
      </c>
      <c r="C577" s="76"/>
      <c r="D577" s="78" t="s">
        <v>118</v>
      </c>
      <c r="E577" s="78">
        <v>2</v>
      </c>
      <c r="F577" s="85">
        <v>224</v>
      </c>
      <c r="G577" s="85">
        <v>2</v>
      </c>
      <c r="H577" s="78">
        <v>250</v>
      </c>
      <c r="I577" s="78">
        <v>0</v>
      </c>
      <c r="J577" s="78">
        <v>0</v>
      </c>
      <c r="K577" s="78">
        <v>2</v>
      </c>
      <c r="L577" s="78">
        <v>0</v>
      </c>
      <c r="M577" s="78">
        <v>6</v>
      </c>
      <c r="N577" s="78">
        <v>0</v>
      </c>
      <c r="P577" s="122">
        <f>(AVERAGE(I577,K577,M577)/G577)*H577</f>
        <v>333.33333333333331</v>
      </c>
      <c r="Q577" s="122">
        <f t="shared" si="49"/>
        <v>0</v>
      </c>
      <c r="R577" s="158">
        <f t="shared" si="50"/>
        <v>1</v>
      </c>
      <c r="S577" s="186" t="str">
        <f>D577</f>
        <v>HL-6 Ambient</v>
      </c>
      <c r="T577" s="79"/>
      <c r="U577" s="79"/>
      <c r="V577" s="79"/>
      <c r="Y577" s="85" t="str">
        <f>D577</f>
        <v>HL-6 Ambient</v>
      </c>
      <c r="Z577" s="333">
        <f>SUMIFS($P$505:$P$568, $D$505:$D$568, Y577, $F$505:$F$568, "&lt;200") + SUMIFS($Q$505:$Q$568, $D$505:$D$568, Y577, $F$505:$F$568, "&lt;200")</f>
        <v>20096.666666666668</v>
      </c>
      <c r="AA577" s="122">
        <f>SUM(P577:Q580)</f>
        <v>12033.333333333334</v>
      </c>
      <c r="AB577" s="122">
        <f>SUMIFS(Collection!O:O, Collection!B:B, "*" &amp; 'Bucket Counts'!Y577 &amp; "*", Collection!A:A, "&lt;" &amp; 'Bucket Counts'!A577,Collection!A:A,  "&gt;=" &amp; 'Bucket Counts'!$A$505)</f>
        <v>0</v>
      </c>
      <c r="AC577" s="158">
        <f>AA577/(Z577+AB577)</f>
        <v>0.59877259910432912</v>
      </c>
      <c r="AD577" s="318">
        <f>0.94*Z577-AA577</f>
        <v>6857.533333333331</v>
      </c>
    </row>
    <row r="578" spans="1:30" s="78" customFormat="1" x14ac:dyDescent="0.2">
      <c r="A578" s="187">
        <v>42919</v>
      </c>
      <c r="B578" s="122">
        <v>24</v>
      </c>
      <c r="C578" s="76"/>
      <c r="D578" s="78" t="s">
        <v>118</v>
      </c>
      <c r="E578" s="78">
        <v>2</v>
      </c>
      <c r="F578" s="85">
        <v>180</v>
      </c>
      <c r="G578" s="85">
        <v>1</v>
      </c>
      <c r="H578" s="225">
        <v>400</v>
      </c>
      <c r="I578" s="78">
        <v>4</v>
      </c>
      <c r="J578" s="78">
        <v>1</v>
      </c>
      <c r="K578" s="78">
        <v>10</v>
      </c>
      <c r="L578" s="78">
        <v>1</v>
      </c>
      <c r="M578" s="78">
        <v>11</v>
      </c>
      <c r="N578" s="78">
        <v>1</v>
      </c>
      <c r="P578" s="122">
        <f>(AVERAGE(I578,K578,M578)/G578)*H578</f>
        <v>3333.3333333333335</v>
      </c>
      <c r="Q578" s="122">
        <f t="shared" si="49"/>
        <v>400</v>
      </c>
      <c r="R578" s="158">
        <f t="shared" si="50"/>
        <v>0.8928571428571429</v>
      </c>
      <c r="S578" s="184">
        <f>(SUM(P577:P580)/(SUM(P577:Q580)))</f>
        <v>0.47091412742382271</v>
      </c>
      <c r="T578" s="79"/>
      <c r="U578" s="79"/>
      <c r="V578" s="79"/>
      <c r="Y578" s="85"/>
      <c r="Z578" s="333"/>
      <c r="AA578" s="122"/>
      <c r="AB578" s="122"/>
    </row>
    <row r="579" spans="1:30" s="78" customFormat="1" x14ac:dyDescent="0.2">
      <c r="A579" s="187">
        <v>42919</v>
      </c>
      <c r="B579" s="122">
        <v>24</v>
      </c>
      <c r="C579" s="76"/>
      <c r="D579" s="78" t="s">
        <v>118</v>
      </c>
      <c r="E579" s="78">
        <v>2</v>
      </c>
      <c r="F579" s="85">
        <v>100</v>
      </c>
      <c r="G579" s="85">
        <v>1</v>
      </c>
      <c r="H579" s="225">
        <v>300</v>
      </c>
      <c r="I579" s="78">
        <v>6</v>
      </c>
      <c r="J579" s="78">
        <v>6</v>
      </c>
      <c r="K579" s="78">
        <v>7</v>
      </c>
      <c r="L579" s="78">
        <v>3</v>
      </c>
      <c r="M579" s="78">
        <v>7</v>
      </c>
      <c r="N579" s="78">
        <v>4</v>
      </c>
      <c r="P579" s="122">
        <f>(AVERAGE(I579,K579,M579)/G579)*H579</f>
        <v>2000</v>
      </c>
      <c r="Q579" s="122">
        <f t="shared" si="49"/>
        <v>1300</v>
      </c>
      <c r="R579" s="158">
        <f t="shared" si="50"/>
        <v>0.60606060606060608</v>
      </c>
      <c r="S579" s="185"/>
      <c r="T579" s="79"/>
      <c r="U579" s="79"/>
      <c r="V579" s="79"/>
      <c r="Y579" s="85"/>
      <c r="Z579" s="333"/>
      <c r="AA579" s="122"/>
      <c r="AB579" s="122"/>
    </row>
    <row r="580" spans="1:30" s="78" customFormat="1" x14ac:dyDescent="0.2">
      <c r="A580" s="187">
        <v>42919</v>
      </c>
      <c r="B580" s="122">
        <v>24</v>
      </c>
      <c r="C580" s="76"/>
      <c r="D580" s="78" t="s">
        <v>118</v>
      </c>
      <c r="E580" s="78">
        <v>2</v>
      </c>
      <c r="F580" s="85" t="s">
        <v>201</v>
      </c>
      <c r="G580" s="85">
        <v>1</v>
      </c>
      <c r="H580" s="225">
        <v>250</v>
      </c>
      <c r="I580" s="78">
        <v>0</v>
      </c>
      <c r="J580" s="78">
        <v>20</v>
      </c>
      <c r="K580" s="78">
        <v>0</v>
      </c>
      <c r="L580" s="78">
        <v>19</v>
      </c>
      <c r="M580" s="78">
        <v>0</v>
      </c>
      <c r="N580" s="78">
        <v>17</v>
      </c>
      <c r="P580" s="122">
        <f>(AVERAGE(I580,K580,M580)/G580)*H580</f>
        <v>0</v>
      </c>
      <c r="Q580" s="122">
        <f t="shared" si="49"/>
        <v>4666.666666666667</v>
      </c>
      <c r="R580" s="158">
        <f t="shared" si="50"/>
        <v>0</v>
      </c>
      <c r="S580" s="185"/>
      <c r="T580" s="79"/>
      <c r="U580" s="79"/>
      <c r="V580" s="79"/>
      <c r="Y580" s="85"/>
      <c r="Z580" s="333"/>
      <c r="AA580" s="122"/>
      <c r="AB580" s="122"/>
    </row>
    <row r="581" spans="1:30" s="78" customFormat="1" x14ac:dyDescent="0.2">
      <c r="A581" s="187">
        <v>42919</v>
      </c>
      <c r="B581" s="412">
        <v>12</v>
      </c>
      <c r="C581" s="76"/>
      <c r="D581" s="77" t="s">
        <v>83</v>
      </c>
      <c r="E581" s="78">
        <v>2</v>
      </c>
      <c r="F581" s="85">
        <v>224</v>
      </c>
      <c r="G581" s="85">
        <v>3</v>
      </c>
      <c r="H581" s="225">
        <v>280</v>
      </c>
      <c r="I581" s="78">
        <v>0</v>
      </c>
      <c r="J581" s="78">
        <v>0</v>
      </c>
      <c r="K581" s="78">
        <v>0</v>
      </c>
      <c r="L581" s="78">
        <v>0</v>
      </c>
      <c r="M581" s="78">
        <v>0</v>
      </c>
      <c r="N581" s="78">
        <v>0</v>
      </c>
      <c r="P581" s="122">
        <v>2</v>
      </c>
      <c r="Q581" s="122">
        <f t="shared" si="49"/>
        <v>0</v>
      </c>
      <c r="R581" s="158">
        <f t="shared" si="50"/>
        <v>1</v>
      </c>
      <c r="S581" s="186" t="str">
        <f>D581</f>
        <v>NF-10 Low</v>
      </c>
      <c r="T581" s="79"/>
      <c r="U581" s="79"/>
      <c r="V581" s="79"/>
      <c r="W581" s="78" t="s">
        <v>305</v>
      </c>
      <c r="Y581" s="85" t="str">
        <f>D581</f>
        <v>NF-10 Low</v>
      </c>
      <c r="Z581" s="333">
        <f>SUMIFS($P$505:$P$568, $D$505:$D$568, Y581, $F$505:$F$568, "&lt;200") + SUMIFS($Q$505:$Q$568, $D$505:$D$568, Y581, $F$505:$F$568, "&lt;200")</f>
        <v>81.666666666666657</v>
      </c>
      <c r="AA581" s="122">
        <f>SUM(P581:Q584)</f>
        <v>124.22222222222223</v>
      </c>
      <c r="AB581" s="122">
        <f>SUMIFS(Collection!O:O, Collection!B:B, "*" &amp; 'Bucket Counts'!Y581 &amp; "*", Collection!A:A, "&lt;" &amp; 'Bucket Counts'!A581,Collection!A:A,  "&gt;=" &amp; 'Bucket Counts'!$A$505)</f>
        <v>0</v>
      </c>
      <c r="AC581" s="158">
        <f>AA581/(Z581+AB581)</f>
        <v>1.5210884353741498</v>
      </c>
    </row>
    <row r="582" spans="1:30" s="78" customFormat="1" x14ac:dyDescent="0.2">
      <c r="A582" s="187">
        <v>42919</v>
      </c>
      <c r="B582" s="412">
        <v>12</v>
      </c>
      <c r="C582" s="76"/>
      <c r="D582" s="77" t="s">
        <v>83</v>
      </c>
      <c r="E582" s="78">
        <v>2</v>
      </c>
      <c r="F582" s="85">
        <v>180</v>
      </c>
      <c r="G582" s="85">
        <v>3</v>
      </c>
      <c r="H582" s="225">
        <v>280</v>
      </c>
      <c r="I582" s="78">
        <v>0</v>
      </c>
      <c r="J582" s="78">
        <v>0</v>
      </c>
      <c r="K582" s="78">
        <v>2</v>
      </c>
      <c r="L582" s="78">
        <v>0</v>
      </c>
      <c r="M582" s="78">
        <v>0</v>
      </c>
      <c r="N582" s="78">
        <v>0</v>
      </c>
      <c r="P582" s="122">
        <f t="shared" ref="P582:P592" si="54">(AVERAGE(I582,K582,M582)/G582)*H582</f>
        <v>62.222222222222221</v>
      </c>
      <c r="Q582" s="122">
        <f t="shared" si="49"/>
        <v>0</v>
      </c>
      <c r="R582" s="158">
        <f t="shared" si="50"/>
        <v>1</v>
      </c>
      <c r="S582" s="184">
        <f>(SUM(P581:P584)/(SUM(P581:Q584)))</f>
        <v>0.78533094812164572</v>
      </c>
      <c r="T582" s="79"/>
      <c r="U582" s="79"/>
      <c r="V582" s="79"/>
      <c r="Y582" s="85"/>
      <c r="Z582" s="333"/>
      <c r="AA582" s="122"/>
      <c r="AB582" s="122"/>
    </row>
    <row r="583" spans="1:30" s="78" customFormat="1" x14ac:dyDescent="0.2">
      <c r="A583" s="187">
        <v>42919</v>
      </c>
      <c r="B583" s="412">
        <v>12</v>
      </c>
      <c r="C583" s="76"/>
      <c r="D583" s="77" t="s">
        <v>83</v>
      </c>
      <c r="E583" s="78">
        <v>2</v>
      </c>
      <c r="F583" s="85">
        <v>100</v>
      </c>
      <c r="G583" s="85">
        <v>3</v>
      </c>
      <c r="H583" s="225">
        <v>300</v>
      </c>
      <c r="I583" s="78">
        <v>1</v>
      </c>
      <c r="J583" s="78">
        <v>0</v>
      </c>
      <c r="K583" s="78">
        <v>0</v>
      </c>
      <c r="L583" s="78">
        <v>0</v>
      </c>
      <c r="M583" s="78">
        <v>0</v>
      </c>
      <c r="N583" s="78">
        <v>0</v>
      </c>
      <c r="P583" s="122">
        <f t="shared" si="54"/>
        <v>33.333333333333329</v>
      </c>
      <c r="Q583" s="122">
        <f t="shared" si="49"/>
        <v>0</v>
      </c>
      <c r="R583" s="158">
        <f t="shared" si="50"/>
        <v>1</v>
      </c>
      <c r="S583" s="185"/>
      <c r="T583" s="79"/>
      <c r="U583" s="79"/>
      <c r="V583" s="79"/>
      <c r="Y583" s="85"/>
      <c r="Z583" s="333"/>
      <c r="AA583" s="122"/>
      <c r="AB583" s="122"/>
    </row>
    <row r="584" spans="1:30" s="78" customFormat="1" x14ac:dyDescent="0.2">
      <c r="A584" s="187">
        <v>42919</v>
      </c>
      <c r="B584" s="412">
        <v>12</v>
      </c>
      <c r="C584" s="76"/>
      <c r="D584" s="77" t="s">
        <v>83</v>
      </c>
      <c r="E584" s="78">
        <v>2</v>
      </c>
      <c r="F584" s="85" t="s">
        <v>201</v>
      </c>
      <c r="G584" s="85">
        <v>3</v>
      </c>
      <c r="H584" s="225">
        <v>240</v>
      </c>
      <c r="I584" s="78">
        <v>0</v>
      </c>
      <c r="J584" s="78">
        <v>1</v>
      </c>
      <c r="K584" s="78">
        <v>0</v>
      </c>
      <c r="L584" s="78">
        <v>0</v>
      </c>
      <c r="M584" s="78">
        <v>0</v>
      </c>
      <c r="N584" s="78">
        <v>0</v>
      </c>
      <c r="P584" s="122">
        <f t="shared" si="54"/>
        <v>0</v>
      </c>
      <c r="Q584" s="122">
        <f t="shared" si="49"/>
        <v>26.666666666666664</v>
      </c>
      <c r="R584" s="158">
        <f t="shared" si="50"/>
        <v>0</v>
      </c>
      <c r="S584" s="185"/>
      <c r="T584" s="79"/>
      <c r="U584" s="79"/>
      <c r="V584" s="79"/>
      <c r="Y584" s="85"/>
      <c r="Z584" s="333"/>
      <c r="AA584" s="122"/>
      <c r="AB584" s="122"/>
    </row>
    <row r="585" spans="1:30" s="78" customFormat="1" x14ac:dyDescent="0.2">
      <c r="A585" s="187">
        <v>42919</v>
      </c>
      <c r="B585" s="122">
        <v>8</v>
      </c>
      <c r="C585" s="76"/>
      <c r="D585" s="78" t="s">
        <v>85</v>
      </c>
      <c r="E585" s="78">
        <v>3</v>
      </c>
      <c r="F585" s="85">
        <v>224</v>
      </c>
      <c r="G585" s="85">
        <v>3</v>
      </c>
      <c r="H585" s="225">
        <v>260</v>
      </c>
      <c r="I585" s="78">
        <v>1</v>
      </c>
      <c r="J585" s="78">
        <v>0</v>
      </c>
      <c r="K585" s="78">
        <v>1</v>
      </c>
      <c r="L585" s="78">
        <v>0</v>
      </c>
      <c r="M585" s="78">
        <v>0</v>
      </c>
      <c r="N585" s="78">
        <v>0</v>
      </c>
      <c r="P585" s="122">
        <f t="shared" si="54"/>
        <v>57.777777777777771</v>
      </c>
      <c r="Q585" s="122">
        <f t="shared" si="49"/>
        <v>0</v>
      </c>
      <c r="R585" s="158">
        <f t="shared" si="50"/>
        <v>1</v>
      </c>
      <c r="S585" s="186" t="str">
        <f>D585</f>
        <v>NF-6 Ambient</v>
      </c>
      <c r="T585" s="79"/>
      <c r="U585" s="79"/>
      <c r="V585" s="79"/>
      <c r="Y585" s="85" t="str">
        <f>D585</f>
        <v>NF-6 Ambient</v>
      </c>
      <c r="Z585" s="333">
        <f>SUMIFS($P$505:$P$568, $D$505:$D$568, Y585, $F$505:$F$568, "&lt;200") + SUMIFS($Q$505:$Q$568, $D$505:$D$568, Y585, $F$505:$F$568, "&lt;200")</f>
        <v>1789.9999999999998</v>
      </c>
      <c r="AA585" s="122">
        <f>SUM(P585:Q588)</f>
        <v>1660</v>
      </c>
      <c r="AB585" s="122">
        <f>SUMIFS(Collection!O:O, Collection!B:B, "*" &amp; 'Bucket Counts'!Y585 &amp; "*", Collection!A:A, "&lt;" &amp; 'Bucket Counts'!A585,Collection!A:A,  "&gt;=" &amp; 'Bucket Counts'!$A$505)</f>
        <v>0</v>
      </c>
      <c r="AC585" s="158">
        <f>AA585/(Z585+AB585)</f>
        <v>0.92737430167597779</v>
      </c>
    </row>
    <row r="586" spans="1:30" s="78" customFormat="1" x14ac:dyDescent="0.2">
      <c r="A586" s="187">
        <v>42919</v>
      </c>
      <c r="B586" s="122">
        <v>8</v>
      </c>
      <c r="C586" s="76"/>
      <c r="D586" s="78" t="s">
        <v>85</v>
      </c>
      <c r="E586" s="78">
        <v>3</v>
      </c>
      <c r="F586" s="85">
        <v>180</v>
      </c>
      <c r="G586" s="85">
        <v>3</v>
      </c>
      <c r="H586" s="225">
        <v>300</v>
      </c>
      <c r="I586" s="78">
        <v>7</v>
      </c>
      <c r="J586" s="78">
        <v>0</v>
      </c>
      <c r="K586" s="78">
        <v>7</v>
      </c>
      <c r="L586" s="78">
        <v>1</v>
      </c>
      <c r="M586" s="78">
        <v>9</v>
      </c>
      <c r="N586" s="78">
        <v>0</v>
      </c>
      <c r="P586" s="122">
        <f t="shared" si="54"/>
        <v>766.66666666666674</v>
      </c>
      <c r="Q586" s="122">
        <f t="shared" si="49"/>
        <v>33.333333333333329</v>
      </c>
      <c r="R586" s="158">
        <f t="shared" si="50"/>
        <v>0.95833333333333326</v>
      </c>
      <c r="S586" s="184">
        <f>(SUM(P585:P588)/(SUM(P585:Q588)))</f>
        <v>0.55287817938420358</v>
      </c>
      <c r="T586" s="79"/>
      <c r="U586" s="79"/>
      <c r="V586" s="79"/>
      <c r="Y586" s="85"/>
      <c r="Z586" s="333"/>
      <c r="AA586" s="122"/>
      <c r="AB586" s="122"/>
    </row>
    <row r="587" spans="1:30" s="78" customFormat="1" x14ac:dyDescent="0.2">
      <c r="A587" s="187">
        <v>42919</v>
      </c>
      <c r="B587" s="122">
        <v>8</v>
      </c>
      <c r="C587" s="76"/>
      <c r="D587" s="78" t="s">
        <v>85</v>
      </c>
      <c r="E587" s="78">
        <v>3</v>
      </c>
      <c r="F587" s="85">
        <v>100</v>
      </c>
      <c r="G587" s="85">
        <v>3</v>
      </c>
      <c r="H587" s="225">
        <v>280</v>
      </c>
      <c r="I587" s="78">
        <v>2</v>
      </c>
      <c r="J587" s="78">
        <v>0</v>
      </c>
      <c r="K587" s="78">
        <v>1</v>
      </c>
      <c r="L587" s="78">
        <v>0</v>
      </c>
      <c r="M587" s="78">
        <v>0</v>
      </c>
      <c r="N587" s="78">
        <v>0</v>
      </c>
      <c r="P587" s="122">
        <f t="shared" si="54"/>
        <v>93.333333333333329</v>
      </c>
      <c r="Q587" s="122">
        <f t="shared" si="49"/>
        <v>0</v>
      </c>
      <c r="R587" s="158">
        <f t="shared" si="50"/>
        <v>1</v>
      </c>
      <c r="S587" s="185"/>
      <c r="T587" s="79"/>
      <c r="U587" s="79"/>
      <c r="V587" s="79"/>
      <c r="Y587" s="85"/>
      <c r="Z587" s="333"/>
      <c r="AA587" s="122"/>
      <c r="AB587" s="122"/>
    </row>
    <row r="588" spans="1:30" s="78" customFormat="1" x14ac:dyDescent="0.2">
      <c r="A588" s="187">
        <v>42919</v>
      </c>
      <c r="B588" s="122">
        <v>8</v>
      </c>
      <c r="C588" s="76"/>
      <c r="D588" s="78" t="s">
        <v>85</v>
      </c>
      <c r="E588" s="78">
        <v>3</v>
      </c>
      <c r="F588" s="85" t="s">
        <v>201</v>
      </c>
      <c r="G588" s="85">
        <v>3</v>
      </c>
      <c r="H588" s="225">
        <v>290</v>
      </c>
      <c r="I588" s="78">
        <v>0</v>
      </c>
      <c r="J588" s="78">
        <v>14</v>
      </c>
      <c r="K588" s="78">
        <v>0</v>
      </c>
      <c r="L588" s="78">
        <v>5</v>
      </c>
      <c r="M588" s="78">
        <v>0</v>
      </c>
      <c r="N588" s="78">
        <v>3</v>
      </c>
      <c r="P588" s="122">
        <f t="shared" si="54"/>
        <v>0</v>
      </c>
      <c r="Q588" s="122">
        <f t="shared" si="49"/>
        <v>708.8888888888888</v>
      </c>
      <c r="R588" s="158">
        <f t="shared" si="50"/>
        <v>0</v>
      </c>
      <c r="S588" s="185"/>
      <c r="T588" s="79"/>
      <c r="U588" s="79"/>
      <c r="V588" s="79"/>
      <c r="Y588" s="85"/>
      <c r="Z588" s="333"/>
      <c r="AA588" s="122"/>
      <c r="AB588" s="122"/>
    </row>
    <row r="589" spans="1:30" s="78" customFormat="1" x14ac:dyDescent="0.2">
      <c r="A589" s="187">
        <v>42919</v>
      </c>
      <c r="B589" s="122">
        <v>10</v>
      </c>
      <c r="C589" s="76"/>
      <c r="D589" s="78" t="s">
        <v>104</v>
      </c>
      <c r="E589" s="78">
        <v>3</v>
      </c>
      <c r="F589" s="85">
        <v>224</v>
      </c>
      <c r="G589" s="85">
        <v>2</v>
      </c>
      <c r="H589" s="225">
        <v>325</v>
      </c>
      <c r="I589" s="78">
        <v>10</v>
      </c>
      <c r="J589" s="78">
        <v>0</v>
      </c>
      <c r="K589" s="78">
        <v>9</v>
      </c>
      <c r="L589" s="78">
        <v>0</v>
      </c>
      <c r="M589" s="78">
        <v>9</v>
      </c>
      <c r="N589" s="78">
        <v>0</v>
      </c>
      <c r="P589" s="122">
        <f t="shared" si="54"/>
        <v>1516.6666666666667</v>
      </c>
      <c r="Q589" s="122">
        <f t="shared" si="49"/>
        <v>0</v>
      </c>
      <c r="R589" s="158">
        <f t="shared" si="50"/>
        <v>1</v>
      </c>
      <c r="S589" s="186" t="str">
        <f>D589</f>
        <v>NF-6 Low</v>
      </c>
      <c r="T589" s="79"/>
      <c r="U589" s="79"/>
      <c r="V589" s="79"/>
      <c r="Y589" s="85" t="str">
        <f>D589</f>
        <v>NF-6 Low</v>
      </c>
      <c r="Z589" s="333">
        <f>SUMIFS($P$505:$P$568, $D$505:$D$568, Y589, $F$505:$F$568, "&lt;200") + SUMIFS($Q$505:$Q$568, $D$505:$D$568, Y589, $F$505:$F$568, "&lt;200")</f>
        <v>33333.333333333336</v>
      </c>
      <c r="AA589" s="122">
        <f>SUM(P589:Q592)</f>
        <v>33648.333333333336</v>
      </c>
      <c r="AB589" s="122">
        <f>SUMIFS(Collection!O:O, Collection!B:B, "*" &amp; 'Bucket Counts'!Y589 &amp; "*", Collection!A:A, "&lt;" &amp; 'Bucket Counts'!A589,Collection!A:A,  "&gt;=" &amp; 'Bucket Counts'!$A$505)</f>
        <v>0</v>
      </c>
      <c r="AC589" s="158">
        <f>AA589/(Z589+AB589)</f>
        <v>1.00945</v>
      </c>
    </row>
    <row r="590" spans="1:30" s="78" customFormat="1" x14ac:dyDescent="0.2">
      <c r="A590" s="187">
        <v>42919</v>
      </c>
      <c r="B590" s="122">
        <v>10</v>
      </c>
      <c r="C590" s="76"/>
      <c r="D590" s="78" t="s">
        <v>104</v>
      </c>
      <c r="E590" s="78">
        <v>3</v>
      </c>
      <c r="F590" s="85">
        <v>180</v>
      </c>
      <c r="G590" s="85">
        <v>1</v>
      </c>
      <c r="H590" s="225">
        <v>480</v>
      </c>
      <c r="I590" s="78">
        <v>48</v>
      </c>
      <c r="J590" s="78">
        <v>1</v>
      </c>
      <c r="K590" s="78">
        <v>46</v>
      </c>
      <c r="L590" s="78">
        <v>0</v>
      </c>
      <c r="M590" s="78">
        <v>29</v>
      </c>
      <c r="N590" s="78">
        <v>0</v>
      </c>
      <c r="P590" s="122">
        <f t="shared" si="54"/>
        <v>19680</v>
      </c>
      <c r="Q590" s="122">
        <f t="shared" si="49"/>
        <v>160</v>
      </c>
      <c r="R590" s="158">
        <f t="shared" si="50"/>
        <v>0.99193548387096775</v>
      </c>
      <c r="S590" s="184">
        <f>(SUM(P589:P592)/(SUM(P589:Q592)))</f>
        <v>0.8290653326068651</v>
      </c>
      <c r="T590" s="79"/>
      <c r="Y590" s="85"/>
      <c r="Z590" s="333"/>
      <c r="AA590" s="122"/>
      <c r="AB590" s="122"/>
    </row>
    <row r="591" spans="1:30" s="78" customFormat="1" x14ac:dyDescent="0.2">
      <c r="A591" s="187">
        <v>42919</v>
      </c>
      <c r="B591" s="122">
        <v>10</v>
      </c>
      <c r="C591" s="76"/>
      <c r="D591" s="78" t="s">
        <v>104</v>
      </c>
      <c r="E591" s="78">
        <v>3</v>
      </c>
      <c r="F591" s="85">
        <v>100</v>
      </c>
      <c r="G591" s="85">
        <v>1</v>
      </c>
      <c r="H591" s="78">
        <v>275</v>
      </c>
      <c r="I591" s="78">
        <v>27</v>
      </c>
      <c r="J591" s="78">
        <v>0</v>
      </c>
      <c r="K591" s="78">
        <v>24</v>
      </c>
      <c r="L591" s="78">
        <v>1</v>
      </c>
      <c r="M591" s="78">
        <v>21</v>
      </c>
      <c r="N591" s="78">
        <v>0</v>
      </c>
      <c r="P591" s="122">
        <f t="shared" si="54"/>
        <v>6600</v>
      </c>
      <c r="Q591" s="122">
        <f t="shared" si="49"/>
        <v>91.666666666666657</v>
      </c>
      <c r="R591" s="158">
        <f t="shared" si="50"/>
        <v>0.98630136986301364</v>
      </c>
      <c r="S591" s="185"/>
      <c r="T591" s="79"/>
      <c r="Y591" s="85"/>
      <c r="Z591" s="333"/>
      <c r="AA591" s="122"/>
      <c r="AB591" s="122"/>
    </row>
    <row r="592" spans="1:30" s="78" customFormat="1" x14ac:dyDescent="0.2">
      <c r="A592" s="187">
        <v>42919</v>
      </c>
      <c r="B592" s="122">
        <v>10</v>
      </c>
      <c r="C592" s="76"/>
      <c r="D592" s="78" t="s">
        <v>104</v>
      </c>
      <c r="E592" s="78">
        <v>3</v>
      </c>
      <c r="F592" s="85" t="s">
        <v>201</v>
      </c>
      <c r="G592" s="85">
        <v>1</v>
      </c>
      <c r="H592" s="78">
        <v>300</v>
      </c>
      <c r="I592" s="78">
        <v>0</v>
      </c>
      <c r="J592" s="78">
        <v>17</v>
      </c>
      <c r="K592" s="78">
        <v>0</v>
      </c>
      <c r="L592" s="78">
        <v>19</v>
      </c>
      <c r="M592" s="78">
        <v>1</v>
      </c>
      <c r="N592" s="78">
        <v>19</v>
      </c>
      <c r="P592" s="122">
        <f t="shared" si="54"/>
        <v>100</v>
      </c>
      <c r="Q592" s="122">
        <f t="shared" si="49"/>
        <v>5500</v>
      </c>
      <c r="R592" s="158">
        <f t="shared" si="50"/>
        <v>1.7857142857142856E-2</v>
      </c>
      <c r="S592" s="185"/>
      <c r="T592" s="79"/>
      <c r="Y592" s="85"/>
      <c r="Z592" s="333"/>
      <c r="AA592" s="122"/>
      <c r="AB592" s="122"/>
    </row>
    <row r="593" spans="1:29" s="78" customFormat="1" x14ac:dyDescent="0.2">
      <c r="A593" s="187">
        <v>42919</v>
      </c>
      <c r="B593" s="412">
        <v>5</v>
      </c>
      <c r="C593" s="76"/>
      <c r="D593" s="77" t="s">
        <v>86</v>
      </c>
      <c r="E593" s="78">
        <v>4</v>
      </c>
      <c r="F593" s="85">
        <v>224</v>
      </c>
      <c r="G593" s="85">
        <v>3</v>
      </c>
      <c r="H593" s="78">
        <v>260</v>
      </c>
      <c r="I593" s="78">
        <v>0</v>
      </c>
      <c r="J593" s="78">
        <v>0</v>
      </c>
      <c r="K593" s="78">
        <v>0</v>
      </c>
      <c r="L593" s="78">
        <v>0</v>
      </c>
      <c r="M593" s="78">
        <v>0</v>
      </c>
      <c r="N593" s="78">
        <v>0</v>
      </c>
      <c r="P593" s="122">
        <v>3</v>
      </c>
      <c r="Q593" s="122">
        <f t="shared" ref="Q593:Q604" si="55">(AVERAGE(J594,L594,N594)/G593)*H593</f>
        <v>57.777777777777771</v>
      </c>
      <c r="R593" s="158">
        <f t="shared" si="50"/>
        <v>4.93601462522852E-2</v>
      </c>
      <c r="S593" s="183" t="str">
        <f>D593</f>
        <v>SN-10 Ambient</v>
      </c>
      <c r="T593" s="79"/>
      <c r="W593" s="78" t="s">
        <v>307</v>
      </c>
      <c r="Y593" s="85" t="str">
        <f>D593</f>
        <v>SN-10 Ambient</v>
      </c>
      <c r="Z593" s="333">
        <f>SUMIFS($P$505:$P$568, $D$505:$D$568, Y593, $F$505:$F$568, "&lt;200") + SUMIFS($Q$505:$Q$568, $D$505:$D$568, Y593, $F$505:$F$568, "&lt;200")</f>
        <v>1770</v>
      </c>
      <c r="AA593" s="122">
        <f>SUM(P593:Q596)</f>
        <v>852.99999999999989</v>
      </c>
      <c r="AB593" s="122">
        <f>SUMIFS(Collection!O:O, Collection!B:B, "*" &amp; 'Bucket Counts'!Y593 &amp; "*", Collection!A:A, "&lt;" &amp; 'Bucket Counts'!A593,Collection!A:A,  "&gt;=" &amp; 'Bucket Counts'!$A$505)</f>
        <v>0</v>
      </c>
      <c r="AC593" s="158">
        <f>AA593/(Z593+AB593)</f>
        <v>0.48192090395480219</v>
      </c>
    </row>
    <row r="594" spans="1:29" s="78" customFormat="1" x14ac:dyDescent="0.2">
      <c r="A594" s="187">
        <v>42919</v>
      </c>
      <c r="B594" s="412">
        <v>5</v>
      </c>
      <c r="C594" s="76"/>
      <c r="D594" s="77" t="s">
        <v>86</v>
      </c>
      <c r="E594" s="78">
        <v>4</v>
      </c>
      <c r="F594" s="85">
        <v>180</v>
      </c>
      <c r="G594" s="85">
        <v>3</v>
      </c>
      <c r="H594" s="78">
        <v>220</v>
      </c>
      <c r="I594" s="78">
        <v>1</v>
      </c>
      <c r="J594" s="78">
        <v>2</v>
      </c>
      <c r="K594" s="78">
        <v>0</v>
      </c>
      <c r="L594" s="78">
        <v>0</v>
      </c>
      <c r="M594" s="78">
        <v>4</v>
      </c>
      <c r="N594" s="78">
        <v>0</v>
      </c>
      <c r="P594" s="122">
        <f t="shared" ref="P594:P604" si="56">(AVERAGE(I595,K595,M595)/G594)*H594</f>
        <v>268.88888888888886</v>
      </c>
      <c r="Q594" s="122">
        <f t="shared" si="55"/>
        <v>73.333333333333329</v>
      </c>
      <c r="R594" s="158">
        <f t="shared" si="50"/>
        <v>0.7857142857142857</v>
      </c>
      <c r="S594" s="184">
        <f>(SUM(P593:P596)/(SUM(P593:Q596)))</f>
        <v>0.3786635404454865</v>
      </c>
      <c r="T594" s="79"/>
      <c r="Y594" s="85"/>
      <c r="Z594" s="333"/>
      <c r="AA594" s="122"/>
      <c r="AB594" s="122"/>
    </row>
    <row r="595" spans="1:29" s="78" customFormat="1" x14ac:dyDescent="0.2">
      <c r="A595" s="187">
        <v>42919</v>
      </c>
      <c r="B595" s="412">
        <v>5</v>
      </c>
      <c r="C595" s="76"/>
      <c r="D595" s="77" t="s">
        <v>86</v>
      </c>
      <c r="E595" s="78">
        <v>4</v>
      </c>
      <c r="F595" s="85">
        <v>100</v>
      </c>
      <c r="G595" s="85">
        <v>3</v>
      </c>
      <c r="H595" s="224">
        <v>240</v>
      </c>
      <c r="I595" s="78">
        <v>0</v>
      </c>
      <c r="J595" s="78">
        <v>1</v>
      </c>
      <c r="K595" s="78">
        <v>7</v>
      </c>
      <c r="L595" s="78">
        <v>1</v>
      </c>
      <c r="M595" s="78">
        <v>4</v>
      </c>
      <c r="N595" s="78">
        <v>1</v>
      </c>
      <c r="P595" s="122">
        <f t="shared" si="56"/>
        <v>0</v>
      </c>
      <c r="Q595" s="122">
        <f t="shared" si="55"/>
        <v>373.33333333333331</v>
      </c>
      <c r="R595" s="158">
        <f t="shared" si="50"/>
        <v>0</v>
      </c>
      <c r="S595" s="182"/>
      <c r="T595" s="79"/>
      <c r="Y595" s="85"/>
      <c r="Z595" s="333"/>
      <c r="AA595" s="122"/>
      <c r="AB595" s="122"/>
    </row>
    <row r="596" spans="1:29" s="78" customFormat="1" x14ac:dyDescent="0.2">
      <c r="A596" s="187">
        <v>42919</v>
      </c>
      <c r="B596" s="412">
        <v>5</v>
      </c>
      <c r="C596" s="76"/>
      <c r="D596" s="77" t="s">
        <v>86</v>
      </c>
      <c r="E596" s="78">
        <v>4</v>
      </c>
      <c r="F596" s="85" t="s">
        <v>201</v>
      </c>
      <c r="G596" s="85">
        <v>3</v>
      </c>
      <c r="H596" s="224">
        <v>230</v>
      </c>
      <c r="I596" s="78">
        <v>0</v>
      </c>
      <c r="J596" s="78">
        <v>2</v>
      </c>
      <c r="K596" s="78">
        <v>0</v>
      </c>
      <c r="L596" s="78">
        <v>5</v>
      </c>
      <c r="M596" s="78">
        <v>0</v>
      </c>
      <c r="N596" s="78">
        <v>7</v>
      </c>
      <c r="P596" s="122">
        <f t="shared" si="56"/>
        <v>51.111111111111107</v>
      </c>
      <c r="Q596" s="122">
        <f t="shared" si="55"/>
        <v>25.555555555555554</v>
      </c>
      <c r="R596" s="158">
        <f t="shared" si="50"/>
        <v>0.66666666666666674</v>
      </c>
      <c r="S596" s="185"/>
      <c r="T596" s="79"/>
      <c r="Y596" s="85"/>
      <c r="Z596" s="333"/>
      <c r="AA596" s="122"/>
      <c r="AB596" s="122"/>
    </row>
    <row r="597" spans="1:29" s="78" customFormat="1" x14ac:dyDescent="0.2">
      <c r="A597" s="187">
        <v>42919</v>
      </c>
      <c r="B597" s="412">
        <v>13</v>
      </c>
      <c r="C597" s="76"/>
      <c r="D597" s="77" t="s">
        <v>77</v>
      </c>
      <c r="E597" s="78">
        <v>4</v>
      </c>
      <c r="F597" s="85">
        <v>224</v>
      </c>
      <c r="G597" s="85">
        <v>3</v>
      </c>
      <c r="H597" s="78">
        <v>290</v>
      </c>
      <c r="I597" s="78">
        <v>1</v>
      </c>
      <c r="J597" s="78">
        <v>0</v>
      </c>
      <c r="K597" s="78">
        <v>1</v>
      </c>
      <c r="L597" s="78">
        <v>0</v>
      </c>
      <c r="M597" s="78">
        <v>0</v>
      </c>
      <c r="N597" s="78">
        <v>1</v>
      </c>
      <c r="P597" s="122">
        <f t="shared" si="56"/>
        <v>322.22222222222223</v>
      </c>
      <c r="Q597" s="122">
        <f t="shared" si="55"/>
        <v>64.444444444444443</v>
      </c>
      <c r="R597" s="158">
        <f t="shared" si="50"/>
        <v>0.83333333333333326</v>
      </c>
      <c r="S597" s="186" t="str">
        <f>D597</f>
        <v>SN-6 Low</v>
      </c>
      <c r="T597" s="79"/>
      <c r="Y597" s="85" t="str">
        <f>D597</f>
        <v>SN-6 Low</v>
      </c>
      <c r="Z597" s="333">
        <f>SUMIFS($P$505:$P$568, $D$505:$D$568, Y597, $F$505:$F$568, "&lt;200") + SUMIFS($Q$505:$Q$568, $D$505:$D$568, Y597, $F$505:$F$568, "&lt;200")</f>
        <v>2640</v>
      </c>
      <c r="AA597" s="122">
        <f>SUM(P597:Q600)</f>
        <v>1844.9999999999998</v>
      </c>
      <c r="AB597" s="122">
        <f>SUMIFS(Collection!O:O, Collection!B:B, "*" &amp; 'Bucket Counts'!Y597 &amp; "*", Collection!A:A, "&lt;" &amp; 'Bucket Counts'!A597,Collection!A:A,  "&gt;=" &amp; 'Bucket Counts'!$A$505)</f>
        <v>0</v>
      </c>
      <c r="AC597" s="158">
        <f>AA597/(Z597+AB597)</f>
        <v>0.69886363636363624</v>
      </c>
    </row>
    <row r="598" spans="1:29" s="78" customFormat="1" x14ac:dyDescent="0.2">
      <c r="A598" s="187">
        <v>42919</v>
      </c>
      <c r="B598" s="412">
        <v>13</v>
      </c>
      <c r="C598" s="76"/>
      <c r="D598" s="77" t="s">
        <v>77</v>
      </c>
      <c r="E598" s="78">
        <v>4</v>
      </c>
      <c r="F598" s="85">
        <v>180</v>
      </c>
      <c r="G598" s="85">
        <v>2</v>
      </c>
      <c r="H598" s="78">
        <v>320</v>
      </c>
      <c r="I598" s="78">
        <v>2</v>
      </c>
      <c r="J598" s="78">
        <v>2</v>
      </c>
      <c r="K598" s="78">
        <v>3</v>
      </c>
      <c r="L598" s="78">
        <v>0</v>
      </c>
      <c r="M598" s="78">
        <v>5</v>
      </c>
      <c r="N598" s="78">
        <v>0</v>
      </c>
      <c r="P598" s="122">
        <f t="shared" si="56"/>
        <v>373.33333333333337</v>
      </c>
      <c r="Q598" s="122">
        <f t="shared" si="55"/>
        <v>106.66666666666666</v>
      </c>
      <c r="R598" s="158">
        <f t="shared" si="50"/>
        <v>0.7777777777777779</v>
      </c>
      <c r="S598" s="184">
        <f>(SUM(P597:P600)/(SUM(P597:Q600)))</f>
        <v>0.64709424872026511</v>
      </c>
      <c r="T598" s="79"/>
      <c r="Y598" s="85"/>
      <c r="Z598" s="333"/>
      <c r="AA598" s="122"/>
      <c r="AB598" s="122"/>
    </row>
    <row r="599" spans="1:29" s="78" customFormat="1" x14ac:dyDescent="0.2">
      <c r="A599" s="187">
        <v>42919</v>
      </c>
      <c r="B599" s="412">
        <v>13</v>
      </c>
      <c r="C599" s="76"/>
      <c r="D599" s="77" t="s">
        <v>77</v>
      </c>
      <c r="E599" s="78">
        <v>4</v>
      </c>
      <c r="F599" s="85">
        <v>100</v>
      </c>
      <c r="G599" s="85">
        <v>3</v>
      </c>
      <c r="H599" s="224">
        <v>240</v>
      </c>
      <c r="I599" s="78">
        <v>1</v>
      </c>
      <c r="J599" s="78">
        <v>0</v>
      </c>
      <c r="K599" s="78">
        <v>1</v>
      </c>
      <c r="L599" s="78">
        <v>1</v>
      </c>
      <c r="M599" s="78">
        <v>5</v>
      </c>
      <c r="N599" s="78">
        <v>1</v>
      </c>
      <c r="P599" s="122">
        <f t="shared" si="56"/>
        <v>0</v>
      </c>
      <c r="Q599" s="122">
        <f t="shared" si="55"/>
        <v>480</v>
      </c>
      <c r="R599" s="158">
        <f t="shared" si="50"/>
        <v>0</v>
      </c>
      <c r="S599" s="185"/>
      <c r="T599" s="79"/>
      <c r="Y599" s="85"/>
      <c r="Z599" s="333"/>
      <c r="AA599" s="122"/>
      <c r="AB599" s="122"/>
    </row>
    <row r="600" spans="1:29" s="78" customFormat="1" x14ac:dyDescent="0.2">
      <c r="A600" s="187">
        <v>42919</v>
      </c>
      <c r="B600" s="412">
        <v>13</v>
      </c>
      <c r="C600" s="76"/>
      <c r="D600" s="77" t="s">
        <v>77</v>
      </c>
      <c r="E600" s="78">
        <v>4</v>
      </c>
      <c r="F600" s="85" t="s">
        <v>201</v>
      </c>
      <c r="G600" s="85">
        <v>2</v>
      </c>
      <c r="H600" s="224">
        <v>230</v>
      </c>
      <c r="I600" s="78">
        <v>0</v>
      </c>
      <c r="J600" s="78">
        <v>12</v>
      </c>
      <c r="K600" s="78">
        <v>0</v>
      </c>
      <c r="L600" s="78">
        <v>3</v>
      </c>
      <c r="M600" s="78">
        <v>0</v>
      </c>
      <c r="N600" s="78">
        <v>3</v>
      </c>
      <c r="P600" s="122">
        <f t="shared" si="56"/>
        <v>498.33333333333331</v>
      </c>
      <c r="Q600" s="122">
        <f t="shared" si="55"/>
        <v>0</v>
      </c>
      <c r="R600" s="158">
        <f t="shared" si="50"/>
        <v>1</v>
      </c>
      <c r="S600" s="185"/>
      <c r="T600" s="79"/>
      <c r="Y600" s="85"/>
      <c r="Z600" s="333"/>
      <c r="AA600" s="122"/>
      <c r="AB600" s="122"/>
    </row>
    <row r="601" spans="1:29" s="78" customFormat="1" x14ac:dyDescent="0.2">
      <c r="A601" s="187">
        <v>42919</v>
      </c>
      <c r="B601" s="122">
        <v>17</v>
      </c>
      <c r="C601" s="76"/>
      <c r="D601" s="78" t="s">
        <v>38</v>
      </c>
      <c r="E601" s="78">
        <v>5</v>
      </c>
      <c r="F601" s="85">
        <v>224</v>
      </c>
      <c r="G601" s="85">
        <v>2</v>
      </c>
      <c r="H601" s="78">
        <v>240</v>
      </c>
      <c r="I601" s="78">
        <v>4</v>
      </c>
      <c r="J601" s="78">
        <v>0</v>
      </c>
      <c r="K601" s="78">
        <v>2</v>
      </c>
      <c r="L601" s="78">
        <v>0</v>
      </c>
      <c r="M601" s="78">
        <v>7</v>
      </c>
      <c r="N601" s="78">
        <v>0</v>
      </c>
      <c r="P601" s="122">
        <f t="shared" si="56"/>
        <v>3160</v>
      </c>
      <c r="Q601" s="122">
        <f t="shared" si="55"/>
        <v>240</v>
      </c>
      <c r="R601" s="158">
        <f t="shared" si="50"/>
        <v>0.92941176470588238</v>
      </c>
      <c r="S601" s="186" t="str">
        <f>D601</f>
        <v>K-6 Ambient</v>
      </c>
      <c r="Y601" s="85" t="str">
        <f>D601</f>
        <v>K-6 Ambient</v>
      </c>
      <c r="Z601" s="333">
        <f>SUMIFS($P$505:$P$568, $D$505:$D$568, Y601, $F$505:$F$568, "&lt;200") + SUMIFS($Q$505:$Q$568, $D$505:$D$568, Y601, $F$505:$F$568, "&lt;200")</f>
        <v>46166.666666666664</v>
      </c>
      <c r="AA601" s="122">
        <f>SUM(P601:Q604)</f>
        <v>38866.666666666672</v>
      </c>
      <c r="AB601" s="122">
        <f>SUMIFS(Collection!O:O, Collection!B:B, "*" &amp; 'Bucket Counts'!Y601 &amp; "*", Collection!A:A, "&lt;" &amp; 'Bucket Counts'!A601,Collection!A:A,  "&gt;=" &amp; 'Bucket Counts'!$A$505)</f>
        <v>0</v>
      </c>
      <c r="AC601" s="158">
        <f>AA601/(Z601+AB601)</f>
        <v>0.84187725631768973</v>
      </c>
    </row>
    <row r="602" spans="1:29" s="78" customFormat="1" x14ac:dyDescent="0.2">
      <c r="A602" s="187">
        <v>42919</v>
      </c>
      <c r="B602" s="122">
        <v>17</v>
      </c>
      <c r="C602" s="76"/>
      <c r="D602" s="78" t="s">
        <v>38</v>
      </c>
      <c r="E602" s="78">
        <v>5</v>
      </c>
      <c r="F602" s="85">
        <v>180</v>
      </c>
      <c r="G602" s="85">
        <v>1</v>
      </c>
      <c r="H602" s="78">
        <v>460</v>
      </c>
      <c r="I602" s="78">
        <v>27</v>
      </c>
      <c r="J602" s="78">
        <v>3</v>
      </c>
      <c r="K602" s="78">
        <v>31</v>
      </c>
      <c r="L602" s="78">
        <v>1</v>
      </c>
      <c r="M602" s="78">
        <v>21</v>
      </c>
      <c r="N602" s="78">
        <v>2</v>
      </c>
      <c r="P602" s="122">
        <f t="shared" si="56"/>
        <v>24993.333333333336</v>
      </c>
      <c r="Q602" s="122">
        <f t="shared" si="55"/>
        <v>3220</v>
      </c>
      <c r="R602" s="158">
        <f t="shared" si="50"/>
        <v>0.88586956521739135</v>
      </c>
      <c r="S602" s="184">
        <f>(SUM(P601:P604)/(SUM(P601:Q604)))</f>
        <v>0.72435677530017151</v>
      </c>
      <c r="Y602" s="85"/>
      <c r="Z602" s="333"/>
      <c r="AA602" s="122"/>
      <c r="AB602" s="122"/>
    </row>
    <row r="603" spans="1:29" s="78" customFormat="1" x14ac:dyDescent="0.2">
      <c r="A603" s="187">
        <v>42919</v>
      </c>
      <c r="B603" s="122">
        <v>17</v>
      </c>
      <c r="C603" s="76"/>
      <c r="D603" s="78" t="s">
        <v>38</v>
      </c>
      <c r="E603" s="78">
        <v>5</v>
      </c>
      <c r="F603" s="85">
        <v>100</v>
      </c>
      <c r="G603" s="85">
        <v>1</v>
      </c>
      <c r="H603" s="78">
        <v>290</v>
      </c>
      <c r="I603" s="78">
        <v>55</v>
      </c>
      <c r="J603" s="78">
        <v>6</v>
      </c>
      <c r="K603" s="78">
        <v>56</v>
      </c>
      <c r="L603" s="78">
        <v>8</v>
      </c>
      <c r="M603" s="78">
        <v>52</v>
      </c>
      <c r="N603" s="78">
        <v>7</v>
      </c>
      <c r="P603" s="122">
        <f t="shared" si="56"/>
        <v>0</v>
      </c>
      <c r="Q603" s="122">
        <f t="shared" si="55"/>
        <v>7153.3333333333339</v>
      </c>
      <c r="R603" s="158">
        <f t="shared" si="50"/>
        <v>0</v>
      </c>
      <c r="S603" s="185"/>
      <c r="Y603" s="85"/>
      <c r="Z603" s="333"/>
      <c r="AA603" s="122"/>
      <c r="AB603" s="122"/>
    </row>
    <row r="604" spans="1:29" s="78" customFormat="1" x14ac:dyDescent="0.2">
      <c r="A604" s="187">
        <v>42919</v>
      </c>
      <c r="B604" s="122">
        <v>17</v>
      </c>
      <c r="C604" s="76"/>
      <c r="D604" s="78" t="s">
        <v>38</v>
      </c>
      <c r="E604" s="78">
        <v>5</v>
      </c>
      <c r="F604" s="85" t="s">
        <v>201</v>
      </c>
      <c r="G604" s="85">
        <v>1</v>
      </c>
      <c r="H604" s="78">
        <v>300</v>
      </c>
      <c r="I604" s="78">
        <v>0</v>
      </c>
      <c r="J604" s="78">
        <v>18</v>
      </c>
      <c r="K604" s="78">
        <v>0</v>
      </c>
      <c r="L604" s="78">
        <v>33</v>
      </c>
      <c r="M604" s="78">
        <v>0</v>
      </c>
      <c r="N604" s="78">
        <v>23</v>
      </c>
      <c r="P604" s="122">
        <f t="shared" si="56"/>
        <v>0</v>
      </c>
      <c r="Q604" s="122">
        <f t="shared" si="55"/>
        <v>100</v>
      </c>
      <c r="R604" s="158">
        <f t="shared" si="50"/>
        <v>0</v>
      </c>
      <c r="S604" s="185"/>
      <c r="Y604" s="85"/>
      <c r="Z604" s="333"/>
      <c r="AA604" s="122"/>
      <c r="AB604" s="122"/>
    </row>
    <row r="605" spans="1:29" s="78" customFormat="1" x14ac:dyDescent="0.2">
      <c r="A605" s="187">
        <v>42919</v>
      </c>
      <c r="B605" s="122">
        <v>3</v>
      </c>
      <c r="C605" s="76"/>
      <c r="D605" s="78" t="s">
        <v>84</v>
      </c>
      <c r="E605" s="78">
        <v>5</v>
      </c>
      <c r="F605" s="85">
        <v>224</v>
      </c>
      <c r="G605" s="85">
        <v>3</v>
      </c>
      <c r="H605" s="78">
        <v>260</v>
      </c>
      <c r="I605" s="78">
        <v>0</v>
      </c>
      <c r="J605" s="78">
        <v>1</v>
      </c>
      <c r="K605" s="78">
        <v>0</v>
      </c>
      <c r="L605" s="78">
        <v>0</v>
      </c>
      <c r="M605" s="78">
        <v>0</v>
      </c>
      <c r="N605" s="78">
        <v>0</v>
      </c>
      <c r="P605" s="122">
        <f t="shared" ref="P605:P610" si="57">(AVERAGE(I605,K605,M605)/G605)*H605</f>
        <v>0</v>
      </c>
      <c r="Q605" s="122">
        <f t="shared" ref="Q605:Q636" si="58">(AVERAGE(J605,L605,N605)/G605)*H605</f>
        <v>28.888888888888886</v>
      </c>
      <c r="R605" s="158">
        <f t="shared" si="50"/>
        <v>0</v>
      </c>
      <c r="S605" s="186" t="str">
        <f>D605</f>
        <v>NF-10 Ambient</v>
      </c>
      <c r="T605" s="79"/>
      <c r="U605" s="79"/>
      <c r="V605" s="79"/>
      <c r="Y605" s="85" t="str">
        <f>D605</f>
        <v>NF-10 Ambient</v>
      </c>
      <c r="Z605" s="333">
        <f>SUMIFS($P$505:$P$568, $D$505:$D$568, Y605, $F$505:$F$568, "&lt;200") + SUMIFS($Q$505:$Q$568, $D$505:$D$568, Y605, $F$505:$F$568, "&lt;200")</f>
        <v>2803.333333333333</v>
      </c>
      <c r="AA605" s="122">
        <f>SUM(P605:Q608)</f>
        <v>3286.666666666667</v>
      </c>
      <c r="AB605" s="122">
        <f>SUMIFS(Collection!O:O, Collection!B:B, "*" &amp; 'Bucket Counts'!Y605 &amp; "*", Collection!A:A, "&lt;" &amp; 'Bucket Counts'!A605,Collection!A:A,  "&gt;=" &amp; 'Bucket Counts'!$A$505)</f>
        <v>0</v>
      </c>
      <c r="AC605" s="158">
        <f>AA605/(Z605+AB605)</f>
        <v>1.1724137931034486</v>
      </c>
    </row>
    <row r="606" spans="1:29" s="78" customFormat="1" x14ac:dyDescent="0.2">
      <c r="A606" s="187">
        <v>42919</v>
      </c>
      <c r="B606" s="122">
        <v>3</v>
      </c>
      <c r="C606" s="76"/>
      <c r="D606" s="78" t="s">
        <v>84</v>
      </c>
      <c r="E606" s="78">
        <v>5</v>
      </c>
      <c r="F606" s="85">
        <v>180</v>
      </c>
      <c r="G606" s="85">
        <v>3</v>
      </c>
      <c r="H606" s="78">
        <v>250</v>
      </c>
      <c r="I606" s="78">
        <v>4</v>
      </c>
      <c r="J606" s="78">
        <v>1</v>
      </c>
      <c r="K606" s="78">
        <v>6</v>
      </c>
      <c r="L606" s="78">
        <v>2</v>
      </c>
      <c r="M606" s="78">
        <v>5</v>
      </c>
      <c r="N606" s="78">
        <v>1</v>
      </c>
      <c r="P606" s="122">
        <f t="shared" si="57"/>
        <v>416.66666666666669</v>
      </c>
      <c r="Q606" s="122">
        <f t="shared" si="58"/>
        <v>111.1111111111111</v>
      </c>
      <c r="R606" s="158">
        <f t="shared" si="50"/>
        <v>0.78947368421052633</v>
      </c>
      <c r="S606" s="184">
        <f>(SUM(P605:P608)/(SUM(P605:Q608)))</f>
        <v>0.36815415821501013</v>
      </c>
      <c r="T606" s="79"/>
      <c r="U606" s="79"/>
      <c r="V606" s="79"/>
      <c r="Y606" s="85"/>
      <c r="Z606" s="333"/>
      <c r="AA606" s="122"/>
      <c r="AB606" s="122"/>
    </row>
    <row r="607" spans="1:29" s="78" customFormat="1" x14ac:dyDescent="0.2">
      <c r="A607" s="187">
        <v>42919</v>
      </c>
      <c r="B607" s="122">
        <v>3</v>
      </c>
      <c r="C607" s="76"/>
      <c r="D607" s="78" t="s">
        <v>84</v>
      </c>
      <c r="E607" s="78">
        <v>5</v>
      </c>
      <c r="F607" s="85">
        <v>100</v>
      </c>
      <c r="G607" s="85">
        <v>2</v>
      </c>
      <c r="H607" s="78">
        <v>340</v>
      </c>
      <c r="I607" s="78">
        <v>4</v>
      </c>
      <c r="J607" s="78">
        <v>2</v>
      </c>
      <c r="K607" s="78">
        <v>4</v>
      </c>
      <c r="L607" s="78">
        <v>1</v>
      </c>
      <c r="M607" s="78">
        <v>6</v>
      </c>
      <c r="N607" s="78">
        <v>4</v>
      </c>
      <c r="P607" s="122">
        <f t="shared" si="57"/>
        <v>793.33333333333337</v>
      </c>
      <c r="Q607" s="122">
        <f t="shared" si="58"/>
        <v>396.66666666666669</v>
      </c>
      <c r="R607" s="158">
        <f t="shared" si="50"/>
        <v>0.66666666666666674</v>
      </c>
      <c r="S607" s="185"/>
      <c r="T607" s="79"/>
      <c r="U607" s="79"/>
      <c r="V607" s="79"/>
      <c r="Y607" s="85"/>
      <c r="Z607" s="333"/>
      <c r="AA607" s="122"/>
      <c r="AB607" s="122"/>
    </row>
    <row r="608" spans="1:29" s="78" customFormat="1" x14ac:dyDescent="0.2">
      <c r="A608" s="187">
        <v>42919</v>
      </c>
      <c r="B608" s="122">
        <v>3</v>
      </c>
      <c r="C608" s="76"/>
      <c r="D608" s="78" t="s">
        <v>84</v>
      </c>
      <c r="E608" s="78">
        <v>5</v>
      </c>
      <c r="F608" s="85" t="s">
        <v>201</v>
      </c>
      <c r="G608" s="85">
        <v>2</v>
      </c>
      <c r="H608" s="78">
        <v>330</v>
      </c>
      <c r="I608" s="78">
        <v>0</v>
      </c>
      <c r="J608" s="78">
        <v>12</v>
      </c>
      <c r="K608" s="78">
        <v>0</v>
      </c>
      <c r="L608" s="78">
        <v>5</v>
      </c>
      <c r="M608" s="78">
        <v>0</v>
      </c>
      <c r="N608" s="78">
        <v>11</v>
      </c>
      <c r="P608" s="122">
        <f t="shared" si="57"/>
        <v>0</v>
      </c>
      <c r="Q608" s="122">
        <f t="shared" si="58"/>
        <v>1540</v>
      </c>
      <c r="R608" s="158">
        <f t="shared" ref="R608:R671" si="59">P608/(P608+Q608)</f>
        <v>0</v>
      </c>
      <c r="S608" s="185"/>
      <c r="T608" s="79"/>
      <c r="U608" s="79"/>
      <c r="V608" s="79"/>
      <c r="Y608" s="85"/>
      <c r="Z608" s="333"/>
      <c r="AA608" s="122"/>
      <c r="AB608" s="122"/>
    </row>
    <row r="609" spans="1:29" s="78" customFormat="1" x14ac:dyDescent="0.2">
      <c r="A609" s="187">
        <v>42919</v>
      </c>
      <c r="B609" s="122">
        <v>16</v>
      </c>
      <c r="C609" s="76"/>
      <c r="D609" s="78" t="s">
        <v>87</v>
      </c>
      <c r="E609" s="78">
        <v>6</v>
      </c>
      <c r="F609" s="85">
        <v>224</v>
      </c>
      <c r="G609" s="85">
        <v>3</v>
      </c>
      <c r="H609" s="78">
        <v>270</v>
      </c>
      <c r="I609" s="78">
        <v>0</v>
      </c>
      <c r="J609" s="78">
        <v>0</v>
      </c>
      <c r="K609" s="78">
        <v>0</v>
      </c>
      <c r="L609" s="78">
        <v>1</v>
      </c>
      <c r="M609" s="78">
        <v>0</v>
      </c>
      <c r="N609" s="78">
        <v>0</v>
      </c>
      <c r="P609" s="122">
        <f t="shared" si="57"/>
        <v>0</v>
      </c>
      <c r="Q609" s="122">
        <f t="shared" si="58"/>
        <v>30</v>
      </c>
      <c r="R609" s="158">
        <f t="shared" si="59"/>
        <v>0</v>
      </c>
      <c r="S609" s="186" t="str">
        <f>D609</f>
        <v>SN-6 Ambient</v>
      </c>
      <c r="T609" s="79"/>
      <c r="U609" s="79"/>
      <c r="V609" s="79"/>
      <c r="Y609" s="85" t="str">
        <f>D609</f>
        <v>SN-6 Ambient</v>
      </c>
      <c r="Z609" s="333">
        <f>SUMIFS($P$505:$P$568, $D$505:$D$568, Y609, $F$505:$F$568, "&lt;200") + SUMIFS($Q$505:$Q$568, $D$505:$D$568, Y609, $F$505:$F$568, "&lt;200")</f>
        <v>19443.333333333332</v>
      </c>
      <c r="AA609" s="122">
        <f>SUM(P609:Q612)</f>
        <v>17488.888888888891</v>
      </c>
      <c r="AB609" s="122">
        <f>SUMIFS(Collection!O:O, Collection!B:B, "*" &amp; 'Bucket Counts'!Y609 &amp; "*", Collection!A:A, "&lt;" &amp; 'Bucket Counts'!A609,Collection!A:A,  "&gt;=" &amp; 'Bucket Counts'!$A$505)</f>
        <v>0</v>
      </c>
      <c r="AC609" s="158">
        <f>AA609/(Z609+AB609)</f>
        <v>0.89947997028401638</v>
      </c>
    </row>
    <row r="610" spans="1:29" s="78" customFormat="1" x14ac:dyDescent="0.2">
      <c r="A610" s="187">
        <v>42919</v>
      </c>
      <c r="B610" s="122">
        <v>16</v>
      </c>
      <c r="C610" s="76"/>
      <c r="D610" s="78" t="s">
        <v>87</v>
      </c>
      <c r="E610" s="78">
        <v>6</v>
      </c>
      <c r="F610" s="85">
        <v>180</v>
      </c>
      <c r="G610" s="85">
        <v>3</v>
      </c>
      <c r="H610" s="78">
        <v>250</v>
      </c>
      <c r="I610" s="78">
        <v>11</v>
      </c>
      <c r="J610" s="78">
        <v>26</v>
      </c>
      <c r="K610" s="78">
        <v>15</v>
      </c>
      <c r="L610" s="78">
        <v>25</v>
      </c>
      <c r="M610" s="78">
        <v>23</v>
      </c>
      <c r="N610" s="78">
        <v>13</v>
      </c>
      <c r="P610" s="122">
        <f t="shared" si="57"/>
        <v>1361.1111111111109</v>
      </c>
      <c r="Q610" s="122">
        <f t="shared" si="58"/>
        <v>1777.7777777777776</v>
      </c>
      <c r="R610" s="158">
        <f t="shared" si="59"/>
        <v>0.43362831858407075</v>
      </c>
      <c r="S610" s="184">
        <f>(SUM(P609:P612)/(SUM(P609:Q612)))</f>
        <v>0.15520965692503175</v>
      </c>
      <c r="T610" s="79"/>
      <c r="U610" s="79"/>
      <c r="V610" s="79"/>
      <c r="Y610" s="85"/>
      <c r="Z610" s="333"/>
      <c r="AA610" s="122"/>
      <c r="AB610" s="122"/>
    </row>
    <row r="611" spans="1:29" s="78" customFormat="1" x14ac:dyDescent="0.2">
      <c r="A611" s="187">
        <v>42919</v>
      </c>
      <c r="B611" s="122">
        <v>16</v>
      </c>
      <c r="C611" s="76"/>
      <c r="D611" s="78" t="s">
        <v>87</v>
      </c>
      <c r="E611" s="78">
        <v>6</v>
      </c>
      <c r="F611" s="85">
        <v>100</v>
      </c>
      <c r="G611" s="85">
        <v>2</v>
      </c>
      <c r="H611" s="78">
        <v>280</v>
      </c>
      <c r="I611" s="78">
        <v>13</v>
      </c>
      <c r="J611" s="78">
        <v>17</v>
      </c>
      <c r="K611" s="78">
        <v>3</v>
      </c>
      <c r="L611" s="78">
        <v>14</v>
      </c>
      <c r="M611" s="78">
        <v>13</v>
      </c>
      <c r="N611" s="78">
        <v>9</v>
      </c>
      <c r="P611" s="122">
        <f t="shared" ref="P611:P632" si="60">(AVERAGE(I611,K611,M611)/G611)*H611</f>
        <v>1353.3333333333333</v>
      </c>
      <c r="Q611" s="122">
        <f t="shared" si="58"/>
        <v>1866.6666666666667</v>
      </c>
      <c r="R611" s="158">
        <f t="shared" si="59"/>
        <v>0.42028985507246375</v>
      </c>
      <c r="S611" s="185"/>
      <c r="T611" s="79"/>
      <c r="U611" s="79"/>
      <c r="V611" s="79"/>
      <c r="Y611" s="85"/>
      <c r="Z611" s="333"/>
      <c r="AA611" s="122"/>
      <c r="AB611" s="122"/>
    </row>
    <row r="612" spans="1:29" s="78" customFormat="1" x14ac:dyDescent="0.2">
      <c r="A612" s="187">
        <v>42919</v>
      </c>
      <c r="B612" s="122">
        <v>16</v>
      </c>
      <c r="C612" s="76"/>
      <c r="D612" s="78" t="s">
        <v>87</v>
      </c>
      <c r="E612" s="78">
        <v>6</v>
      </c>
      <c r="F612" s="85" t="s">
        <v>201</v>
      </c>
      <c r="G612" s="85">
        <v>2</v>
      </c>
      <c r="H612" s="78">
        <v>300</v>
      </c>
      <c r="I612" s="78">
        <v>0</v>
      </c>
      <c r="J612" s="78">
        <v>66</v>
      </c>
      <c r="K612" s="78">
        <v>0</v>
      </c>
      <c r="L612" s="78">
        <v>68</v>
      </c>
      <c r="M612" s="78">
        <v>0</v>
      </c>
      <c r="N612" s="78">
        <v>88</v>
      </c>
      <c r="P612" s="122">
        <f t="shared" si="60"/>
        <v>0</v>
      </c>
      <c r="Q612" s="122">
        <f t="shared" si="58"/>
        <v>11100</v>
      </c>
      <c r="R612" s="158">
        <f t="shared" si="59"/>
        <v>0</v>
      </c>
      <c r="S612" s="185"/>
      <c r="T612" s="79"/>
      <c r="U612" s="79"/>
      <c r="V612" s="79"/>
      <c r="Y612" s="85"/>
      <c r="Z612" s="333"/>
      <c r="AA612" s="122"/>
      <c r="AB612" s="122"/>
    </row>
    <row r="613" spans="1:29" s="78" customFormat="1" x14ac:dyDescent="0.2">
      <c r="A613" s="187">
        <v>42919</v>
      </c>
      <c r="B613" s="122">
        <v>18</v>
      </c>
      <c r="C613" s="76"/>
      <c r="D613" s="78" t="s">
        <v>20</v>
      </c>
      <c r="E613" s="78">
        <v>6</v>
      </c>
      <c r="F613" s="85">
        <v>224</v>
      </c>
      <c r="G613" s="85">
        <v>3</v>
      </c>
      <c r="H613" s="78">
        <v>275</v>
      </c>
      <c r="I613" s="78">
        <v>0</v>
      </c>
      <c r="J613" s="78">
        <v>0</v>
      </c>
      <c r="K613" s="78">
        <v>2</v>
      </c>
      <c r="L613" s="78">
        <v>0</v>
      </c>
      <c r="M613" s="78">
        <v>0</v>
      </c>
      <c r="N613" s="78">
        <v>0</v>
      </c>
      <c r="P613" s="122">
        <f t="shared" si="60"/>
        <v>61.111111111111107</v>
      </c>
      <c r="Q613" s="122">
        <f t="shared" si="58"/>
        <v>0</v>
      </c>
      <c r="R613" s="158">
        <f t="shared" si="59"/>
        <v>1</v>
      </c>
      <c r="S613" s="186" t="str">
        <f>D613</f>
        <v>K-10 Low</v>
      </c>
      <c r="T613" s="79"/>
      <c r="U613" s="79"/>
      <c r="V613" s="79"/>
      <c r="Y613" s="85" t="str">
        <f>D613</f>
        <v>K-10 Low</v>
      </c>
      <c r="Z613" s="333">
        <f>SUMIFS($P$505:$P$568, $D$505:$D$568, Y613, $F$505:$F$568, "&lt;200") + SUMIFS($Q$505:$Q$568, $D$505:$D$568, Y613, $F$505:$F$568, "&lt;200")</f>
        <v>4208.333333333333</v>
      </c>
      <c r="AA613" s="122">
        <f>SUM(P613:Q616)</f>
        <v>3476.1111111111109</v>
      </c>
      <c r="AB613" s="122">
        <f>SUMIFS(Collection!O:O, Collection!B:B, "*" &amp; 'Bucket Counts'!Y613 &amp; "*", Collection!A:A, "&lt;" &amp; 'Bucket Counts'!A613,Collection!A:A,  "&gt;=" &amp; 'Bucket Counts'!$A$505)</f>
        <v>0</v>
      </c>
      <c r="AC613" s="158">
        <f>AA613/(Z613+AB613)</f>
        <v>0.82600660066006604</v>
      </c>
    </row>
    <row r="614" spans="1:29" s="78" customFormat="1" x14ac:dyDescent="0.2">
      <c r="A614" s="187">
        <v>42919</v>
      </c>
      <c r="B614" s="122">
        <v>18</v>
      </c>
      <c r="C614" s="76"/>
      <c r="D614" s="78" t="s">
        <v>20</v>
      </c>
      <c r="E614" s="78">
        <v>6</v>
      </c>
      <c r="F614" s="85">
        <v>180</v>
      </c>
      <c r="G614" s="85">
        <v>2</v>
      </c>
      <c r="H614" s="78">
        <v>280</v>
      </c>
      <c r="I614" s="78">
        <v>7</v>
      </c>
      <c r="J614" s="78">
        <v>0</v>
      </c>
      <c r="K614" s="78">
        <v>4</v>
      </c>
      <c r="L614" s="78">
        <v>0</v>
      </c>
      <c r="M614" s="78">
        <v>10</v>
      </c>
      <c r="N614" s="78">
        <v>0</v>
      </c>
      <c r="P614" s="122">
        <f t="shared" si="60"/>
        <v>980</v>
      </c>
      <c r="Q614" s="122">
        <f t="shared" si="58"/>
        <v>0</v>
      </c>
      <c r="R614" s="158">
        <f t="shared" si="59"/>
        <v>1</v>
      </c>
      <c r="S614" s="184">
        <f>(SUM(P613:P616)/(SUM(P613:Q616)))</f>
        <v>0.89739491769218482</v>
      </c>
      <c r="T614" s="79"/>
      <c r="U614" s="79"/>
      <c r="V614" s="79"/>
      <c r="Y614" s="85"/>
      <c r="Z614" s="333"/>
      <c r="AA614" s="122"/>
      <c r="AB614" s="122"/>
    </row>
    <row r="615" spans="1:29" s="78" customFormat="1" x14ac:dyDescent="0.2">
      <c r="A615" s="187">
        <v>42919</v>
      </c>
      <c r="B615" s="122">
        <v>18</v>
      </c>
      <c r="C615" s="76"/>
      <c r="D615" s="78" t="s">
        <v>20</v>
      </c>
      <c r="E615" s="78">
        <v>6</v>
      </c>
      <c r="F615" s="85">
        <v>100</v>
      </c>
      <c r="G615" s="85">
        <v>2</v>
      </c>
      <c r="H615" s="78">
        <v>290</v>
      </c>
      <c r="I615" s="78">
        <v>12</v>
      </c>
      <c r="J615" s="78">
        <v>0</v>
      </c>
      <c r="K615" s="78">
        <v>18</v>
      </c>
      <c r="L615" s="78">
        <v>2</v>
      </c>
      <c r="M615" s="78">
        <v>13</v>
      </c>
      <c r="N615" s="78">
        <v>0</v>
      </c>
      <c r="P615" s="122">
        <f t="shared" si="60"/>
        <v>2078.3333333333335</v>
      </c>
      <c r="Q615" s="122">
        <f t="shared" si="58"/>
        <v>96.666666666666657</v>
      </c>
      <c r="R615" s="158">
        <f t="shared" si="59"/>
        <v>0.9555555555555556</v>
      </c>
      <c r="S615" s="185"/>
      <c r="T615" s="79"/>
      <c r="U615" s="79"/>
      <c r="V615" s="79"/>
      <c r="Y615" s="85"/>
      <c r="Z615" s="333"/>
      <c r="AA615" s="122"/>
      <c r="AB615" s="122"/>
    </row>
    <row r="616" spans="1:29" s="78" customFormat="1" x14ac:dyDescent="0.2">
      <c r="A616" s="187">
        <v>42919</v>
      </c>
      <c r="B616" s="122">
        <v>18</v>
      </c>
      <c r="C616" s="76"/>
      <c r="D616" s="78" t="s">
        <v>20</v>
      </c>
      <c r="E616" s="78">
        <v>6</v>
      </c>
      <c r="F616" s="85" t="s">
        <v>201</v>
      </c>
      <c r="G616" s="85">
        <v>1</v>
      </c>
      <c r="H616" s="78">
        <v>260</v>
      </c>
      <c r="I616" s="78">
        <v>0</v>
      </c>
      <c r="J616" s="78">
        <v>1</v>
      </c>
      <c r="K616" s="78">
        <v>0</v>
      </c>
      <c r="L616" s="78">
        <v>1</v>
      </c>
      <c r="M616" s="78">
        <v>0</v>
      </c>
      <c r="N616" s="78">
        <v>1</v>
      </c>
      <c r="P616" s="122">
        <f t="shared" si="60"/>
        <v>0</v>
      </c>
      <c r="Q616" s="122">
        <f t="shared" si="58"/>
        <v>260</v>
      </c>
      <c r="R616" s="158">
        <f t="shared" si="59"/>
        <v>0</v>
      </c>
      <c r="S616" s="185"/>
      <c r="T616" s="79"/>
      <c r="U616" s="79"/>
      <c r="V616" s="79"/>
      <c r="Y616" s="85"/>
      <c r="Z616" s="333"/>
      <c r="AA616" s="122"/>
      <c r="AB616" s="122"/>
    </row>
    <row r="617" spans="1:29" s="78" customFormat="1" x14ac:dyDescent="0.2">
      <c r="A617" s="187">
        <v>42919</v>
      </c>
      <c r="B617" s="122">
        <v>22</v>
      </c>
      <c r="C617" s="76"/>
      <c r="D617" s="78" t="s">
        <v>17</v>
      </c>
      <c r="E617" s="78">
        <v>7</v>
      </c>
      <c r="F617" s="85">
        <v>224</v>
      </c>
      <c r="G617" s="85">
        <v>2</v>
      </c>
      <c r="H617" s="78">
        <v>275</v>
      </c>
      <c r="I617" s="78">
        <v>4</v>
      </c>
      <c r="J617" s="78">
        <v>0</v>
      </c>
      <c r="K617" s="78">
        <v>5</v>
      </c>
      <c r="L617" s="78">
        <v>0</v>
      </c>
      <c r="M617" s="78">
        <v>6</v>
      </c>
      <c r="N617" s="78">
        <v>0</v>
      </c>
      <c r="P617" s="122">
        <f t="shared" si="60"/>
        <v>687.5</v>
      </c>
      <c r="Q617" s="122">
        <f t="shared" si="58"/>
        <v>0</v>
      </c>
      <c r="R617" s="158">
        <f t="shared" si="59"/>
        <v>1</v>
      </c>
      <c r="S617" s="186" t="str">
        <f>D617</f>
        <v>K-10 Ambient</v>
      </c>
      <c r="T617" s="79"/>
      <c r="U617" s="79"/>
      <c r="V617" s="79"/>
      <c r="Y617" s="85" t="str">
        <f>D617</f>
        <v>K-10 Ambient</v>
      </c>
      <c r="Z617" s="333">
        <f>SUMIFS($P$505:$P$568, $D$505:$D$568, Y617, $F$505:$F$568, "&lt;200") + SUMIFS($Q$505:$Q$568, $D$505:$D$568, Y617, $F$505:$F$568, "&lt;200")</f>
        <v>7633.333333333333</v>
      </c>
      <c r="AA617" s="122">
        <f>SUM(P617:Q620)</f>
        <v>6727.5</v>
      </c>
      <c r="AB617" s="122">
        <f>SUMIFS(Collection!O:O, Collection!B:B, "*" &amp; 'Bucket Counts'!Y617 &amp; "*", Collection!A:A, "&lt;" &amp; 'Bucket Counts'!A617,Collection!A:A,  "&gt;=" &amp; 'Bucket Counts'!$A$505)</f>
        <v>0</v>
      </c>
      <c r="AC617" s="158">
        <f>AA617/(Z617+AB617)</f>
        <v>0.8813318777292577</v>
      </c>
    </row>
    <row r="618" spans="1:29" s="78" customFormat="1" x14ac:dyDescent="0.2">
      <c r="A618" s="187">
        <v>42919</v>
      </c>
      <c r="B618" s="122">
        <v>22</v>
      </c>
      <c r="C618" s="76"/>
      <c r="D618" s="78" t="s">
        <v>17</v>
      </c>
      <c r="E618" s="78">
        <v>7</v>
      </c>
      <c r="F618" s="85">
        <v>180</v>
      </c>
      <c r="G618" s="85">
        <v>1</v>
      </c>
      <c r="H618" s="78">
        <v>275</v>
      </c>
      <c r="I618" s="78">
        <v>17</v>
      </c>
      <c r="J618" s="78">
        <v>0</v>
      </c>
      <c r="K618" s="78">
        <v>8</v>
      </c>
      <c r="L618" s="78">
        <v>0</v>
      </c>
      <c r="M618" s="78">
        <v>12</v>
      </c>
      <c r="N618" s="78">
        <v>1</v>
      </c>
      <c r="P618" s="122">
        <f t="shared" si="60"/>
        <v>3391.666666666667</v>
      </c>
      <c r="Q618" s="122">
        <f t="shared" si="58"/>
        <v>91.666666666666657</v>
      </c>
      <c r="R618" s="158">
        <f t="shared" si="59"/>
        <v>0.97368421052631582</v>
      </c>
      <c r="S618" s="184">
        <f>(SUM(P617:P620)/(SUM(P617:Q620)))</f>
        <v>0.8377307072959248</v>
      </c>
      <c r="T618" s="79"/>
      <c r="U618" s="79"/>
      <c r="V618" s="79"/>
      <c r="Y618" s="85"/>
      <c r="Z618" s="333"/>
      <c r="AA618" s="122"/>
      <c r="AB618" s="122"/>
    </row>
    <row r="619" spans="1:29" s="78" customFormat="1" x14ac:dyDescent="0.2">
      <c r="A619" s="187">
        <v>42919</v>
      </c>
      <c r="B619" s="122">
        <v>22</v>
      </c>
      <c r="C619" s="76"/>
      <c r="D619" s="78" t="s">
        <v>17</v>
      </c>
      <c r="E619" s="78">
        <v>7</v>
      </c>
      <c r="F619" s="85">
        <v>100</v>
      </c>
      <c r="G619" s="85">
        <v>2</v>
      </c>
      <c r="H619" s="78">
        <v>275</v>
      </c>
      <c r="I619" s="78">
        <v>6</v>
      </c>
      <c r="J619" s="78">
        <v>4</v>
      </c>
      <c r="K619" s="78">
        <v>14</v>
      </c>
      <c r="L619" s="78">
        <v>4</v>
      </c>
      <c r="M619" s="78">
        <v>12</v>
      </c>
      <c r="N619" s="78">
        <v>4</v>
      </c>
      <c r="P619" s="122">
        <f t="shared" si="60"/>
        <v>1466.6666666666665</v>
      </c>
      <c r="Q619" s="122">
        <f t="shared" si="58"/>
        <v>550</v>
      </c>
      <c r="R619" s="158">
        <f t="shared" si="59"/>
        <v>0.72727272727272729</v>
      </c>
      <c r="S619" s="185"/>
      <c r="T619" s="79"/>
      <c r="U619" s="79"/>
      <c r="V619" s="79"/>
      <c r="Y619" s="85"/>
      <c r="Z619" s="333"/>
      <c r="AA619" s="122"/>
      <c r="AB619" s="122"/>
    </row>
    <row r="620" spans="1:29" s="78" customFormat="1" x14ac:dyDescent="0.2">
      <c r="A620" s="187">
        <v>42919</v>
      </c>
      <c r="B620" s="122">
        <v>22</v>
      </c>
      <c r="C620" s="76"/>
      <c r="D620" s="78" t="s">
        <v>17</v>
      </c>
      <c r="E620" s="78">
        <v>7</v>
      </c>
      <c r="F620" s="85" t="s">
        <v>201</v>
      </c>
      <c r="G620" s="85">
        <v>1</v>
      </c>
      <c r="H620" s="78">
        <v>270</v>
      </c>
      <c r="I620" s="78">
        <v>1</v>
      </c>
      <c r="J620" s="78">
        <v>1</v>
      </c>
      <c r="K620" s="78">
        <v>0</v>
      </c>
      <c r="L620" s="78">
        <v>1</v>
      </c>
      <c r="M620" s="78">
        <v>0</v>
      </c>
      <c r="N620" s="78">
        <v>3</v>
      </c>
      <c r="P620" s="122">
        <f t="shared" si="60"/>
        <v>90</v>
      </c>
      <c r="Q620" s="122">
        <f t="shared" si="58"/>
        <v>450</v>
      </c>
      <c r="R620" s="158">
        <f t="shared" si="59"/>
        <v>0.16666666666666666</v>
      </c>
      <c r="S620" s="185"/>
      <c r="T620" s="79"/>
      <c r="U620" s="79"/>
      <c r="V620" s="79"/>
      <c r="Y620" s="85"/>
      <c r="Z620" s="333"/>
      <c r="AA620" s="122"/>
      <c r="AB620" s="122"/>
    </row>
    <row r="621" spans="1:29" s="78" customFormat="1" x14ac:dyDescent="0.2">
      <c r="A621" s="187">
        <v>42919</v>
      </c>
      <c r="B621" s="122">
        <v>21</v>
      </c>
      <c r="C621" s="76"/>
      <c r="D621" s="78" t="s">
        <v>108</v>
      </c>
      <c r="E621" s="78">
        <v>7</v>
      </c>
      <c r="F621" s="85">
        <v>224</v>
      </c>
      <c r="G621" s="85">
        <v>2</v>
      </c>
      <c r="H621" s="78">
        <v>330</v>
      </c>
      <c r="I621" s="78">
        <v>7</v>
      </c>
      <c r="J621" s="78">
        <v>0</v>
      </c>
      <c r="K621" s="78">
        <v>1</v>
      </c>
      <c r="L621" s="78">
        <v>0</v>
      </c>
      <c r="M621" s="78">
        <v>6</v>
      </c>
      <c r="N621" s="78">
        <v>0</v>
      </c>
      <c r="P621" s="122">
        <f t="shared" si="60"/>
        <v>770</v>
      </c>
      <c r="Q621" s="122">
        <f t="shared" si="58"/>
        <v>0</v>
      </c>
      <c r="R621" s="158">
        <f t="shared" si="59"/>
        <v>1</v>
      </c>
      <c r="S621" s="186" t="str">
        <f>D621</f>
        <v>HL-10 Low</v>
      </c>
      <c r="T621" s="79"/>
      <c r="U621" s="79"/>
      <c r="V621" s="79"/>
      <c r="Y621" s="85" t="str">
        <f>D621</f>
        <v>HL-10 Low</v>
      </c>
      <c r="Z621" s="324">
        <f>SUMIFS($P$505:$P$568, $D$505:$D$568, Y621, $F$505:$F$568, "&lt;200") + SUMIFS($Q$505:$Q$568, $D$505:$D$568, Y621, $F$505:$F$568, "&lt;200")</f>
        <v>42326.666666666672</v>
      </c>
      <c r="AA621" s="122">
        <f>SUM(P621:Q624)</f>
        <v>39203.333333333336</v>
      </c>
      <c r="AB621" s="122">
        <f>SUMIFS(Collection!O:O, Collection!B:B, "*" &amp; 'Bucket Counts'!Y621 &amp; "*", Collection!A:A, "&lt;" &amp; 'Bucket Counts'!A621,Collection!A:A,  "&gt;=" &amp; 'Bucket Counts'!$A$505)</f>
        <v>0</v>
      </c>
      <c r="AC621" s="158">
        <f>AA621/(Z621+AB621)</f>
        <v>0.92620885178768309</v>
      </c>
    </row>
    <row r="622" spans="1:29" s="78" customFormat="1" x14ac:dyDescent="0.2">
      <c r="A622" s="187">
        <v>42919</v>
      </c>
      <c r="B622" s="122">
        <v>21</v>
      </c>
      <c r="C622" s="76"/>
      <c r="D622" s="78" t="s">
        <v>108</v>
      </c>
      <c r="E622" s="78">
        <v>7</v>
      </c>
      <c r="F622" s="85">
        <v>180</v>
      </c>
      <c r="G622" s="85">
        <v>1</v>
      </c>
      <c r="H622" s="78">
        <v>340</v>
      </c>
      <c r="I622" s="78">
        <v>47</v>
      </c>
      <c r="J622" s="78">
        <v>0</v>
      </c>
      <c r="K622" s="78">
        <v>50</v>
      </c>
      <c r="L622" s="78">
        <v>0</v>
      </c>
      <c r="M622" s="78">
        <v>45</v>
      </c>
      <c r="N622" s="78">
        <v>0</v>
      </c>
      <c r="P622" s="122">
        <f t="shared" si="60"/>
        <v>16093.333333333334</v>
      </c>
      <c r="Q622" s="122">
        <f t="shared" si="58"/>
        <v>0</v>
      </c>
      <c r="R622" s="158">
        <f t="shared" si="59"/>
        <v>1</v>
      </c>
      <c r="S622" s="184">
        <f>(SUM(P621:P624)/(SUM(P621:Q624)))</f>
        <v>0.91314514071932662</v>
      </c>
      <c r="T622" s="79"/>
      <c r="U622" s="79"/>
      <c r="V622" s="79"/>
      <c r="Y622" s="85"/>
      <c r="Z622" s="333"/>
      <c r="AA622" s="122"/>
      <c r="AB622" s="122"/>
    </row>
    <row r="623" spans="1:29" s="78" customFormat="1" x14ac:dyDescent="0.2">
      <c r="A623" s="187">
        <v>42919</v>
      </c>
      <c r="B623" s="122">
        <v>21</v>
      </c>
      <c r="C623" s="76"/>
      <c r="D623" s="78" t="s">
        <v>108</v>
      </c>
      <c r="E623" s="78">
        <v>7</v>
      </c>
      <c r="F623" s="85">
        <v>100</v>
      </c>
      <c r="G623" s="85">
        <v>1</v>
      </c>
      <c r="H623" s="78">
        <v>475</v>
      </c>
      <c r="I623" s="78">
        <v>33</v>
      </c>
      <c r="J623" s="78">
        <v>0</v>
      </c>
      <c r="K623" s="78">
        <v>47</v>
      </c>
      <c r="L623" s="78">
        <v>4</v>
      </c>
      <c r="M623" s="78">
        <v>39</v>
      </c>
      <c r="N623" s="78">
        <v>1</v>
      </c>
      <c r="P623" s="122">
        <f t="shared" si="60"/>
        <v>18841.666666666664</v>
      </c>
      <c r="Q623" s="122">
        <f t="shared" si="58"/>
        <v>791.66666666666674</v>
      </c>
      <c r="R623" s="158">
        <f t="shared" si="59"/>
        <v>0.95967741935483863</v>
      </c>
      <c r="S623" s="185"/>
      <c r="T623" s="79"/>
      <c r="U623" s="79"/>
      <c r="V623" s="79"/>
      <c r="Y623" s="85"/>
      <c r="Z623" s="333"/>
      <c r="AA623" s="122"/>
      <c r="AB623" s="122"/>
    </row>
    <row r="624" spans="1:29" s="78" customFormat="1" x14ac:dyDescent="0.2">
      <c r="A624" s="187">
        <v>42919</v>
      </c>
      <c r="B624" s="122">
        <v>21</v>
      </c>
      <c r="C624" s="76"/>
      <c r="D624" s="78" t="s">
        <v>108</v>
      </c>
      <c r="E624" s="78">
        <v>7</v>
      </c>
      <c r="F624" s="85" t="s">
        <v>201</v>
      </c>
      <c r="G624" s="85">
        <v>2</v>
      </c>
      <c r="H624" s="78">
        <v>280</v>
      </c>
      <c r="I624" s="78">
        <v>2</v>
      </c>
      <c r="J624" s="78">
        <v>24</v>
      </c>
      <c r="K624" s="78">
        <v>0</v>
      </c>
      <c r="L624" s="78">
        <v>9</v>
      </c>
      <c r="M624" s="78">
        <v>0</v>
      </c>
      <c r="N624" s="78">
        <v>23</v>
      </c>
      <c r="P624" s="122">
        <f t="shared" si="60"/>
        <v>93.333333333333329</v>
      </c>
      <c r="Q624" s="122">
        <f t="shared" si="58"/>
        <v>2613.3333333333335</v>
      </c>
      <c r="R624" s="158">
        <f t="shared" si="59"/>
        <v>3.4482758620689648E-2</v>
      </c>
      <c r="S624" s="185"/>
      <c r="T624" s="79"/>
      <c r="U624" s="79"/>
      <c r="V624" s="79"/>
      <c r="Y624" s="85"/>
      <c r="Z624" s="333"/>
      <c r="AA624" s="122"/>
      <c r="AB624" s="122"/>
    </row>
    <row r="625" spans="1:29" s="78" customFormat="1" x14ac:dyDescent="0.2">
      <c r="A625" s="187">
        <v>42919</v>
      </c>
      <c r="B625" s="122">
        <v>19</v>
      </c>
      <c r="C625" s="76"/>
      <c r="D625" s="78" t="s">
        <v>88</v>
      </c>
      <c r="E625" s="78">
        <v>8</v>
      </c>
      <c r="F625" s="85">
        <v>224</v>
      </c>
      <c r="G625" s="85">
        <v>2</v>
      </c>
      <c r="H625" s="78">
        <v>290</v>
      </c>
      <c r="I625" s="78">
        <v>0</v>
      </c>
      <c r="J625" s="78">
        <v>0</v>
      </c>
      <c r="K625" s="78">
        <v>4</v>
      </c>
      <c r="L625" s="78">
        <v>0</v>
      </c>
      <c r="M625" s="78">
        <v>1</v>
      </c>
      <c r="N625" s="78">
        <v>0</v>
      </c>
      <c r="P625" s="122">
        <f t="shared" si="60"/>
        <v>241.66666666666669</v>
      </c>
      <c r="Q625" s="122">
        <f t="shared" si="58"/>
        <v>0</v>
      </c>
      <c r="R625" s="158">
        <f t="shared" si="59"/>
        <v>1</v>
      </c>
      <c r="S625" s="186" t="str">
        <f>D625</f>
        <v>HL-10 Ambient</v>
      </c>
      <c r="T625" s="79"/>
      <c r="U625" s="79"/>
      <c r="V625" s="79"/>
      <c r="Y625" s="85" t="str">
        <f>D625</f>
        <v>HL-10 Ambient</v>
      </c>
      <c r="Z625" s="333">
        <f>SUMIFS($P$505:$P$568, $D$505:$D$568, Y625, $F$505:$F$568, "&lt;200") + SUMIFS($Q$505:$Q$568, $D$505:$D$568, Y625, $F$505:$F$568, "&lt;200")</f>
        <v>15666.666666666668</v>
      </c>
      <c r="AA625" s="122">
        <f>SUM(P625:Q628)</f>
        <v>101288.33333333334</v>
      </c>
      <c r="AB625" s="122">
        <f>SUMIFS(Collection!O:O, Collection!B:B, "*" &amp; 'Bucket Counts'!Y625 &amp; "*", Collection!A:A, "&lt;" &amp; 'Bucket Counts'!A625,Collection!A:A,  "&gt;=" &amp; 'Bucket Counts'!$A$505)</f>
        <v>75450</v>
      </c>
      <c r="AC625" s="158">
        <f>AA625/(Z625+AB625)</f>
        <v>1.1116334369855496</v>
      </c>
    </row>
    <row r="626" spans="1:29" s="78" customFormat="1" x14ac:dyDescent="0.2">
      <c r="A626" s="187">
        <v>42919</v>
      </c>
      <c r="B626" s="122">
        <v>19</v>
      </c>
      <c r="C626" s="76"/>
      <c r="D626" s="78" t="s">
        <v>88</v>
      </c>
      <c r="E626" s="78">
        <v>8</v>
      </c>
      <c r="F626" s="85">
        <v>180</v>
      </c>
      <c r="G626" s="85">
        <v>1</v>
      </c>
      <c r="H626" s="78">
        <v>350</v>
      </c>
      <c r="I626" s="78">
        <v>12</v>
      </c>
      <c r="J626" s="78">
        <v>0</v>
      </c>
      <c r="K626" s="78">
        <v>11</v>
      </c>
      <c r="L626" s="78">
        <v>0</v>
      </c>
      <c r="M626" s="78">
        <v>7</v>
      </c>
      <c r="N626" s="78">
        <v>0</v>
      </c>
      <c r="P626" s="122">
        <f t="shared" si="60"/>
        <v>3500</v>
      </c>
      <c r="Q626" s="122">
        <f t="shared" si="58"/>
        <v>0</v>
      </c>
      <c r="R626" s="158">
        <f t="shared" si="59"/>
        <v>1</v>
      </c>
      <c r="S626" s="184">
        <f>(SUM(P625:P628)/(SUM(P625:Q628)))</f>
        <v>0.72895858358152466</v>
      </c>
      <c r="T626" s="79"/>
      <c r="Y626" s="85"/>
      <c r="Z626" s="333"/>
      <c r="AA626" s="122"/>
      <c r="AB626" s="122"/>
    </row>
    <row r="627" spans="1:29" s="78" customFormat="1" x14ac:dyDescent="0.2">
      <c r="A627" s="187">
        <v>42919</v>
      </c>
      <c r="B627" s="122">
        <v>19</v>
      </c>
      <c r="C627" s="76"/>
      <c r="D627" s="78" t="s">
        <v>88</v>
      </c>
      <c r="E627" s="78">
        <v>8</v>
      </c>
      <c r="F627" s="85">
        <v>100</v>
      </c>
      <c r="G627" s="85">
        <v>0.5</v>
      </c>
      <c r="H627" s="78">
        <v>500</v>
      </c>
      <c r="I627" s="78">
        <v>67</v>
      </c>
      <c r="J627" s="78">
        <v>1</v>
      </c>
      <c r="K627" s="78">
        <v>71</v>
      </c>
      <c r="L627" s="78">
        <v>1</v>
      </c>
      <c r="M627" s="78">
        <v>72</v>
      </c>
      <c r="N627" s="78">
        <v>0</v>
      </c>
      <c r="P627" s="122">
        <f t="shared" si="60"/>
        <v>70000</v>
      </c>
      <c r="Q627" s="122">
        <f t="shared" si="58"/>
        <v>666.66666666666663</v>
      </c>
      <c r="R627" s="158">
        <f t="shared" si="59"/>
        <v>0.99056603773584895</v>
      </c>
      <c r="S627" s="185"/>
      <c r="T627" s="79"/>
      <c r="Y627" s="85"/>
      <c r="Z627" s="333"/>
      <c r="AA627" s="122"/>
      <c r="AB627" s="122"/>
    </row>
    <row r="628" spans="1:29" s="78" customFormat="1" x14ac:dyDescent="0.2">
      <c r="A628" s="187">
        <v>42919</v>
      </c>
      <c r="B628" s="122">
        <v>19</v>
      </c>
      <c r="C628" s="76"/>
      <c r="D628" s="78" t="s">
        <v>88</v>
      </c>
      <c r="E628" s="78">
        <v>8</v>
      </c>
      <c r="F628" s="85" t="s">
        <v>201</v>
      </c>
      <c r="G628" s="85">
        <v>1</v>
      </c>
      <c r="H628" s="78">
        <v>280</v>
      </c>
      <c r="I628" s="78">
        <v>0</v>
      </c>
      <c r="J628" s="78">
        <v>107</v>
      </c>
      <c r="K628" s="78">
        <v>0</v>
      </c>
      <c r="L628" s="78">
        <v>97</v>
      </c>
      <c r="M628" s="78">
        <v>1</v>
      </c>
      <c r="N628" s="78">
        <v>83</v>
      </c>
      <c r="P628" s="122">
        <f t="shared" si="60"/>
        <v>93.333333333333329</v>
      </c>
      <c r="Q628" s="122">
        <f t="shared" si="58"/>
        <v>26786.666666666668</v>
      </c>
      <c r="R628" s="158">
        <f t="shared" si="59"/>
        <v>3.472222222222222E-3</v>
      </c>
      <c r="S628" s="185"/>
      <c r="T628" s="79"/>
      <c r="Y628" s="85"/>
      <c r="Z628" s="333"/>
      <c r="AA628" s="122"/>
      <c r="AB628" s="122"/>
    </row>
    <row r="629" spans="1:29" s="78" customFormat="1" x14ac:dyDescent="0.2">
      <c r="A629" s="187">
        <v>42919</v>
      </c>
      <c r="B629" s="412">
        <v>20</v>
      </c>
      <c r="C629" s="76"/>
      <c r="D629" s="77" t="s">
        <v>46</v>
      </c>
      <c r="E629" s="78">
        <v>8</v>
      </c>
      <c r="F629" s="85">
        <v>224</v>
      </c>
      <c r="G629" s="85">
        <v>2</v>
      </c>
      <c r="H629" s="78">
        <v>300</v>
      </c>
      <c r="I629" s="78">
        <v>13</v>
      </c>
      <c r="J629" s="78">
        <v>1</v>
      </c>
      <c r="K629" s="78">
        <v>8</v>
      </c>
      <c r="L629" s="78">
        <v>0</v>
      </c>
      <c r="M629" s="78">
        <v>7</v>
      </c>
      <c r="N629" s="78">
        <v>0</v>
      </c>
      <c r="P629" s="122">
        <f t="shared" si="60"/>
        <v>1400</v>
      </c>
      <c r="Q629" s="122">
        <f t="shared" si="58"/>
        <v>50</v>
      </c>
      <c r="R629" s="158">
        <f t="shared" si="59"/>
        <v>0.96551724137931039</v>
      </c>
      <c r="S629" s="186" t="str">
        <f>D629</f>
        <v>K-6 Low</v>
      </c>
      <c r="T629" s="79"/>
      <c r="Y629" s="85" t="str">
        <f>D629</f>
        <v>K-6 Low</v>
      </c>
      <c r="Z629" s="333">
        <f>SUMIFS($P$505:$P$568, $D$505:$D$568, Y629, $F$505:$F$568, "&lt;200") + SUMIFS($Q$505:$Q$568, $D$505:$D$568, Y629, $F$505:$F$568, "&lt;200")</f>
        <v>19916.666666666668</v>
      </c>
      <c r="AA629" s="122">
        <f>SUM(P629:Q632)</f>
        <v>18498.333333333332</v>
      </c>
      <c r="AB629" s="122">
        <f>SUMIFS(Collection!O:O, Collection!B:B, "*" &amp; 'Bucket Counts'!Y629 &amp; "*", Collection!A:A, "&lt;" &amp; 'Bucket Counts'!A629,Collection!A:A,  "&gt;=" &amp; 'Bucket Counts'!$A$505)</f>
        <v>0</v>
      </c>
      <c r="AC629" s="158">
        <f>AA629/(Z629+AB629)</f>
        <v>0.92878661087866099</v>
      </c>
    </row>
    <row r="630" spans="1:29" s="78" customFormat="1" x14ac:dyDescent="0.2">
      <c r="A630" s="187">
        <v>42919</v>
      </c>
      <c r="B630" s="412">
        <v>20</v>
      </c>
      <c r="C630" s="76"/>
      <c r="D630" s="77" t="s">
        <v>46</v>
      </c>
      <c r="E630" s="78">
        <v>8</v>
      </c>
      <c r="F630" s="85">
        <v>180</v>
      </c>
      <c r="G630" s="85">
        <v>1</v>
      </c>
      <c r="H630" s="78">
        <v>400</v>
      </c>
      <c r="I630" s="78">
        <v>26</v>
      </c>
      <c r="J630" s="78">
        <v>3</v>
      </c>
      <c r="K630" s="78">
        <v>20</v>
      </c>
      <c r="L630" s="78">
        <v>0</v>
      </c>
      <c r="M630" s="78">
        <v>22</v>
      </c>
      <c r="N630" s="78">
        <v>0</v>
      </c>
      <c r="P630" s="122">
        <f t="shared" si="60"/>
        <v>9066.6666666666679</v>
      </c>
      <c r="Q630" s="122">
        <f t="shared" si="58"/>
        <v>400</v>
      </c>
      <c r="R630" s="158">
        <f t="shared" si="59"/>
        <v>0.95774647887323949</v>
      </c>
      <c r="S630" s="184">
        <f>(SUM(P629:P632)/(SUM(P629:Q632)))</f>
        <v>0.88791783043517436</v>
      </c>
      <c r="T630" s="79"/>
      <c r="Y630" s="85"/>
      <c r="Z630" s="333"/>
      <c r="AA630" s="122"/>
      <c r="AB630" s="122"/>
    </row>
    <row r="631" spans="1:29" s="78" customFormat="1" x14ac:dyDescent="0.2">
      <c r="A631" s="187">
        <v>42919</v>
      </c>
      <c r="B631" s="412">
        <v>20</v>
      </c>
      <c r="C631" s="76"/>
      <c r="D631" s="77" t="s">
        <v>46</v>
      </c>
      <c r="E631" s="78">
        <v>8</v>
      </c>
      <c r="F631" s="85">
        <v>100</v>
      </c>
      <c r="G631" s="85">
        <v>1</v>
      </c>
      <c r="H631" s="78">
        <v>275</v>
      </c>
      <c r="I631" s="78">
        <v>20</v>
      </c>
      <c r="J631" s="78">
        <v>0</v>
      </c>
      <c r="K631" s="78">
        <v>25</v>
      </c>
      <c r="L631" s="78">
        <v>2</v>
      </c>
      <c r="M631" s="78">
        <v>20</v>
      </c>
      <c r="N631" s="78">
        <v>0</v>
      </c>
      <c r="P631" s="122">
        <f t="shared" si="60"/>
        <v>5958.3333333333339</v>
      </c>
      <c r="Q631" s="122">
        <f t="shared" si="58"/>
        <v>183.33333333333331</v>
      </c>
      <c r="R631" s="158">
        <f t="shared" si="59"/>
        <v>0.97014925373134331</v>
      </c>
      <c r="S631" s="185"/>
      <c r="T631" s="79"/>
      <c r="Y631" s="85"/>
      <c r="Z631" s="333"/>
      <c r="AA631" s="122"/>
      <c r="AB631" s="122"/>
    </row>
    <row r="632" spans="1:29" s="83" customFormat="1" ht="17" thickBot="1" x14ac:dyDescent="0.25">
      <c r="A632" s="80">
        <v>42919</v>
      </c>
      <c r="B632" s="412">
        <v>20</v>
      </c>
      <c r="C632" s="81"/>
      <c r="D632" s="77" t="s">
        <v>46</v>
      </c>
      <c r="E632" s="78">
        <v>8</v>
      </c>
      <c r="F632" s="138" t="s">
        <v>201</v>
      </c>
      <c r="G632" s="138">
        <v>1</v>
      </c>
      <c r="H632" s="83">
        <v>270</v>
      </c>
      <c r="I632" s="83">
        <v>0</v>
      </c>
      <c r="J632" s="83">
        <v>10</v>
      </c>
      <c r="K632" s="83">
        <v>0</v>
      </c>
      <c r="L632" s="83">
        <v>2</v>
      </c>
      <c r="M632" s="83">
        <v>0</v>
      </c>
      <c r="N632" s="83">
        <v>4</v>
      </c>
      <c r="P632" s="139">
        <f t="shared" si="60"/>
        <v>0</v>
      </c>
      <c r="Q632" s="139">
        <f t="shared" si="58"/>
        <v>1440</v>
      </c>
      <c r="R632" s="161">
        <f t="shared" si="59"/>
        <v>0</v>
      </c>
      <c r="S632" s="196"/>
      <c r="Y632" s="138"/>
      <c r="Z632" s="335"/>
      <c r="AA632" s="139"/>
      <c r="AB632" s="139"/>
    </row>
    <row r="633" spans="1:29" s="237" customFormat="1" x14ac:dyDescent="0.2">
      <c r="A633" s="234">
        <v>42922</v>
      </c>
      <c r="B633" s="416">
        <v>16</v>
      </c>
      <c r="C633" s="235"/>
      <c r="D633" s="266" t="s">
        <v>87</v>
      </c>
      <c r="E633" s="237">
        <v>1</v>
      </c>
      <c r="F633" s="238">
        <v>224</v>
      </c>
      <c r="G633" s="238"/>
      <c r="P633" s="239">
        <v>29</v>
      </c>
      <c r="Q633" s="239">
        <v>1</v>
      </c>
      <c r="R633" s="240">
        <f t="shared" si="59"/>
        <v>0.96666666666666667</v>
      </c>
      <c r="S633" s="241" t="str">
        <f>D633</f>
        <v>SN-6 Ambient</v>
      </c>
      <c r="T633" s="242"/>
      <c r="U633" s="242"/>
      <c r="V633" s="242"/>
      <c r="W633" s="237" t="s">
        <v>308</v>
      </c>
      <c r="Y633" s="87" t="str">
        <f>D633</f>
        <v>SN-6 Ambient</v>
      </c>
      <c r="Z633" s="323">
        <f>SUMIFS($P$569:$P$632, $D$569:$D$632, Y633, $F$569:$F$632, "&lt;200") + SUMIFS($Q$569:$Q$632, $D$569:$D$632, Y633, $F$569:$F$632, "&lt;200")</f>
        <v>6358.8888888888887</v>
      </c>
      <c r="AA633" s="118">
        <f>SUM(P633:Q636)</f>
        <v>6845.5555555555557</v>
      </c>
      <c r="AB633" s="118">
        <f>SUMIFS(Collection!O:O, Collection!B:B, "*" &amp; 'Bucket Counts'!Y633 &amp; "*", Collection!A:A, "&lt;" &amp; 'Bucket Counts'!A633,Collection!A:A,  "&gt;=" &amp; 'Bucket Counts'!$A$569)</f>
        <v>0</v>
      </c>
      <c r="AC633" s="104">
        <f>AA633/(Z633+AB633)</f>
        <v>1.0765332867377251</v>
      </c>
    </row>
    <row r="634" spans="1:29" s="60" customFormat="1" x14ac:dyDescent="0.2">
      <c r="A634" s="132">
        <v>42922</v>
      </c>
      <c r="B634" s="409">
        <v>16</v>
      </c>
      <c r="C634" s="58"/>
      <c r="D634" s="59" t="s">
        <v>87</v>
      </c>
      <c r="E634" s="135">
        <v>1</v>
      </c>
      <c r="F634" s="87">
        <v>180</v>
      </c>
      <c r="G634" s="87">
        <v>3</v>
      </c>
      <c r="H634" s="60">
        <v>290</v>
      </c>
      <c r="I634" s="60">
        <v>8</v>
      </c>
      <c r="J634" s="60">
        <v>1</v>
      </c>
      <c r="K634" s="60">
        <v>11</v>
      </c>
      <c r="L634" s="60">
        <v>6</v>
      </c>
      <c r="M634" s="87">
        <v>14</v>
      </c>
      <c r="N634" s="60">
        <v>1</v>
      </c>
      <c r="P634" s="118">
        <f>(AVERAGE(I634,K634,M634)/G634)*H634</f>
        <v>1063.3333333333333</v>
      </c>
      <c r="Q634" s="118">
        <f t="shared" si="58"/>
        <v>257.77777777777777</v>
      </c>
      <c r="R634" s="104">
        <f t="shared" si="59"/>
        <v>0.80487804878048774</v>
      </c>
      <c r="S634" s="178">
        <f>(SUM(P633:P636)/(SUM(P633:Q636)))</f>
        <v>0.18188605745820483</v>
      </c>
      <c r="T634" s="63"/>
      <c r="U634" s="63"/>
      <c r="V634" s="63"/>
      <c r="Y634" s="87"/>
      <c r="Z634" s="329"/>
      <c r="AA634" s="118"/>
      <c r="AB634" s="118"/>
    </row>
    <row r="635" spans="1:29" s="60" customFormat="1" x14ac:dyDescent="0.2">
      <c r="A635" s="132">
        <v>42922</v>
      </c>
      <c r="B635" s="409">
        <v>16</v>
      </c>
      <c r="C635" s="58"/>
      <c r="D635" s="59" t="s">
        <v>87</v>
      </c>
      <c r="E635" s="135">
        <v>1</v>
      </c>
      <c r="F635" s="87">
        <v>100</v>
      </c>
      <c r="G635" s="87">
        <v>3</v>
      </c>
      <c r="H635" s="60">
        <v>275</v>
      </c>
      <c r="I635" s="60">
        <v>1</v>
      </c>
      <c r="J635" s="60">
        <v>2</v>
      </c>
      <c r="K635" s="60">
        <v>2</v>
      </c>
      <c r="L635" s="60">
        <v>1</v>
      </c>
      <c r="M635" s="60">
        <v>2</v>
      </c>
      <c r="N635" s="60">
        <v>0</v>
      </c>
      <c r="P635" s="118">
        <f>(AVERAGE(I635,K635,M635)/G635)*H635</f>
        <v>152.77777777777777</v>
      </c>
      <c r="Q635" s="118">
        <f t="shared" si="58"/>
        <v>91.666666666666657</v>
      </c>
      <c r="R635" s="104">
        <f t="shared" si="59"/>
        <v>0.625</v>
      </c>
      <c r="S635" s="176"/>
      <c r="T635" s="63"/>
      <c r="U635" s="63"/>
      <c r="V635" s="63"/>
      <c r="Y635" s="87"/>
      <c r="Z635" s="329"/>
      <c r="AA635" s="118"/>
      <c r="AB635" s="118"/>
    </row>
    <row r="636" spans="1:29" s="60" customFormat="1" x14ac:dyDescent="0.2">
      <c r="A636" s="132">
        <v>42922</v>
      </c>
      <c r="B636" s="409">
        <v>16</v>
      </c>
      <c r="C636" s="58"/>
      <c r="D636" s="59" t="s">
        <v>87</v>
      </c>
      <c r="E636" s="135">
        <v>1</v>
      </c>
      <c r="F636" s="87" t="s">
        <v>201</v>
      </c>
      <c r="G636" s="87">
        <v>2</v>
      </c>
      <c r="H636" s="60">
        <v>300</v>
      </c>
      <c r="I636" s="60">
        <v>0</v>
      </c>
      <c r="J636" s="60">
        <v>29</v>
      </c>
      <c r="K636" s="60">
        <v>0</v>
      </c>
      <c r="L636" s="60">
        <v>33</v>
      </c>
      <c r="M636" s="60">
        <v>0</v>
      </c>
      <c r="N636" s="60">
        <v>43</v>
      </c>
      <c r="P636" s="118">
        <f>(AVERAGE(I636,K636,M636)/G636)*H636</f>
        <v>0</v>
      </c>
      <c r="Q636" s="118">
        <f t="shared" si="58"/>
        <v>5250</v>
      </c>
      <c r="R636" s="104">
        <f t="shared" si="59"/>
        <v>0</v>
      </c>
      <c r="S636" s="179"/>
      <c r="T636" s="63"/>
      <c r="U636" s="63"/>
      <c r="V636" s="63"/>
      <c r="Y636" s="87"/>
      <c r="Z636" s="329"/>
      <c r="AA636" s="118"/>
      <c r="AB636" s="118"/>
    </row>
    <row r="637" spans="1:29" s="60" customFormat="1" x14ac:dyDescent="0.2">
      <c r="A637" s="132">
        <v>42922</v>
      </c>
      <c r="B637" s="118">
        <v>13</v>
      </c>
      <c r="C637" s="58"/>
      <c r="D637" s="60" t="s">
        <v>77</v>
      </c>
      <c r="E637" s="135">
        <v>1</v>
      </c>
      <c r="F637" s="87">
        <v>224</v>
      </c>
      <c r="G637" s="87"/>
      <c r="P637" s="118">
        <v>36</v>
      </c>
      <c r="Q637" s="118">
        <v>6</v>
      </c>
      <c r="R637" s="104">
        <f t="shared" si="59"/>
        <v>0.8571428571428571</v>
      </c>
      <c r="S637" s="180" t="str">
        <f>D637</f>
        <v>SN-6 Low</v>
      </c>
      <c r="T637" s="63"/>
      <c r="U637" s="63"/>
      <c r="V637" s="63"/>
      <c r="W637" s="60" t="s">
        <v>308</v>
      </c>
      <c r="Y637" s="87" t="str">
        <f>D637</f>
        <v>SN-6 Low</v>
      </c>
      <c r="Z637" s="323">
        <f>SUMIFS($P$569:$P$632, $D$569:$D$632, Y637, $F$569:$F$632, "&lt;200") + SUMIFS($Q$569:$Q$632, $D$569:$D$632, Y637, $F$569:$F$632, "&lt;200")</f>
        <v>960</v>
      </c>
      <c r="AA637" s="118">
        <f>SUM(P637:Q640)</f>
        <v>835.33333333333337</v>
      </c>
      <c r="AB637" s="118">
        <f>SUMIFS(Collection!O:O, Collection!B:B, "*" &amp; 'Bucket Counts'!Y637 &amp; "*", Collection!A:A, "&lt;" &amp; 'Bucket Counts'!A637,Collection!A:A,  "&gt;=" &amp; 'Bucket Counts'!$A$569)</f>
        <v>0</v>
      </c>
      <c r="AC637" s="104">
        <f>AA637/(Z637+AB637)</f>
        <v>0.87013888888888891</v>
      </c>
    </row>
    <row r="638" spans="1:29" s="60" customFormat="1" x14ac:dyDescent="0.2">
      <c r="A638" s="132">
        <v>42922</v>
      </c>
      <c r="B638" s="118">
        <v>13</v>
      </c>
      <c r="C638" s="58"/>
      <c r="D638" s="60" t="s">
        <v>77</v>
      </c>
      <c r="E638" s="135">
        <v>1</v>
      </c>
      <c r="F638" s="87">
        <v>180</v>
      </c>
      <c r="G638" s="87">
        <v>3</v>
      </c>
      <c r="H638" s="60">
        <v>300</v>
      </c>
      <c r="I638" s="60">
        <v>2</v>
      </c>
      <c r="J638" s="60">
        <v>1</v>
      </c>
      <c r="K638" s="60">
        <v>4</v>
      </c>
      <c r="L638" s="60">
        <v>1</v>
      </c>
      <c r="M638" s="60">
        <v>3</v>
      </c>
      <c r="N638" s="60">
        <v>2</v>
      </c>
      <c r="P638" s="118">
        <f>(AVERAGE(I638,K638,M638)/G638)*H638</f>
        <v>300</v>
      </c>
      <c r="Q638" s="118">
        <f>(AVERAGE(J638,L638,N638)/G638)*H638</f>
        <v>133.33333333333331</v>
      </c>
      <c r="R638" s="104">
        <f t="shared" si="59"/>
        <v>0.69230769230769229</v>
      </c>
      <c r="S638" s="178">
        <f>(SUM(P637:P640)/(SUM(P637:Q640)))</f>
        <v>0.47406225059856344</v>
      </c>
      <c r="T638" s="63"/>
      <c r="U638" s="63"/>
      <c r="V638" s="63"/>
      <c r="Y638" s="87"/>
      <c r="Z638" s="329"/>
      <c r="AA638" s="118"/>
      <c r="AB638" s="118"/>
    </row>
    <row r="639" spans="1:29" s="60" customFormat="1" x14ac:dyDescent="0.2">
      <c r="A639" s="132">
        <v>42922</v>
      </c>
      <c r="B639" s="118">
        <v>13</v>
      </c>
      <c r="C639" s="58"/>
      <c r="D639" s="60" t="s">
        <v>77</v>
      </c>
      <c r="E639" s="135">
        <v>1</v>
      </c>
      <c r="F639" s="87">
        <v>100</v>
      </c>
      <c r="G639" s="87">
        <v>3</v>
      </c>
      <c r="H639" s="60">
        <v>240</v>
      </c>
      <c r="I639" s="60">
        <v>0</v>
      </c>
      <c r="J639" s="60">
        <v>0</v>
      </c>
      <c r="K639" s="60">
        <v>1</v>
      </c>
      <c r="L639" s="60">
        <v>0</v>
      </c>
      <c r="M639" s="60">
        <v>0</v>
      </c>
      <c r="N639" s="60">
        <v>0</v>
      </c>
      <c r="P639" s="118">
        <f>(AVERAGE(I639,K639,M639)/G639)*H639</f>
        <v>26.666666666666664</v>
      </c>
      <c r="Q639" s="118">
        <f>(AVERAGE(J639,L639,N639)/G639)*H639</f>
        <v>0</v>
      </c>
      <c r="R639" s="104">
        <f t="shared" si="59"/>
        <v>1</v>
      </c>
      <c r="S639" s="179"/>
      <c r="T639" s="63"/>
      <c r="U639" s="63"/>
      <c r="V639" s="63"/>
      <c r="Y639" s="87"/>
      <c r="Z639" s="329"/>
      <c r="AA639" s="118"/>
      <c r="AB639" s="118"/>
    </row>
    <row r="640" spans="1:29" s="60" customFormat="1" x14ac:dyDescent="0.2">
      <c r="A640" s="132">
        <v>42922</v>
      </c>
      <c r="B640" s="118">
        <v>13</v>
      </c>
      <c r="C640" s="58"/>
      <c r="D640" s="60" t="s">
        <v>77</v>
      </c>
      <c r="E640" s="135">
        <v>1</v>
      </c>
      <c r="F640" s="87" t="s">
        <v>201</v>
      </c>
      <c r="G640" s="87">
        <v>3</v>
      </c>
      <c r="H640" s="60">
        <v>300</v>
      </c>
      <c r="I640" s="60">
        <v>0</v>
      </c>
      <c r="J640" s="60">
        <v>4</v>
      </c>
      <c r="K640" s="60">
        <v>1</v>
      </c>
      <c r="L640" s="60">
        <v>3</v>
      </c>
      <c r="M640" s="60">
        <v>0</v>
      </c>
      <c r="N640" s="60">
        <v>2</v>
      </c>
      <c r="P640" s="118">
        <f>(AVERAGE(I640,K640,M640)/G640)*H640</f>
        <v>33.333333333333329</v>
      </c>
      <c r="Q640" s="118">
        <f>(AVERAGE(J640,L640,N640)/G640)*H640</f>
        <v>300</v>
      </c>
      <c r="R640" s="104">
        <f t="shared" si="59"/>
        <v>9.9999999999999992E-2</v>
      </c>
      <c r="S640" s="179"/>
      <c r="T640" s="63"/>
      <c r="U640" s="63"/>
      <c r="V640" s="63"/>
      <c r="Y640" s="87"/>
      <c r="Z640" s="329"/>
      <c r="AA640" s="118"/>
      <c r="AB640" s="118"/>
    </row>
    <row r="641" spans="1:29" s="60" customFormat="1" x14ac:dyDescent="0.2">
      <c r="A641" s="132">
        <v>42922</v>
      </c>
      <c r="B641" s="118">
        <v>3</v>
      </c>
      <c r="C641" s="58"/>
      <c r="D641" s="60" t="s">
        <v>84</v>
      </c>
      <c r="E641" s="60">
        <v>2</v>
      </c>
      <c r="F641" s="87">
        <v>224</v>
      </c>
      <c r="G641" s="87"/>
      <c r="P641" s="118">
        <v>41</v>
      </c>
      <c r="Q641" s="118">
        <v>2</v>
      </c>
      <c r="R641" s="104">
        <f t="shared" si="59"/>
        <v>0.95348837209302328</v>
      </c>
      <c r="S641" s="180" t="str">
        <f>D641</f>
        <v>NF-10 Ambient</v>
      </c>
      <c r="T641" s="63"/>
      <c r="U641" s="63"/>
      <c r="V641" s="63"/>
      <c r="W641" s="60" t="s">
        <v>308</v>
      </c>
      <c r="Y641" s="87" t="str">
        <f>D641</f>
        <v>NF-10 Ambient</v>
      </c>
      <c r="Z641" s="323">
        <f>SUMIFS($P$569:$P$632, $D$569:$D$632, Y641, $F$569:$F$632, "&lt;200") + SUMIFS($Q$569:$Q$632, $D$569:$D$632, Y641, $F$569:$F$632, "&lt;200")</f>
        <v>1717.7777777777778</v>
      </c>
      <c r="AA641" s="118">
        <f>SUM(P641:Q644)</f>
        <v>1737.4444444444443</v>
      </c>
      <c r="AB641" s="118">
        <f>SUMIFS(Collection!O:O, Collection!B:B, "*" &amp; 'Bucket Counts'!Y641 &amp; "*", Collection!A:A, "&lt;" &amp; 'Bucket Counts'!A641,Collection!A:A,  "&gt;=" &amp; 'Bucket Counts'!$A$569)</f>
        <v>0</v>
      </c>
      <c r="AC641" s="104">
        <f>AA641/(Z641+AB641)</f>
        <v>1.0114489003880982</v>
      </c>
    </row>
    <row r="642" spans="1:29" s="60" customFormat="1" x14ac:dyDescent="0.2">
      <c r="A642" s="132">
        <v>42922</v>
      </c>
      <c r="B642" s="118">
        <v>3</v>
      </c>
      <c r="C642" s="58"/>
      <c r="D642" s="60" t="s">
        <v>84</v>
      </c>
      <c r="E642" s="60">
        <v>2</v>
      </c>
      <c r="F642" s="87">
        <v>180</v>
      </c>
      <c r="G642" s="87">
        <v>3</v>
      </c>
      <c r="H642" s="60">
        <v>225</v>
      </c>
      <c r="I642" s="60">
        <v>4</v>
      </c>
      <c r="J642" s="60">
        <v>0</v>
      </c>
      <c r="K642" s="60">
        <v>3</v>
      </c>
      <c r="L642" s="60">
        <v>0</v>
      </c>
      <c r="M642" s="60">
        <v>6</v>
      </c>
      <c r="N642" s="60">
        <v>2</v>
      </c>
      <c r="P642" s="118">
        <f t="shared" ref="P642:P653" si="61">(AVERAGE(I642,K642,M642)/G642)*H642</f>
        <v>325</v>
      </c>
      <c r="Q642" s="118">
        <f t="shared" ref="Q642:Q653" si="62">(AVERAGE(J642,L642,N642)/G642)*H642</f>
        <v>50</v>
      </c>
      <c r="R642" s="104">
        <f t="shared" si="59"/>
        <v>0.8666666666666667</v>
      </c>
      <c r="S642" s="178">
        <f>(SUM(P641:P644)/(SUM(P641:Q644)))</f>
        <v>0.2682100147087037</v>
      </c>
      <c r="T642" s="63"/>
      <c r="U642" s="63"/>
      <c r="V642" s="63"/>
      <c r="Y642" s="87"/>
      <c r="Z642" s="329"/>
      <c r="AA642" s="118"/>
      <c r="AB642" s="118"/>
    </row>
    <row r="643" spans="1:29" s="60" customFormat="1" x14ac:dyDescent="0.2">
      <c r="A643" s="132">
        <v>42922</v>
      </c>
      <c r="B643" s="118">
        <v>3</v>
      </c>
      <c r="C643" s="58"/>
      <c r="D643" s="60" t="s">
        <v>84</v>
      </c>
      <c r="E643" s="60">
        <v>2</v>
      </c>
      <c r="F643" s="87">
        <v>100</v>
      </c>
      <c r="G643" s="87">
        <v>3</v>
      </c>
      <c r="H643" s="60">
        <v>225</v>
      </c>
      <c r="I643" s="60">
        <v>1</v>
      </c>
      <c r="J643" s="60">
        <v>0</v>
      </c>
      <c r="K643" s="60">
        <v>2</v>
      </c>
      <c r="L643" s="60">
        <v>0</v>
      </c>
      <c r="M643" s="60">
        <v>1</v>
      </c>
      <c r="N643" s="60">
        <v>1</v>
      </c>
      <c r="P643" s="118">
        <f t="shared" si="61"/>
        <v>100</v>
      </c>
      <c r="Q643" s="118">
        <f t="shared" si="62"/>
        <v>25</v>
      </c>
      <c r="R643" s="104">
        <f t="shared" si="59"/>
        <v>0.8</v>
      </c>
      <c r="S643" s="179"/>
      <c r="T643" s="63"/>
      <c r="U643" s="63"/>
      <c r="V643" s="63"/>
      <c r="Y643" s="87"/>
      <c r="Z643" s="329"/>
      <c r="AA643" s="118"/>
      <c r="AB643" s="118"/>
    </row>
    <row r="644" spans="1:29" s="60" customFormat="1" x14ac:dyDescent="0.2">
      <c r="A644" s="132">
        <v>42922</v>
      </c>
      <c r="B644" s="118">
        <v>3</v>
      </c>
      <c r="C644" s="58"/>
      <c r="D644" s="60" t="s">
        <v>84</v>
      </c>
      <c r="E644" s="60">
        <v>2</v>
      </c>
      <c r="F644" s="87" t="s">
        <v>201</v>
      </c>
      <c r="G644" s="87">
        <v>3</v>
      </c>
      <c r="H644" s="245">
        <v>250</v>
      </c>
      <c r="I644" s="60">
        <v>0</v>
      </c>
      <c r="J644" s="60">
        <v>14</v>
      </c>
      <c r="K644" s="60">
        <v>0</v>
      </c>
      <c r="L644" s="60">
        <v>14</v>
      </c>
      <c r="M644" s="60">
        <v>0</v>
      </c>
      <c r="N644" s="60">
        <v>15</v>
      </c>
      <c r="P644" s="118">
        <f t="shared" si="61"/>
        <v>0</v>
      </c>
      <c r="Q644" s="118">
        <f t="shared" si="62"/>
        <v>1194.4444444444443</v>
      </c>
      <c r="R644" s="104">
        <f t="shared" si="59"/>
        <v>0</v>
      </c>
      <c r="S644" s="179"/>
      <c r="T644" s="63"/>
      <c r="U644" s="63"/>
      <c r="V644" s="63"/>
      <c r="Y644" s="87"/>
      <c r="Z644" s="329"/>
      <c r="AA644" s="118"/>
      <c r="AB644" s="118"/>
    </row>
    <row r="645" spans="1:29" s="60" customFormat="1" x14ac:dyDescent="0.2">
      <c r="A645" s="132">
        <v>42922</v>
      </c>
      <c r="B645" s="409">
        <v>18</v>
      </c>
      <c r="C645" s="58"/>
      <c r="D645" s="59" t="s">
        <v>20</v>
      </c>
      <c r="E645" s="60">
        <v>2</v>
      </c>
      <c r="F645" s="87">
        <v>224</v>
      </c>
      <c r="G645" s="87">
        <v>3</v>
      </c>
      <c r="H645" s="245">
        <v>240</v>
      </c>
      <c r="I645" s="60">
        <v>3</v>
      </c>
      <c r="J645" s="60">
        <v>1</v>
      </c>
      <c r="K645" s="60">
        <v>1</v>
      </c>
      <c r="L645" s="60">
        <v>1</v>
      </c>
      <c r="M645" s="60">
        <v>1</v>
      </c>
      <c r="N645" s="60">
        <v>0</v>
      </c>
      <c r="P645" s="118">
        <f t="shared" si="61"/>
        <v>133.33333333333334</v>
      </c>
      <c r="Q645" s="118">
        <f t="shared" si="62"/>
        <v>53.333333333333329</v>
      </c>
      <c r="R645" s="104">
        <f t="shared" si="59"/>
        <v>0.7142857142857143</v>
      </c>
      <c r="S645" s="180" t="str">
        <f>D645</f>
        <v>K-10 Low</v>
      </c>
      <c r="T645" s="63"/>
      <c r="U645" s="63"/>
      <c r="V645" s="63"/>
      <c r="Y645" s="87" t="str">
        <f>D645</f>
        <v>K-10 Low</v>
      </c>
      <c r="Z645" s="323">
        <f>SUMIFS($P$569:$P$632, $D$569:$D$632, Y645, $F$569:$F$632, "&lt;200") + SUMIFS($Q$569:$Q$632, $D$569:$D$632, Y645, $F$569:$F$632, "&lt;200")</f>
        <v>3155</v>
      </c>
      <c r="AA645" s="118">
        <f>SUM(P645:Q648)</f>
        <v>1936.6666666666665</v>
      </c>
      <c r="AB645" s="118">
        <f>SUMIFS(Collection!O:O, Collection!B:B, "*" &amp; 'Bucket Counts'!Y645 &amp; "*", Collection!A:A, "&lt;" &amp; 'Bucket Counts'!A645,Collection!A:A,  "&gt;=" &amp; 'Bucket Counts'!$A$569)</f>
        <v>0</v>
      </c>
      <c r="AC645" s="104">
        <f>AA645/(Z645+AB645)</f>
        <v>0.61384046487057575</v>
      </c>
    </row>
    <row r="646" spans="1:29" s="60" customFormat="1" x14ac:dyDescent="0.2">
      <c r="A646" s="132">
        <v>42922</v>
      </c>
      <c r="B646" s="409">
        <v>18</v>
      </c>
      <c r="C646" s="58"/>
      <c r="D646" s="59" t="s">
        <v>20</v>
      </c>
      <c r="E646" s="60">
        <v>2</v>
      </c>
      <c r="F646" s="87">
        <v>180</v>
      </c>
      <c r="G646" s="87">
        <v>2</v>
      </c>
      <c r="H646" s="245">
        <v>250</v>
      </c>
      <c r="I646" s="60">
        <v>8</v>
      </c>
      <c r="J646" s="60">
        <v>0</v>
      </c>
      <c r="K646" s="60">
        <v>6</v>
      </c>
      <c r="L646" s="60">
        <v>0</v>
      </c>
      <c r="M646" s="60">
        <v>4</v>
      </c>
      <c r="N646" s="60">
        <v>1</v>
      </c>
      <c r="P646" s="118">
        <f t="shared" si="61"/>
        <v>750</v>
      </c>
      <c r="Q646" s="118">
        <f t="shared" si="62"/>
        <v>41.666666666666664</v>
      </c>
      <c r="R646" s="104">
        <f t="shared" si="59"/>
        <v>0.94736842105263164</v>
      </c>
      <c r="S646" s="178">
        <f>(SUM(P645:P648)/(SUM(P645:Q648)))</f>
        <v>0.80034423407917388</v>
      </c>
      <c r="T646" s="63"/>
      <c r="U646" s="63"/>
      <c r="V646" s="63"/>
      <c r="Y646" s="87"/>
      <c r="Z646" s="329"/>
      <c r="AA646" s="118"/>
      <c r="AB646" s="118"/>
    </row>
    <row r="647" spans="1:29" s="60" customFormat="1" x14ac:dyDescent="0.2">
      <c r="A647" s="132">
        <v>42922</v>
      </c>
      <c r="B647" s="409">
        <v>18</v>
      </c>
      <c r="C647" s="58"/>
      <c r="D647" s="59" t="s">
        <v>20</v>
      </c>
      <c r="E647" s="60">
        <v>2</v>
      </c>
      <c r="F647" s="87">
        <v>100</v>
      </c>
      <c r="G647" s="87">
        <v>2</v>
      </c>
      <c r="H647" s="245">
        <v>250</v>
      </c>
      <c r="I647" s="60">
        <v>9</v>
      </c>
      <c r="J647" s="60">
        <v>0</v>
      </c>
      <c r="K647" s="60">
        <v>3</v>
      </c>
      <c r="L647" s="60">
        <v>0</v>
      </c>
      <c r="M647" s="60">
        <v>4</v>
      </c>
      <c r="N647" s="60">
        <v>2</v>
      </c>
      <c r="P647" s="118">
        <f t="shared" si="61"/>
        <v>666.66666666666663</v>
      </c>
      <c r="Q647" s="118">
        <f t="shared" si="62"/>
        <v>83.333333333333329</v>
      </c>
      <c r="R647" s="104">
        <f t="shared" si="59"/>
        <v>0.88888888888888884</v>
      </c>
      <c r="S647" s="179"/>
      <c r="T647" s="63"/>
      <c r="U647" s="63"/>
      <c r="V647" s="63"/>
      <c r="Y647" s="87"/>
      <c r="Z647" s="329"/>
      <c r="AA647" s="118"/>
      <c r="AB647" s="118"/>
    </row>
    <row r="648" spans="1:29" s="60" customFormat="1" x14ac:dyDescent="0.2">
      <c r="A648" s="132">
        <v>42922</v>
      </c>
      <c r="B648" s="409">
        <v>18</v>
      </c>
      <c r="C648" s="58"/>
      <c r="D648" s="59" t="s">
        <v>20</v>
      </c>
      <c r="E648" s="60">
        <v>2</v>
      </c>
      <c r="F648" s="87" t="s">
        <v>201</v>
      </c>
      <c r="G648" s="87">
        <v>2</v>
      </c>
      <c r="H648" s="245">
        <v>250</v>
      </c>
      <c r="I648" s="60">
        <v>0</v>
      </c>
      <c r="J648" s="60">
        <v>2</v>
      </c>
      <c r="K648" s="60">
        <v>0</v>
      </c>
      <c r="L648" s="60">
        <v>1</v>
      </c>
      <c r="M648" s="60">
        <v>0</v>
      </c>
      <c r="N648" s="60">
        <v>2</v>
      </c>
      <c r="P648" s="118">
        <f t="shared" si="61"/>
        <v>0</v>
      </c>
      <c r="Q648" s="118">
        <f t="shared" si="62"/>
        <v>208.33333333333334</v>
      </c>
      <c r="R648" s="104">
        <f t="shared" si="59"/>
        <v>0</v>
      </c>
      <c r="S648" s="179"/>
      <c r="T648" s="63"/>
      <c r="U648" s="63"/>
      <c r="V648" s="63"/>
      <c r="Y648" s="87"/>
      <c r="Z648" s="329"/>
      <c r="AA648" s="118"/>
      <c r="AB648" s="118"/>
    </row>
    <row r="649" spans="1:29" s="60" customFormat="1" x14ac:dyDescent="0.2">
      <c r="A649" s="132">
        <v>42922</v>
      </c>
      <c r="B649" s="118">
        <v>20</v>
      </c>
      <c r="C649" s="58"/>
      <c r="D649" s="60" t="s">
        <v>46</v>
      </c>
      <c r="E649" s="60">
        <v>3</v>
      </c>
      <c r="F649" s="87">
        <v>224</v>
      </c>
      <c r="G649" s="87">
        <v>3</v>
      </c>
      <c r="H649" s="245">
        <v>260</v>
      </c>
      <c r="I649" s="60">
        <v>9</v>
      </c>
      <c r="J649" s="60">
        <v>1</v>
      </c>
      <c r="K649" s="60">
        <v>12</v>
      </c>
      <c r="L649" s="60">
        <v>1</v>
      </c>
      <c r="M649" s="60">
        <v>18</v>
      </c>
      <c r="N649" s="60">
        <v>0</v>
      </c>
      <c r="P649" s="118">
        <f t="shared" si="61"/>
        <v>1126.6666666666665</v>
      </c>
      <c r="Q649" s="118">
        <f t="shared" si="62"/>
        <v>57.777777777777771</v>
      </c>
      <c r="R649" s="104">
        <f t="shared" si="59"/>
        <v>0.95121951219512191</v>
      </c>
      <c r="S649" s="180" t="str">
        <f>D649</f>
        <v>K-6 Low</v>
      </c>
      <c r="T649" s="63"/>
      <c r="U649" s="63"/>
      <c r="V649" s="63"/>
      <c r="Y649" s="87" t="str">
        <f>D649</f>
        <v>K-6 Low</v>
      </c>
      <c r="Z649" s="323">
        <f>SUMIFS($P$569:$P$632, $D$569:$D$632, Y649, $F$569:$F$632, "&lt;200") + SUMIFS($Q$569:$Q$632, $D$569:$D$632, Y649, $F$569:$F$632, "&lt;200")</f>
        <v>15608.333333333336</v>
      </c>
      <c r="AA649" s="118">
        <f>SUM(P649:Q652)</f>
        <v>10302.222222222223</v>
      </c>
      <c r="AB649" s="118">
        <f>SUMIFS(Collection!O:O, Collection!B:B, "*" &amp; 'Bucket Counts'!Y649 &amp; "*", Collection!A:A, "&lt;" &amp; 'Bucket Counts'!A649,Collection!A:A,  "&gt;=" &amp; 'Bucket Counts'!$A$569)</f>
        <v>0</v>
      </c>
      <c r="AC649" s="104">
        <f>AA649/(Z649+AB649)</f>
        <v>0.66004627157857265</v>
      </c>
    </row>
    <row r="650" spans="1:29" s="60" customFormat="1" x14ac:dyDescent="0.2">
      <c r="A650" s="132">
        <v>42922</v>
      </c>
      <c r="B650" s="118">
        <v>20</v>
      </c>
      <c r="C650" s="58"/>
      <c r="D650" s="60" t="s">
        <v>46</v>
      </c>
      <c r="E650" s="60">
        <v>3</v>
      </c>
      <c r="F650" s="87">
        <v>180</v>
      </c>
      <c r="G650" s="87">
        <v>3</v>
      </c>
      <c r="H650" s="245">
        <v>290</v>
      </c>
      <c r="I650" s="60">
        <v>44</v>
      </c>
      <c r="J650" s="60">
        <v>1</v>
      </c>
      <c r="K650" s="60">
        <v>30</v>
      </c>
      <c r="L650" s="60">
        <v>0</v>
      </c>
      <c r="M650" s="60">
        <v>37</v>
      </c>
      <c r="N650" s="60">
        <v>3</v>
      </c>
      <c r="P650" s="118">
        <f t="shared" si="61"/>
        <v>3576.666666666667</v>
      </c>
      <c r="Q650" s="118">
        <f t="shared" si="62"/>
        <v>128.88888888888889</v>
      </c>
      <c r="R650" s="104">
        <f t="shared" si="59"/>
        <v>0.96521739130434792</v>
      </c>
      <c r="S650" s="178">
        <f>(SUM(P649:P652)/(SUM(P649:Q652)))</f>
        <v>0.6982312338222606</v>
      </c>
      <c r="T650" s="63"/>
      <c r="U650" s="63"/>
      <c r="V650" s="63"/>
      <c r="Y650" s="87"/>
      <c r="Z650" s="329"/>
      <c r="AA650" s="118"/>
      <c r="AB650" s="118"/>
    </row>
    <row r="651" spans="1:29" s="60" customFormat="1" x14ac:dyDescent="0.2">
      <c r="A651" s="132">
        <v>42922</v>
      </c>
      <c r="B651" s="118">
        <v>20</v>
      </c>
      <c r="C651" s="58"/>
      <c r="D651" s="60" t="s">
        <v>46</v>
      </c>
      <c r="E651" s="60">
        <v>3</v>
      </c>
      <c r="F651" s="87">
        <v>100</v>
      </c>
      <c r="G651" s="87">
        <v>3</v>
      </c>
      <c r="H651" s="245">
        <v>280</v>
      </c>
      <c r="I651" s="60">
        <v>33</v>
      </c>
      <c r="J651" s="60">
        <v>2</v>
      </c>
      <c r="K651" s="60">
        <v>21</v>
      </c>
      <c r="L651" s="60">
        <v>2</v>
      </c>
      <c r="M651" s="60">
        <v>25</v>
      </c>
      <c r="N651" s="60">
        <v>5</v>
      </c>
      <c r="P651" s="118">
        <f t="shared" si="61"/>
        <v>2457.7777777777774</v>
      </c>
      <c r="Q651" s="118">
        <f t="shared" si="62"/>
        <v>280</v>
      </c>
      <c r="R651" s="104">
        <f t="shared" si="59"/>
        <v>0.89772727272727271</v>
      </c>
      <c r="S651" s="179"/>
      <c r="T651" s="63"/>
      <c r="U651" s="63"/>
      <c r="V651" s="63"/>
      <c r="Y651" s="87"/>
      <c r="Z651" s="329"/>
      <c r="AA651" s="118"/>
      <c r="AB651" s="118"/>
    </row>
    <row r="652" spans="1:29" s="60" customFormat="1" x14ac:dyDescent="0.2">
      <c r="A652" s="132">
        <v>42922</v>
      </c>
      <c r="B652" s="118">
        <v>20</v>
      </c>
      <c r="C652" s="58"/>
      <c r="D652" s="60" t="s">
        <v>46</v>
      </c>
      <c r="E652" s="60">
        <v>3</v>
      </c>
      <c r="F652" s="87" t="s">
        <v>201</v>
      </c>
      <c r="G652" s="87">
        <v>3</v>
      </c>
      <c r="H652" s="245">
        <v>290</v>
      </c>
      <c r="I652" s="60">
        <v>0</v>
      </c>
      <c r="J652" s="60">
        <v>30</v>
      </c>
      <c r="K652" s="60">
        <v>1</v>
      </c>
      <c r="L652" s="60">
        <v>23</v>
      </c>
      <c r="M652" s="60">
        <v>0</v>
      </c>
      <c r="N652" s="60">
        <v>29</v>
      </c>
      <c r="P652" s="118">
        <f t="shared" si="61"/>
        <v>32.222222222222221</v>
      </c>
      <c r="Q652" s="118">
        <f t="shared" si="62"/>
        <v>2642.2222222222222</v>
      </c>
      <c r="R652" s="104">
        <f t="shared" si="59"/>
        <v>1.2048192771084338E-2</v>
      </c>
      <c r="S652" s="179"/>
      <c r="T652" s="63"/>
      <c r="U652" s="63"/>
      <c r="V652" s="63"/>
      <c r="Y652" s="87"/>
      <c r="Z652" s="329"/>
      <c r="AA652" s="118"/>
      <c r="AB652" s="118"/>
    </row>
    <row r="653" spans="1:29" s="60" customFormat="1" x14ac:dyDescent="0.2">
      <c r="A653" s="132">
        <v>42922</v>
      </c>
      <c r="B653" s="418">
        <v>22</v>
      </c>
      <c r="C653" s="58"/>
      <c r="D653" s="267" t="s">
        <v>17</v>
      </c>
      <c r="E653" s="60">
        <v>3</v>
      </c>
      <c r="F653" s="87">
        <v>224</v>
      </c>
      <c r="G653" s="87">
        <v>2</v>
      </c>
      <c r="H653" s="245">
        <v>250</v>
      </c>
      <c r="I653" s="60">
        <v>1</v>
      </c>
      <c r="J653" s="60">
        <v>0</v>
      </c>
      <c r="K653" s="60">
        <v>6</v>
      </c>
      <c r="L653" s="60">
        <v>0</v>
      </c>
      <c r="M653" s="60">
        <v>1</v>
      </c>
      <c r="N653" s="60">
        <v>1</v>
      </c>
      <c r="P653" s="118">
        <f t="shared" si="61"/>
        <v>333.33333333333331</v>
      </c>
      <c r="Q653" s="118">
        <f t="shared" si="62"/>
        <v>41.666666666666664</v>
      </c>
      <c r="R653" s="104">
        <f t="shared" si="59"/>
        <v>0.88888888888888884</v>
      </c>
      <c r="S653" s="180" t="str">
        <f>D653</f>
        <v>K-10 Ambient</v>
      </c>
      <c r="T653" s="63"/>
      <c r="U653" s="63"/>
      <c r="V653" s="63"/>
      <c r="Y653" s="87" t="str">
        <f>D653</f>
        <v>K-10 Ambient</v>
      </c>
      <c r="Z653" s="323">
        <f>SUMIFS($P$569:$P$632, $D$569:$D$632, Y653, $F$569:$F$632, "&lt;200") + SUMIFS($Q$569:$Q$632, $D$569:$D$632, Y653, $F$569:$F$632, "&lt;200")</f>
        <v>5500.0000000000009</v>
      </c>
      <c r="AA653" s="118">
        <f>SUM(P653:Q656)</f>
        <v>5208.3333333333339</v>
      </c>
      <c r="AB653" s="118">
        <f>SUMIFS(Collection!O:O, Collection!B:B, "*" &amp; 'Bucket Counts'!Y653 &amp; "*", Collection!A:A, "&lt;" &amp; 'Bucket Counts'!A653,Collection!A:A,  "&gt;=" &amp; 'Bucket Counts'!$A$569)</f>
        <v>0</v>
      </c>
      <c r="AC653" s="104">
        <f>AA653/(Z653+AB653)</f>
        <v>0.94696969696969691</v>
      </c>
    </row>
    <row r="654" spans="1:29" s="60" customFormat="1" x14ac:dyDescent="0.2">
      <c r="A654" s="132">
        <v>42922</v>
      </c>
      <c r="B654" s="418">
        <v>22</v>
      </c>
      <c r="C654" s="58"/>
      <c r="D654" s="267" t="s">
        <v>17</v>
      </c>
      <c r="E654" s="60">
        <v>3</v>
      </c>
      <c r="F654" s="87">
        <v>180</v>
      </c>
      <c r="G654" s="87">
        <v>2</v>
      </c>
      <c r="H654" s="245">
        <v>290</v>
      </c>
      <c r="I654" s="60">
        <v>20</v>
      </c>
      <c r="J654" s="60">
        <v>0</v>
      </c>
      <c r="K654" s="60">
        <v>14</v>
      </c>
      <c r="L654" s="60">
        <v>0</v>
      </c>
      <c r="M654" s="60">
        <v>16</v>
      </c>
      <c r="N654" s="60">
        <v>0</v>
      </c>
      <c r="P654" s="118">
        <f t="shared" ref="P654:P659" si="63">(AVERAGE(I654,K654,M654)/G654)*H654</f>
        <v>2416.666666666667</v>
      </c>
      <c r="Q654" s="118">
        <f t="shared" ref="Q654:Q696" si="64">(AVERAGE(J654,L654,N654)/G654)*H654</f>
        <v>0</v>
      </c>
      <c r="R654" s="104">
        <f t="shared" si="59"/>
        <v>1</v>
      </c>
      <c r="S654" s="178">
        <f>(SUM(P653:P656)/(SUM(P653:Q656)))</f>
        <v>0.68303999999999998</v>
      </c>
      <c r="T654" s="63"/>
      <c r="Y654" s="87"/>
      <c r="Z654" s="329"/>
      <c r="AA654" s="118"/>
      <c r="AB654" s="118"/>
    </row>
    <row r="655" spans="1:29" s="60" customFormat="1" x14ac:dyDescent="0.2">
      <c r="A655" s="132">
        <v>42922</v>
      </c>
      <c r="B655" s="418">
        <v>22</v>
      </c>
      <c r="C655" s="58"/>
      <c r="D655" s="267" t="s">
        <v>17</v>
      </c>
      <c r="E655" s="60">
        <v>3</v>
      </c>
      <c r="F655" s="87">
        <v>100</v>
      </c>
      <c r="G655" s="87">
        <v>2</v>
      </c>
      <c r="H655" s="245">
        <v>220</v>
      </c>
      <c r="I655" s="60">
        <v>6</v>
      </c>
      <c r="J655" s="60">
        <v>2</v>
      </c>
      <c r="K655" s="60">
        <v>10</v>
      </c>
      <c r="L655" s="60">
        <v>2</v>
      </c>
      <c r="M655" s="60">
        <v>5</v>
      </c>
      <c r="N655" s="60">
        <v>0</v>
      </c>
      <c r="P655" s="118">
        <f t="shared" si="63"/>
        <v>770</v>
      </c>
      <c r="Q655" s="118">
        <f t="shared" si="64"/>
        <v>146.66666666666666</v>
      </c>
      <c r="R655" s="104">
        <f t="shared" si="59"/>
        <v>0.84000000000000008</v>
      </c>
      <c r="S655" s="179"/>
      <c r="T655" s="63"/>
      <c r="Y655" s="87"/>
      <c r="Z655" s="329"/>
      <c r="AA655" s="118"/>
      <c r="AB655" s="118"/>
    </row>
    <row r="656" spans="1:29" s="60" customFormat="1" x14ac:dyDescent="0.2">
      <c r="A656" s="132">
        <v>42922</v>
      </c>
      <c r="B656" s="418">
        <v>22</v>
      </c>
      <c r="C656" s="58"/>
      <c r="D656" s="267" t="s">
        <v>17</v>
      </c>
      <c r="E656" s="60">
        <v>3</v>
      </c>
      <c r="F656" s="87" t="s">
        <v>201</v>
      </c>
      <c r="G656" s="87">
        <v>2</v>
      </c>
      <c r="H656" s="245">
        <v>225</v>
      </c>
      <c r="I656" s="60">
        <v>1</v>
      </c>
      <c r="J656" s="60">
        <v>10</v>
      </c>
      <c r="K656" s="60">
        <v>0</v>
      </c>
      <c r="L656" s="60">
        <v>19</v>
      </c>
      <c r="M656" s="60">
        <v>0</v>
      </c>
      <c r="N656" s="60">
        <v>10</v>
      </c>
      <c r="P656" s="118">
        <f t="shared" si="63"/>
        <v>37.5</v>
      </c>
      <c r="Q656" s="118">
        <f t="shared" si="64"/>
        <v>1462.5</v>
      </c>
      <c r="R656" s="104">
        <f t="shared" si="59"/>
        <v>2.5000000000000001E-2</v>
      </c>
      <c r="S656" s="179"/>
      <c r="T656" s="63"/>
      <c r="Y656" s="87"/>
      <c r="Z656" s="329"/>
      <c r="AA656" s="118"/>
      <c r="AB656" s="118"/>
    </row>
    <row r="657" spans="1:29" s="60" customFormat="1" x14ac:dyDescent="0.2">
      <c r="A657" s="132">
        <v>42922</v>
      </c>
      <c r="B657" s="409">
        <v>21</v>
      </c>
      <c r="C657" s="58"/>
      <c r="D657" s="59" t="s">
        <v>108</v>
      </c>
      <c r="E657" s="60">
        <v>4</v>
      </c>
      <c r="F657" s="87">
        <v>224</v>
      </c>
      <c r="G657" s="87">
        <v>2</v>
      </c>
      <c r="H657" s="245">
        <v>500</v>
      </c>
      <c r="I657" s="60">
        <v>5</v>
      </c>
      <c r="J657" s="60">
        <v>0</v>
      </c>
      <c r="K657" s="60">
        <v>9</v>
      </c>
      <c r="L657" s="60">
        <v>0</v>
      </c>
      <c r="M657" s="60">
        <v>11</v>
      </c>
      <c r="N657" s="60">
        <v>0</v>
      </c>
      <c r="P657" s="118">
        <f t="shared" si="63"/>
        <v>2083.3333333333335</v>
      </c>
      <c r="Q657" s="118">
        <f t="shared" si="64"/>
        <v>0</v>
      </c>
      <c r="R657" s="104">
        <f t="shared" si="59"/>
        <v>1</v>
      </c>
      <c r="S657" s="177" t="str">
        <f>D657</f>
        <v>HL-10 Low</v>
      </c>
      <c r="T657" s="63"/>
      <c r="Y657" s="87" t="str">
        <f>D657</f>
        <v>HL-10 Low</v>
      </c>
      <c r="Z657" s="323">
        <f>SUMIFS($P$569:$P$632, $D$569:$D$632, Y657, $F$569:$F$632, "&lt;200") + SUMIFS($Q$569:$Q$632, $D$569:$D$632, Y657, $F$569:$F$632, "&lt;200")</f>
        <v>35726.666666666664</v>
      </c>
      <c r="AA657" s="118">
        <f>SUM(P657:Q660)</f>
        <v>32198.333333333332</v>
      </c>
      <c r="AB657" s="118">
        <f>SUMIFS(Collection!O:O, Collection!B:B, "*" &amp; 'Bucket Counts'!Y657 &amp; "*", Collection!A:A, "&lt;" &amp; 'Bucket Counts'!A657,Collection!A:A,  "&gt;=" &amp; 'Bucket Counts'!$A$569)</f>
        <v>0</v>
      </c>
      <c r="AC657" s="104">
        <f>AA657/(Z657+AB657)</f>
        <v>0.90124090315357341</v>
      </c>
    </row>
    <row r="658" spans="1:29" s="60" customFormat="1" x14ac:dyDescent="0.2">
      <c r="A658" s="132">
        <v>42922</v>
      </c>
      <c r="B658" s="409">
        <v>21</v>
      </c>
      <c r="C658" s="58"/>
      <c r="D658" s="59" t="s">
        <v>108</v>
      </c>
      <c r="E658" s="60">
        <v>4</v>
      </c>
      <c r="F658" s="87">
        <v>180</v>
      </c>
      <c r="G658" s="87">
        <v>2</v>
      </c>
      <c r="H658" s="245">
        <v>500</v>
      </c>
      <c r="I658" s="60">
        <v>65</v>
      </c>
      <c r="J658" s="60">
        <v>0</v>
      </c>
      <c r="K658" s="60">
        <v>62</v>
      </c>
      <c r="L658" s="60">
        <v>0</v>
      </c>
      <c r="M658" s="60">
        <v>73</v>
      </c>
      <c r="N658" s="60">
        <v>1</v>
      </c>
      <c r="P658" s="118">
        <f t="shared" si="63"/>
        <v>16666.666666666668</v>
      </c>
      <c r="Q658" s="118">
        <f t="shared" si="64"/>
        <v>83.333333333333329</v>
      </c>
      <c r="R658" s="104">
        <f t="shared" si="59"/>
        <v>0.99502487562189057</v>
      </c>
      <c r="S658" s="178">
        <f>(SUM(P657:P660)/(SUM(P657:Q660)))</f>
        <v>0.8854495574305089</v>
      </c>
      <c r="T658" s="63"/>
      <c r="Y658" s="87"/>
      <c r="Z658" s="329"/>
      <c r="AA658" s="118"/>
      <c r="AB658" s="118"/>
    </row>
    <row r="659" spans="1:29" s="60" customFormat="1" x14ac:dyDescent="0.2">
      <c r="A659" s="132">
        <v>42922</v>
      </c>
      <c r="B659" s="409">
        <v>21</v>
      </c>
      <c r="C659" s="58"/>
      <c r="D659" s="59" t="s">
        <v>108</v>
      </c>
      <c r="E659" s="60">
        <v>4</v>
      </c>
      <c r="F659" s="87">
        <v>100</v>
      </c>
      <c r="G659" s="87">
        <v>2</v>
      </c>
      <c r="H659" s="245">
        <v>240</v>
      </c>
      <c r="I659" s="60">
        <v>87</v>
      </c>
      <c r="J659" s="60">
        <v>2</v>
      </c>
      <c r="K659" s="60">
        <v>75</v>
      </c>
      <c r="L659" s="60">
        <v>0</v>
      </c>
      <c r="M659" s="60">
        <v>82</v>
      </c>
      <c r="N659" s="60">
        <v>0</v>
      </c>
      <c r="P659" s="118">
        <f t="shared" si="63"/>
        <v>9760</v>
      </c>
      <c r="Q659" s="118">
        <f t="shared" si="64"/>
        <v>80</v>
      </c>
      <c r="R659" s="104">
        <f t="shared" si="59"/>
        <v>0.99186991869918695</v>
      </c>
      <c r="S659" s="176"/>
      <c r="T659" s="63"/>
      <c r="Y659" s="87"/>
      <c r="Z659" s="329"/>
      <c r="AA659" s="118"/>
      <c r="AB659" s="118"/>
    </row>
    <row r="660" spans="1:29" s="60" customFormat="1" x14ac:dyDescent="0.2">
      <c r="A660" s="132">
        <v>42922</v>
      </c>
      <c r="B660" s="409">
        <v>21</v>
      </c>
      <c r="C660" s="58"/>
      <c r="D660" s="59" t="s">
        <v>108</v>
      </c>
      <c r="E660" s="60">
        <v>4</v>
      </c>
      <c r="F660" s="87" t="s">
        <v>201</v>
      </c>
      <c r="G660" s="87">
        <v>2</v>
      </c>
      <c r="H660" s="245">
        <v>225</v>
      </c>
      <c r="I660" s="60">
        <v>0</v>
      </c>
      <c r="J660" s="60">
        <v>23</v>
      </c>
      <c r="K660" s="60">
        <v>0</v>
      </c>
      <c r="L660" s="60">
        <v>30</v>
      </c>
      <c r="M660" s="60">
        <v>0</v>
      </c>
      <c r="N660" s="60">
        <v>41</v>
      </c>
      <c r="P660" s="118">
        <f>(AVERAGE(I660,K660,M660)/G660)*H660</f>
        <v>0</v>
      </c>
      <c r="Q660" s="118">
        <f t="shared" si="64"/>
        <v>3525</v>
      </c>
      <c r="R660" s="104">
        <f t="shared" si="59"/>
        <v>0</v>
      </c>
      <c r="S660" s="179"/>
      <c r="T660" s="63"/>
      <c r="Y660" s="87"/>
      <c r="Z660" s="329"/>
      <c r="AA660" s="118"/>
      <c r="AB660" s="118"/>
    </row>
    <row r="661" spans="1:29" s="60" customFormat="1" x14ac:dyDescent="0.2">
      <c r="A661" s="132">
        <v>42922</v>
      </c>
      <c r="B661" s="409">
        <v>19</v>
      </c>
      <c r="C661" s="58"/>
      <c r="D661" s="59" t="s">
        <v>88</v>
      </c>
      <c r="E661" s="60">
        <v>4</v>
      </c>
      <c r="F661" s="87">
        <v>224</v>
      </c>
      <c r="G661" s="87">
        <v>2</v>
      </c>
      <c r="H661" s="245">
        <v>250</v>
      </c>
      <c r="I661" s="60">
        <v>6</v>
      </c>
      <c r="J661" s="60">
        <v>0</v>
      </c>
      <c r="K661" s="60">
        <v>7</v>
      </c>
      <c r="L661" s="60">
        <v>0</v>
      </c>
      <c r="M661" s="60">
        <v>2</v>
      </c>
      <c r="N661" s="60">
        <v>0</v>
      </c>
      <c r="P661" s="118">
        <f t="shared" ref="P661:P673" si="65">(AVERAGE(I661,K661,M661)/G661)*H661</f>
        <v>625</v>
      </c>
      <c r="Q661" s="118">
        <f t="shared" si="64"/>
        <v>0</v>
      </c>
      <c r="R661" s="104">
        <f t="shared" si="59"/>
        <v>1</v>
      </c>
      <c r="S661" s="180" t="str">
        <f>D661</f>
        <v>HL-10 Ambient</v>
      </c>
      <c r="T661" s="63"/>
      <c r="Y661" s="87" t="str">
        <f>D661</f>
        <v>HL-10 Ambient</v>
      </c>
      <c r="Z661" s="323">
        <f>SUMIFS($P$569:$P$632, $D$569:$D$632, Y661, $F$569:$F$632, "&lt;200") + SUMIFS($Q$569:$Q$632, $D$569:$D$632, Y661, $F$569:$F$632, "&lt;200")</f>
        <v>74166.666666666672</v>
      </c>
      <c r="AA661" s="118">
        <f>SUM(P661:Q664)</f>
        <v>79140.833333333343</v>
      </c>
      <c r="AB661" s="118">
        <f>SUMIFS(Collection!O:O, Collection!B:B, "*" &amp; 'Bucket Counts'!Y661 &amp; "*", Collection!A:A, "&lt;" &amp; 'Bucket Counts'!A661,Collection!A:A,  "&gt;=" &amp; 'Bucket Counts'!$A$569)</f>
        <v>0</v>
      </c>
      <c r="AC661" s="104">
        <f>AA661/(Z661+AB661)</f>
        <v>1.067067415730337</v>
      </c>
    </row>
    <row r="662" spans="1:29" s="60" customFormat="1" x14ac:dyDescent="0.2">
      <c r="A662" s="132">
        <v>42922</v>
      </c>
      <c r="B662" s="409">
        <v>19</v>
      </c>
      <c r="C662" s="58"/>
      <c r="D662" s="59" t="s">
        <v>88</v>
      </c>
      <c r="E662" s="60">
        <v>4</v>
      </c>
      <c r="F662" s="87">
        <v>180</v>
      </c>
      <c r="G662" s="87">
        <v>2</v>
      </c>
      <c r="H662" s="245">
        <v>250</v>
      </c>
      <c r="I662" s="60">
        <v>50</v>
      </c>
      <c r="J662" s="60">
        <v>0</v>
      </c>
      <c r="K662" s="60">
        <v>41</v>
      </c>
      <c r="L662" s="60">
        <v>3</v>
      </c>
      <c r="M662" s="60">
        <v>31</v>
      </c>
      <c r="N662" s="60">
        <v>1</v>
      </c>
      <c r="P662" s="118">
        <f t="shared" si="65"/>
        <v>5083.333333333333</v>
      </c>
      <c r="Q662" s="118">
        <f t="shared" si="64"/>
        <v>166.66666666666666</v>
      </c>
      <c r="R662" s="104">
        <f t="shared" si="59"/>
        <v>0.96825396825396814</v>
      </c>
      <c r="S662" s="178">
        <f>(SUM(P661:P664)/(SUM(P661:Q664)))</f>
        <v>0.97796122945382169</v>
      </c>
      <c r="T662" s="63"/>
      <c r="Y662" s="87"/>
      <c r="Z662" s="329"/>
      <c r="AA662" s="118"/>
      <c r="AB662" s="118"/>
    </row>
    <row r="663" spans="1:29" s="60" customFormat="1" x14ac:dyDescent="0.2">
      <c r="A663" s="132">
        <v>42922</v>
      </c>
      <c r="B663" s="409">
        <v>19</v>
      </c>
      <c r="C663" s="58"/>
      <c r="D663" s="59" t="s">
        <v>88</v>
      </c>
      <c r="E663" s="60">
        <v>4</v>
      </c>
      <c r="F663" s="87">
        <v>100</v>
      </c>
      <c r="G663" s="87">
        <v>1</v>
      </c>
      <c r="H663" s="245">
        <v>470</v>
      </c>
      <c r="I663" s="60">
        <v>184</v>
      </c>
      <c r="J663" s="60">
        <v>1</v>
      </c>
      <c r="K663" s="60">
        <v>136</v>
      </c>
      <c r="L663" s="60">
        <v>0</v>
      </c>
      <c r="M663" s="60">
        <v>137</v>
      </c>
      <c r="N663" s="60">
        <v>0</v>
      </c>
      <c r="P663" s="118">
        <f t="shared" si="65"/>
        <v>71596.666666666672</v>
      </c>
      <c r="Q663" s="118">
        <f t="shared" si="64"/>
        <v>156.66666666666666</v>
      </c>
      <c r="R663" s="104">
        <f t="shared" si="59"/>
        <v>0.99781659388646282</v>
      </c>
      <c r="S663" s="179"/>
      <c r="T663" s="63"/>
      <c r="Y663" s="87"/>
      <c r="Z663" s="329"/>
      <c r="AA663" s="118"/>
      <c r="AB663" s="118"/>
    </row>
    <row r="664" spans="1:29" s="60" customFormat="1" x14ac:dyDescent="0.2">
      <c r="A664" s="132">
        <v>42922</v>
      </c>
      <c r="B664" s="409">
        <v>19</v>
      </c>
      <c r="C664" s="58"/>
      <c r="D664" s="59" t="s">
        <v>88</v>
      </c>
      <c r="E664" s="60">
        <v>4</v>
      </c>
      <c r="F664" s="87" t="s">
        <v>201</v>
      </c>
      <c r="G664" s="87">
        <v>2</v>
      </c>
      <c r="H664" s="245">
        <v>275</v>
      </c>
      <c r="I664" s="60">
        <v>1</v>
      </c>
      <c r="J664" s="60">
        <v>9</v>
      </c>
      <c r="K664" s="60">
        <v>0</v>
      </c>
      <c r="L664" s="60">
        <v>16</v>
      </c>
      <c r="M664" s="60">
        <v>1</v>
      </c>
      <c r="N664" s="60">
        <v>6</v>
      </c>
      <c r="P664" s="118">
        <f t="shared" si="65"/>
        <v>91.666666666666657</v>
      </c>
      <c r="Q664" s="118">
        <f t="shared" si="64"/>
        <v>1420.8333333333335</v>
      </c>
      <c r="R664" s="104">
        <f t="shared" si="59"/>
        <v>6.0606060606060594E-2</v>
      </c>
      <c r="S664" s="179"/>
      <c r="T664" s="63"/>
      <c r="Y664" s="87"/>
      <c r="Z664" s="329"/>
      <c r="AA664" s="118"/>
      <c r="AB664" s="118"/>
    </row>
    <row r="665" spans="1:29" s="60" customFormat="1" x14ac:dyDescent="0.2">
      <c r="A665" s="132">
        <v>42922</v>
      </c>
      <c r="B665" s="118">
        <v>5</v>
      </c>
      <c r="C665" s="58"/>
      <c r="D665" s="60" t="s">
        <v>86</v>
      </c>
      <c r="E665" s="60">
        <v>5</v>
      </c>
      <c r="F665" s="87">
        <v>224</v>
      </c>
      <c r="G665" s="87"/>
      <c r="H665" s="245"/>
      <c r="P665" s="118">
        <v>8</v>
      </c>
      <c r="Q665" s="118">
        <v>2</v>
      </c>
      <c r="R665" s="104">
        <f t="shared" si="59"/>
        <v>0.8</v>
      </c>
      <c r="S665" s="180" t="str">
        <f>D665</f>
        <v>SN-10 Ambient</v>
      </c>
      <c r="W665" s="60" t="s">
        <v>308</v>
      </c>
      <c r="Y665" s="87" t="str">
        <f>D665</f>
        <v>SN-10 Ambient</v>
      </c>
      <c r="Z665" s="323">
        <f>SUMIFS($P$569:$P$632, $D$569:$D$632, Y665, $F$569:$F$632, "&lt;200") + SUMIFS($Q$569:$Q$632, $D$569:$D$632, Y665, $F$569:$F$632, "&lt;200")</f>
        <v>715.55555555555543</v>
      </c>
      <c r="AA665" s="118">
        <f>SUM(P665:Q668)</f>
        <v>195.55555555555554</v>
      </c>
      <c r="AB665" s="118">
        <f>SUMIFS(Collection!O:O, Collection!B:B, "*" &amp; 'Bucket Counts'!Y665 &amp; "*", Collection!A:A, "&lt;" &amp; 'Bucket Counts'!A665,Collection!A:A,  "&gt;=" &amp; 'Bucket Counts'!$A$569)</f>
        <v>0</v>
      </c>
      <c r="AC665" s="104">
        <f>AA665/(Z665+AB665)</f>
        <v>0.27329192546583853</v>
      </c>
    </row>
    <row r="666" spans="1:29" s="60" customFormat="1" x14ac:dyDescent="0.2">
      <c r="A666" s="132">
        <v>42922</v>
      </c>
      <c r="B666" s="118">
        <v>5</v>
      </c>
      <c r="C666" s="58"/>
      <c r="D666" s="60" t="s">
        <v>86</v>
      </c>
      <c r="E666" s="60">
        <v>5</v>
      </c>
      <c r="F666" s="87">
        <v>180</v>
      </c>
      <c r="G666" s="87">
        <v>3</v>
      </c>
      <c r="H666" s="245">
        <v>250</v>
      </c>
      <c r="I666" s="60">
        <v>1</v>
      </c>
      <c r="J666" s="60">
        <v>0</v>
      </c>
      <c r="K666" s="60">
        <v>0</v>
      </c>
      <c r="L666" s="60">
        <v>0</v>
      </c>
      <c r="M666" s="60">
        <v>0</v>
      </c>
      <c r="N666" s="60">
        <v>0</v>
      </c>
      <c r="P666" s="118">
        <f t="shared" si="65"/>
        <v>27.777777777777775</v>
      </c>
      <c r="Q666" s="118">
        <f t="shared" si="64"/>
        <v>0</v>
      </c>
      <c r="R666" s="104">
        <f t="shared" si="59"/>
        <v>1</v>
      </c>
      <c r="S666" s="178">
        <f>(SUM(P665:P668)/(SUM(P665:Q668)))</f>
        <v>0.18295454545454543</v>
      </c>
      <c r="Y666" s="87"/>
      <c r="Z666" s="329"/>
      <c r="AA666" s="118"/>
      <c r="AB666" s="118"/>
    </row>
    <row r="667" spans="1:29" s="60" customFormat="1" x14ac:dyDescent="0.2">
      <c r="A667" s="132">
        <v>42922</v>
      </c>
      <c r="B667" s="118">
        <v>5</v>
      </c>
      <c r="C667" s="58"/>
      <c r="D667" s="60" t="s">
        <v>86</v>
      </c>
      <c r="E667" s="60">
        <v>5</v>
      </c>
      <c r="F667" s="87">
        <v>100</v>
      </c>
      <c r="G667" s="87">
        <v>3</v>
      </c>
      <c r="H667" s="245">
        <v>250</v>
      </c>
      <c r="I667" s="60">
        <v>0</v>
      </c>
      <c r="J667" s="60">
        <v>1</v>
      </c>
      <c r="K667" s="60">
        <v>0</v>
      </c>
      <c r="L667" s="60">
        <v>0</v>
      </c>
      <c r="M667" s="60">
        <v>0</v>
      </c>
      <c r="N667" s="60">
        <v>0</v>
      </c>
      <c r="P667" s="118">
        <f t="shared" si="65"/>
        <v>0</v>
      </c>
      <c r="Q667" s="118">
        <f t="shared" si="64"/>
        <v>27.777777777777775</v>
      </c>
      <c r="R667" s="104">
        <f t="shared" si="59"/>
        <v>0</v>
      </c>
      <c r="S667" s="179"/>
      <c r="Y667" s="87"/>
      <c r="Z667" s="329"/>
      <c r="AA667" s="118"/>
      <c r="AB667" s="118"/>
    </row>
    <row r="668" spans="1:29" s="60" customFormat="1" x14ac:dyDescent="0.2">
      <c r="A668" s="132">
        <v>42922</v>
      </c>
      <c r="B668" s="118">
        <v>5</v>
      </c>
      <c r="C668" s="58"/>
      <c r="D668" s="60" t="s">
        <v>86</v>
      </c>
      <c r="E668" s="60">
        <v>5</v>
      </c>
      <c r="F668" s="87" t="s">
        <v>201</v>
      </c>
      <c r="G668" s="87">
        <v>2</v>
      </c>
      <c r="H668" s="60">
        <v>260</v>
      </c>
      <c r="I668" s="60">
        <v>0</v>
      </c>
      <c r="J668" s="60">
        <v>1</v>
      </c>
      <c r="K668" s="60">
        <v>0</v>
      </c>
      <c r="L668" s="60">
        <v>2</v>
      </c>
      <c r="M668" s="60">
        <v>0</v>
      </c>
      <c r="N668" s="60">
        <v>0</v>
      </c>
      <c r="P668" s="118">
        <f t="shared" si="65"/>
        <v>0</v>
      </c>
      <c r="Q668" s="118">
        <f t="shared" si="64"/>
        <v>130</v>
      </c>
      <c r="R668" s="104">
        <f t="shared" si="59"/>
        <v>0</v>
      </c>
      <c r="S668" s="179"/>
      <c r="Y668" s="87"/>
      <c r="Z668" s="329"/>
      <c r="AA668" s="118"/>
      <c r="AB668" s="118"/>
    </row>
    <row r="669" spans="1:29" s="60" customFormat="1" x14ac:dyDescent="0.2">
      <c r="A669" s="132">
        <v>42922</v>
      </c>
      <c r="B669" s="118">
        <v>10</v>
      </c>
      <c r="C669" s="58"/>
      <c r="D669" s="60" t="s">
        <v>104</v>
      </c>
      <c r="E669" s="60">
        <v>5</v>
      </c>
      <c r="F669" s="87">
        <v>224</v>
      </c>
      <c r="G669" s="87">
        <v>1</v>
      </c>
      <c r="H669" s="60">
        <v>300</v>
      </c>
      <c r="I669" s="60">
        <v>8</v>
      </c>
      <c r="J669" s="60">
        <v>1</v>
      </c>
      <c r="K669" s="60">
        <v>8</v>
      </c>
      <c r="L669" s="60">
        <v>0</v>
      </c>
      <c r="M669" s="60">
        <v>13</v>
      </c>
      <c r="N669" s="60">
        <v>0</v>
      </c>
      <c r="P669" s="118">
        <f t="shared" si="65"/>
        <v>2900</v>
      </c>
      <c r="Q669" s="118">
        <f t="shared" si="64"/>
        <v>100</v>
      </c>
      <c r="R669" s="104">
        <f t="shared" si="59"/>
        <v>0.96666666666666667</v>
      </c>
      <c r="S669" s="180" t="str">
        <f>D669</f>
        <v>NF-6 Low</v>
      </c>
      <c r="T669" s="63"/>
      <c r="U669" s="63"/>
      <c r="V669" s="63"/>
      <c r="Y669" s="87" t="str">
        <f>D669</f>
        <v>NF-6 Low</v>
      </c>
      <c r="Z669" s="323">
        <f>SUMIFS($P$569:$P$632, $D$569:$D$632, Y669, $F$569:$F$632, "&lt;200") + SUMIFS($Q$569:$Q$632, $D$569:$D$632, Y669, $F$569:$F$632, "&lt;200")</f>
        <v>26531.666666666668</v>
      </c>
      <c r="AA669" s="118">
        <f>SUM(P669:Q672)</f>
        <v>23920.000000000004</v>
      </c>
      <c r="AB669" s="118">
        <f>SUMIFS(Collection!O:O, Collection!B:B, "*" &amp; 'Bucket Counts'!Y669 &amp; "*", Collection!A:A, "&lt;" &amp; 'Bucket Counts'!A669,Collection!A:A,  "&gt;=" &amp; 'Bucket Counts'!$A$569)</f>
        <v>0</v>
      </c>
      <c r="AC669" s="104">
        <f>AA669/(Z669+AB669)</f>
        <v>0.90156416860355559</v>
      </c>
    </row>
    <row r="670" spans="1:29" s="60" customFormat="1" x14ac:dyDescent="0.2">
      <c r="A670" s="132">
        <v>42922</v>
      </c>
      <c r="B670" s="118">
        <v>10</v>
      </c>
      <c r="C670" s="58"/>
      <c r="D670" s="60" t="s">
        <v>104</v>
      </c>
      <c r="E670" s="60">
        <v>5</v>
      </c>
      <c r="F670" s="87">
        <v>180</v>
      </c>
      <c r="G670" s="87">
        <v>1</v>
      </c>
      <c r="H670" s="60">
        <v>470</v>
      </c>
      <c r="I670" s="60">
        <v>32</v>
      </c>
      <c r="J670" s="60">
        <v>0</v>
      </c>
      <c r="K670" s="60">
        <v>23</v>
      </c>
      <c r="L670" s="60">
        <v>0</v>
      </c>
      <c r="M670" s="60">
        <v>40</v>
      </c>
      <c r="N670" s="60">
        <v>1</v>
      </c>
      <c r="P670" s="118">
        <f t="shared" si="65"/>
        <v>14883.333333333334</v>
      </c>
      <c r="Q670" s="118">
        <f t="shared" si="64"/>
        <v>156.66666666666666</v>
      </c>
      <c r="R670" s="104">
        <f t="shared" si="59"/>
        <v>0.98958333333333337</v>
      </c>
      <c r="S670" s="178">
        <f>(SUM(P669:P672)/(SUM(P669:Q672)))</f>
        <v>0.86050724637681153</v>
      </c>
      <c r="T670" s="63"/>
      <c r="U670" s="63"/>
      <c r="V670" s="63"/>
      <c r="Y670" s="87"/>
      <c r="Z670" s="329"/>
      <c r="AA670" s="118"/>
      <c r="AB670" s="118"/>
    </row>
    <row r="671" spans="1:29" s="60" customFormat="1" x14ac:dyDescent="0.2">
      <c r="A671" s="132">
        <v>42922</v>
      </c>
      <c r="B671" s="118">
        <v>10</v>
      </c>
      <c r="C671" s="58"/>
      <c r="D671" s="60" t="s">
        <v>104</v>
      </c>
      <c r="E671" s="60">
        <v>5</v>
      </c>
      <c r="F671" s="87">
        <v>100</v>
      </c>
      <c r="G671" s="87">
        <v>1</v>
      </c>
      <c r="H671" s="60">
        <v>280</v>
      </c>
      <c r="I671" s="60">
        <v>6</v>
      </c>
      <c r="J671" s="60">
        <v>0</v>
      </c>
      <c r="K671" s="60">
        <v>10</v>
      </c>
      <c r="L671" s="60">
        <v>0</v>
      </c>
      <c r="M671" s="60">
        <v>14</v>
      </c>
      <c r="N671" s="60">
        <v>2</v>
      </c>
      <c r="P671" s="118">
        <f t="shared" si="65"/>
        <v>2800</v>
      </c>
      <c r="Q671" s="118">
        <f t="shared" si="64"/>
        <v>186.66666666666666</v>
      </c>
      <c r="R671" s="104">
        <f t="shared" si="59"/>
        <v>0.9375</v>
      </c>
      <c r="S671" s="179"/>
      <c r="T671" s="63"/>
      <c r="U671" s="63"/>
      <c r="V671" s="63"/>
      <c r="Y671" s="87"/>
      <c r="Z671" s="329"/>
      <c r="AA671" s="118"/>
      <c r="AB671" s="118"/>
    </row>
    <row r="672" spans="1:29" s="60" customFormat="1" x14ac:dyDescent="0.2">
      <c r="A672" s="132">
        <v>42922</v>
      </c>
      <c r="B672" s="118">
        <v>10</v>
      </c>
      <c r="C672" s="58"/>
      <c r="D672" s="60" t="s">
        <v>104</v>
      </c>
      <c r="E672" s="60">
        <v>5</v>
      </c>
      <c r="F672" s="87" t="s">
        <v>201</v>
      </c>
      <c r="G672" s="87">
        <v>1</v>
      </c>
      <c r="H672" s="60">
        <v>280</v>
      </c>
      <c r="I672" s="60">
        <v>0</v>
      </c>
      <c r="J672" s="60">
        <v>8</v>
      </c>
      <c r="K672" s="60">
        <v>0</v>
      </c>
      <c r="L672" s="60">
        <v>8</v>
      </c>
      <c r="M672" s="60">
        <v>0</v>
      </c>
      <c r="N672" s="60">
        <v>15</v>
      </c>
      <c r="P672" s="118">
        <f t="shared" si="65"/>
        <v>0</v>
      </c>
      <c r="Q672" s="118">
        <f t="shared" si="64"/>
        <v>2893.3333333333335</v>
      </c>
      <c r="R672" s="104">
        <f t="shared" ref="R672:R735" si="66">P672/(P672+Q672)</f>
        <v>0</v>
      </c>
      <c r="S672" s="179"/>
      <c r="T672" s="63"/>
      <c r="U672" s="63"/>
      <c r="V672" s="63"/>
      <c r="Y672" s="87"/>
      <c r="Z672" s="329"/>
      <c r="AA672" s="118"/>
      <c r="AB672" s="118"/>
    </row>
    <row r="673" spans="1:29" s="60" customFormat="1" x14ac:dyDescent="0.2">
      <c r="A673" s="132">
        <v>42922</v>
      </c>
      <c r="B673" s="118">
        <v>17</v>
      </c>
      <c r="C673" s="58"/>
      <c r="D673" s="60" t="s">
        <v>38</v>
      </c>
      <c r="E673" s="60">
        <v>6</v>
      </c>
      <c r="F673" s="87">
        <v>224</v>
      </c>
      <c r="G673" s="87">
        <v>3</v>
      </c>
      <c r="H673" s="60">
        <v>225</v>
      </c>
      <c r="I673" s="60">
        <v>7</v>
      </c>
      <c r="J673" s="60">
        <v>0</v>
      </c>
      <c r="K673" s="60">
        <v>7</v>
      </c>
      <c r="L673" s="60">
        <v>0</v>
      </c>
      <c r="M673" s="60">
        <v>12</v>
      </c>
      <c r="N673" s="60">
        <v>1</v>
      </c>
      <c r="P673" s="118">
        <f t="shared" si="65"/>
        <v>650</v>
      </c>
      <c r="Q673" s="118">
        <f t="shared" si="64"/>
        <v>25</v>
      </c>
      <c r="R673" s="104">
        <f t="shared" si="66"/>
        <v>0.96296296296296291</v>
      </c>
      <c r="S673" s="180" t="str">
        <f>D673</f>
        <v>K-6 Ambient</v>
      </c>
      <c r="T673" s="63"/>
      <c r="U673" s="63"/>
      <c r="V673" s="63"/>
      <c r="Y673" s="87" t="str">
        <f>D673</f>
        <v>K-6 Ambient</v>
      </c>
      <c r="Z673" s="323">
        <f>SUMIFS($P$569:$P$632, $D$569:$D$632, Y673, $F$569:$F$632, "&lt;200") + SUMIFS($Q$569:$Q$632, $D$569:$D$632, Y673, $F$569:$F$632, "&lt;200")</f>
        <v>35366.666666666672</v>
      </c>
      <c r="AA673" s="118">
        <f>SUM(P673:Q676)</f>
        <v>30968.333333333332</v>
      </c>
      <c r="AB673" s="118">
        <f>SUMIFS(Collection!O:O, Collection!B:B, "*" &amp; 'Bucket Counts'!Y673 &amp; "*", Collection!A:A, "&lt;" &amp; 'Bucket Counts'!A673,Collection!A:A,  "&gt;=" &amp; 'Bucket Counts'!$A$569)</f>
        <v>0</v>
      </c>
      <c r="AC673" s="104">
        <f>AA673/(Z673+AB673)</f>
        <v>0.87563619227144185</v>
      </c>
    </row>
    <row r="674" spans="1:29" s="60" customFormat="1" x14ac:dyDescent="0.2">
      <c r="A674" s="132">
        <v>42922</v>
      </c>
      <c r="B674" s="118">
        <v>17</v>
      </c>
      <c r="C674" s="58"/>
      <c r="D674" s="60" t="s">
        <v>38</v>
      </c>
      <c r="E674" s="60">
        <v>6</v>
      </c>
      <c r="F674" s="87">
        <v>180</v>
      </c>
      <c r="G674" s="87">
        <v>2</v>
      </c>
      <c r="H674" s="60">
        <v>470</v>
      </c>
      <c r="I674" s="60">
        <v>28</v>
      </c>
      <c r="J674" s="60">
        <v>2</v>
      </c>
      <c r="K674" s="60">
        <v>35</v>
      </c>
      <c r="L674" s="60">
        <v>2</v>
      </c>
      <c r="M674" s="60">
        <v>38</v>
      </c>
      <c r="N674" s="60">
        <v>0</v>
      </c>
      <c r="P674" s="118">
        <f>(AVERAGE(I674,K674,M674)/G674)*H674</f>
        <v>7911.6666666666661</v>
      </c>
      <c r="Q674" s="118">
        <f t="shared" si="64"/>
        <v>313.33333333333331</v>
      </c>
      <c r="R674" s="104">
        <f t="shared" si="66"/>
        <v>0.96190476190476182</v>
      </c>
      <c r="S674" s="178">
        <f>(SUM(P673:P676)/(SUM(P673:Q676)))</f>
        <v>0.55798934395350086</v>
      </c>
      <c r="T674" s="63"/>
      <c r="U674" s="63"/>
      <c r="V674" s="63"/>
      <c r="Y674" s="87"/>
      <c r="Z674" s="329"/>
      <c r="AA674" s="118"/>
      <c r="AB674" s="118"/>
    </row>
    <row r="675" spans="1:29" s="60" customFormat="1" x14ac:dyDescent="0.2">
      <c r="A675" s="132">
        <v>42922</v>
      </c>
      <c r="B675" s="118">
        <v>17</v>
      </c>
      <c r="C675" s="58"/>
      <c r="D675" s="60" t="s">
        <v>38</v>
      </c>
      <c r="E675" s="60">
        <v>6</v>
      </c>
      <c r="F675" s="87">
        <v>100</v>
      </c>
      <c r="G675" s="87">
        <v>2</v>
      </c>
      <c r="H675" s="60">
        <v>290</v>
      </c>
      <c r="I675" s="60">
        <v>29</v>
      </c>
      <c r="J675" s="60">
        <v>2</v>
      </c>
      <c r="K675" s="60">
        <v>34</v>
      </c>
      <c r="L675" s="60">
        <v>4</v>
      </c>
      <c r="M675" s="60">
        <v>28</v>
      </c>
      <c r="N675" s="60">
        <v>3</v>
      </c>
      <c r="P675" s="118">
        <f t="shared" ref="P675:P696" si="67">(AVERAGE(I675,K675,M675)/G675)*H675</f>
        <v>4398.333333333333</v>
      </c>
      <c r="Q675" s="118">
        <f t="shared" si="64"/>
        <v>435</v>
      </c>
      <c r="R675" s="104">
        <f t="shared" si="66"/>
        <v>0.91</v>
      </c>
      <c r="S675" s="179"/>
      <c r="T675" s="63"/>
      <c r="U675" s="63"/>
      <c r="V675" s="63"/>
      <c r="Y675" s="87"/>
      <c r="Z675" s="329"/>
      <c r="AA675" s="118"/>
      <c r="AB675" s="118"/>
    </row>
    <row r="676" spans="1:29" s="60" customFormat="1" x14ac:dyDescent="0.2">
      <c r="A676" s="132">
        <v>42922</v>
      </c>
      <c r="B676" s="118">
        <v>17</v>
      </c>
      <c r="C676" s="58"/>
      <c r="D676" s="60" t="s">
        <v>38</v>
      </c>
      <c r="E676" s="60">
        <v>6</v>
      </c>
      <c r="F676" s="87" t="s">
        <v>201</v>
      </c>
      <c r="G676" s="87">
        <v>2</v>
      </c>
      <c r="H676" s="60">
        <v>270</v>
      </c>
      <c r="I676" s="60">
        <v>0</v>
      </c>
      <c r="J676" s="60">
        <v>102</v>
      </c>
      <c r="K676" s="60">
        <v>0</v>
      </c>
      <c r="L676" s="60">
        <v>96</v>
      </c>
      <c r="M676" s="60">
        <v>0</v>
      </c>
      <c r="N676" s="60">
        <v>89</v>
      </c>
      <c r="P676" s="118">
        <f>(AVERAGE(I676,K676,L676)/G676)*H676</f>
        <v>4320</v>
      </c>
      <c r="Q676" s="118">
        <f t="shared" si="64"/>
        <v>12915</v>
      </c>
      <c r="R676" s="104">
        <f t="shared" si="66"/>
        <v>0.25065274151436029</v>
      </c>
      <c r="S676" s="179"/>
      <c r="T676" s="63"/>
      <c r="U676" s="63"/>
      <c r="V676" s="63"/>
      <c r="Y676" s="87"/>
      <c r="Z676" s="329"/>
      <c r="AA676" s="118"/>
      <c r="AB676" s="118"/>
    </row>
    <row r="677" spans="1:29" s="60" customFormat="1" x14ac:dyDescent="0.2">
      <c r="A677" s="132">
        <v>42922</v>
      </c>
      <c r="B677" s="118">
        <v>12</v>
      </c>
      <c r="C677" s="58"/>
      <c r="D677" s="60" t="s">
        <v>83</v>
      </c>
      <c r="E677" s="60">
        <v>6</v>
      </c>
      <c r="F677" s="87">
        <v>224</v>
      </c>
      <c r="G677" s="87"/>
      <c r="P677" s="118">
        <v>13</v>
      </c>
      <c r="Q677" s="118">
        <v>1</v>
      </c>
      <c r="R677" s="104">
        <f t="shared" si="66"/>
        <v>0.9285714285714286</v>
      </c>
      <c r="S677" s="180" t="str">
        <f>D677</f>
        <v>NF-10 Low</v>
      </c>
      <c r="T677" s="63"/>
      <c r="U677" s="63"/>
      <c r="V677" s="63"/>
      <c r="W677" s="60" t="s">
        <v>308</v>
      </c>
      <c r="Y677" s="87" t="str">
        <f>D677</f>
        <v>NF-10 Low</v>
      </c>
      <c r="Z677" s="323">
        <f>SUMIFS($P$569:$P$632, $D$569:$D$632, Y677, $F$569:$F$632, "&lt;200") + SUMIFS($Q$569:$Q$632, $D$569:$D$632, Y677, $F$569:$F$632, "&lt;200")</f>
        <v>95.555555555555543</v>
      </c>
      <c r="AA677" s="118">
        <f>SUM(P677:Q680)</f>
        <v>48436.222222222226</v>
      </c>
      <c r="AB677" s="118">
        <f>SUMIFS(Collection!O:O, Collection!B:B, "*" &amp; 'Bucket Counts'!Y677 &amp; "*", Collection!A:A, "&lt;" &amp; 'Bucket Counts'!A677,Collection!A:A,  "&gt;=" &amp; 'Bucket Counts'!$A$569)</f>
        <v>41958.333333333328</v>
      </c>
      <c r="AC677" s="104">
        <f>AA677/(Z677+AB677)</f>
        <v>1.1517655917671772</v>
      </c>
    </row>
    <row r="678" spans="1:29" s="60" customFormat="1" x14ac:dyDescent="0.2">
      <c r="A678" s="132">
        <v>42922</v>
      </c>
      <c r="B678" s="118">
        <v>12</v>
      </c>
      <c r="C678" s="58"/>
      <c r="D678" s="60" t="s">
        <v>83</v>
      </c>
      <c r="E678" s="60">
        <v>6</v>
      </c>
      <c r="F678" s="87">
        <v>180</v>
      </c>
      <c r="G678" s="87">
        <v>3</v>
      </c>
      <c r="H678" s="60">
        <v>250</v>
      </c>
      <c r="I678" s="60">
        <v>2</v>
      </c>
      <c r="J678" s="60">
        <v>0</v>
      </c>
      <c r="K678" s="60">
        <v>2</v>
      </c>
      <c r="L678" s="60">
        <v>1</v>
      </c>
      <c r="M678" s="60">
        <v>0</v>
      </c>
      <c r="N678" s="60">
        <v>0</v>
      </c>
      <c r="P678" s="118">
        <f t="shared" si="67"/>
        <v>111.1111111111111</v>
      </c>
      <c r="Q678" s="118">
        <f t="shared" si="64"/>
        <v>27.777777777777775</v>
      </c>
      <c r="R678" s="104">
        <f t="shared" si="66"/>
        <v>0.79999999999999993</v>
      </c>
      <c r="S678" s="178">
        <f>(SUM(P677:P680)/(SUM(P677:Q680)))</f>
        <v>0.54760899785743444</v>
      </c>
      <c r="T678" s="63"/>
      <c r="U678" s="63"/>
      <c r="V678" s="63"/>
      <c r="Y678" s="87"/>
      <c r="Z678" s="329"/>
      <c r="AA678" s="118"/>
      <c r="AB678" s="118"/>
    </row>
    <row r="679" spans="1:29" s="60" customFormat="1" x14ac:dyDescent="0.2">
      <c r="A679" s="132">
        <v>42922</v>
      </c>
      <c r="B679" s="118">
        <v>12</v>
      </c>
      <c r="C679" s="58"/>
      <c r="D679" s="60" t="s">
        <v>83</v>
      </c>
      <c r="E679" s="60">
        <v>6</v>
      </c>
      <c r="F679" s="87">
        <v>100</v>
      </c>
      <c r="G679" s="87">
        <v>0.5</v>
      </c>
      <c r="H679" s="60">
        <v>275</v>
      </c>
      <c r="I679" s="60">
        <v>56</v>
      </c>
      <c r="J679" s="60">
        <v>6</v>
      </c>
      <c r="K679" s="60">
        <v>44</v>
      </c>
      <c r="L679" s="60">
        <v>5</v>
      </c>
      <c r="M679" s="60">
        <v>44</v>
      </c>
      <c r="N679" s="60">
        <v>22</v>
      </c>
      <c r="P679" s="118">
        <f>(AVERAGE(I679,K679,M679)/G679)*H679</f>
        <v>26400</v>
      </c>
      <c r="Q679" s="118">
        <f t="shared" si="64"/>
        <v>6050</v>
      </c>
      <c r="R679" s="104">
        <f t="shared" si="66"/>
        <v>0.81355932203389836</v>
      </c>
      <c r="S679" s="179"/>
      <c r="T679" s="63"/>
      <c r="U679" s="63"/>
      <c r="V679" s="63"/>
      <c r="Y679" s="87"/>
      <c r="Z679" s="329"/>
      <c r="AA679" s="118"/>
      <c r="AB679" s="118"/>
    </row>
    <row r="680" spans="1:29" s="60" customFormat="1" x14ac:dyDescent="0.2">
      <c r="A680" s="132">
        <v>42922</v>
      </c>
      <c r="B680" s="118">
        <v>12</v>
      </c>
      <c r="C680" s="58"/>
      <c r="D680" s="60" t="s">
        <v>83</v>
      </c>
      <c r="E680" s="60">
        <v>6</v>
      </c>
      <c r="F680" s="87" t="s">
        <v>201</v>
      </c>
      <c r="G680" s="87">
        <v>1</v>
      </c>
      <c r="H680" s="60">
        <v>250</v>
      </c>
      <c r="I680" s="60">
        <v>0</v>
      </c>
      <c r="J680" s="60">
        <v>63</v>
      </c>
      <c r="K680" s="60">
        <v>0</v>
      </c>
      <c r="L680" s="60">
        <v>63</v>
      </c>
      <c r="M680" s="60">
        <v>0</v>
      </c>
      <c r="N680" s="60">
        <v>64</v>
      </c>
      <c r="P680" s="118">
        <f t="shared" si="67"/>
        <v>0</v>
      </c>
      <c r="Q680" s="118">
        <f t="shared" si="64"/>
        <v>15833.333333333334</v>
      </c>
      <c r="R680" s="104">
        <f t="shared" si="66"/>
        <v>0</v>
      </c>
      <c r="S680" s="179"/>
      <c r="T680" s="63"/>
      <c r="U680" s="63"/>
      <c r="V680" s="63"/>
      <c r="Y680" s="87"/>
      <c r="Z680" s="329"/>
      <c r="AA680" s="118"/>
      <c r="AB680" s="118"/>
    </row>
    <row r="681" spans="1:29" s="60" customFormat="1" x14ac:dyDescent="0.2">
      <c r="A681" s="132">
        <v>42922</v>
      </c>
      <c r="B681" s="118">
        <v>8</v>
      </c>
      <c r="C681" s="58"/>
      <c r="D681" s="60" t="s">
        <v>85</v>
      </c>
      <c r="E681" s="60">
        <v>7</v>
      </c>
      <c r="F681" s="87">
        <v>224</v>
      </c>
      <c r="G681" s="87"/>
      <c r="P681" s="118">
        <v>25</v>
      </c>
      <c r="Q681" s="118">
        <v>30</v>
      </c>
      <c r="R681" s="104">
        <f t="shared" si="66"/>
        <v>0.45454545454545453</v>
      </c>
      <c r="S681" s="180" t="str">
        <f>D681</f>
        <v>NF-6 Ambient</v>
      </c>
      <c r="T681" s="63"/>
      <c r="U681" s="63"/>
      <c r="V681" s="63"/>
      <c r="W681" s="60" t="s">
        <v>308</v>
      </c>
      <c r="Y681" s="87" t="str">
        <f>D681</f>
        <v>NF-6 Ambient</v>
      </c>
      <c r="Z681" s="323">
        <f>SUMIFS($P$569:$P$632, $D$569:$D$632, Y681, $F$569:$F$632, "&lt;200") + SUMIFS($Q$569:$Q$632, $D$569:$D$632, Y681, $F$569:$F$632, "&lt;200")</f>
        <v>893.33333333333348</v>
      </c>
      <c r="AA681" s="118">
        <f>SUM(P681:Q684)</f>
        <v>561.66666666666663</v>
      </c>
      <c r="AB681" s="118">
        <f>SUMIFS(Collection!O:O, Collection!B:B, "*" &amp; 'Bucket Counts'!Y681 &amp; "*", Collection!A:A, "&lt;" &amp; 'Bucket Counts'!A681,Collection!A:A,  "&gt;=" &amp; 'Bucket Counts'!$A$569)</f>
        <v>0</v>
      </c>
      <c r="AC681" s="104">
        <f>AA681/(Z681+AB681)</f>
        <v>0.62873134328358193</v>
      </c>
    </row>
    <row r="682" spans="1:29" s="60" customFormat="1" x14ac:dyDescent="0.2">
      <c r="A682" s="132">
        <v>42922</v>
      </c>
      <c r="B682" s="118">
        <v>8</v>
      </c>
      <c r="C682" s="58"/>
      <c r="D682" s="60" t="s">
        <v>85</v>
      </c>
      <c r="E682" s="60">
        <v>7</v>
      </c>
      <c r="F682" s="87">
        <v>180</v>
      </c>
      <c r="G682" s="87">
        <v>3</v>
      </c>
      <c r="H682" s="60">
        <v>225</v>
      </c>
      <c r="I682" s="60">
        <v>2</v>
      </c>
      <c r="J682" s="60">
        <v>1</v>
      </c>
      <c r="K682" s="60">
        <v>4</v>
      </c>
      <c r="L682" s="60">
        <v>0</v>
      </c>
      <c r="M682" s="60">
        <v>1</v>
      </c>
      <c r="N682" s="60">
        <v>0</v>
      </c>
      <c r="P682" s="118">
        <f t="shared" si="67"/>
        <v>175</v>
      </c>
      <c r="Q682" s="118">
        <f t="shared" si="64"/>
        <v>25</v>
      </c>
      <c r="R682" s="104">
        <f t="shared" si="66"/>
        <v>0.875</v>
      </c>
      <c r="S682" s="178">
        <f>(SUM(P681:P684)/(SUM(P681:Q684)))</f>
        <v>0.35608308605341249</v>
      </c>
      <c r="T682" s="63"/>
      <c r="U682" s="63"/>
      <c r="V682" s="63"/>
      <c r="Y682" s="87"/>
      <c r="Z682" s="329"/>
      <c r="AA682" s="118"/>
      <c r="AB682" s="118"/>
    </row>
    <row r="683" spans="1:29" s="60" customFormat="1" x14ac:dyDescent="0.2">
      <c r="A683" s="132">
        <v>42922</v>
      </c>
      <c r="B683" s="118">
        <v>8</v>
      </c>
      <c r="C683" s="58"/>
      <c r="D683" s="60" t="s">
        <v>85</v>
      </c>
      <c r="E683" s="60">
        <v>7</v>
      </c>
      <c r="F683" s="87">
        <v>100</v>
      </c>
      <c r="G683" s="87">
        <v>3</v>
      </c>
      <c r="H683" s="60">
        <v>225</v>
      </c>
      <c r="I683" s="60">
        <v>0</v>
      </c>
      <c r="J683" s="60">
        <v>0</v>
      </c>
      <c r="K683" s="60">
        <v>0</v>
      </c>
      <c r="L683" s="60">
        <v>0</v>
      </c>
      <c r="M683" s="60">
        <v>0</v>
      </c>
      <c r="N683" s="60">
        <v>0</v>
      </c>
      <c r="P683" s="118">
        <f t="shared" si="67"/>
        <v>0</v>
      </c>
      <c r="Q683" s="118">
        <f t="shared" si="64"/>
        <v>0</v>
      </c>
      <c r="R683" s="104" t="e">
        <f t="shared" si="66"/>
        <v>#DIV/0!</v>
      </c>
      <c r="S683" s="179"/>
      <c r="T683" s="63"/>
      <c r="U683" s="63"/>
      <c r="V683" s="63"/>
      <c r="Y683" s="87"/>
      <c r="Z683" s="329"/>
      <c r="AA683" s="118"/>
      <c r="AB683" s="118"/>
    </row>
    <row r="684" spans="1:29" s="60" customFormat="1" x14ac:dyDescent="0.2">
      <c r="A684" s="132">
        <v>42922</v>
      </c>
      <c r="B684" s="118">
        <v>8</v>
      </c>
      <c r="C684" s="58"/>
      <c r="D684" s="60" t="s">
        <v>85</v>
      </c>
      <c r="E684" s="60">
        <v>7</v>
      </c>
      <c r="F684" s="87" t="s">
        <v>201</v>
      </c>
      <c r="G684" s="87">
        <v>3</v>
      </c>
      <c r="H684" s="60">
        <v>230</v>
      </c>
      <c r="I684" s="60">
        <v>0</v>
      </c>
      <c r="J684" s="60">
        <v>1</v>
      </c>
      <c r="K684" s="60">
        <v>0</v>
      </c>
      <c r="L684" s="60">
        <v>5</v>
      </c>
      <c r="M684" s="60">
        <v>0</v>
      </c>
      <c r="N684" s="60">
        <v>6</v>
      </c>
      <c r="P684" s="118">
        <f t="shared" si="67"/>
        <v>0</v>
      </c>
      <c r="Q684" s="118">
        <f t="shared" si="64"/>
        <v>306.66666666666663</v>
      </c>
      <c r="R684" s="104">
        <f t="shared" si="66"/>
        <v>0</v>
      </c>
      <c r="S684" s="179"/>
      <c r="T684" s="63"/>
      <c r="U684" s="63"/>
      <c r="V684" s="63"/>
      <c r="Y684" s="87"/>
      <c r="Z684" s="329"/>
      <c r="AA684" s="118"/>
      <c r="AB684" s="118"/>
    </row>
    <row r="685" spans="1:29" s="60" customFormat="1" x14ac:dyDescent="0.2">
      <c r="A685" s="132">
        <v>42922</v>
      </c>
      <c r="B685" s="118">
        <v>24</v>
      </c>
      <c r="C685" s="58"/>
      <c r="D685" s="60" t="s">
        <v>118</v>
      </c>
      <c r="E685" s="60">
        <v>7</v>
      </c>
      <c r="F685" s="87">
        <v>224</v>
      </c>
      <c r="G685" s="87">
        <v>2</v>
      </c>
      <c r="H685" s="60">
        <v>275</v>
      </c>
      <c r="I685" s="60">
        <v>3</v>
      </c>
      <c r="J685" s="60">
        <v>0</v>
      </c>
      <c r="K685" s="60">
        <v>5</v>
      </c>
      <c r="L685" s="60">
        <v>0</v>
      </c>
      <c r="M685" s="60">
        <v>4</v>
      </c>
      <c r="N685" s="60">
        <v>0</v>
      </c>
      <c r="P685" s="118">
        <f t="shared" si="67"/>
        <v>550</v>
      </c>
      <c r="Q685" s="118">
        <f t="shared" si="64"/>
        <v>0</v>
      </c>
      <c r="R685" s="104">
        <f t="shared" si="66"/>
        <v>1</v>
      </c>
      <c r="S685" s="180" t="str">
        <f>D685</f>
        <v>HL-6 Ambient</v>
      </c>
      <c r="T685" s="63"/>
      <c r="U685" s="63"/>
      <c r="V685" s="63"/>
      <c r="Y685" s="87" t="str">
        <f>D685</f>
        <v>HL-6 Ambient</v>
      </c>
      <c r="Z685" s="323">
        <f>SUMIFS($P$569:$P$632, $D$569:$D$632, Y685, $F$569:$F$632, "&lt;200") + SUMIFS($Q$569:$Q$632, $D$569:$D$632, Y685, $F$569:$F$632, "&lt;200")</f>
        <v>7033.3333333333339</v>
      </c>
      <c r="AA685" s="118">
        <f>SUM(P685:Q688)</f>
        <v>5555.5555555555557</v>
      </c>
      <c r="AB685" s="118">
        <f>SUMIFS(Collection!O:O, Collection!B:B, "*" &amp; 'Bucket Counts'!Y685 &amp; "*", Collection!A:A, "&lt;" &amp; 'Bucket Counts'!A685,Collection!A:A,  "&gt;=" &amp; 'Bucket Counts'!$A$569)</f>
        <v>0</v>
      </c>
      <c r="AC685" s="104">
        <f>AA685/(Z685+AB685)</f>
        <v>0.78988941548183245</v>
      </c>
    </row>
    <row r="686" spans="1:29" s="60" customFormat="1" x14ac:dyDescent="0.2">
      <c r="A686" s="132">
        <v>42922</v>
      </c>
      <c r="B686" s="118">
        <v>24</v>
      </c>
      <c r="C686" s="58"/>
      <c r="D686" s="60" t="s">
        <v>118</v>
      </c>
      <c r="E686" s="60">
        <v>7</v>
      </c>
      <c r="F686" s="87">
        <v>180</v>
      </c>
      <c r="G686" s="87">
        <v>2</v>
      </c>
      <c r="H686" s="60">
        <v>300</v>
      </c>
      <c r="I686" s="60">
        <v>23</v>
      </c>
      <c r="J686" s="60">
        <v>2</v>
      </c>
      <c r="K686" s="60">
        <v>17</v>
      </c>
      <c r="L686" s="60">
        <v>0</v>
      </c>
      <c r="M686" s="60">
        <v>12</v>
      </c>
      <c r="N686" s="60">
        <v>0</v>
      </c>
      <c r="P686" s="118">
        <f>(AVERAGE(I686,K686,M686)/G686)*H686</f>
        <v>2600</v>
      </c>
      <c r="Q686" s="118">
        <f t="shared" si="64"/>
        <v>100</v>
      </c>
      <c r="R686" s="104">
        <f t="shared" si="66"/>
        <v>0.96296296296296291</v>
      </c>
      <c r="S686" s="178">
        <f>(SUM(P685:P688)/(SUM(P685:Q688)))</f>
        <v>0.66049999999999998</v>
      </c>
      <c r="T686" s="63"/>
      <c r="U686" s="63"/>
      <c r="V686" s="63"/>
      <c r="Y686" s="87"/>
      <c r="Z686" s="329"/>
      <c r="AA686" s="118"/>
      <c r="AB686" s="118"/>
    </row>
    <row r="687" spans="1:29" s="60" customFormat="1" x14ac:dyDescent="0.2">
      <c r="A687" s="132">
        <v>42922</v>
      </c>
      <c r="B687" s="118">
        <v>24</v>
      </c>
      <c r="C687" s="58"/>
      <c r="D687" s="60" t="s">
        <v>118</v>
      </c>
      <c r="E687" s="60">
        <v>7</v>
      </c>
      <c r="F687" s="87">
        <v>100</v>
      </c>
      <c r="G687" s="87">
        <v>3</v>
      </c>
      <c r="H687" s="60">
        <v>275</v>
      </c>
      <c r="I687" s="60">
        <v>7</v>
      </c>
      <c r="J687" s="60">
        <v>1</v>
      </c>
      <c r="K687" s="60">
        <v>2</v>
      </c>
      <c r="L687" s="60">
        <v>0</v>
      </c>
      <c r="M687" s="60">
        <v>8</v>
      </c>
      <c r="N687" s="60">
        <v>1</v>
      </c>
      <c r="P687" s="118">
        <f t="shared" si="67"/>
        <v>519.44444444444446</v>
      </c>
      <c r="Q687" s="118">
        <f t="shared" si="64"/>
        <v>61.111111111111107</v>
      </c>
      <c r="R687" s="104">
        <f t="shared" si="66"/>
        <v>0.89473684210526316</v>
      </c>
      <c r="S687" s="179"/>
      <c r="T687" s="63"/>
      <c r="U687" s="63"/>
      <c r="V687" s="63"/>
      <c r="Y687" s="87"/>
      <c r="Z687" s="329"/>
      <c r="AA687" s="118"/>
      <c r="AB687" s="118"/>
    </row>
    <row r="688" spans="1:29" s="60" customFormat="1" x14ac:dyDescent="0.2">
      <c r="A688" s="132">
        <v>42922</v>
      </c>
      <c r="B688" s="118">
        <v>24</v>
      </c>
      <c r="C688" s="58"/>
      <c r="D688" s="60" t="s">
        <v>118</v>
      </c>
      <c r="E688" s="60">
        <v>7</v>
      </c>
      <c r="F688" s="87" t="s">
        <v>201</v>
      </c>
      <c r="G688" s="87">
        <v>2</v>
      </c>
      <c r="H688" s="60">
        <v>225</v>
      </c>
      <c r="I688" s="60">
        <v>0</v>
      </c>
      <c r="J688" s="60">
        <v>16</v>
      </c>
      <c r="K688" s="60">
        <v>0</v>
      </c>
      <c r="L688" s="60">
        <v>19</v>
      </c>
      <c r="M688" s="60">
        <v>0</v>
      </c>
      <c r="N688" s="60">
        <v>11</v>
      </c>
      <c r="P688" s="118">
        <f t="shared" si="67"/>
        <v>0</v>
      </c>
      <c r="Q688" s="118">
        <f t="shared" si="64"/>
        <v>1725</v>
      </c>
      <c r="R688" s="104">
        <f t="shared" si="66"/>
        <v>0</v>
      </c>
      <c r="S688" s="179"/>
      <c r="T688" s="63"/>
      <c r="U688" s="63"/>
      <c r="V688" s="63"/>
      <c r="Y688" s="87"/>
      <c r="Z688" s="329"/>
      <c r="AA688" s="118"/>
      <c r="AB688" s="118"/>
    </row>
    <row r="689" spans="1:29" s="60" customFormat="1" x14ac:dyDescent="0.2">
      <c r="A689" s="132">
        <v>42922</v>
      </c>
      <c r="B689" s="118">
        <v>23</v>
      </c>
      <c r="C689" s="58"/>
      <c r="D689" s="60" t="s">
        <v>21</v>
      </c>
      <c r="E689" s="60">
        <v>8</v>
      </c>
      <c r="F689" s="87">
        <v>224</v>
      </c>
      <c r="G689" s="87">
        <v>2</v>
      </c>
      <c r="H689" s="60">
        <v>390</v>
      </c>
      <c r="I689" s="60">
        <v>4</v>
      </c>
      <c r="J689" s="60">
        <v>0</v>
      </c>
      <c r="K689" s="60">
        <v>8</v>
      </c>
      <c r="L689" s="60">
        <v>0</v>
      </c>
      <c r="M689" s="60">
        <v>7</v>
      </c>
      <c r="N689" s="60">
        <v>0</v>
      </c>
      <c r="P689" s="118">
        <f t="shared" si="67"/>
        <v>1235</v>
      </c>
      <c r="Q689" s="118">
        <f t="shared" si="64"/>
        <v>0</v>
      </c>
      <c r="R689" s="104">
        <f t="shared" si="66"/>
        <v>1</v>
      </c>
      <c r="S689" s="180" t="str">
        <f>D689</f>
        <v>HL-6 Low</v>
      </c>
      <c r="T689" s="63"/>
      <c r="U689" s="63"/>
      <c r="V689" s="63"/>
      <c r="Y689" s="87" t="str">
        <f>D689</f>
        <v>HL-6 Low</v>
      </c>
      <c r="Z689" s="323">
        <f>SUMIFS($P$569:$P$632, $D$569:$D$632, Y689, $F$569:$F$632, "&lt;200") + SUMIFS($Q$569:$Q$632, $D$569:$D$632, Y689, $F$569:$F$632, "&lt;200")</f>
        <v>35313.333333333328</v>
      </c>
      <c r="AA689" s="118">
        <f>SUM(P689:Q692)</f>
        <v>31521.666666666672</v>
      </c>
      <c r="AB689" s="118">
        <f>SUMIFS(Collection!O:O, Collection!B:B, "*" &amp; 'Bucket Counts'!Y689 &amp; "*", Collection!A:A, "&lt;" &amp; 'Bucket Counts'!A689,Collection!A:A,  "&gt;=" &amp; 'Bucket Counts'!$A$569)</f>
        <v>0</v>
      </c>
      <c r="AC689" s="104">
        <f>AA689/(Z689+AB689)</f>
        <v>0.89262790258636993</v>
      </c>
    </row>
    <row r="690" spans="1:29" s="60" customFormat="1" x14ac:dyDescent="0.2">
      <c r="A690" s="132">
        <v>42922</v>
      </c>
      <c r="B690" s="118">
        <v>23</v>
      </c>
      <c r="C690" s="58"/>
      <c r="D690" s="60" t="s">
        <v>21</v>
      </c>
      <c r="E690" s="60">
        <v>8</v>
      </c>
      <c r="F690" s="87">
        <v>180</v>
      </c>
      <c r="G690" s="87">
        <v>1</v>
      </c>
      <c r="H690" s="60">
        <v>500</v>
      </c>
      <c r="I690" s="60">
        <v>29</v>
      </c>
      <c r="J690" s="60">
        <v>1</v>
      </c>
      <c r="K690" s="60">
        <v>28</v>
      </c>
      <c r="L690" s="60">
        <v>1</v>
      </c>
      <c r="M690" s="60">
        <v>30</v>
      </c>
      <c r="N690" s="60">
        <v>0</v>
      </c>
      <c r="P690" s="118">
        <f t="shared" si="67"/>
        <v>14500</v>
      </c>
      <c r="Q690" s="118">
        <f t="shared" si="64"/>
        <v>333.33333333333331</v>
      </c>
      <c r="R690" s="104">
        <f t="shared" si="66"/>
        <v>0.97752808988764039</v>
      </c>
      <c r="S690" s="178">
        <f>(SUM(P689:P692)/(SUM(P689:Q692)))</f>
        <v>0.63876698567123136</v>
      </c>
      <c r="T690" s="63"/>
      <c r="Y690" s="87"/>
      <c r="Z690" s="329"/>
      <c r="AA690" s="118"/>
      <c r="AB690" s="118"/>
    </row>
    <row r="691" spans="1:29" s="60" customFormat="1" x14ac:dyDescent="0.2">
      <c r="A691" s="132">
        <v>42922</v>
      </c>
      <c r="B691" s="118">
        <v>23</v>
      </c>
      <c r="C691" s="58"/>
      <c r="D691" s="60" t="s">
        <v>21</v>
      </c>
      <c r="E691" s="60">
        <v>8</v>
      </c>
      <c r="F691" s="87">
        <v>100</v>
      </c>
      <c r="G691" s="87">
        <v>1</v>
      </c>
      <c r="H691" s="60">
        <v>300</v>
      </c>
      <c r="I691" s="60">
        <v>14</v>
      </c>
      <c r="J691" s="60">
        <v>2</v>
      </c>
      <c r="K691" s="60">
        <v>21</v>
      </c>
      <c r="L691" s="60">
        <v>4</v>
      </c>
      <c r="M691" s="60">
        <v>9</v>
      </c>
      <c r="N691" s="60">
        <v>7</v>
      </c>
      <c r="P691" s="118">
        <f t="shared" si="67"/>
        <v>4400</v>
      </c>
      <c r="Q691" s="118">
        <f t="shared" si="64"/>
        <v>1300</v>
      </c>
      <c r="R691" s="104">
        <f t="shared" si="66"/>
        <v>0.77192982456140347</v>
      </c>
      <c r="S691" s="179"/>
      <c r="T691" s="63"/>
      <c r="Y691" s="87"/>
      <c r="Z691" s="329"/>
      <c r="AA691" s="118"/>
      <c r="AB691" s="118"/>
    </row>
    <row r="692" spans="1:29" s="60" customFormat="1" x14ac:dyDescent="0.2">
      <c r="A692" s="132">
        <v>42922</v>
      </c>
      <c r="B692" s="118">
        <v>23</v>
      </c>
      <c r="C692" s="58"/>
      <c r="D692" s="60" t="s">
        <v>21</v>
      </c>
      <c r="E692" s="60">
        <v>8</v>
      </c>
      <c r="F692" s="87" t="s">
        <v>201</v>
      </c>
      <c r="G692" s="87">
        <v>2</v>
      </c>
      <c r="H692" s="60">
        <v>280</v>
      </c>
      <c r="I692" s="60">
        <v>0</v>
      </c>
      <c r="J692" s="60">
        <v>71</v>
      </c>
      <c r="K692" s="60">
        <v>0</v>
      </c>
      <c r="L692" s="60">
        <v>80</v>
      </c>
      <c r="M692" s="60">
        <v>0</v>
      </c>
      <c r="N692" s="60">
        <v>58</v>
      </c>
      <c r="P692" s="118">
        <f t="shared" si="67"/>
        <v>0</v>
      </c>
      <c r="Q692" s="118">
        <f t="shared" si="64"/>
        <v>9753.3333333333339</v>
      </c>
      <c r="R692" s="104">
        <f t="shared" si="66"/>
        <v>0</v>
      </c>
      <c r="S692" s="179"/>
      <c r="T692" s="63"/>
      <c r="Y692" s="87"/>
      <c r="Z692" s="329"/>
      <c r="AA692" s="118"/>
      <c r="AB692" s="118"/>
    </row>
    <row r="693" spans="1:29" s="60" customFormat="1" x14ac:dyDescent="0.2">
      <c r="A693" s="132">
        <v>42922</v>
      </c>
      <c r="B693" s="409">
        <v>7</v>
      </c>
      <c r="C693" s="58"/>
      <c r="D693" s="59" t="s">
        <v>74</v>
      </c>
      <c r="E693" s="60">
        <v>8</v>
      </c>
      <c r="F693" s="87">
        <v>224</v>
      </c>
      <c r="G693" s="87">
        <v>3</v>
      </c>
      <c r="H693" s="60">
        <v>275</v>
      </c>
      <c r="P693" s="118">
        <v>59</v>
      </c>
      <c r="Q693" s="118">
        <v>9</v>
      </c>
      <c r="R693" s="104">
        <f t="shared" si="66"/>
        <v>0.86764705882352944</v>
      </c>
      <c r="S693" s="180" t="str">
        <f>D693</f>
        <v>SN-10 Low</v>
      </c>
      <c r="T693" s="63"/>
      <c r="Y693" s="87" t="str">
        <f>D693</f>
        <v>SN-10 Low</v>
      </c>
      <c r="Z693" s="323">
        <f>SUMIFS($P$569:$P$632, $D$569:$D$632, Y693, $F$569:$F$632, "&lt;200") + SUMIFS($Q$569:$Q$632, $D$569:$D$632, Y693, $F$569:$F$632, "&lt;200")</f>
        <v>26299.999999999996</v>
      </c>
      <c r="AA693" s="118">
        <f>SUM(P693:Q696)</f>
        <v>5488.5555555555557</v>
      </c>
      <c r="AB693" s="118">
        <f>SUMIFS(Collection!O:O, Collection!B:B, "*" &amp; 'Bucket Counts'!Y693 &amp; "*", Collection!A:A, "&lt;" &amp; 'Bucket Counts'!A693,Collection!A:A,  "&gt;=" &amp; 'Bucket Counts'!$A$569)</f>
        <v>0</v>
      </c>
      <c r="AC693" s="104">
        <f>AA693/(Z693+AB693)</f>
        <v>0.20869032530629492</v>
      </c>
    </row>
    <row r="694" spans="1:29" s="60" customFormat="1" x14ac:dyDescent="0.2">
      <c r="A694" s="132">
        <v>42922</v>
      </c>
      <c r="B694" s="409">
        <v>7</v>
      </c>
      <c r="C694" s="58"/>
      <c r="D694" s="59" t="s">
        <v>74</v>
      </c>
      <c r="E694" s="60">
        <v>8</v>
      </c>
      <c r="F694" s="87">
        <v>180</v>
      </c>
      <c r="G694" s="87">
        <v>3</v>
      </c>
      <c r="H694" s="60">
        <v>225</v>
      </c>
      <c r="I694" s="60">
        <v>11</v>
      </c>
      <c r="J694" s="60">
        <v>0</v>
      </c>
      <c r="K694" s="60">
        <v>12</v>
      </c>
      <c r="L694" s="60">
        <v>0</v>
      </c>
      <c r="M694" s="60">
        <v>12</v>
      </c>
      <c r="N694" s="60">
        <v>0</v>
      </c>
      <c r="P694" s="118">
        <f t="shared" si="67"/>
        <v>875</v>
      </c>
      <c r="Q694" s="118">
        <f t="shared" si="64"/>
        <v>0</v>
      </c>
      <c r="R694" s="104">
        <f t="shared" si="66"/>
        <v>1</v>
      </c>
      <c r="S694" s="178">
        <f>(SUM(P693:P696)/(SUM(P693:Q696)))</f>
        <v>0.17948458408405368</v>
      </c>
      <c r="T694" s="63"/>
      <c r="Y694" s="87"/>
      <c r="Z694" s="329"/>
      <c r="AA694" s="118"/>
      <c r="AB694" s="118"/>
    </row>
    <row r="695" spans="1:29" s="60" customFormat="1" x14ac:dyDescent="0.2">
      <c r="A695" s="132">
        <v>42922</v>
      </c>
      <c r="B695" s="409">
        <v>7</v>
      </c>
      <c r="C695" s="58"/>
      <c r="D695" s="59" t="s">
        <v>74</v>
      </c>
      <c r="E695" s="60">
        <v>8</v>
      </c>
      <c r="F695" s="87">
        <v>100</v>
      </c>
      <c r="G695" s="87">
        <v>3</v>
      </c>
      <c r="H695" s="60">
        <v>230</v>
      </c>
      <c r="I695" s="60">
        <v>1</v>
      </c>
      <c r="J695" s="60">
        <v>2</v>
      </c>
      <c r="K695" s="60">
        <v>0</v>
      </c>
      <c r="L695" s="60">
        <v>2</v>
      </c>
      <c r="M695" s="60">
        <v>1</v>
      </c>
      <c r="N695" s="60">
        <v>4</v>
      </c>
      <c r="P695" s="118">
        <f t="shared" si="67"/>
        <v>51.111111111111107</v>
      </c>
      <c r="Q695" s="118">
        <f t="shared" si="64"/>
        <v>204.44444444444443</v>
      </c>
      <c r="R695" s="104">
        <f t="shared" si="66"/>
        <v>0.19999999999999998</v>
      </c>
      <c r="S695" s="179"/>
      <c r="T695" s="63"/>
      <c r="Y695" s="87"/>
      <c r="Z695" s="329"/>
      <c r="AA695" s="118"/>
      <c r="AB695" s="118"/>
    </row>
    <row r="696" spans="1:29" s="67" customFormat="1" ht="17" thickBot="1" x14ac:dyDescent="0.25">
      <c r="A696" s="64">
        <v>42922</v>
      </c>
      <c r="B696" s="409">
        <v>7</v>
      </c>
      <c r="C696" s="65"/>
      <c r="D696" s="59" t="s">
        <v>74</v>
      </c>
      <c r="E696" s="67">
        <v>8</v>
      </c>
      <c r="F696" s="146" t="s">
        <v>201</v>
      </c>
      <c r="G696" s="146">
        <v>2</v>
      </c>
      <c r="H696" s="67">
        <v>260</v>
      </c>
      <c r="I696" s="67">
        <v>0</v>
      </c>
      <c r="J696" s="67">
        <v>25</v>
      </c>
      <c r="K696" s="67">
        <v>0</v>
      </c>
      <c r="L696" s="67">
        <v>35</v>
      </c>
      <c r="M696" s="67">
        <v>0</v>
      </c>
      <c r="N696" s="67">
        <v>39</v>
      </c>
      <c r="P696" s="147">
        <f t="shared" si="67"/>
        <v>0</v>
      </c>
      <c r="Q696" s="147">
        <f t="shared" si="64"/>
        <v>4290</v>
      </c>
      <c r="R696" s="162">
        <f t="shared" si="66"/>
        <v>0</v>
      </c>
      <c r="S696" s="193"/>
      <c r="Y696" s="146"/>
      <c r="Z696" s="337"/>
      <c r="AA696" s="147"/>
      <c r="AB696" s="147"/>
    </row>
    <row r="697" spans="1:29" s="258" customFormat="1" x14ac:dyDescent="0.2">
      <c r="A697" s="70">
        <v>42926</v>
      </c>
      <c r="B697" s="411">
        <v>13</v>
      </c>
      <c r="C697" s="257"/>
      <c r="D697" s="72" t="s">
        <v>77</v>
      </c>
      <c r="E697" s="144">
        <v>1</v>
      </c>
      <c r="F697" s="259">
        <v>224</v>
      </c>
      <c r="G697" s="84" t="s">
        <v>352</v>
      </c>
      <c r="P697" s="260">
        <v>12</v>
      </c>
      <c r="Q697" s="260">
        <v>23</v>
      </c>
      <c r="R697" s="261">
        <f t="shared" si="66"/>
        <v>0.34285714285714286</v>
      </c>
      <c r="S697" s="262" t="str">
        <f>D697</f>
        <v>SN-6 Low</v>
      </c>
      <c r="T697" s="263"/>
      <c r="U697" s="263"/>
      <c r="V697" s="263"/>
      <c r="Y697" s="85" t="str">
        <f>D697</f>
        <v>SN-6 Low</v>
      </c>
      <c r="Z697" s="333">
        <f>SUMIFS($P$633:$P$696, $D$633:$D$696, Y697, $F$633:$F$696, "&lt;200") + SUMIFS($Q$633:$Q$696, $D$633:$D$696, Y697, $F$633:$F$696, "&lt;200")</f>
        <v>460</v>
      </c>
      <c r="AA697" s="122">
        <f>SUM(P697:Q700)</f>
        <v>217.66666666666666</v>
      </c>
      <c r="AB697" s="122">
        <f>SUMIFS(Collection!O:O, Collection!B:B, "*" &amp; 'Bucket Counts'!Y697 &amp; "*", Collection!A:A, "&lt;" &amp; 'Bucket Counts'!A697,Collection!A:A,  "&gt;=" &amp; 'Bucket Counts'!$A$633)</f>
        <v>0</v>
      </c>
      <c r="AC697" s="158">
        <f>AA697/(Z697+AB697)</f>
        <v>0.47318840579710142</v>
      </c>
    </row>
    <row r="698" spans="1:29" s="78" customFormat="1" x14ac:dyDescent="0.2">
      <c r="A698" s="75">
        <v>42926</v>
      </c>
      <c r="B698" s="412">
        <v>13</v>
      </c>
      <c r="C698" s="76"/>
      <c r="D698" s="77" t="s">
        <v>77</v>
      </c>
      <c r="E698" s="144">
        <v>1</v>
      </c>
      <c r="F698" s="85">
        <v>180</v>
      </c>
      <c r="G698" s="85" t="s">
        <v>352</v>
      </c>
      <c r="M698" s="85"/>
      <c r="P698" s="298">
        <v>27</v>
      </c>
      <c r="Q698" s="122">
        <v>34</v>
      </c>
      <c r="R698" s="158">
        <f t="shared" si="66"/>
        <v>0.44262295081967212</v>
      </c>
      <c r="S698" s="182">
        <f>(SUM(P697:P700)/(SUM(P697:Q700)))</f>
        <v>0.17917304747320062</v>
      </c>
      <c r="T698" s="79"/>
      <c r="U698" s="79"/>
      <c r="V698" s="79"/>
      <c r="W698" s="297" t="s">
        <v>354</v>
      </c>
      <c r="Y698" s="85"/>
      <c r="Z698" s="333"/>
      <c r="AA698" s="122"/>
      <c r="AB698" s="122"/>
    </row>
    <row r="699" spans="1:29" s="154" customFormat="1" x14ac:dyDescent="0.2">
      <c r="A699" s="75">
        <v>42926</v>
      </c>
      <c r="B699" s="412">
        <v>13</v>
      </c>
      <c r="C699" s="153"/>
      <c r="D699" s="77" t="s">
        <v>77</v>
      </c>
      <c r="E699" s="144">
        <v>1</v>
      </c>
      <c r="F699" s="155">
        <v>100</v>
      </c>
      <c r="G699" s="85" t="s">
        <v>352</v>
      </c>
      <c r="P699" s="156">
        <v>0</v>
      </c>
      <c r="Q699" s="156">
        <v>5</v>
      </c>
      <c r="R699" s="159">
        <f t="shared" si="66"/>
        <v>0</v>
      </c>
      <c r="S699" s="184"/>
      <c r="T699" s="264"/>
      <c r="U699" s="264"/>
      <c r="V699" s="264"/>
      <c r="W699" s="297" t="s">
        <v>356</v>
      </c>
      <c r="Y699" s="155"/>
      <c r="Z699" s="334"/>
      <c r="AA699" s="156"/>
      <c r="AB699" s="156"/>
    </row>
    <row r="700" spans="1:29" s="78" customFormat="1" x14ac:dyDescent="0.2">
      <c r="A700" s="75">
        <v>42926</v>
      </c>
      <c r="B700" s="412">
        <v>13</v>
      </c>
      <c r="C700" s="76"/>
      <c r="D700" s="77" t="s">
        <v>77</v>
      </c>
      <c r="E700" s="144">
        <v>1</v>
      </c>
      <c r="F700" s="85" t="s">
        <v>201</v>
      </c>
      <c r="G700" s="85">
        <v>2</v>
      </c>
      <c r="H700" s="78">
        <v>350</v>
      </c>
      <c r="I700" s="154">
        <v>0</v>
      </c>
      <c r="J700" s="154">
        <v>0</v>
      </c>
      <c r="K700" s="154">
        <v>0</v>
      </c>
      <c r="L700" s="154">
        <v>1</v>
      </c>
      <c r="M700" s="154">
        <v>0</v>
      </c>
      <c r="N700" s="154">
        <v>1</v>
      </c>
      <c r="P700" s="122">
        <f>(AVERAGE(I700,K700,M700)/G700)*H700</f>
        <v>0</v>
      </c>
      <c r="Q700" s="122">
        <f>(AVERAGE(J700,L700,N700)/G700)*H700</f>
        <v>116.66666666666666</v>
      </c>
      <c r="R700" s="158">
        <f t="shared" si="66"/>
        <v>0</v>
      </c>
      <c r="S700" s="185"/>
      <c r="T700" s="79"/>
      <c r="U700" s="79"/>
      <c r="V700" s="79"/>
      <c r="Y700" s="85"/>
      <c r="Z700" s="333"/>
      <c r="AA700" s="122"/>
      <c r="AB700" s="122"/>
    </row>
    <row r="701" spans="1:29" s="78" customFormat="1" x14ac:dyDescent="0.2">
      <c r="A701" s="75">
        <v>42926</v>
      </c>
      <c r="B701" s="122">
        <v>16</v>
      </c>
      <c r="C701" s="76"/>
      <c r="D701" s="78" t="s">
        <v>87</v>
      </c>
      <c r="E701" s="144">
        <v>1</v>
      </c>
      <c r="F701" s="85">
        <v>224</v>
      </c>
      <c r="G701" s="85" t="s">
        <v>352</v>
      </c>
      <c r="P701" s="122">
        <v>85</v>
      </c>
      <c r="Q701" s="122">
        <v>9</v>
      </c>
      <c r="R701" s="158">
        <f t="shared" si="66"/>
        <v>0.9042553191489362</v>
      </c>
      <c r="S701" s="186" t="str">
        <f>D701</f>
        <v>SN-6 Ambient</v>
      </c>
      <c r="T701" s="79"/>
      <c r="U701" s="79"/>
      <c r="V701" s="79"/>
      <c r="Y701" s="85" t="str">
        <f>D701</f>
        <v>SN-6 Ambient</v>
      </c>
      <c r="Z701" s="333">
        <f>SUMIFS($P$633:$P$696, $D$633:$D$696, Y701, $F$633:$F$696, "&lt;200") + SUMIFS($Q$633:$Q$696, $D$633:$D$696, Y701, $F$633:$F$696, "&lt;200")</f>
        <v>1565.5555555555557</v>
      </c>
      <c r="AA701" s="122">
        <f>SUM(P701:Q704)</f>
        <v>756.22222222222217</v>
      </c>
      <c r="AB701" s="122">
        <f>SUMIFS(Collection!O:O, Collection!B:B, "*" &amp; 'Bucket Counts'!Y701 &amp; "*", Collection!A:A, "&lt;" &amp; 'Bucket Counts'!A701,Collection!A:A,  "&gt;=" &amp; 'Bucket Counts'!$A$633)</f>
        <v>0</v>
      </c>
      <c r="AC701" s="158">
        <f>AA701/(Z701+AB701)</f>
        <v>0.48303761533002121</v>
      </c>
    </row>
    <row r="702" spans="1:29" s="78" customFormat="1" x14ac:dyDescent="0.2">
      <c r="A702" s="75">
        <v>42926</v>
      </c>
      <c r="B702" s="122">
        <v>16</v>
      </c>
      <c r="C702" s="76"/>
      <c r="D702" s="78" t="s">
        <v>87</v>
      </c>
      <c r="E702" s="144">
        <v>1</v>
      </c>
      <c r="F702" s="85">
        <v>180</v>
      </c>
      <c r="G702" s="85">
        <v>3</v>
      </c>
      <c r="H702" s="78">
        <v>225</v>
      </c>
      <c r="I702" s="78">
        <v>4</v>
      </c>
      <c r="J702" s="78">
        <v>0</v>
      </c>
      <c r="K702" s="78">
        <v>1</v>
      </c>
      <c r="L702" s="78">
        <v>1</v>
      </c>
      <c r="M702" s="78">
        <v>10</v>
      </c>
      <c r="N702" s="78">
        <v>0</v>
      </c>
      <c r="P702" s="122">
        <f t="shared" ref="P702:P760" si="68">(AVERAGE(I702,K702,M702)/G702)*H702</f>
        <v>375</v>
      </c>
      <c r="Q702" s="122">
        <f t="shared" ref="Q702:Q760" si="69">(AVERAGE(J702,L702,N702)/G702)*H702</f>
        <v>25</v>
      </c>
      <c r="R702" s="158">
        <f t="shared" si="66"/>
        <v>0.9375</v>
      </c>
      <c r="S702" s="184">
        <f>(SUM(P701:P704)/(SUM(P701:Q704)))</f>
        <v>0.64942697619747281</v>
      </c>
      <c r="T702" s="79"/>
      <c r="U702" s="79"/>
      <c r="V702" s="79"/>
      <c r="Y702" s="85"/>
      <c r="Z702" s="333"/>
      <c r="AA702" s="122"/>
      <c r="AB702" s="122"/>
    </row>
    <row r="703" spans="1:29" s="78" customFormat="1" x14ac:dyDescent="0.2">
      <c r="A703" s="75">
        <v>42926</v>
      </c>
      <c r="B703" s="122">
        <v>16</v>
      </c>
      <c r="C703" s="76"/>
      <c r="D703" s="78" t="s">
        <v>87</v>
      </c>
      <c r="E703" s="144">
        <v>1</v>
      </c>
      <c r="F703" s="85">
        <v>100</v>
      </c>
      <c r="G703" s="85">
        <v>3</v>
      </c>
      <c r="H703" s="78">
        <v>280</v>
      </c>
      <c r="I703" s="78">
        <v>0</v>
      </c>
      <c r="J703" s="78">
        <v>0</v>
      </c>
      <c r="K703" s="78">
        <v>0</v>
      </c>
      <c r="L703" s="78">
        <v>0</v>
      </c>
      <c r="M703" s="78">
        <v>1</v>
      </c>
      <c r="N703" s="78">
        <v>1</v>
      </c>
      <c r="P703" s="122">
        <f t="shared" si="68"/>
        <v>31.111111111111111</v>
      </c>
      <c r="Q703" s="122">
        <f t="shared" si="69"/>
        <v>31.111111111111111</v>
      </c>
      <c r="R703" s="158">
        <f t="shared" si="66"/>
        <v>0.5</v>
      </c>
      <c r="S703" s="185"/>
      <c r="T703" s="79"/>
      <c r="U703" s="79"/>
      <c r="V703" s="79"/>
      <c r="Y703" s="85"/>
      <c r="Z703" s="333"/>
      <c r="AA703" s="122"/>
      <c r="AB703" s="122"/>
    </row>
    <row r="704" spans="1:29" s="78" customFormat="1" x14ac:dyDescent="0.2">
      <c r="A704" s="75">
        <v>42926</v>
      </c>
      <c r="B704" s="122">
        <v>16</v>
      </c>
      <c r="C704" s="76"/>
      <c r="D704" s="78" t="s">
        <v>87</v>
      </c>
      <c r="E704" s="144">
        <v>1</v>
      </c>
      <c r="F704" s="85" t="s">
        <v>201</v>
      </c>
      <c r="G704" s="85">
        <v>2</v>
      </c>
      <c r="H704" s="78">
        <v>240</v>
      </c>
      <c r="I704" s="78">
        <v>0</v>
      </c>
      <c r="J704" s="78">
        <v>0</v>
      </c>
      <c r="K704" s="78">
        <v>0</v>
      </c>
      <c r="L704" s="78">
        <v>1</v>
      </c>
      <c r="M704" s="78">
        <v>0</v>
      </c>
      <c r="N704" s="78">
        <v>4</v>
      </c>
      <c r="P704" s="122">
        <f t="shared" si="68"/>
        <v>0</v>
      </c>
      <c r="Q704" s="122">
        <f t="shared" si="69"/>
        <v>200</v>
      </c>
      <c r="R704" s="158">
        <f t="shared" si="66"/>
        <v>0</v>
      </c>
      <c r="S704" s="185"/>
      <c r="T704" s="79"/>
      <c r="U704" s="79"/>
      <c r="V704" s="79"/>
      <c r="Y704" s="85"/>
      <c r="Z704" s="333"/>
      <c r="AA704" s="122"/>
      <c r="AB704" s="122"/>
    </row>
    <row r="705" spans="1:29" s="78" customFormat="1" x14ac:dyDescent="0.2">
      <c r="A705" s="75">
        <v>42926</v>
      </c>
      <c r="B705" s="122">
        <v>18</v>
      </c>
      <c r="C705" s="76"/>
      <c r="D705" s="78" t="s">
        <v>20</v>
      </c>
      <c r="E705" s="78">
        <v>2</v>
      </c>
      <c r="F705" s="85">
        <v>224</v>
      </c>
      <c r="G705" s="85">
        <v>3</v>
      </c>
      <c r="H705" s="78">
        <v>280</v>
      </c>
      <c r="I705" s="78">
        <v>0</v>
      </c>
      <c r="J705" s="78">
        <v>1</v>
      </c>
      <c r="K705" s="78">
        <v>3</v>
      </c>
      <c r="L705" s="78">
        <v>0</v>
      </c>
      <c r="M705" s="78">
        <v>0</v>
      </c>
      <c r="N705" s="78">
        <v>2</v>
      </c>
      <c r="P705" s="122">
        <f t="shared" si="68"/>
        <v>93.333333333333329</v>
      </c>
      <c r="Q705" s="122">
        <f t="shared" si="69"/>
        <v>93.333333333333329</v>
      </c>
      <c r="R705" s="158">
        <f t="shared" si="66"/>
        <v>0.5</v>
      </c>
      <c r="S705" s="186" t="str">
        <f>D705</f>
        <v>K-10 Low</v>
      </c>
      <c r="T705" s="79"/>
      <c r="U705" s="79"/>
      <c r="V705" s="79"/>
      <c r="Y705" s="85" t="str">
        <f>D705</f>
        <v>K-10 Low</v>
      </c>
      <c r="Z705" s="333">
        <f>SUMIFS($P$633:$P$696, $D$633:$D$696, Y705, $F$633:$F$696, "&lt;200") + SUMIFS($Q$633:$Q$696, $D$633:$D$696, Y705, $F$633:$F$696, "&lt;200")</f>
        <v>1541.6666666666665</v>
      </c>
      <c r="AA705" s="122">
        <f>SUM(P705:Q708)</f>
        <v>1733.333333333333</v>
      </c>
      <c r="AB705" s="122">
        <f>SUMIFS(Collection!O:O, Collection!B:B, "*" &amp; 'Bucket Counts'!Y705 &amp; "*", Collection!A:A, "&lt;" &amp; 'Bucket Counts'!A705,Collection!A:A,  "&gt;=" &amp; 'Bucket Counts'!$A$633)</f>
        <v>0</v>
      </c>
      <c r="AC705" s="158">
        <f>AA705/(Z705+AB705)</f>
        <v>1.1243243243243242</v>
      </c>
    </row>
    <row r="706" spans="1:29" s="78" customFormat="1" x14ac:dyDescent="0.2">
      <c r="A706" s="75">
        <v>42926</v>
      </c>
      <c r="B706" s="122">
        <v>18</v>
      </c>
      <c r="C706" s="76"/>
      <c r="D706" s="78" t="s">
        <v>20</v>
      </c>
      <c r="E706" s="78">
        <v>2</v>
      </c>
      <c r="F706" s="85">
        <v>180</v>
      </c>
      <c r="G706" s="85">
        <v>3</v>
      </c>
      <c r="H706" s="225">
        <v>275</v>
      </c>
      <c r="I706" s="78">
        <v>8</v>
      </c>
      <c r="J706" s="78">
        <v>9</v>
      </c>
      <c r="K706" s="78">
        <v>3</v>
      </c>
      <c r="L706" s="78">
        <v>5</v>
      </c>
      <c r="M706" s="78">
        <v>3</v>
      </c>
      <c r="N706" s="78">
        <v>8</v>
      </c>
      <c r="P706" s="122">
        <f t="shared" si="68"/>
        <v>427.77777777777777</v>
      </c>
      <c r="Q706" s="122">
        <f t="shared" si="69"/>
        <v>672.22222222222217</v>
      </c>
      <c r="R706" s="158">
        <f t="shared" si="66"/>
        <v>0.3888888888888889</v>
      </c>
      <c r="S706" s="184">
        <f>(SUM(P705:P708)/(SUM(P705:Q708)))</f>
        <v>0.37115384615384617</v>
      </c>
      <c r="T706" s="79"/>
      <c r="U706" s="79"/>
      <c r="V706" s="79"/>
      <c r="Y706" s="85"/>
      <c r="Z706" s="333"/>
      <c r="AA706" s="122"/>
      <c r="AB706" s="122"/>
    </row>
    <row r="707" spans="1:29" s="78" customFormat="1" x14ac:dyDescent="0.2">
      <c r="A707" s="75">
        <v>42926</v>
      </c>
      <c r="B707" s="122">
        <v>18</v>
      </c>
      <c r="C707" s="76"/>
      <c r="D707" s="78" t="s">
        <v>20</v>
      </c>
      <c r="E707" s="78">
        <v>2</v>
      </c>
      <c r="F707" s="85">
        <v>100</v>
      </c>
      <c r="G707" s="85">
        <v>3</v>
      </c>
      <c r="H707" s="225">
        <v>220</v>
      </c>
      <c r="I707" s="78">
        <v>2</v>
      </c>
      <c r="J707" s="78">
        <v>4</v>
      </c>
      <c r="K707" s="78">
        <v>0</v>
      </c>
      <c r="L707" s="78">
        <v>4</v>
      </c>
      <c r="M707" s="78">
        <v>3</v>
      </c>
      <c r="N707" s="78">
        <v>2</v>
      </c>
      <c r="P707" s="122">
        <f t="shared" si="68"/>
        <v>122.22222222222223</v>
      </c>
      <c r="Q707" s="122">
        <f t="shared" si="69"/>
        <v>244.44444444444446</v>
      </c>
      <c r="R707" s="158">
        <f t="shared" si="66"/>
        <v>0.33333333333333331</v>
      </c>
      <c r="S707" s="185"/>
      <c r="T707" s="79"/>
      <c r="U707" s="79"/>
      <c r="V707" s="79"/>
      <c r="Y707" s="85"/>
      <c r="Z707" s="333"/>
      <c r="AA707" s="122"/>
      <c r="AB707" s="122"/>
    </row>
    <row r="708" spans="1:29" s="78" customFormat="1" x14ac:dyDescent="0.2">
      <c r="A708" s="75">
        <v>42926</v>
      </c>
      <c r="B708" s="122">
        <v>18</v>
      </c>
      <c r="C708" s="76"/>
      <c r="D708" s="78" t="s">
        <v>20</v>
      </c>
      <c r="E708" s="78">
        <v>2</v>
      </c>
      <c r="F708" s="85" t="s">
        <v>201</v>
      </c>
      <c r="G708" s="85">
        <v>2</v>
      </c>
      <c r="H708" s="225">
        <v>240</v>
      </c>
      <c r="I708" s="78">
        <v>0</v>
      </c>
      <c r="J708" s="78">
        <v>2</v>
      </c>
      <c r="K708" s="78">
        <v>0</v>
      </c>
      <c r="L708" s="78">
        <v>0</v>
      </c>
      <c r="M708" s="78">
        <v>0</v>
      </c>
      <c r="N708" s="78">
        <v>0</v>
      </c>
      <c r="P708" s="122">
        <f t="shared" si="68"/>
        <v>0</v>
      </c>
      <c r="Q708" s="122">
        <f t="shared" si="69"/>
        <v>80</v>
      </c>
      <c r="R708" s="158">
        <f t="shared" si="66"/>
        <v>0</v>
      </c>
      <c r="S708" s="185"/>
      <c r="T708" s="79"/>
      <c r="U708" s="79"/>
      <c r="V708" s="79"/>
      <c r="Y708" s="85"/>
      <c r="Z708" s="333"/>
      <c r="AA708" s="122"/>
      <c r="AB708" s="122"/>
    </row>
    <row r="709" spans="1:29" s="78" customFormat="1" x14ac:dyDescent="0.2">
      <c r="A709" s="75">
        <v>42926</v>
      </c>
      <c r="B709" s="412">
        <v>3</v>
      </c>
      <c r="C709" s="76"/>
      <c r="D709" s="77" t="s">
        <v>84</v>
      </c>
      <c r="E709" s="78">
        <v>2</v>
      </c>
      <c r="F709" s="85">
        <v>224</v>
      </c>
      <c r="G709" s="85">
        <v>3</v>
      </c>
      <c r="H709" s="225">
        <v>250</v>
      </c>
      <c r="I709" s="78">
        <v>1</v>
      </c>
      <c r="J709" s="78">
        <v>0</v>
      </c>
      <c r="K709" s="78">
        <v>0</v>
      </c>
      <c r="L709" s="78">
        <v>1</v>
      </c>
      <c r="M709" s="78">
        <v>0</v>
      </c>
      <c r="N709" s="78">
        <v>0</v>
      </c>
      <c r="P709" s="122">
        <f t="shared" si="68"/>
        <v>27.777777777777775</v>
      </c>
      <c r="Q709" s="122">
        <f t="shared" si="69"/>
        <v>27.777777777777775</v>
      </c>
      <c r="R709" s="158">
        <f t="shared" si="66"/>
        <v>0.5</v>
      </c>
      <c r="S709" s="186" t="str">
        <f>D709</f>
        <v>NF-10 Ambient</v>
      </c>
      <c r="T709" s="79"/>
      <c r="U709" s="79"/>
      <c r="V709" s="79"/>
      <c r="Y709" s="85" t="str">
        <f>D709</f>
        <v>NF-10 Ambient</v>
      </c>
      <c r="Z709" s="333">
        <f>SUMIFS($P$633:$P$696, $D$633:$D$696, Y709, $F$633:$F$696, "&lt;200") + SUMIFS($Q$633:$Q$696, $D$633:$D$696, Y709, $F$633:$F$696, "&lt;200")</f>
        <v>500</v>
      </c>
      <c r="AA709" s="122">
        <f>SUM(P709:Q712)</f>
        <v>484.99999999999994</v>
      </c>
      <c r="AB709" s="122">
        <f>SUMIFS(Collection!O:O, Collection!B:B, "*" &amp; 'Bucket Counts'!Y709 &amp; "*", Collection!A:A, "&lt;" &amp; 'Bucket Counts'!A709,Collection!A:A,  "&gt;=" &amp; 'Bucket Counts'!$A$633)</f>
        <v>0</v>
      </c>
      <c r="AC709" s="158">
        <f>AA709/(Z709+AB709)</f>
        <v>0.96999999999999986</v>
      </c>
    </row>
    <row r="710" spans="1:29" s="78" customFormat="1" x14ac:dyDescent="0.2">
      <c r="A710" s="75">
        <v>42926</v>
      </c>
      <c r="B710" s="412">
        <v>3</v>
      </c>
      <c r="C710" s="76"/>
      <c r="D710" s="77" t="s">
        <v>84</v>
      </c>
      <c r="E710" s="78">
        <v>2</v>
      </c>
      <c r="F710" s="85">
        <v>180</v>
      </c>
      <c r="G710" s="85">
        <v>3</v>
      </c>
      <c r="H710" s="225">
        <v>230</v>
      </c>
      <c r="I710" s="78">
        <v>3</v>
      </c>
      <c r="J710" s="78">
        <v>2</v>
      </c>
      <c r="K710" s="78">
        <v>2</v>
      </c>
      <c r="L710" s="78">
        <v>1</v>
      </c>
      <c r="M710" s="78">
        <v>0</v>
      </c>
      <c r="N710" s="78">
        <v>0</v>
      </c>
      <c r="P710" s="122">
        <f t="shared" si="68"/>
        <v>127.77777777777779</v>
      </c>
      <c r="Q710" s="122">
        <f t="shared" si="69"/>
        <v>76.666666666666657</v>
      </c>
      <c r="R710" s="158">
        <f t="shared" si="66"/>
        <v>0.625</v>
      </c>
      <c r="S710" s="184">
        <f>(SUM(P709:P712)/(SUM(P709:Q712)))</f>
        <v>0.32073310423825896</v>
      </c>
      <c r="T710" s="79"/>
      <c r="U710" s="79"/>
      <c r="V710" s="79"/>
      <c r="Y710" s="85"/>
      <c r="Z710" s="333"/>
      <c r="AA710" s="122"/>
      <c r="AB710" s="122"/>
    </row>
    <row r="711" spans="1:29" s="78" customFormat="1" x14ac:dyDescent="0.2">
      <c r="A711" s="75">
        <v>42926</v>
      </c>
      <c r="B711" s="412">
        <v>3</v>
      </c>
      <c r="C711" s="76"/>
      <c r="D711" s="77" t="s">
        <v>84</v>
      </c>
      <c r="E711" s="78">
        <v>2</v>
      </c>
      <c r="F711" s="85">
        <v>100</v>
      </c>
      <c r="G711" s="85">
        <v>3</v>
      </c>
      <c r="H711" s="225">
        <v>240</v>
      </c>
      <c r="I711" s="78">
        <v>0</v>
      </c>
      <c r="J711" s="78">
        <v>2</v>
      </c>
      <c r="K711" s="78">
        <v>0</v>
      </c>
      <c r="L711" s="78">
        <v>1</v>
      </c>
      <c r="M711" s="78">
        <v>0</v>
      </c>
      <c r="N711" s="78">
        <v>4</v>
      </c>
      <c r="P711" s="122">
        <f t="shared" si="68"/>
        <v>0</v>
      </c>
      <c r="Q711" s="122">
        <f t="shared" si="69"/>
        <v>186.66666666666666</v>
      </c>
      <c r="R711" s="158">
        <f t="shared" si="66"/>
        <v>0</v>
      </c>
      <c r="S711" s="185"/>
      <c r="T711" s="79"/>
      <c r="U711" s="79"/>
      <c r="V711" s="79"/>
      <c r="Y711" s="85"/>
      <c r="Z711" s="333"/>
      <c r="AA711" s="122"/>
      <c r="AB711" s="122"/>
    </row>
    <row r="712" spans="1:29" s="78" customFormat="1" x14ac:dyDescent="0.2">
      <c r="A712" s="75">
        <v>42926</v>
      </c>
      <c r="B712" s="412">
        <v>3</v>
      </c>
      <c r="C712" s="76"/>
      <c r="D712" s="77" t="s">
        <v>84</v>
      </c>
      <c r="E712" s="78">
        <v>2</v>
      </c>
      <c r="F712" s="85" t="s">
        <v>201</v>
      </c>
      <c r="G712" s="85">
        <v>2</v>
      </c>
      <c r="H712" s="225">
        <v>230</v>
      </c>
      <c r="I712" s="78">
        <v>0</v>
      </c>
      <c r="J712" s="78">
        <v>0</v>
      </c>
      <c r="K712" s="78">
        <v>0</v>
      </c>
      <c r="L712" s="78">
        <v>1</v>
      </c>
      <c r="M712" s="78">
        <v>0</v>
      </c>
      <c r="N712" s="78">
        <v>0</v>
      </c>
      <c r="P712" s="122">
        <f t="shared" si="68"/>
        <v>0</v>
      </c>
      <c r="Q712" s="122">
        <f t="shared" si="69"/>
        <v>38.333333333333329</v>
      </c>
      <c r="R712" s="158">
        <f t="shared" si="66"/>
        <v>0</v>
      </c>
      <c r="S712" s="185"/>
      <c r="T712" s="79"/>
      <c r="U712" s="79"/>
      <c r="V712" s="79"/>
      <c r="Y712" s="85"/>
      <c r="Z712" s="333"/>
      <c r="AA712" s="122"/>
      <c r="AB712" s="122"/>
    </row>
    <row r="713" spans="1:29" s="78" customFormat="1" x14ac:dyDescent="0.2">
      <c r="A713" s="75">
        <v>42926</v>
      </c>
      <c r="B713" s="122">
        <v>22</v>
      </c>
      <c r="C713" s="76"/>
      <c r="D713" s="78" t="s">
        <v>17</v>
      </c>
      <c r="E713" s="78">
        <v>3</v>
      </c>
      <c r="F713" s="85">
        <v>224</v>
      </c>
      <c r="G713" s="85">
        <v>3</v>
      </c>
      <c r="H713" s="225">
        <v>225</v>
      </c>
      <c r="I713" s="78">
        <v>8</v>
      </c>
      <c r="J713" s="78">
        <v>1</v>
      </c>
      <c r="K713" s="78">
        <v>7</v>
      </c>
      <c r="L713" s="78">
        <v>3</v>
      </c>
      <c r="M713" s="78">
        <v>6</v>
      </c>
      <c r="N713" s="78">
        <v>1</v>
      </c>
      <c r="P713" s="122">
        <f t="shared" si="68"/>
        <v>525</v>
      </c>
      <c r="Q713" s="122">
        <f t="shared" si="69"/>
        <v>125</v>
      </c>
      <c r="R713" s="158">
        <f t="shared" si="66"/>
        <v>0.80769230769230771</v>
      </c>
      <c r="S713" s="186" t="str">
        <f>D713</f>
        <v>K-10 Ambient</v>
      </c>
      <c r="T713" s="79"/>
      <c r="U713" s="79"/>
      <c r="V713" s="79"/>
      <c r="Y713" s="85" t="str">
        <f>D713</f>
        <v>K-10 Ambient</v>
      </c>
      <c r="Z713" s="333">
        <f>SUMIFS($P$633:$P$696, $D$633:$D$696, Y713, $F$633:$F$696, "&lt;200") + SUMIFS($Q$633:$Q$696, $D$633:$D$696, Y713, $F$633:$F$696, "&lt;200")</f>
        <v>3333.3333333333335</v>
      </c>
      <c r="AA713" s="122">
        <f>SUM(P713:Q716)</f>
        <v>2600.0000000000005</v>
      </c>
      <c r="AB713" s="122">
        <f>SUMIFS(Collection!O:O, Collection!B:B, "*" &amp; 'Bucket Counts'!Y713 &amp; "*", Collection!A:A, "&lt;" &amp; 'Bucket Counts'!A713,Collection!A:A,  "&gt;=" &amp; 'Bucket Counts'!$A$633)</f>
        <v>0</v>
      </c>
      <c r="AC713" s="158">
        <f>AA713/(Z713+AB713)</f>
        <v>0.78000000000000014</v>
      </c>
    </row>
    <row r="714" spans="1:29" s="78" customFormat="1" x14ac:dyDescent="0.2">
      <c r="A714" s="75">
        <v>42926</v>
      </c>
      <c r="B714" s="122">
        <v>22</v>
      </c>
      <c r="C714" s="76"/>
      <c r="D714" s="78" t="s">
        <v>17</v>
      </c>
      <c r="E714" s="78">
        <v>3</v>
      </c>
      <c r="F714" s="85">
        <v>180</v>
      </c>
      <c r="G714" s="85">
        <v>3</v>
      </c>
      <c r="H714" s="225">
        <v>280</v>
      </c>
      <c r="I714" s="78">
        <v>19</v>
      </c>
      <c r="J714" s="78">
        <v>5</v>
      </c>
      <c r="K714" s="78">
        <v>10</v>
      </c>
      <c r="L714" s="78">
        <v>3</v>
      </c>
      <c r="M714" s="78">
        <v>13</v>
      </c>
      <c r="N714" s="78">
        <v>5</v>
      </c>
      <c r="P714" s="122">
        <f t="shared" si="68"/>
        <v>1306.6666666666667</v>
      </c>
      <c r="Q714" s="122">
        <f t="shared" si="69"/>
        <v>404.44444444444446</v>
      </c>
      <c r="R714" s="158">
        <f t="shared" si="66"/>
        <v>0.76363636363636356</v>
      </c>
      <c r="S714" s="184">
        <f>(SUM(P713:P716)/(SUM(P713:Q716)))</f>
        <v>0.72799145299145285</v>
      </c>
      <c r="T714" s="79"/>
      <c r="U714" s="79"/>
      <c r="V714" s="79"/>
      <c r="Y714" s="85"/>
      <c r="Z714" s="333"/>
      <c r="AA714" s="122"/>
      <c r="AB714" s="122"/>
    </row>
    <row r="715" spans="1:29" s="78" customFormat="1" x14ac:dyDescent="0.2">
      <c r="A715" s="75">
        <v>42926</v>
      </c>
      <c r="B715" s="122">
        <v>22</v>
      </c>
      <c r="C715" s="76"/>
      <c r="D715" s="78" t="s">
        <v>17</v>
      </c>
      <c r="E715" s="78">
        <v>3</v>
      </c>
      <c r="F715" s="85">
        <v>100</v>
      </c>
      <c r="G715" s="85">
        <v>3</v>
      </c>
      <c r="H715" s="225">
        <v>275</v>
      </c>
      <c r="I715" s="78">
        <v>0</v>
      </c>
      <c r="J715" s="78">
        <v>2</v>
      </c>
      <c r="K715" s="78">
        <v>1</v>
      </c>
      <c r="L715" s="78">
        <v>0</v>
      </c>
      <c r="M715" s="78">
        <v>1</v>
      </c>
      <c r="N715" s="78">
        <v>2</v>
      </c>
      <c r="P715" s="122">
        <f t="shared" si="68"/>
        <v>61.111111111111107</v>
      </c>
      <c r="Q715" s="122">
        <f t="shared" si="69"/>
        <v>122.22222222222221</v>
      </c>
      <c r="R715" s="158">
        <f t="shared" si="66"/>
        <v>0.33333333333333337</v>
      </c>
      <c r="S715" s="185"/>
      <c r="T715" s="79"/>
      <c r="U715" s="79"/>
      <c r="V715" s="79"/>
      <c r="Y715" s="85"/>
      <c r="Z715" s="333"/>
      <c r="AA715" s="122"/>
      <c r="AB715" s="122"/>
    </row>
    <row r="716" spans="1:29" s="78" customFormat="1" x14ac:dyDescent="0.2">
      <c r="A716" s="75">
        <v>42926</v>
      </c>
      <c r="B716" s="122">
        <v>22</v>
      </c>
      <c r="C716" s="76"/>
      <c r="D716" s="78" t="s">
        <v>17</v>
      </c>
      <c r="E716" s="78">
        <v>3</v>
      </c>
      <c r="F716" s="85" t="s">
        <v>201</v>
      </c>
      <c r="G716" s="85">
        <v>3</v>
      </c>
      <c r="H716" s="225">
        <v>250</v>
      </c>
      <c r="I716" s="78">
        <v>0</v>
      </c>
      <c r="J716" s="78">
        <v>1</v>
      </c>
      <c r="K716" s="78">
        <v>0</v>
      </c>
      <c r="L716" s="78">
        <v>0</v>
      </c>
      <c r="M716" s="78">
        <v>0</v>
      </c>
      <c r="N716" s="78">
        <v>1</v>
      </c>
      <c r="P716" s="122">
        <f t="shared" si="68"/>
        <v>0</v>
      </c>
      <c r="Q716" s="122">
        <f t="shared" si="69"/>
        <v>55.55555555555555</v>
      </c>
      <c r="R716" s="158">
        <f t="shared" si="66"/>
        <v>0</v>
      </c>
      <c r="S716" s="185"/>
      <c r="T716" s="79"/>
      <c r="U716" s="79"/>
      <c r="V716" s="79"/>
      <c r="Y716" s="85"/>
      <c r="Z716" s="333"/>
      <c r="AA716" s="122"/>
      <c r="AB716" s="122"/>
    </row>
    <row r="717" spans="1:29" s="78" customFormat="1" x14ac:dyDescent="0.2">
      <c r="A717" s="75">
        <v>42926</v>
      </c>
      <c r="B717" s="122">
        <v>19</v>
      </c>
      <c r="C717" s="76"/>
      <c r="D717" s="78" t="s">
        <v>88</v>
      </c>
      <c r="E717" s="78">
        <v>3</v>
      </c>
      <c r="F717" s="85">
        <v>224</v>
      </c>
      <c r="G717" s="85">
        <v>2</v>
      </c>
      <c r="H717" s="225">
        <v>280</v>
      </c>
      <c r="I717" s="78">
        <v>5</v>
      </c>
      <c r="J717" s="78">
        <v>0</v>
      </c>
      <c r="K717" s="78">
        <v>7</v>
      </c>
      <c r="L717" s="78">
        <v>0</v>
      </c>
      <c r="M717" s="78">
        <v>8</v>
      </c>
      <c r="N717" s="78">
        <v>0</v>
      </c>
      <c r="P717" s="122">
        <f t="shared" si="68"/>
        <v>933.33333333333337</v>
      </c>
      <c r="Q717" s="122">
        <f t="shared" si="69"/>
        <v>0</v>
      </c>
      <c r="R717" s="158">
        <f t="shared" si="66"/>
        <v>1</v>
      </c>
      <c r="S717" s="186" t="str">
        <f>D717</f>
        <v>HL-10 Ambient</v>
      </c>
      <c r="T717" s="79"/>
      <c r="U717" s="79"/>
      <c r="V717" s="79"/>
      <c r="Y717" s="85" t="str">
        <f>D717</f>
        <v>HL-10 Ambient</v>
      </c>
      <c r="Z717" s="333">
        <f>SUMIFS($P$633:$P$696, $D$633:$D$696, Y717, $F$633:$F$696, "&lt;200") + SUMIFS($Q$633:$Q$696, $D$633:$D$696, Y717, $F$633:$F$696, "&lt;200")</f>
        <v>77003.333333333328</v>
      </c>
      <c r="AA717" s="122">
        <f>SUM(P717:Q720)</f>
        <v>53013.333333333328</v>
      </c>
      <c r="AB717" s="122">
        <f>SUMIFS(Collection!O:O, Collection!B:B, "*" &amp; 'Bucket Counts'!Y717 &amp; "*", Collection!A:A, "&lt;" &amp; 'Bucket Counts'!A717,Collection!A:A,  "&gt;=" &amp; 'Bucket Counts'!$A$633)</f>
        <v>0</v>
      </c>
      <c r="AC717" s="158">
        <f>AA717/(Z717+AB717)</f>
        <v>0.68845504523613699</v>
      </c>
    </row>
    <row r="718" spans="1:29" s="78" customFormat="1" x14ac:dyDescent="0.2">
      <c r="A718" s="75">
        <v>42926</v>
      </c>
      <c r="B718" s="122">
        <v>19</v>
      </c>
      <c r="C718" s="76"/>
      <c r="D718" s="78" t="s">
        <v>88</v>
      </c>
      <c r="E718" s="78">
        <v>3</v>
      </c>
      <c r="F718" s="85">
        <v>180</v>
      </c>
      <c r="G718" s="85">
        <v>1</v>
      </c>
      <c r="H718" s="225">
        <v>500</v>
      </c>
      <c r="I718" s="78">
        <v>18</v>
      </c>
      <c r="J718" s="78">
        <v>0</v>
      </c>
      <c r="K718" s="78">
        <v>16</v>
      </c>
      <c r="L718" s="78">
        <v>4</v>
      </c>
      <c r="M718" s="78">
        <v>29</v>
      </c>
      <c r="N718" s="78">
        <v>8</v>
      </c>
      <c r="P718" s="122">
        <f t="shared" si="68"/>
        <v>10500</v>
      </c>
      <c r="Q718" s="122">
        <f t="shared" si="69"/>
        <v>2000</v>
      </c>
      <c r="R718" s="158">
        <f t="shared" si="66"/>
        <v>0.84</v>
      </c>
      <c r="S718" s="184">
        <f>(SUM(P717:P720)/(SUM(P717:Q720)))</f>
        <v>0.9450452716297788</v>
      </c>
      <c r="T718" s="79"/>
      <c r="Y718" s="85"/>
      <c r="Z718" s="333"/>
      <c r="AA718" s="122"/>
      <c r="AB718" s="122"/>
    </row>
    <row r="719" spans="1:29" s="78" customFormat="1" x14ac:dyDescent="0.2">
      <c r="A719" s="75">
        <v>42926</v>
      </c>
      <c r="B719" s="122">
        <v>19</v>
      </c>
      <c r="C719" s="76"/>
      <c r="D719" s="78" t="s">
        <v>88</v>
      </c>
      <c r="E719" s="78">
        <v>3</v>
      </c>
      <c r="F719" s="85">
        <v>100</v>
      </c>
      <c r="G719" s="85">
        <v>1</v>
      </c>
      <c r="H719" s="78">
        <v>500</v>
      </c>
      <c r="I719" s="78">
        <v>78</v>
      </c>
      <c r="J719" s="78">
        <v>1</v>
      </c>
      <c r="K719" s="78">
        <v>94</v>
      </c>
      <c r="L719" s="78">
        <v>0</v>
      </c>
      <c r="M719" s="78">
        <v>60</v>
      </c>
      <c r="N719" s="78">
        <v>0</v>
      </c>
      <c r="P719" s="122">
        <f t="shared" si="68"/>
        <v>38666.666666666664</v>
      </c>
      <c r="Q719" s="122">
        <f t="shared" si="69"/>
        <v>166.66666666666666</v>
      </c>
      <c r="R719" s="158">
        <f t="shared" si="66"/>
        <v>0.99570815450643779</v>
      </c>
      <c r="S719" s="185"/>
      <c r="T719" s="79"/>
      <c r="Y719" s="85"/>
      <c r="Z719" s="333"/>
      <c r="AA719" s="122"/>
      <c r="AB719" s="122"/>
    </row>
    <row r="720" spans="1:29" s="78" customFormat="1" x14ac:dyDescent="0.2">
      <c r="A720" s="75">
        <v>42926</v>
      </c>
      <c r="B720" s="122">
        <v>19</v>
      </c>
      <c r="C720" s="76"/>
      <c r="D720" s="78" t="s">
        <v>88</v>
      </c>
      <c r="E720" s="78">
        <v>3</v>
      </c>
      <c r="F720" s="85" t="s">
        <v>201</v>
      </c>
      <c r="G720" s="85">
        <v>1</v>
      </c>
      <c r="H720" s="78">
        <v>280</v>
      </c>
      <c r="I720" s="78">
        <v>0</v>
      </c>
      <c r="J720" s="78">
        <v>7</v>
      </c>
      <c r="K720" s="78">
        <v>0</v>
      </c>
      <c r="L720" s="78">
        <v>1</v>
      </c>
      <c r="M720" s="78">
        <v>0</v>
      </c>
      <c r="N720" s="78">
        <v>0</v>
      </c>
      <c r="P720" s="122">
        <f t="shared" si="68"/>
        <v>0</v>
      </c>
      <c r="Q720" s="122">
        <f t="shared" si="69"/>
        <v>746.66666666666663</v>
      </c>
      <c r="R720" s="158">
        <f t="shared" si="66"/>
        <v>0</v>
      </c>
      <c r="S720" s="185"/>
      <c r="T720" s="79"/>
      <c r="Y720" s="85"/>
      <c r="Z720" s="333"/>
      <c r="AA720" s="122"/>
      <c r="AB720" s="122"/>
    </row>
    <row r="721" spans="1:29" s="78" customFormat="1" x14ac:dyDescent="0.2">
      <c r="A721" s="75">
        <v>42926</v>
      </c>
      <c r="B721" s="412">
        <v>20</v>
      </c>
      <c r="C721" s="76"/>
      <c r="D721" s="77" t="s">
        <v>46</v>
      </c>
      <c r="E721" s="78">
        <v>4</v>
      </c>
      <c r="F721" s="85">
        <v>224</v>
      </c>
      <c r="G721" s="85">
        <v>2</v>
      </c>
      <c r="H721" s="78">
        <v>300</v>
      </c>
      <c r="I721" s="78">
        <v>6</v>
      </c>
      <c r="J721" s="78">
        <v>9</v>
      </c>
      <c r="K721" s="78">
        <v>5</v>
      </c>
      <c r="L721" s="78">
        <v>1</v>
      </c>
      <c r="M721" s="78">
        <v>9</v>
      </c>
      <c r="N721" s="78">
        <v>1</v>
      </c>
      <c r="P721" s="122">
        <f t="shared" si="68"/>
        <v>1000</v>
      </c>
      <c r="Q721" s="122">
        <f t="shared" si="69"/>
        <v>550</v>
      </c>
      <c r="R721" s="158">
        <f t="shared" si="66"/>
        <v>0.64516129032258063</v>
      </c>
      <c r="S721" s="183" t="str">
        <f>D721</f>
        <v>K-6 Low</v>
      </c>
      <c r="T721" s="79"/>
      <c r="Y721" s="85" t="str">
        <f>D721</f>
        <v>K-6 Low</v>
      </c>
      <c r="Z721" s="333">
        <f>SUMIFS($P$633:$P$696, $D$633:$D$696, Y721, $F$633:$F$696, "&lt;200") + SUMIFS($Q$633:$Q$696, $D$633:$D$696, Y721, $F$633:$F$696, "&lt;200")</f>
        <v>6443.333333333333</v>
      </c>
      <c r="AA721" s="122">
        <f>SUM(P721:Q724)</f>
        <v>9267.5</v>
      </c>
      <c r="AB721" s="122">
        <f>SUMIFS(Collection!O:O, Collection!B:B, "*" &amp; 'Bucket Counts'!Y721 &amp; "*", Collection!A:A, "&lt;" &amp; 'Bucket Counts'!A721,Collection!A:A,  "&gt;=" &amp; 'Bucket Counts'!$A$633)</f>
        <v>0</v>
      </c>
      <c r="AC721" s="158">
        <f>AA721/(Z721+AB721)</f>
        <v>1.4383083290222454</v>
      </c>
    </row>
    <row r="722" spans="1:29" s="78" customFormat="1" x14ac:dyDescent="0.2">
      <c r="A722" s="75">
        <v>42926</v>
      </c>
      <c r="B722" s="412">
        <v>20</v>
      </c>
      <c r="C722" s="76"/>
      <c r="D722" s="77" t="s">
        <v>46</v>
      </c>
      <c r="E722" s="78">
        <v>4</v>
      </c>
      <c r="F722" s="85">
        <v>180</v>
      </c>
      <c r="G722" s="85">
        <v>2</v>
      </c>
      <c r="H722" s="78">
        <v>275</v>
      </c>
      <c r="I722" s="78">
        <v>11</v>
      </c>
      <c r="J722" s="78">
        <v>6</v>
      </c>
      <c r="K722" s="78">
        <v>14</v>
      </c>
      <c r="L722" s="78">
        <v>5</v>
      </c>
      <c r="M722" s="78">
        <v>18</v>
      </c>
      <c r="N722" s="78">
        <v>3</v>
      </c>
      <c r="P722" s="122">
        <f t="shared" si="68"/>
        <v>1970.8333333333335</v>
      </c>
      <c r="Q722" s="122">
        <f t="shared" si="69"/>
        <v>641.66666666666674</v>
      </c>
      <c r="R722" s="158">
        <f t="shared" si="66"/>
        <v>0.75438596491228072</v>
      </c>
      <c r="S722" s="184">
        <f>(SUM(P721:P724)/(SUM(P721:Q724)))</f>
        <v>0.35365524683032101</v>
      </c>
      <c r="T722" s="79"/>
      <c r="Y722" s="85"/>
      <c r="Z722" s="333"/>
      <c r="AA722" s="122"/>
      <c r="AB722" s="122"/>
    </row>
    <row r="723" spans="1:29" s="78" customFormat="1" x14ac:dyDescent="0.2">
      <c r="A723" s="75">
        <v>42926</v>
      </c>
      <c r="B723" s="412">
        <v>20</v>
      </c>
      <c r="C723" s="76"/>
      <c r="D723" s="77" t="s">
        <v>46</v>
      </c>
      <c r="E723" s="78">
        <v>4</v>
      </c>
      <c r="F723" s="85">
        <v>100</v>
      </c>
      <c r="G723" s="85">
        <v>2</v>
      </c>
      <c r="H723" s="224">
        <v>230</v>
      </c>
      <c r="I723" s="78">
        <v>1</v>
      </c>
      <c r="J723" s="78">
        <v>7</v>
      </c>
      <c r="K723" s="78">
        <v>1</v>
      </c>
      <c r="L723" s="78">
        <v>8</v>
      </c>
      <c r="M723" s="78">
        <v>6</v>
      </c>
      <c r="N723" s="78">
        <v>8</v>
      </c>
      <c r="P723" s="122">
        <f t="shared" si="68"/>
        <v>306.66666666666663</v>
      </c>
      <c r="Q723" s="122">
        <f t="shared" si="69"/>
        <v>881.66666666666674</v>
      </c>
      <c r="R723" s="158">
        <f t="shared" si="66"/>
        <v>0.2580645161290322</v>
      </c>
      <c r="S723" s="182"/>
      <c r="T723" s="79"/>
      <c r="Y723" s="85"/>
      <c r="Z723" s="333"/>
      <c r="AA723" s="122"/>
      <c r="AB723" s="122"/>
    </row>
    <row r="724" spans="1:29" s="78" customFormat="1" x14ac:dyDescent="0.2">
      <c r="A724" s="75">
        <v>42926</v>
      </c>
      <c r="B724" s="412">
        <v>20</v>
      </c>
      <c r="C724" s="76"/>
      <c r="D724" s="77" t="s">
        <v>46</v>
      </c>
      <c r="E724" s="78">
        <v>4</v>
      </c>
      <c r="F724" s="85" t="s">
        <v>201</v>
      </c>
      <c r="G724" s="85">
        <v>2</v>
      </c>
      <c r="H724" s="224">
        <v>250</v>
      </c>
      <c r="I724" s="78">
        <v>0</v>
      </c>
      <c r="J724" s="78">
        <v>23</v>
      </c>
      <c r="K724" s="78">
        <v>0</v>
      </c>
      <c r="L724" s="78">
        <v>34</v>
      </c>
      <c r="M724" s="78">
        <v>0</v>
      </c>
      <c r="N724" s="78">
        <v>37</v>
      </c>
      <c r="P724" s="122">
        <f t="shared" si="68"/>
        <v>0</v>
      </c>
      <c r="Q724" s="122">
        <f t="shared" si="69"/>
        <v>3916.6666666666665</v>
      </c>
      <c r="R724" s="158">
        <f t="shared" si="66"/>
        <v>0</v>
      </c>
      <c r="S724" s="185"/>
      <c r="T724" s="79"/>
      <c r="Y724" s="85"/>
      <c r="Z724" s="333"/>
      <c r="AA724" s="122"/>
      <c r="AB724" s="122"/>
    </row>
    <row r="725" spans="1:29" s="78" customFormat="1" x14ac:dyDescent="0.2">
      <c r="A725" s="75">
        <v>42926</v>
      </c>
      <c r="B725" s="412">
        <v>21</v>
      </c>
      <c r="C725" s="76"/>
      <c r="D725" s="77" t="s">
        <v>108</v>
      </c>
      <c r="E725" s="78">
        <v>4</v>
      </c>
      <c r="F725" s="85">
        <v>224</v>
      </c>
      <c r="G725" s="85">
        <v>2</v>
      </c>
      <c r="H725" s="78">
        <v>510</v>
      </c>
      <c r="I725" s="78">
        <v>14</v>
      </c>
      <c r="J725" s="78">
        <v>1</v>
      </c>
      <c r="K725" s="78">
        <v>16</v>
      </c>
      <c r="L725" s="78">
        <v>1</v>
      </c>
      <c r="M725" s="78">
        <v>13</v>
      </c>
      <c r="N725" s="78">
        <v>0</v>
      </c>
      <c r="P725" s="122">
        <f t="shared" si="68"/>
        <v>3655</v>
      </c>
      <c r="Q725" s="122">
        <f t="shared" si="69"/>
        <v>170</v>
      </c>
      <c r="R725" s="158">
        <f t="shared" si="66"/>
        <v>0.9555555555555556</v>
      </c>
      <c r="S725" s="186" t="str">
        <f>D725</f>
        <v>HL-10 Low</v>
      </c>
      <c r="T725" s="79"/>
      <c r="Y725" s="85" t="str">
        <f>D725</f>
        <v>HL-10 Low</v>
      </c>
      <c r="Z725" s="333">
        <f>SUMIFS($P$633:$P$696, $D$633:$D$696, Y725, $F$633:$F$696, "&lt;200") + SUMIFS($Q$633:$Q$696, $D$633:$D$696, Y725, $F$633:$F$696, "&lt;200")</f>
        <v>26590</v>
      </c>
      <c r="AA725" s="122">
        <f>SUM(P725:Q728)</f>
        <v>26335</v>
      </c>
      <c r="AB725" s="122">
        <f>SUMIFS(Collection!O:O, Collection!B:B, "*" &amp; 'Bucket Counts'!Y725 &amp; "*", Collection!A:A, "&lt;" &amp; 'Bucket Counts'!A725,Collection!A:A,  "&gt;=" &amp; 'Bucket Counts'!$A$633)</f>
        <v>0</v>
      </c>
      <c r="AC725" s="158">
        <f>AA725/(Z725+AB725)</f>
        <v>0.99040992854456567</v>
      </c>
    </row>
    <row r="726" spans="1:29" s="78" customFormat="1" x14ac:dyDescent="0.2">
      <c r="A726" s="75">
        <v>42926</v>
      </c>
      <c r="B726" s="412">
        <v>21</v>
      </c>
      <c r="C726" s="76"/>
      <c r="D726" s="77" t="s">
        <v>108</v>
      </c>
      <c r="E726" s="78">
        <v>4</v>
      </c>
      <c r="F726" s="85">
        <v>180</v>
      </c>
      <c r="G726" s="85">
        <v>1</v>
      </c>
      <c r="H726" s="78">
        <v>370</v>
      </c>
      <c r="I726" s="78">
        <v>29</v>
      </c>
      <c r="J726" s="78">
        <v>0</v>
      </c>
      <c r="K726" s="78">
        <v>32</v>
      </c>
      <c r="L726" s="78">
        <v>3</v>
      </c>
      <c r="M726" s="78">
        <v>34</v>
      </c>
      <c r="N726" s="78">
        <v>1</v>
      </c>
      <c r="P726" s="122">
        <f t="shared" si="68"/>
        <v>11716.666666666668</v>
      </c>
      <c r="Q726" s="122">
        <f t="shared" si="69"/>
        <v>493.33333333333331</v>
      </c>
      <c r="R726" s="158">
        <f t="shared" si="66"/>
        <v>0.95959595959595956</v>
      </c>
      <c r="S726" s="184">
        <f>(SUM(P725:P728)/(SUM(P725:Q728)))</f>
        <v>0.89722169482944125</v>
      </c>
      <c r="T726" s="79"/>
      <c r="Y726" s="85"/>
      <c r="Z726" s="333"/>
      <c r="AA726" s="122"/>
      <c r="AB726" s="122"/>
    </row>
    <row r="727" spans="1:29" s="78" customFormat="1" x14ac:dyDescent="0.2">
      <c r="A727" s="75">
        <v>42926</v>
      </c>
      <c r="B727" s="412">
        <v>21</v>
      </c>
      <c r="C727" s="76"/>
      <c r="D727" s="77" t="s">
        <v>108</v>
      </c>
      <c r="E727" s="78">
        <v>4</v>
      </c>
      <c r="F727" s="85">
        <v>100</v>
      </c>
      <c r="G727" s="85">
        <v>2</v>
      </c>
      <c r="H727" s="224">
        <v>380</v>
      </c>
      <c r="I727" s="78">
        <v>29</v>
      </c>
      <c r="J727" s="78">
        <v>4</v>
      </c>
      <c r="K727" s="78">
        <v>64</v>
      </c>
      <c r="L727" s="78">
        <v>3</v>
      </c>
      <c r="M727" s="78">
        <v>35</v>
      </c>
      <c r="N727" s="78">
        <v>0</v>
      </c>
      <c r="P727" s="122">
        <f t="shared" si="68"/>
        <v>8106.6666666666661</v>
      </c>
      <c r="Q727" s="122">
        <f t="shared" si="69"/>
        <v>443.33333333333337</v>
      </c>
      <c r="R727" s="158">
        <f t="shared" si="66"/>
        <v>0.94814814814814807</v>
      </c>
      <c r="S727" s="185"/>
      <c r="T727" s="79"/>
      <c r="Y727" s="85"/>
      <c r="Z727" s="333"/>
      <c r="AA727" s="122"/>
      <c r="AB727" s="122"/>
    </row>
    <row r="728" spans="1:29" s="78" customFormat="1" x14ac:dyDescent="0.2">
      <c r="A728" s="75">
        <v>42926</v>
      </c>
      <c r="B728" s="412">
        <v>21</v>
      </c>
      <c r="C728" s="76"/>
      <c r="D728" s="77" t="s">
        <v>108</v>
      </c>
      <c r="E728" s="78">
        <v>4</v>
      </c>
      <c r="F728" s="85" t="s">
        <v>201</v>
      </c>
      <c r="G728" s="85">
        <v>2</v>
      </c>
      <c r="H728" s="224">
        <v>300</v>
      </c>
      <c r="I728" s="78">
        <v>1</v>
      </c>
      <c r="J728" s="78">
        <v>9</v>
      </c>
      <c r="K728" s="78">
        <v>0</v>
      </c>
      <c r="L728" s="78">
        <v>13</v>
      </c>
      <c r="M728" s="78">
        <v>2</v>
      </c>
      <c r="N728" s="78">
        <v>10</v>
      </c>
      <c r="P728" s="122">
        <f t="shared" si="68"/>
        <v>150</v>
      </c>
      <c r="Q728" s="122">
        <f t="shared" si="69"/>
        <v>1600</v>
      </c>
      <c r="R728" s="158">
        <f t="shared" si="66"/>
        <v>8.5714285714285715E-2</v>
      </c>
      <c r="S728" s="185"/>
      <c r="T728" s="79"/>
      <c r="Y728" s="85"/>
      <c r="Z728" s="333"/>
      <c r="AA728" s="122"/>
      <c r="AB728" s="122"/>
    </row>
    <row r="729" spans="1:29" s="78" customFormat="1" x14ac:dyDescent="0.2">
      <c r="A729" s="75">
        <v>42926</v>
      </c>
      <c r="B729" s="122">
        <v>10</v>
      </c>
      <c r="C729" s="76"/>
      <c r="D729" s="78" t="s">
        <v>104</v>
      </c>
      <c r="E729" s="78">
        <v>5</v>
      </c>
      <c r="F729" s="85">
        <v>224</v>
      </c>
      <c r="G729" s="85">
        <v>2</v>
      </c>
      <c r="H729" s="78">
        <v>275</v>
      </c>
      <c r="I729" s="78">
        <v>18</v>
      </c>
      <c r="J729" s="78">
        <v>4</v>
      </c>
      <c r="K729" s="78">
        <v>16</v>
      </c>
      <c r="L729" s="78">
        <v>5</v>
      </c>
      <c r="M729" s="78">
        <v>21</v>
      </c>
      <c r="N729" s="78">
        <v>4</v>
      </c>
      <c r="P729" s="122">
        <f t="shared" si="68"/>
        <v>2520.833333333333</v>
      </c>
      <c r="Q729" s="122">
        <f t="shared" si="69"/>
        <v>595.83333333333326</v>
      </c>
      <c r="R729" s="158">
        <f t="shared" si="66"/>
        <v>0.80882352941176472</v>
      </c>
      <c r="S729" s="186" t="str">
        <f>D729</f>
        <v>NF-6 Low</v>
      </c>
      <c r="Y729" s="85" t="str">
        <f>D729</f>
        <v>NF-6 Low</v>
      </c>
      <c r="Z729" s="333">
        <f>SUMIFS($P$633:$P$696, $D$633:$D$696, Y729, $F$633:$F$696, "&lt;200") + SUMIFS($Q$633:$Q$696, $D$633:$D$696, Y729, $F$633:$F$696, "&lt;200")</f>
        <v>18026.666666666668</v>
      </c>
      <c r="AA729" s="122">
        <f>SUM(P729:Q732)</f>
        <v>16966.666666666664</v>
      </c>
      <c r="AB729" s="122">
        <f>SUMIFS(Collection!O:O, Collection!B:B, "*" &amp; 'Bucket Counts'!Y729 &amp; "*", Collection!A:A, "&lt;" &amp; 'Bucket Counts'!A729,Collection!A:A,  "&gt;=" &amp; 'Bucket Counts'!$A$633)</f>
        <v>0</v>
      </c>
      <c r="AC729" s="158">
        <f>AA729/(Z729+AB729)</f>
        <v>0.94119822485207083</v>
      </c>
    </row>
    <row r="730" spans="1:29" s="78" customFormat="1" x14ac:dyDescent="0.2">
      <c r="A730" s="75">
        <v>42926</v>
      </c>
      <c r="B730" s="122">
        <v>10</v>
      </c>
      <c r="C730" s="76"/>
      <c r="D730" s="78" t="s">
        <v>104</v>
      </c>
      <c r="E730" s="78">
        <v>5</v>
      </c>
      <c r="F730" s="85">
        <v>180</v>
      </c>
      <c r="G730" s="85">
        <v>1</v>
      </c>
      <c r="H730" s="78">
        <v>350</v>
      </c>
      <c r="I730" s="78">
        <v>33</v>
      </c>
      <c r="J730" s="78">
        <v>3</v>
      </c>
      <c r="K730" s="78">
        <v>27</v>
      </c>
      <c r="L730" s="78">
        <v>4</v>
      </c>
      <c r="M730" s="78">
        <v>38</v>
      </c>
      <c r="N730" s="78">
        <v>2</v>
      </c>
      <c r="P730" s="122">
        <f t="shared" si="68"/>
        <v>11433.333333333332</v>
      </c>
      <c r="Q730" s="122">
        <f t="shared" si="69"/>
        <v>1050</v>
      </c>
      <c r="R730" s="158">
        <f t="shared" si="66"/>
        <v>0.91588785046728971</v>
      </c>
      <c r="S730" s="184">
        <f>(SUM(P729:P732)/(SUM(P729:Q732)))</f>
        <v>0.83266208251473484</v>
      </c>
      <c r="Y730" s="85"/>
      <c r="Z730" s="333"/>
      <c r="AA730" s="122"/>
      <c r="AB730" s="122"/>
    </row>
    <row r="731" spans="1:29" s="78" customFormat="1" x14ac:dyDescent="0.2">
      <c r="A731" s="75">
        <v>42926</v>
      </c>
      <c r="B731" s="122">
        <v>10</v>
      </c>
      <c r="C731" s="76"/>
      <c r="D731" s="78" t="s">
        <v>104</v>
      </c>
      <c r="E731" s="78">
        <v>5</v>
      </c>
      <c r="F731" s="85">
        <v>100</v>
      </c>
      <c r="G731" s="85">
        <v>2</v>
      </c>
      <c r="H731" s="78">
        <v>260</v>
      </c>
      <c r="I731" s="78">
        <v>0</v>
      </c>
      <c r="J731" s="78">
        <v>1</v>
      </c>
      <c r="K731" s="78">
        <v>3</v>
      </c>
      <c r="L731" s="78">
        <v>3</v>
      </c>
      <c r="M731" s="78">
        <v>1</v>
      </c>
      <c r="N731" s="78">
        <v>2</v>
      </c>
      <c r="P731" s="122">
        <f t="shared" si="68"/>
        <v>173.33333333333331</v>
      </c>
      <c r="Q731" s="122">
        <f t="shared" si="69"/>
        <v>260</v>
      </c>
      <c r="R731" s="158">
        <f t="shared" si="66"/>
        <v>0.39999999999999997</v>
      </c>
      <c r="S731" s="185"/>
      <c r="Y731" s="85"/>
      <c r="Z731" s="333"/>
      <c r="AA731" s="122"/>
      <c r="AB731" s="122"/>
    </row>
    <row r="732" spans="1:29" s="78" customFormat="1" x14ac:dyDescent="0.2">
      <c r="A732" s="75">
        <v>42926</v>
      </c>
      <c r="B732" s="122">
        <v>10</v>
      </c>
      <c r="C732" s="76"/>
      <c r="D732" s="78" t="s">
        <v>104</v>
      </c>
      <c r="E732" s="78">
        <v>5</v>
      </c>
      <c r="F732" s="85" t="s">
        <v>201</v>
      </c>
      <c r="G732" s="85">
        <v>2</v>
      </c>
      <c r="H732" s="78">
        <v>280</v>
      </c>
      <c r="I732" s="78">
        <v>0</v>
      </c>
      <c r="J732" s="78">
        <v>12</v>
      </c>
      <c r="K732" s="78">
        <v>0</v>
      </c>
      <c r="L732" s="78">
        <v>5</v>
      </c>
      <c r="M732" s="78">
        <v>0</v>
      </c>
      <c r="N732" s="78">
        <v>3</v>
      </c>
      <c r="P732" s="122">
        <f t="shared" si="68"/>
        <v>0</v>
      </c>
      <c r="Q732" s="122">
        <f t="shared" si="69"/>
        <v>933.33333333333337</v>
      </c>
      <c r="R732" s="158">
        <f t="shared" si="66"/>
        <v>0</v>
      </c>
      <c r="S732" s="185"/>
      <c r="Y732" s="85"/>
      <c r="Z732" s="333"/>
      <c r="AA732" s="122"/>
      <c r="AB732" s="122"/>
    </row>
    <row r="733" spans="1:29" s="78" customFormat="1" x14ac:dyDescent="0.2">
      <c r="A733" s="75">
        <v>42926</v>
      </c>
      <c r="B733" s="122">
        <v>5</v>
      </c>
      <c r="C733" s="76"/>
      <c r="D733" s="78" t="s">
        <v>86</v>
      </c>
      <c r="E733" s="78">
        <v>5</v>
      </c>
      <c r="F733" s="85">
        <v>224</v>
      </c>
      <c r="G733" s="85" t="s">
        <v>352</v>
      </c>
      <c r="P733" s="122">
        <v>11</v>
      </c>
      <c r="Q733" s="122">
        <v>2</v>
      </c>
      <c r="R733" s="158">
        <f t="shared" si="66"/>
        <v>0.84615384615384615</v>
      </c>
      <c r="S733" s="186" t="str">
        <f>D733</f>
        <v>SN-10 Ambient</v>
      </c>
      <c r="T733" s="79"/>
      <c r="U733" s="79"/>
      <c r="V733" s="79"/>
      <c r="Y733" s="85" t="str">
        <f>D733</f>
        <v>SN-10 Ambient</v>
      </c>
      <c r="Z733" s="333">
        <f>SUMIFS($P$633:$P$696, $D$633:$D$696, Y733, $F$633:$F$696, "&lt;200") + SUMIFS($Q$633:$Q$696, $D$633:$D$696, Y733, $F$633:$F$696, "&lt;200")</f>
        <v>55.55555555555555</v>
      </c>
      <c r="AA733" s="122">
        <f>SUM(P733:Q736)</f>
        <v>101423.33333333333</v>
      </c>
      <c r="AB733" s="122">
        <f>SUMIFS(Collection!O:O, Collection!B:B, "*" &amp; 'Bucket Counts'!Y733 &amp; "*", Collection!A:A, "&lt;" &amp; 'Bucket Counts'!A733,Collection!A:A,  "&gt;=" &amp; 'Bucket Counts'!$A$633)</f>
        <v>200000</v>
      </c>
      <c r="AC733" s="158">
        <f>AA733/(Z733+AB733)</f>
        <v>0.50697584004443208</v>
      </c>
    </row>
    <row r="734" spans="1:29" s="78" customFormat="1" x14ac:dyDescent="0.2">
      <c r="A734" s="75">
        <v>42926</v>
      </c>
      <c r="B734" s="122">
        <v>5</v>
      </c>
      <c r="C734" s="76"/>
      <c r="D734" s="78" t="s">
        <v>86</v>
      </c>
      <c r="E734" s="78">
        <v>5</v>
      </c>
      <c r="F734" s="85">
        <v>180</v>
      </c>
      <c r="G734" s="85" t="s">
        <v>352</v>
      </c>
      <c r="P734" s="122">
        <v>24</v>
      </c>
      <c r="Q734" s="122">
        <v>23</v>
      </c>
      <c r="R734" s="158">
        <f t="shared" si="66"/>
        <v>0.51063829787234039</v>
      </c>
      <c r="S734" s="184">
        <f>(SUM(P733:P736)/(SUM(P733:Q736)))</f>
        <v>0.73216222434022415</v>
      </c>
      <c r="T734" s="79"/>
      <c r="U734" s="79"/>
      <c r="V734" s="79"/>
      <c r="Y734" s="85"/>
      <c r="Z734" s="333"/>
      <c r="AA734" s="122"/>
      <c r="AB734" s="122"/>
    </row>
    <row r="735" spans="1:29" s="78" customFormat="1" x14ac:dyDescent="0.2">
      <c r="A735" s="75">
        <v>42926</v>
      </c>
      <c r="B735" s="122">
        <v>5</v>
      </c>
      <c r="C735" s="76"/>
      <c r="D735" s="78" t="s">
        <v>86</v>
      </c>
      <c r="E735" s="78">
        <v>5</v>
      </c>
      <c r="F735" s="85">
        <v>100</v>
      </c>
      <c r="G735" s="85">
        <v>0.5</v>
      </c>
      <c r="H735" s="78">
        <v>590</v>
      </c>
      <c r="I735" s="78">
        <v>56</v>
      </c>
      <c r="J735" s="78">
        <v>11</v>
      </c>
      <c r="K735" s="78">
        <v>60</v>
      </c>
      <c r="L735" s="78">
        <v>15</v>
      </c>
      <c r="M735" s="78">
        <v>70</v>
      </c>
      <c r="N735" s="78">
        <v>14</v>
      </c>
      <c r="P735" s="122">
        <f t="shared" si="68"/>
        <v>73160</v>
      </c>
      <c r="Q735" s="122">
        <f t="shared" si="69"/>
        <v>15733.333333333334</v>
      </c>
      <c r="R735" s="158">
        <f t="shared" si="66"/>
        <v>0.82300884955752218</v>
      </c>
      <c r="S735" s="185"/>
      <c r="T735" s="79"/>
      <c r="U735" s="79"/>
      <c r="V735" s="79"/>
      <c r="Y735" s="85"/>
      <c r="Z735" s="333"/>
      <c r="AA735" s="122"/>
      <c r="AB735" s="122"/>
    </row>
    <row r="736" spans="1:29" s="78" customFormat="1" x14ac:dyDescent="0.2">
      <c r="A736" s="75">
        <v>42926</v>
      </c>
      <c r="B736" s="122">
        <v>5</v>
      </c>
      <c r="C736" s="76"/>
      <c r="D736" s="78" t="s">
        <v>86</v>
      </c>
      <c r="E736" s="78">
        <v>5</v>
      </c>
      <c r="F736" s="85" t="s">
        <v>201</v>
      </c>
      <c r="G736" s="85">
        <v>2</v>
      </c>
      <c r="H736" s="78">
        <v>290</v>
      </c>
      <c r="I736" s="78">
        <v>1</v>
      </c>
      <c r="J736" s="78">
        <v>74</v>
      </c>
      <c r="K736" s="78">
        <v>13</v>
      </c>
      <c r="L736" s="78">
        <v>78</v>
      </c>
      <c r="M736" s="78">
        <v>8</v>
      </c>
      <c r="N736" s="78">
        <v>84</v>
      </c>
      <c r="P736" s="122">
        <f t="shared" si="68"/>
        <v>1063.3333333333333</v>
      </c>
      <c r="Q736" s="122">
        <f t="shared" si="69"/>
        <v>11406.666666666668</v>
      </c>
      <c r="R736" s="158">
        <f t="shared" ref="R736:R799" si="70">P736/(P736+Q736)</f>
        <v>8.5271317829457349E-2</v>
      </c>
      <c r="S736" s="185"/>
      <c r="T736" s="79"/>
      <c r="U736" s="79"/>
      <c r="V736" s="79"/>
      <c r="Y736" s="85"/>
      <c r="Z736" s="333"/>
      <c r="AA736" s="122"/>
      <c r="AB736" s="122"/>
    </row>
    <row r="737" spans="1:29" s="78" customFormat="1" x14ac:dyDescent="0.2">
      <c r="A737" s="75">
        <v>42926</v>
      </c>
      <c r="B737" s="122">
        <v>12</v>
      </c>
      <c r="C737" s="76"/>
      <c r="D737" s="78" t="s">
        <v>83</v>
      </c>
      <c r="E737" s="78">
        <v>6</v>
      </c>
      <c r="F737" s="85">
        <v>224</v>
      </c>
      <c r="G737" s="85" t="s">
        <v>352</v>
      </c>
      <c r="P737" s="122">
        <v>9</v>
      </c>
      <c r="Q737" s="122">
        <v>2</v>
      </c>
      <c r="R737" s="158">
        <f t="shared" si="70"/>
        <v>0.81818181818181823</v>
      </c>
      <c r="S737" s="186" t="str">
        <f>D737</f>
        <v>NF-10 Low</v>
      </c>
      <c r="T737" s="79"/>
      <c r="U737" s="79"/>
      <c r="V737" s="79"/>
      <c r="Y737" s="85" t="str">
        <f>D737</f>
        <v>NF-10 Low</v>
      </c>
      <c r="Z737" s="333">
        <f>SUMIFS($P$633:$P$696, $D$633:$D$696, Y737, $F$633:$F$696, "&lt;200") + SUMIFS($Q$633:$Q$696, $D$633:$D$696, Y737, $F$633:$F$696, "&lt;200")</f>
        <v>32588.888888888887</v>
      </c>
      <c r="AA737" s="122">
        <f>SUM(P737:Q740)</f>
        <v>18304.333333333336</v>
      </c>
      <c r="AB737" s="122">
        <f>SUMIFS(Collection!O:O, Collection!B:B, "*" &amp; 'Bucket Counts'!Y737 &amp; "*", Collection!A:A, "&lt;" &amp; 'Bucket Counts'!A737,Collection!A:A,  "&gt;=" &amp; 'Bucket Counts'!$A$633)</f>
        <v>0</v>
      </c>
      <c r="AC737" s="158">
        <f>AA737/(Z737+AB737)</f>
        <v>0.56167405386975799</v>
      </c>
    </row>
    <row r="738" spans="1:29" s="78" customFormat="1" x14ac:dyDescent="0.2">
      <c r="A738" s="75">
        <v>42926</v>
      </c>
      <c r="B738" s="122">
        <v>12</v>
      </c>
      <c r="C738" s="76"/>
      <c r="D738" s="78" t="s">
        <v>83</v>
      </c>
      <c r="E738" s="78">
        <v>6</v>
      </c>
      <c r="F738" s="85">
        <v>180</v>
      </c>
      <c r="G738" s="85">
        <v>2</v>
      </c>
      <c r="H738" s="78">
        <v>280</v>
      </c>
      <c r="I738" s="78">
        <v>13</v>
      </c>
      <c r="J738" s="78">
        <v>0</v>
      </c>
      <c r="K738" s="78">
        <v>9</v>
      </c>
      <c r="L738" s="78">
        <v>1</v>
      </c>
      <c r="M738" s="78">
        <v>11</v>
      </c>
      <c r="N738" s="78">
        <v>1</v>
      </c>
      <c r="P738" s="122">
        <f t="shared" si="68"/>
        <v>1540</v>
      </c>
      <c r="Q738" s="122">
        <f t="shared" si="69"/>
        <v>93.333333333333329</v>
      </c>
      <c r="R738" s="158">
        <f t="shared" si="70"/>
        <v>0.94285714285714295</v>
      </c>
      <c r="S738" s="184">
        <f>(SUM(P737:P740)/(SUM(P737:Q740)))</f>
        <v>0.84437200662866707</v>
      </c>
      <c r="T738" s="79"/>
      <c r="U738" s="79"/>
      <c r="V738" s="79"/>
      <c r="Y738" s="85"/>
      <c r="Z738" s="333"/>
      <c r="AA738" s="122"/>
      <c r="AB738" s="122"/>
    </row>
    <row r="739" spans="1:29" s="78" customFormat="1" x14ac:dyDescent="0.2">
      <c r="A739" s="75">
        <v>42926</v>
      </c>
      <c r="B739" s="122">
        <v>12</v>
      </c>
      <c r="C739" s="76"/>
      <c r="D739" s="78" t="s">
        <v>83</v>
      </c>
      <c r="E739" s="78">
        <v>6</v>
      </c>
      <c r="F739" s="85">
        <v>100</v>
      </c>
      <c r="G739" s="85">
        <v>1</v>
      </c>
      <c r="H739" s="78">
        <v>280</v>
      </c>
      <c r="I739" s="78">
        <v>42</v>
      </c>
      <c r="J739" s="78">
        <v>4</v>
      </c>
      <c r="K739" s="78">
        <v>51</v>
      </c>
      <c r="L739" s="78">
        <v>2</v>
      </c>
      <c r="M739" s="78">
        <v>56</v>
      </c>
      <c r="N739" s="78">
        <v>1</v>
      </c>
      <c r="P739" s="122">
        <f t="shared" si="68"/>
        <v>13906.666666666666</v>
      </c>
      <c r="Q739" s="122">
        <f t="shared" si="69"/>
        <v>653.33333333333337</v>
      </c>
      <c r="R739" s="158">
        <f t="shared" si="70"/>
        <v>0.95512820512820507</v>
      </c>
      <c r="S739" s="185"/>
      <c r="T739" s="79"/>
      <c r="U739" s="79"/>
      <c r="V739" s="79"/>
      <c r="Y739" s="85"/>
      <c r="Z739" s="333"/>
      <c r="AA739" s="122"/>
      <c r="AB739" s="122"/>
    </row>
    <row r="740" spans="1:29" s="78" customFormat="1" x14ac:dyDescent="0.2">
      <c r="A740" s="75">
        <v>42926</v>
      </c>
      <c r="B740" s="122">
        <v>12</v>
      </c>
      <c r="C740" s="76"/>
      <c r="D740" s="78" t="s">
        <v>83</v>
      </c>
      <c r="E740" s="78">
        <v>6</v>
      </c>
      <c r="F740" s="85" t="s">
        <v>201</v>
      </c>
      <c r="G740" s="85">
        <v>2</v>
      </c>
      <c r="H740" s="78">
        <v>280</v>
      </c>
      <c r="I740" s="78">
        <v>0</v>
      </c>
      <c r="J740" s="78">
        <v>16</v>
      </c>
      <c r="K740" s="78">
        <v>0</v>
      </c>
      <c r="L740" s="78">
        <v>19</v>
      </c>
      <c r="M740" s="78">
        <v>0</v>
      </c>
      <c r="N740" s="78">
        <v>10</v>
      </c>
      <c r="P740" s="122">
        <f t="shared" si="68"/>
        <v>0</v>
      </c>
      <c r="Q740" s="122">
        <f t="shared" si="69"/>
        <v>2100</v>
      </c>
      <c r="R740" s="158">
        <f t="shared" si="70"/>
        <v>0</v>
      </c>
      <c r="S740" s="185"/>
      <c r="T740" s="79"/>
      <c r="U740" s="79"/>
      <c r="V740" s="79"/>
      <c r="Y740" s="85"/>
      <c r="Z740" s="333"/>
      <c r="AA740" s="122"/>
      <c r="AB740" s="122"/>
    </row>
    <row r="741" spans="1:29" s="78" customFormat="1" x14ac:dyDescent="0.2">
      <c r="A741" s="75">
        <v>42926</v>
      </c>
      <c r="B741" s="122">
        <v>17</v>
      </c>
      <c r="C741" s="76"/>
      <c r="D741" s="78" t="s">
        <v>38</v>
      </c>
      <c r="E741" s="78">
        <v>6</v>
      </c>
      <c r="F741" s="85">
        <v>224</v>
      </c>
      <c r="G741" s="85">
        <v>3</v>
      </c>
      <c r="H741" s="78">
        <v>250</v>
      </c>
      <c r="I741" s="78">
        <v>0</v>
      </c>
      <c r="J741" s="78">
        <v>3</v>
      </c>
      <c r="K741" s="78">
        <v>4</v>
      </c>
      <c r="L741" s="78">
        <v>2</v>
      </c>
      <c r="M741" s="78">
        <v>3</v>
      </c>
      <c r="N741" s="78">
        <v>1</v>
      </c>
      <c r="P741" s="122">
        <f t="shared" si="68"/>
        <v>194.44444444444446</v>
      </c>
      <c r="Q741" s="122">
        <f t="shared" si="69"/>
        <v>166.66666666666666</v>
      </c>
      <c r="R741" s="158">
        <f t="shared" si="70"/>
        <v>0.53846153846153855</v>
      </c>
      <c r="S741" s="186" t="str">
        <f>D741</f>
        <v>K-6 Ambient</v>
      </c>
      <c r="T741" s="79"/>
      <c r="U741" s="79"/>
      <c r="V741" s="79"/>
      <c r="Y741" s="85" t="str">
        <f>D741</f>
        <v>K-6 Ambient</v>
      </c>
      <c r="Z741" s="333">
        <f>SUMIFS($P$633:$P$696, $D$633:$D$696, Y741, $F$633:$F$696, "&lt;200") + SUMIFS($Q$633:$Q$696, $D$633:$D$696, Y741, $F$633:$F$696, "&lt;200")</f>
        <v>13058.333333333334</v>
      </c>
      <c r="AA741" s="122">
        <f>SUM(P741:Q744)</f>
        <v>10923.611111111111</v>
      </c>
      <c r="AB741" s="122">
        <f>SUMIFS(Collection!O:O, Collection!B:B, "*" &amp; 'Bucket Counts'!Y741 &amp; "*", Collection!A:A, "&lt;" &amp; 'Bucket Counts'!A741,Collection!A:A,  "&gt;=" &amp; 'Bucket Counts'!$A$633)</f>
        <v>0</v>
      </c>
      <c r="AC741" s="158">
        <f>AA741/(Z741+AB741)</f>
        <v>0.8365241437991916</v>
      </c>
    </row>
    <row r="742" spans="1:29" s="78" customFormat="1" x14ac:dyDescent="0.2">
      <c r="A742" s="75">
        <v>42926</v>
      </c>
      <c r="B742" s="122">
        <v>17</v>
      </c>
      <c r="C742" s="76"/>
      <c r="D742" s="78" t="s">
        <v>38</v>
      </c>
      <c r="E742" s="78">
        <v>6</v>
      </c>
      <c r="F742" s="85">
        <v>180</v>
      </c>
      <c r="G742" s="85">
        <v>2</v>
      </c>
      <c r="H742" s="78">
        <v>475</v>
      </c>
      <c r="I742" s="78">
        <v>38</v>
      </c>
      <c r="J742" s="78">
        <v>1</v>
      </c>
      <c r="K742" s="78">
        <v>21</v>
      </c>
      <c r="L742" s="78">
        <v>1</v>
      </c>
      <c r="M742" s="78">
        <v>23</v>
      </c>
      <c r="N742" s="78">
        <v>2</v>
      </c>
      <c r="P742" s="122">
        <f t="shared" si="68"/>
        <v>6491.6666666666661</v>
      </c>
      <c r="Q742" s="122">
        <f t="shared" si="69"/>
        <v>316.66666666666663</v>
      </c>
      <c r="R742" s="158">
        <f t="shared" si="70"/>
        <v>0.95348837209302317</v>
      </c>
      <c r="S742" s="184">
        <f>(SUM(P741:P744)/(SUM(P741:Q744)))</f>
        <v>0.72956134774316583</v>
      </c>
      <c r="T742" s="79"/>
      <c r="U742" s="79"/>
      <c r="V742" s="79"/>
      <c r="Y742" s="85"/>
      <c r="Z742" s="333"/>
      <c r="AA742" s="122"/>
      <c r="AB742" s="122"/>
    </row>
    <row r="743" spans="1:29" s="78" customFormat="1" x14ac:dyDescent="0.2">
      <c r="A743" s="75">
        <v>42926</v>
      </c>
      <c r="B743" s="122">
        <v>17</v>
      </c>
      <c r="C743" s="76"/>
      <c r="D743" s="78" t="s">
        <v>38</v>
      </c>
      <c r="E743" s="78">
        <v>6</v>
      </c>
      <c r="F743" s="85">
        <v>100</v>
      </c>
      <c r="G743" s="85">
        <v>2</v>
      </c>
      <c r="H743" s="78">
        <v>275</v>
      </c>
      <c r="I743" s="78">
        <v>9</v>
      </c>
      <c r="J743" s="78">
        <v>2</v>
      </c>
      <c r="K743" s="78">
        <v>10</v>
      </c>
      <c r="L743" s="78">
        <v>0</v>
      </c>
      <c r="M743" s="78">
        <v>9</v>
      </c>
      <c r="N743" s="78">
        <v>1</v>
      </c>
      <c r="P743" s="122">
        <f t="shared" si="68"/>
        <v>1283.3333333333335</v>
      </c>
      <c r="Q743" s="122">
        <f t="shared" si="69"/>
        <v>137.5</v>
      </c>
      <c r="R743" s="158">
        <f t="shared" si="70"/>
        <v>0.90322580645161288</v>
      </c>
      <c r="S743" s="185"/>
      <c r="T743" s="79"/>
      <c r="U743" s="79"/>
      <c r="V743" s="79"/>
      <c r="Y743" s="85"/>
      <c r="Z743" s="333"/>
      <c r="AA743" s="122"/>
      <c r="AB743" s="122"/>
    </row>
    <row r="744" spans="1:29" s="78" customFormat="1" x14ac:dyDescent="0.2">
      <c r="A744" s="75">
        <v>42926</v>
      </c>
      <c r="B744" s="122">
        <v>17</v>
      </c>
      <c r="C744" s="76"/>
      <c r="D744" s="78" t="s">
        <v>38</v>
      </c>
      <c r="E744" s="78">
        <v>6</v>
      </c>
      <c r="F744" s="85" t="s">
        <v>201</v>
      </c>
      <c r="G744" s="85">
        <v>2</v>
      </c>
      <c r="H744" s="78">
        <v>280</v>
      </c>
      <c r="I744" s="78">
        <v>0</v>
      </c>
      <c r="J744" s="78">
        <v>15</v>
      </c>
      <c r="K744" s="78">
        <v>0</v>
      </c>
      <c r="L744" s="78">
        <v>17</v>
      </c>
      <c r="M744" s="78">
        <v>0</v>
      </c>
      <c r="N744" s="78">
        <v>18</v>
      </c>
      <c r="P744" s="122">
        <f t="shared" si="68"/>
        <v>0</v>
      </c>
      <c r="Q744" s="122">
        <f t="shared" si="69"/>
        <v>2333.3333333333335</v>
      </c>
      <c r="R744" s="158">
        <f t="shared" si="70"/>
        <v>0</v>
      </c>
      <c r="S744" s="185"/>
      <c r="T744" s="79"/>
      <c r="U744" s="79"/>
      <c r="V744" s="79"/>
      <c r="Y744" s="85"/>
      <c r="Z744" s="333"/>
      <c r="AA744" s="122"/>
      <c r="AB744" s="122"/>
    </row>
    <row r="745" spans="1:29" s="78" customFormat="1" x14ac:dyDescent="0.2">
      <c r="A745" s="75">
        <v>42926</v>
      </c>
      <c r="B745" s="122">
        <v>7</v>
      </c>
      <c r="C745" s="76"/>
      <c r="D745" s="78" t="s">
        <v>74</v>
      </c>
      <c r="E745" s="78">
        <v>7</v>
      </c>
      <c r="F745" s="85">
        <v>224</v>
      </c>
      <c r="G745" s="85" t="s">
        <v>352</v>
      </c>
      <c r="P745" s="122">
        <v>61</v>
      </c>
      <c r="Q745" s="122">
        <v>20</v>
      </c>
      <c r="R745" s="158">
        <f t="shared" si="70"/>
        <v>0.75308641975308643</v>
      </c>
      <c r="S745" s="186" t="str">
        <f>D745</f>
        <v>SN-10 Low</v>
      </c>
      <c r="T745" s="79"/>
      <c r="U745" s="79"/>
      <c r="V745" s="79"/>
      <c r="Y745" s="85" t="str">
        <f>D745</f>
        <v>SN-10 Low</v>
      </c>
      <c r="Z745" s="333">
        <f>SUMIFS($P$633:$P$696, $D$633:$D$696, Y745, $F$633:$F$696, "&lt;200") + SUMIFS($Q$633:$Q$696, $D$633:$D$696, Y745, $F$633:$F$696, "&lt;200")</f>
        <v>1130.5555555555554</v>
      </c>
      <c r="AA745" s="122">
        <f>SUM(P745:Q748)</f>
        <v>1034.6666666666665</v>
      </c>
      <c r="AB745" s="122">
        <f>SUMIFS(Collection!O:O, Collection!B:B, "*" &amp; 'Bucket Counts'!Y745 &amp; "*", Collection!A:A, "&lt;" &amp; 'Bucket Counts'!A745,Collection!A:A,  "&gt;=" &amp; 'Bucket Counts'!$A$633)</f>
        <v>0</v>
      </c>
      <c r="AC745" s="158">
        <f>AA745/(Z745+AB745)</f>
        <v>0.91518427518427514</v>
      </c>
    </row>
    <row r="746" spans="1:29" s="78" customFormat="1" x14ac:dyDescent="0.2">
      <c r="A746" s="75">
        <v>42926</v>
      </c>
      <c r="B746" s="122">
        <v>7</v>
      </c>
      <c r="C746" s="76"/>
      <c r="D746" s="78" t="s">
        <v>74</v>
      </c>
      <c r="E746" s="78">
        <v>7</v>
      </c>
      <c r="F746" s="85">
        <v>180</v>
      </c>
      <c r="G746" s="85">
        <v>3</v>
      </c>
      <c r="H746" s="78">
        <v>275</v>
      </c>
      <c r="I746" s="78">
        <v>2</v>
      </c>
      <c r="J746" s="78">
        <v>2</v>
      </c>
      <c r="K746" s="78">
        <v>2</v>
      </c>
      <c r="L746" s="78">
        <v>2</v>
      </c>
      <c r="M746" s="78">
        <v>4</v>
      </c>
      <c r="N746" s="78">
        <v>1</v>
      </c>
      <c r="P746" s="122">
        <f t="shared" si="68"/>
        <v>244.44444444444443</v>
      </c>
      <c r="Q746" s="122">
        <f t="shared" si="69"/>
        <v>152.77777777777777</v>
      </c>
      <c r="R746" s="158">
        <f t="shared" si="70"/>
        <v>0.61538461538461542</v>
      </c>
      <c r="S746" s="184">
        <f>(SUM(P745:P748)/(SUM(P745:Q748)))</f>
        <v>0.31357388316151208</v>
      </c>
      <c r="T746" s="79"/>
      <c r="U746" s="79"/>
      <c r="V746" s="79"/>
      <c r="Y746" s="85"/>
      <c r="Z746" s="333"/>
      <c r="AA746" s="122"/>
      <c r="AB746" s="122"/>
    </row>
    <row r="747" spans="1:29" s="78" customFormat="1" x14ac:dyDescent="0.2">
      <c r="A747" s="75">
        <v>42926</v>
      </c>
      <c r="B747" s="122">
        <v>7</v>
      </c>
      <c r="C747" s="76"/>
      <c r="D747" s="78" t="s">
        <v>74</v>
      </c>
      <c r="E747" s="78">
        <v>7</v>
      </c>
      <c r="F747" s="85">
        <v>100</v>
      </c>
      <c r="G747" s="85" t="s">
        <v>352</v>
      </c>
      <c r="P747" s="122">
        <v>19</v>
      </c>
      <c r="Q747" s="122">
        <v>18</v>
      </c>
      <c r="R747" s="158">
        <f t="shared" si="70"/>
        <v>0.51351351351351349</v>
      </c>
      <c r="S747" s="185"/>
      <c r="T747" s="79"/>
      <c r="U747" s="79"/>
      <c r="V747" s="79"/>
      <c r="Y747" s="85"/>
      <c r="Z747" s="333"/>
      <c r="AA747" s="122"/>
      <c r="AB747" s="122"/>
    </row>
    <row r="748" spans="1:29" s="78" customFormat="1" x14ac:dyDescent="0.2">
      <c r="A748" s="75">
        <v>42926</v>
      </c>
      <c r="B748" s="122">
        <v>7</v>
      </c>
      <c r="C748" s="76"/>
      <c r="D748" s="78" t="s">
        <v>74</v>
      </c>
      <c r="E748" s="78">
        <v>7</v>
      </c>
      <c r="F748" s="85" t="s">
        <v>201</v>
      </c>
      <c r="G748" s="85">
        <v>3</v>
      </c>
      <c r="H748" s="78">
        <v>275</v>
      </c>
      <c r="I748" s="78">
        <v>0</v>
      </c>
      <c r="J748" s="78">
        <v>6</v>
      </c>
      <c r="K748" s="78">
        <v>0</v>
      </c>
      <c r="L748" s="78">
        <v>5</v>
      </c>
      <c r="M748" s="78">
        <v>0</v>
      </c>
      <c r="N748" s="78">
        <v>6</v>
      </c>
      <c r="P748" s="122">
        <f t="shared" si="68"/>
        <v>0</v>
      </c>
      <c r="Q748" s="122">
        <f t="shared" si="69"/>
        <v>519.44444444444446</v>
      </c>
      <c r="R748" s="158">
        <f t="shared" si="70"/>
        <v>0</v>
      </c>
      <c r="S748" s="185"/>
      <c r="T748" s="79"/>
      <c r="U748" s="79"/>
      <c r="V748" s="79"/>
      <c r="Y748" s="85"/>
      <c r="Z748" s="333"/>
      <c r="AA748" s="122"/>
      <c r="AB748" s="122"/>
    </row>
    <row r="749" spans="1:29" s="78" customFormat="1" x14ac:dyDescent="0.2">
      <c r="A749" s="75">
        <v>42926</v>
      </c>
      <c r="B749" s="122">
        <v>23</v>
      </c>
      <c r="C749" s="76"/>
      <c r="D749" s="78" t="s">
        <v>21</v>
      </c>
      <c r="E749" s="78">
        <v>7</v>
      </c>
      <c r="F749" s="85">
        <v>224</v>
      </c>
      <c r="G749" s="85">
        <v>2</v>
      </c>
      <c r="H749" s="78">
        <v>400</v>
      </c>
      <c r="I749" s="78">
        <v>2</v>
      </c>
      <c r="J749" s="78">
        <v>0</v>
      </c>
      <c r="K749" s="78">
        <v>11</v>
      </c>
      <c r="L749" s="78">
        <v>0</v>
      </c>
      <c r="M749" s="78">
        <v>13</v>
      </c>
      <c r="N749" s="78">
        <v>0</v>
      </c>
      <c r="P749" s="122">
        <f t="shared" si="68"/>
        <v>1733.3333333333333</v>
      </c>
      <c r="Q749" s="122">
        <f t="shared" si="69"/>
        <v>0</v>
      </c>
      <c r="R749" s="158">
        <f t="shared" si="70"/>
        <v>1</v>
      </c>
      <c r="S749" s="186" t="str">
        <f>D749</f>
        <v>HL-6 Low</v>
      </c>
      <c r="T749" s="79"/>
      <c r="U749" s="79"/>
      <c r="V749" s="79"/>
      <c r="Y749" s="85" t="str">
        <f>D749</f>
        <v>HL-6 Low</v>
      </c>
      <c r="Z749" s="333">
        <f>SUMIFS($P$633:$P$696, $D$633:$D$696, Y749, $F$633:$F$696, "&lt;200") + SUMIFS($Q$633:$Q$696, $D$633:$D$696, Y749, $F$633:$F$696, "&lt;200")</f>
        <v>20533.333333333332</v>
      </c>
      <c r="AA749" s="122">
        <f>SUM(P749:Q752)</f>
        <v>15526.666666666666</v>
      </c>
      <c r="AB749" s="122">
        <f>SUMIFS(Collection!O:O, Collection!B:B, "*" &amp; 'Bucket Counts'!Y749 &amp; "*", Collection!A:A, "&lt;" &amp; 'Bucket Counts'!A749,Collection!A:A,  "&gt;=" &amp; 'Bucket Counts'!$A$633)</f>
        <v>0</v>
      </c>
      <c r="AC749" s="158">
        <f>AA749/(Z749+AB749)</f>
        <v>0.75616883116883116</v>
      </c>
    </row>
    <row r="750" spans="1:29" s="78" customFormat="1" x14ac:dyDescent="0.2">
      <c r="A750" s="75">
        <v>42926</v>
      </c>
      <c r="B750" s="122">
        <v>23</v>
      </c>
      <c r="C750" s="76"/>
      <c r="D750" s="78" t="s">
        <v>21</v>
      </c>
      <c r="E750" s="78">
        <v>7</v>
      </c>
      <c r="F750" s="85">
        <v>180</v>
      </c>
      <c r="G750" s="85">
        <v>1</v>
      </c>
      <c r="H750" s="78">
        <v>300</v>
      </c>
      <c r="I750" s="78">
        <v>13</v>
      </c>
      <c r="J750" s="78">
        <v>4</v>
      </c>
      <c r="K750" s="78">
        <v>19</v>
      </c>
      <c r="L750" s="78">
        <v>3</v>
      </c>
      <c r="M750" s="78">
        <v>19</v>
      </c>
      <c r="N750" s="78">
        <v>3</v>
      </c>
      <c r="P750" s="122">
        <f t="shared" si="68"/>
        <v>5100</v>
      </c>
      <c r="Q750" s="122">
        <f t="shared" si="69"/>
        <v>1000</v>
      </c>
      <c r="R750" s="158">
        <f t="shared" si="70"/>
        <v>0.83606557377049184</v>
      </c>
      <c r="S750" s="184">
        <f>(SUM(P749:P752)/(SUM(P749:Q752)))</f>
        <v>0.48196650923142981</v>
      </c>
      <c r="T750" s="79"/>
      <c r="U750" s="79"/>
      <c r="V750" s="79"/>
      <c r="Y750" s="85"/>
      <c r="Z750" s="333"/>
      <c r="AA750" s="122"/>
      <c r="AB750" s="122"/>
    </row>
    <row r="751" spans="1:29" s="78" customFormat="1" x14ac:dyDescent="0.2">
      <c r="A751" s="75">
        <v>42926</v>
      </c>
      <c r="B751" s="122">
        <v>23</v>
      </c>
      <c r="C751" s="76"/>
      <c r="D751" s="78" t="s">
        <v>21</v>
      </c>
      <c r="E751" s="78">
        <v>7</v>
      </c>
      <c r="F751" s="85">
        <v>100</v>
      </c>
      <c r="G751" s="85">
        <v>2</v>
      </c>
      <c r="H751" s="78">
        <v>300</v>
      </c>
      <c r="I751" s="78">
        <v>5</v>
      </c>
      <c r="J751" s="78">
        <v>11</v>
      </c>
      <c r="K751" s="78">
        <v>4</v>
      </c>
      <c r="L751" s="78">
        <v>6</v>
      </c>
      <c r="M751" s="78">
        <v>4</v>
      </c>
      <c r="N751" s="78">
        <v>4</v>
      </c>
      <c r="P751" s="122">
        <f t="shared" si="68"/>
        <v>650</v>
      </c>
      <c r="Q751" s="122">
        <f t="shared" si="69"/>
        <v>1050</v>
      </c>
      <c r="R751" s="158">
        <f t="shared" si="70"/>
        <v>0.38235294117647056</v>
      </c>
      <c r="S751" s="185"/>
      <c r="T751" s="79"/>
      <c r="U751" s="79"/>
      <c r="V751" s="79"/>
      <c r="Y751" s="85"/>
      <c r="Z751" s="333"/>
      <c r="AA751" s="122"/>
      <c r="AB751" s="122"/>
    </row>
    <row r="752" spans="1:29" s="78" customFormat="1" x14ac:dyDescent="0.2">
      <c r="A752" s="75">
        <v>42926</v>
      </c>
      <c r="B752" s="122">
        <v>23</v>
      </c>
      <c r="C752" s="76"/>
      <c r="D752" s="78" t="s">
        <v>21</v>
      </c>
      <c r="E752" s="78">
        <v>7</v>
      </c>
      <c r="F752" s="85" t="s">
        <v>201</v>
      </c>
      <c r="G752" s="85">
        <v>2</v>
      </c>
      <c r="H752" s="78">
        <v>290</v>
      </c>
      <c r="I752" s="78">
        <v>0</v>
      </c>
      <c r="J752" s="78">
        <v>47</v>
      </c>
      <c r="K752" s="78">
        <v>0</v>
      </c>
      <c r="L752" s="78">
        <v>45</v>
      </c>
      <c r="M752" s="78">
        <v>0</v>
      </c>
      <c r="N752" s="78">
        <v>32</v>
      </c>
      <c r="P752" s="122">
        <f t="shared" si="68"/>
        <v>0</v>
      </c>
      <c r="Q752" s="122">
        <f t="shared" si="69"/>
        <v>5993.3333333333339</v>
      </c>
      <c r="R752" s="158">
        <f t="shared" si="70"/>
        <v>0</v>
      </c>
      <c r="S752" s="185"/>
      <c r="T752" s="79"/>
      <c r="U752" s="79"/>
      <c r="V752" s="79"/>
      <c r="Y752" s="85"/>
      <c r="Z752" s="333"/>
      <c r="AA752" s="122"/>
      <c r="AB752" s="122"/>
    </row>
    <row r="753" spans="1:29" s="78" customFormat="1" x14ac:dyDescent="0.2">
      <c r="A753" s="75">
        <v>42926</v>
      </c>
      <c r="B753" s="122">
        <v>24</v>
      </c>
      <c r="C753" s="76"/>
      <c r="D753" s="78" t="s">
        <v>118</v>
      </c>
      <c r="E753" s="78">
        <v>8</v>
      </c>
      <c r="F753" s="85">
        <v>224</v>
      </c>
      <c r="G753" s="85">
        <v>2</v>
      </c>
      <c r="H753" s="78">
        <v>460</v>
      </c>
      <c r="I753" s="78">
        <v>6</v>
      </c>
      <c r="J753" s="78">
        <v>0</v>
      </c>
      <c r="K753" s="78">
        <v>4</v>
      </c>
      <c r="L753" s="78">
        <v>0</v>
      </c>
      <c r="M753" s="78">
        <v>5</v>
      </c>
      <c r="N753" s="78">
        <v>0</v>
      </c>
      <c r="P753" s="122">
        <f t="shared" si="68"/>
        <v>1150</v>
      </c>
      <c r="Q753" s="122">
        <f t="shared" si="69"/>
        <v>0</v>
      </c>
      <c r="R753" s="158">
        <f t="shared" si="70"/>
        <v>1</v>
      </c>
      <c r="S753" s="186" t="str">
        <f>D753</f>
        <v>HL-6 Ambient</v>
      </c>
      <c r="T753" s="79"/>
      <c r="U753" s="79"/>
      <c r="V753" s="79"/>
      <c r="Y753" s="85" t="str">
        <f>D753</f>
        <v>HL-6 Ambient</v>
      </c>
      <c r="Z753" s="333">
        <f>SUMIFS($P$633:$P$696, $D$633:$D$696, Y753, $F$633:$F$696, "&lt;200") + SUMIFS($Q$633:$Q$696, $D$633:$D$696, Y753, $F$633:$F$696, "&lt;200")</f>
        <v>3280.5555555555557</v>
      </c>
      <c r="AA753" s="122">
        <f>SUM(P753:Q756)</f>
        <v>2693.3333333333335</v>
      </c>
      <c r="AB753" s="122">
        <f>SUMIFS(Collection!O:O, Collection!B:B, "*" &amp; 'Bucket Counts'!Y753 &amp; "*", Collection!A:A, "&lt;" &amp; 'Bucket Counts'!A753,Collection!A:A,  "&gt;=" &amp; 'Bucket Counts'!$A$633)</f>
        <v>0</v>
      </c>
      <c r="AC753" s="158">
        <f>AA753/(Z753+AB753)</f>
        <v>0.82099915325994921</v>
      </c>
    </row>
    <row r="754" spans="1:29" s="78" customFormat="1" x14ac:dyDescent="0.2">
      <c r="A754" s="75">
        <v>42926</v>
      </c>
      <c r="B754" s="122">
        <v>24</v>
      </c>
      <c r="C754" s="76"/>
      <c r="D754" s="78" t="s">
        <v>118</v>
      </c>
      <c r="E754" s="78">
        <v>8</v>
      </c>
      <c r="F754" s="85">
        <v>180</v>
      </c>
      <c r="G754" s="85">
        <v>2</v>
      </c>
      <c r="H754" s="78">
        <v>250</v>
      </c>
      <c r="I754" s="78">
        <v>10</v>
      </c>
      <c r="J754" s="78">
        <v>1</v>
      </c>
      <c r="K754" s="78">
        <v>6</v>
      </c>
      <c r="L754" s="78">
        <v>2</v>
      </c>
      <c r="M754" s="78">
        <v>4</v>
      </c>
      <c r="N754" s="78">
        <v>3</v>
      </c>
      <c r="P754" s="122">
        <f t="shared" si="68"/>
        <v>833.33333333333337</v>
      </c>
      <c r="Q754" s="122">
        <f t="shared" si="69"/>
        <v>250</v>
      </c>
      <c r="R754" s="158">
        <f t="shared" si="70"/>
        <v>0.76923076923076916</v>
      </c>
      <c r="S754" s="184">
        <f>(SUM(P753:P756)/(SUM(P753:Q756)))</f>
        <v>0.7902227722772277</v>
      </c>
      <c r="T754" s="79"/>
      <c r="Y754" s="85"/>
      <c r="Z754" s="333"/>
      <c r="AA754" s="122"/>
      <c r="AB754" s="122"/>
    </row>
    <row r="755" spans="1:29" s="78" customFormat="1" x14ac:dyDescent="0.2">
      <c r="A755" s="75">
        <v>42926</v>
      </c>
      <c r="B755" s="122">
        <v>24</v>
      </c>
      <c r="C755" s="76"/>
      <c r="D755" s="78" t="s">
        <v>118</v>
      </c>
      <c r="E755" s="78">
        <v>8</v>
      </c>
      <c r="F755" s="85">
        <v>100</v>
      </c>
      <c r="G755" s="85">
        <v>2</v>
      </c>
      <c r="H755" s="78">
        <v>290</v>
      </c>
      <c r="I755" s="78">
        <v>0</v>
      </c>
      <c r="J755" s="78">
        <v>0</v>
      </c>
      <c r="K755" s="78">
        <v>2</v>
      </c>
      <c r="L755" s="78">
        <v>0</v>
      </c>
      <c r="M755" s="78">
        <v>1</v>
      </c>
      <c r="N755" s="78">
        <v>0</v>
      </c>
      <c r="P755" s="122">
        <f t="shared" si="68"/>
        <v>145</v>
      </c>
      <c r="Q755" s="122">
        <f t="shared" si="69"/>
        <v>0</v>
      </c>
      <c r="R755" s="158">
        <f t="shared" si="70"/>
        <v>1</v>
      </c>
      <c r="S755" s="185"/>
      <c r="T755" s="79"/>
      <c r="Y755" s="85"/>
      <c r="Z755" s="333"/>
      <c r="AA755" s="122"/>
      <c r="AB755" s="122"/>
    </row>
    <row r="756" spans="1:29" s="78" customFormat="1" x14ac:dyDescent="0.2">
      <c r="A756" s="75">
        <v>42926</v>
      </c>
      <c r="B756" s="122">
        <v>24</v>
      </c>
      <c r="C756" s="76"/>
      <c r="D756" s="78" t="s">
        <v>118</v>
      </c>
      <c r="E756" s="78">
        <v>8</v>
      </c>
      <c r="F756" s="85" t="s">
        <v>201</v>
      </c>
      <c r="G756" s="85">
        <v>2</v>
      </c>
      <c r="H756" s="78">
        <v>270</v>
      </c>
      <c r="I756" s="78">
        <v>0</v>
      </c>
      <c r="J756" s="78">
        <v>2</v>
      </c>
      <c r="K756" s="78">
        <v>0</v>
      </c>
      <c r="L756" s="78">
        <v>4</v>
      </c>
      <c r="M756" s="78">
        <v>0</v>
      </c>
      <c r="N756" s="78">
        <v>1</v>
      </c>
      <c r="P756" s="122">
        <f t="shared" si="68"/>
        <v>0</v>
      </c>
      <c r="Q756" s="122">
        <f t="shared" si="69"/>
        <v>315</v>
      </c>
      <c r="R756" s="158">
        <f t="shared" si="70"/>
        <v>0</v>
      </c>
      <c r="S756" s="185"/>
      <c r="T756" s="79"/>
      <c r="Y756" s="85"/>
      <c r="Z756" s="333"/>
      <c r="AA756" s="122"/>
      <c r="AB756" s="122"/>
    </row>
    <row r="757" spans="1:29" s="78" customFormat="1" x14ac:dyDescent="0.2">
      <c r="A757" s="75">
        <v>42926</v>
      </c>
      <c r="B757" s="412">
        <v>8</v>
      </c>
      <c r="C757" s="76"/>
      <c r="D757" s="77" t="s">
        <v>85</v>
      </c>
      <c r="E757" s="78">
        <v>8</v>
      </c>
      <c r="F757" s="85">
        <v>224</v>
      </c>
      <c r="G757" s="85" t="s">
        <v>352</v>
      </c>
      <c r="P757" s="122">
        <v>7</v>
      </c>
      <c r="Q757" s="122">
        <v>14</v>
      </c>
      <c r="R757" s="158">
        <f t="shared" si="70"/>
        <v>0.33333333333333331</v>
      </c>
      <c r="S757" s="186" t="str">
        <f>D757</f>
        <v>NF-6 Ambient</v>
      </c>
      <c r="T757" s="79"/>
      <c r="Y757" s="85" t="str">
        <f>D757</f>
        <v>NF-6 Ambient</v>
      </c>
      <c r="Z757" s="333">
        <f>SUMIFS($P$633:$P$696, $D$633:$D$696, Y757, $F$633:$F$696, "&lt;200") + SUMIFS($Q$633:$Q$696, $D$633:$D$696, Y757, $F$633:$F$696, "&lt;200")</f>
        <v>200</v>
      </c>
      <c r="AA757" s="122">
        <f>SUM(P757:Q760)</f>
        <v>186.88888888888889</v>
      </c>
      <c r="AB757" s="122">
        <f>SUMIFS(Collection!O:O, Collection!B:B, "*" &amp; 'Bucket Counts'!Y757 &amp; "*", Collection!A:A, "&lt;" &amp; 'Bucket Counts'!A757,Collection!A:A,  "&gt;=" &amp; 'Bucket Counts'!$A$633)</f>
        <v>0</v>
      </c>
      <c r="AC757" s="158">
        <f>AA757/(Z757+AB757)</f>
        <v>0.93444444444444441</v>
      </c>
    </row>
    <row r="758" spans="1:29" s="78" customFormat="1" x14ac:dyDescent="0.2">
      <c r="A758" s="75">
        <v>42926</v>
      </c>
      <c r="B758" s="412">
        <v>8</v>
      </c>
      <c r="C758" s="76"/>
      <c r="D758" s="77" t="s">
        <v>85</v>
      </c>
      <c r="E758" s="78">
        <v>8</v>
      </c>
      <c r="F758" s="85">
        <v>180</v>
      </c>
      <c r="G758" s="85" t="s">
        <v>352</v>
      </c>
      <c r="P758" s="298">
        <v>13</v>
      </c>
      <c r="Q758" s="122">
        <v>29</v>
      </c>
      <c r="R758" s="158">
        <f t="shared" si="70"/>
        <v>0.30952380952380953</v>
      </c>
      <c r="S758" s="184">
        <f>(SUM(P757:P760)/(SUM(P757:Q760)))</f>
        <v>0.1070154577883472</v>
      </c>
      <c r="T758" s="79"/>
      <c r="W758" s="297" t="s">
        <v>355</v>
      </c>
      <c r="Y758" s="85"/>
      <c r="Z758" s="333"/>
      <c r="AA758" s="122"/>
      <c r="AB758" s="122"/>
    </row>
    <row r="759" spans="1:29" s="78" customFormat="1" x14ac:dyDescent="0.2">
      <c r="A759" s="75">
        <v>42926</v>
      </c>
      <c r="B759" s="412">
        <v>8</v>
      </c>
      <c r="C759" s="76"/>
      <c r="D759" s="77" t="s">
        <v>85</v>
      </c>
      <c r="E759" s="78">
        <v>8</v>
      </c>
      <c r="F759" s="85">
        <v>100</v>
      </c>
      <c r="G759" s="85">
        <v>3</v>
      </c>
      <c r="H759" s="78">
        <v>275</v>
      </c>
      <c r="I759" s="78">
        <v>0</v>
      </c>
      <c r="J759" s="78">
        <v>1</v>
      </c>
      <c r="K759" s="78">
        <v>0</v>
      </c>
      <c r="L759" s="78">
        <v>0</v>
      </c>
      <c r="M759" s="78">
        <v>0</v>
      </c>
      <c r="N759" s="78">
        <v>0</v>
      </c>
      <c r="P759" s="122">
        <f t="shared" si="68"/>
        <v>0</v>
      </c>
      <c r="Q759" s="122">
        <f t="shared" si="69"/>
        <v>30.555555555555554</v>
      </c>
      <c r="R759" s="158">
        <f t="shared" si="70"/>
        <v>0</v>
      </c>
      <c r="S759" s="185"/>
      <c r="T759" s="79"/>
      <c r="W759" s="297" t="s">
        <v>356</v>
      </c>
      <c r="Y759" s="85"/>
      <c r="Z759" s="333"/>
      <c r="AA759" s="122"/>
      <c r="AB759" s="122"/>
    </row>
    <row r="760" spans="1:29" s="83" customFormat="1" ht="17" thickBot="1" x14ac:dyDescent="0.25">
      <c r="A760" s="152">
        <v>42926</v>
      </c>
      <c r="B760" s="412">
        <v>8</v>
      </c>
      <c r="C760" s="81"/>
      <c r="D760" s="77" t="s">
        <v>85</v>
      </c>
      <c r="E760" s="78">
        <v>8</v>
      </c>
      <c r="F760" s="138" t="s">
        <v>201</v>
      </c>
      <c r="G760" s="138">
        <v>2</v>
      </c>
      <c r="H760" s="83">
        <v>280</v>
      </c>
      <c r="I760" s="83">
        <v>0</v>
      </c>
      <c r="J760" s="83">
        <v>0</v>
      </c>
      <c r="K760" s="83">
        <v>0</v>
      </c>
      <c r="L760" s="83">
        <v>1</v>
      </c>
      <c r="M760" s="83">
        <v>0</v>
      </c>
      <c r="N760" s="83">
        <v>1</v>
      </c>
      <c r="P760" s="122">
        <f t="shared" si="68"/>
        <v>0</v>
      </c>
      <c r="Q760" s="122">
        <f t="shared" si="69"/>
        <v>93.333333333333329</v>
      </c>
      <c r="R760" s="161">
        <f t="shared" si="70"/>
        <v>0</v>
      </c>
      <c r="S760" s="196"/>
      <c r="Y760" s="138"/>
      <c r="Z760" s="335"/>
      <c r="AA760" s="139"/>
      <c r="AB760" s="139"/>
    </row>
    <row r="761" spans="1:29" s="237" customFormat="1" ht="17" thickBot="1" x14ac:dyDescent="0.25">
      <c r="A761" s="299">
        <v>42929</v>
      </c>
      <c r="B761" s="416">
        <v>12</v>
      </c>
      <c r="C761" s="235"/>
      <c r="D761" s="266" t="s">
        <v>83</v>
      </c>
      <c r="F761" s="238">
        <v>224</v>
      </c>
      <c r="G761" s="238" t="s">
        <v>352</v>
      </c>
      <c r="P761" s="118">
        <v>0</v>
      </c>
      <c r="Q761" s="118">
        <v>0</v>
      </c>
      <c r="R761" s="240" t="e">
        <f t="shared" si="70"/>
        <v>#DIV/0!</v>
      </c>
      <c r="S761" s="241" t="str">
        <f>D761</f>
        <v>NF-10 Low</v>
      </c>
      <c r="T761" s="242"/>
      <c r="U761" s="242"/>
      <c r="V761" s="242"/>
      <c r="Y761" s="87" t="str">
        <f>D761</f>
        <v>NF-10 Low</v>
      </c>
      <c r="Z761" s="323">
        <f>SUMIFS($P$697:$P$760, $D$697:$D$760, Y761, $F$697:$F$760, "&lt;200") + SUMIFS($Q$697:$Q$760, $D$697:$D$760, Y761, $F$697:$F$760, "&lt;200")</f>
        <v>16193.333333333332</v>
      </c>
      <c r="AA761" s="118">
        <f>SUM(P761:Q764)</f>
        <v>2982.2222222222222</v>
      </c>
      <c r="AB761" s="118">
        <f>SUMIFS(Collection!O:O, Collection!B:B, "*" &amp; 'Bucket Counts'!Y761 &amp; "*", Collection!A:A, "&lt;" &amp; 'Bucket Counts'!A761,Collection!A:A,  "&gt;=" &amp; 'Bucket Counts'!$A$697)</f>
        <v>0</v>
      </c>
      <c r="AC761" s="104">
        <f>AA761/(Z761+AB761)</f>
        <v>0.1841635789762591</v>
      </c>
    </row>
    <row r="762" spans="1:29" s="60" customFormat="1" ht="17" thickBot="1" x14ac:dyDescent="0.25">
      <c r="A762" s="300">
        <v>42929</v>
      </c>
      <c r="B762" s="416">
        <v>12</v>
      </c>
      <c r="C762" s="58"/>
      <c r="D762" s="266" t="s">
        <v>83</v>
      </c>
      <c r="E762" s="135"/>
      <c r="F762" s="87">
        <v>180</v>
      </c>
      <c r="G762" s="87">
        <v>3</v>
      </c>
      <c r="H762" s="60">
        <v>250</v>
      </c>
      <c r="I762" s="60">
        <v>6</v>
      </c>
      <c r="J762" s="60">
        <v>0</v>
      </c>
      <c r="K762" s="60">
        <v>4</v>
      </c>
      <c r="L762" s="60">
        <v>0</v>
      </c>
      <c r="M762" s="87">
        <v>2</v>
      </c>
      <c r="N762" s="60">
        <v>0</v>
      </c>
      <c r="P762" s="118">
        <f t="shared" ref="P762:P768" si="71">(AVERAGE(I762,K762,M762)/G762)*H762</f>
        <v>333.33333333333331</v>
      </c>
      <c r="Q762" s="118">
        <f t="shared" ref="Q762:Q768" si="72">(AVERAGE(J762,L762,N762)/G762)*H762</f>
        <v>0</v>
      </c>
      <c r="R762" s="104">
        <f t="shared" si="70"/>
        <v>1</v>
      </c>
      <c r="S762" s="178">
        <f>(SUM(P761:P764)/(SUM(P761:Q764)))</f>
        <v>0.52980625931445602</v>
      </c>
      <c r="T762" s="63"/>
      <c r="U762" s="63"/>
      <c r="V762" s="63"/>
      <c r="Y762" s="87"/>
      <c r="Z762" s="329"/>
      <c r="AA762" s="118"/>
      <c r="AB762" s="118"/>
    </row>
    <row r="763" spans="1:29" s="60" customFormat="1" ht="17" thickBot="1" x14ac:dyDescent="0.25">
      <c r="A763" s="86">
        <v>42929</v>
      </c>
      <c r="B763" s="416">
        <v>12</v>
      </c>
      <c r="C763" s="58"/>
      <c r="D763" s="266" t="s">
        <v>83</v>
      </c>
      <c r="E763" s="135"/>
      <c r="F763" s="87">
        <v>100</v>
      </c>
      <c r="G763" s="87">
        <v>3</v>
      </c>
      <c r="H763" s="60">
        <v>250</v>
      </c>
      <c r="I763" s="60">
        <v>14</v>
      </c>
      <c r="J763" s="60">
        <v>2</v>
      </c>
      <c r="K763" s="60">
        <v>12</v>
      </c>
      <c r="L763" s="60">
        <v>8</v>
      </c>
      <c r="M763" s="60">
        <v>16</v>
      </c>
      <c r="N763" s="60">
        <v>4</v>
      </c>
      <c r="P763" s="118">
        <f t="shared" si="71"/>
        <v>1166.6666666666667</v>
      </c>
      <c r="Q763" s="118">
        <f t="shared" si="72"/>
        <v>388.88888888888891</v>
      </c>
      <c r="R763" s="104">
        <f t="shared" si="70"/>
        <v>0.75</v>
      </c>
      <c r="S763" s="176"/>
      <c r="T763" s="63"/>
      <c r="U763" s="63"/>
      <c r="V763" s="63"/>
      <c r="Y763" s="87"/>
      <c r="Z763" s="329"/>
      <c r="AA763" s="118"/>
      <c r="AB763" s="118"/>
    </row>
    <row r="764" spans="1:29" s="60" customFormat="1" x14ac:dyDescent="0.2">
      <c r="A764" s="86">
        <v>42929</v>
      </c>
      <c r="B764" s="416">
        <v>12</v>
      </c>
      <c r="C764" s="58"/>
      <c r="D764" s="266" t="s">
        <v>83</v>
      </c>
      <c r="E764" s="135"/>
      <c r="F764" s="87" t="s">
        <v>201</v>
      </c>
      <c r="G764" s="87">
        <v>2</v>
      </c>
      <c r="H764" s="60">
        <v>160</v>
      </c>
      <c r="I764" s="60">
        <v>1</v>
      </c>
      <c r="J764" s="60">
        <v>18</v>
      </c>
      <c r="K764" s="60">
        <v>2</v>
      </c>
      <c r="L764" s="60">
        <v>10</v>
      </c>
      <c r="M764" s="60">
        <v>0</v>
      </c>
      <c r="N764" s="60">
        <v>10</v>
      </c>
      <c r="P764" s="118">
        <f t="shared" si="71"/>
        <v>80</v>
      </c>
      <c r="Q764" s="118">
        <f t="shared" si="72"/>
        <v>1013.3333333333333</v>
      </c>
      <c r="R764" s="104">
        <f t="shared" si="70"/>
        <v>7.3170731707317083E-2</v>
      </c>
      <c r="S764" s="179"/>
      <c r="T764" s="63"/>
      <c r="U764" s="63"/>
      <c r="V764" s="63"/>
      <c r="Y764" s="87"/>
      <c r="Z764" s="329"/>
      <c r="AA764" s="118"/>
      <c r="AB764" s="118"/>
    </row>
    <row r="765" spans="1:29" s="60" customFormat="1" x14ac:dyDescent="0.2">
      <c r="A765" s="86">
        <v>42929</v>
      </c>
      <c r="B765" s="118">
        <v>10</v>
      </c>
      <c r="C765" s="58"/>
      <c r="D765" s="60" t="s">
        <v>104</v>
      </c>
      <c r="E765" s="135"/>
      <c r="F765" s="87">
        <v>224</v>
      </c>
      <c r="G765" s="87">
        <v>3</v>
      </c>
      <c r="H765" s="60">
        <v>210</v>
      </c>
      <c r="I765" s="60">
        <v>2</v>
      </c>
      <c r="J765" s="60">
        <v>0</v>
      </c>
      <c r="K765" s="60">
        <v>1</v>
      </c>
      <c r="L765" s="60">
        <v>3</v>
      </c>
      <c r="M765" s="60">
        <v>1</v>
      </c>
      <c r="N765" s="60">
        <v>1</v>
      </c>
      <c r="P765" s="118">
        <f t="shared" si="71"/>
        <v>93.333333333333329</v>
      </c>
      <c r="Q765" s="118">
        <f t="shared" si="72"/>
        <v>93.333333333333329</v>
      </c>
      <c r="R765" s="104">
        <f t="shared" si="70"/>
        <v>0.5</v>
      </c>
      <c r="S765" s="180" t="str">
        <f>D765</f>
        <v>NF-6 Low</v>
      </c>
      <c r="T765" s="63"/>
      <c r="U765" s="63"/>
      <c r="V765" s="63"/>
      <c r="Y765" s="87" t="str">
        <f>D765</f>
        <v>NF-6 Low</v>
      </c>
      <c r="Z765" s="323">
        <f>SUMIFS($P$697:$P$760, $D$697:$D$760, Y765, $F$697:$F$760, "&lt;200") + SUMIFS($Q$697:$Q$760, $D$697:$D$760, Y765, $F$697:$F$760, "&lt;200")</f>
        <v>12916.666666666666</v>
      </c>
      <c r="AA765" s="118">
        <f>SUM(P765:Q768)</f>
        <v>5067.7777777777783</v>
      </c>
      <c r="AB765" s="118">
        <f>SUMIFS(Collection!O:O, Collection!B:B, "*" &amp; 'Bucket Counts'!Y765 &amp; "*", Collection!A:A, "&lt;" &amp; 'Bucket Counts'!A765,Collection!A:A,  "&gt;=" &amp; 'Bucket Counts'!$A$697)</f>
        <v>0</v>
      </c>
      <c r="AC765" s="104">
        <f>AA765/(Z765+AB765)</f>
        <v>0.39234408602150544</v>
      </c>
    </row>
    <row r="766" spans="1:29" s="60" customFormat="1" x14ac:dyDescent="0.2">
      <c r="A766" s="86">
        <v>42929</v>
      </c>
      <c r="B766" s="118">
        <v>10</v>
      </c>
      <c r="C766" s="58"/>
      <c r="D766" s="60" t="s">
        <v>104</v>
      </c>
      <c r="E766" s="135"/>
      <c r="F766" s="87">
        <v>180</v>
      </c>
      <c r="G766" s="87">
        <v>3</v>
      </c>
      <c r="H766" s="60">
        <v>220</v>
      </c>
      <c r="I766" s="60">
        <v>9</v>
      </c>
      <c r="J766" s="60">
        <v>18</v>
      </c>
      <c r="K766" s="60">
        <v>7</v>
      </c>
      <c r="L766" s="60">
        <v>22</v>
      </c>
      <c r="M766" s="60">
        <v>9</v>
      </c>
      <c r="N766" s="60">
        <v>27</v>
      </c>
      <c r="P766" s="118">
        <f t="shared" si="71"/>
        <v>611.1111111111112</v>
      </c>
      <c r="Q766" s="118">
        <f t="shared" si="72"/>
        <v>1637.7777777777776</v>
      </c>
      <c r="R766" s="104">
        <f t="shared" si="70"/>
        <v>0.27173913043478265</v>
      </c>
      <c r="S766" s="178">
        <f>(SUM(P765:P768)/(SUM(P765:Q768)))</f>
        <v>0.13900460425345321</v>
      </c>
      <c r="T766" s="63"/>
      <c r="U766" s="63"/>
      <c r="V766" s="63"/>
      <c r="Y766" s="87"/>
      <c r="Z766" s="329"/>
      <c r="AA766" s="118"/>
      <c r="AB766" s="118"/>
    </row>
    <row r="767" spans="1:29" s="60" customFormat="1" x14ac:dyDescent="0.2">
      <c r="A767" s="86">
        <v>42929</v>
      </c>
      <c r="B767" s="118">
        <v>10</v>
      </c>
      <c r="C767" s="58"/>
      <c r="D767" s="60" t="s">
        <v>104</v>
      </c>
      <c r="E767" s="135"/>
      <c r="F767" s="87">
        <v>100</v>
      </c>
      <c r="G767" s="87">
        <v>3</v>
      </c>
      <c r="H767" s="60">
        <v>230</v>
      </c>
      <c r="I767" s="60">
        <v>0</v>
      </c>
      <c r="J767" s="60">
        <v>0</v>
      </c>
      <c r="K767" s="60">
        <v>0</v>
      </c>
      <c r="L767" s="60">
        <v>0</v>
      </c>
      <c r="M767" s="60">
        <v>0</v>
      </c>
      <c r="N767" s="60">
        <v>1</v>
      </c>
      <c r="P767" s="118">
        <f t="shared" si="71"/>
        <v>0</v>
      </c>
      <c r="Q767" s="118">
        <f t="shared" si="72"/>
        <v>25.555555555555554</v>
      </c>
      <c r="R767" s="104">
        <f t="shared" si="70"/>
        <v>0</v>
      </c>
      <c r="S767" s="179"/>
      <c r="T767" s="63"/>
      <c r="U767" s="63"/>
      <c r="V767" s="63"/>
      <c r="Y767" s="87"/>
      <c r="Z767" s="329"/>
      <c r="AA767" s="118"/>
      <c r="AB767" s="118"/>
    </row>
    <row r="768" spans="1:29" s="60" customFormat="1" x14ac:dyDescent="0.2">
      <c r="A768" s="86">
        <v>42929</v>
      </c>
      <c r="B768" s="118">
        <v>10</v>
      </c>
      <c r="C768" s="58"/>
      <c r="D768" s="60" t="s">
        <v>104</v>
      </c>
      <c r="E768" s="135"/>
      <c r="F768" s="87" t="s">
        <v>201</v>
      </c>
      <c r="G768" s="87">
        <v>2</v>
      </c>
      <c r="H768" s="60">
        <v>230</v>
      </c>
      <c r="I768" s="60">
        <v>0</v>
      </c>
      <c r="J768" s="60">
        <v>27</v>
      </c>
      <c r="K768" s="60">
        <v>0</v>
      </c>
      <c r="L768" s="60">
        <v>17</v>
      </c>
      <c r="M768" s="60">
        <v>0</v>
      </c>
      <c r="N768" s="60">
        <v>24</v>
      </c>
      <c r="P768" s="118">
        <f t="shared" si="71"/>
        <v>0</v>
      </c>
      <c r="Q768" s="118">
        <f t="shared" si="72"/>
        <v>2606.666666666667</v>
      </c>
      <c r="R768" s="104">
        <f t="shared" si="70"/>
        <v>0</v>
      </c>
      <c r="S768" s="179"/>
      <c r="T768" s="63"/>
      <c r="U768" s="63"/>
      <c r="V768" s="63"/>
      <c r="Y768" s="87"/>
      <c r="Z768" s="329"/>
      <c r="AA768" s="118"/>
      <c r="AB768" s="118"/>
    </row>
    <row r="769" spans="1:29" s="60" customFormat="1" x14ac:dyDescent="0.2">
      <c r="A769" s="86">
        <v>42929</v>
      </c>
      <c r="B769" s="118">
        <v>5</v>
      </c>
      <c r="C769" s="58"/>
      <c r="D769" s="60" t="s">
        <v>86</v>
      </c>
      <c r="F769" s="87">
        <v>224</v>
      </c>
      <c r="G769" s="87" t="s">
        <v>352</v>
      </c>
      <c r="P769" s="118">
        <v>0</v>
      </c>
      <c r="Q769" s="118">
        <v>0</v>
      </c>
      <c r="R769" s="104" t="e">
        <f t="shared" si="70"/>
        <v>#DIV/0!</v>
      </c>
      <c r="S769" s="180" t="str">
        <f>D769</f>
        <v>SN-10 Ambient</v>
      </c>
      <c r="T769" s="63"/>
      <c r="U769" s="63"/>
      <c r="V769" s="63"/>
      <c r="Y769" s="87" t="str">
        <f>D769</f>
        <v>SN-10 Ambient</v>
      </c>
      <c r="Z769" s="323">
        <f>SUMIFS($P$697:$P$760, $D$697:$D$760, Y769, $F$697:$F$760, "&lt;200") + SUMIFS($Q$697:$Q$760, $D$697:$D$760, Y769, $F$697:$F$760, "&lt;200")</f>
        <v>88940.333333333328</v>
      </c>
      <c r="AA769" s="118">
        <f>SUM(P769:Q772)</f>
        <v>68736.111111111109</v>
      </c>
      <c r="AB769" s="118">
        <f>SUMIFS(Collection!O:O, Collection!B:B, "*" &amp; 'Bucket Counts'!Y769 &amp; "*", Collection!A:A, "&lt;" &amp; 'Bucket Counts'!A769,Collection!A:A,  "&gt;=" &amp; 'Bucket Counts'!$A$697)</f>
        <v>0</v>
      </c>
      <c r="AC769" s="104">
        <f>AA769/(Z769+AB769)</f>
        <v>0.77283397233850915</v>
      </c>
    </row>
    <row r="770" spans="1:29" s="60" customFormat="1" x14ac:dyDescent="0.2">
      <c r="A770" s="86">
        <v>42929</v>
      </c>
      <c r="B770" s="118">
        <v>5</v>
      </c>
      <c r="C770" s="58"/>
      <c r="D770" s="60" t="s">
        <v>86</v>
      </c>
      <c r="F770" s="87">
        <v>180</v>
      </c>
      <c r="G770" s="87">
        <v>3</v>
      </c>
      <c r="H770" s="60">
        <v>250</v>
      </c>
      <c r="I770" s="60">
        <v>1</v>
      </c>
      <c r="J770" s="60">
        <v>0</v>
      </c>
      <c r="K770" s="60">
        <v>1</v>
      </c>
      <c r="L770" s="60">
        <v>1</v>
      </c>
      <c r="M770" s="60">
        <v>0</v>
      </c>
      <c r="N770" s="60">
        <v>1</v>
      </c>
      <c r="P770" s="118">
        <f t="shared" ref="P770:P787" si="73">(AVERAGE(I770,K770,M770)/G770)*H770</f>
        <v>55.55555555555555</v>
      </c>
      <c r="Q770" s="118">
        <f t="shared" ref="Q770:Q792" si="74">(AVERAGE(J770,L770,N770)/G770)*H770</f>
        <v>55.55555555555555</v>
      </c>
      <c r="R770" s="104">
        <f t="shared" si="70"/>
        <v>0.5</v>
      </c>
      <c r="S770" s="178">
        <f>(SUM(P769:P772)/(SUM(P769:Q772)))</f>
        <v>0.66748838149121037</v>
      </c>
      <c r="T770" s="63"/>
      <c r="U770" s="63"/>
      <c r="V770" s="63"/>
      <c r="Y770" s="87"/>
      <c r="Z770" s="329"/>
      <c r="AA770" s="118"/>
      <c r="AB770" s="118"/>
    </row>
    <row r="771" spans="1:29" s="60" customFormat="1" x14ac:dyDescent="0.2">
      <c r="A771" s="86">
        <v>42929</v>
      </c>
      <c r="B771" s="118">
        <v>5</v>
      </c>
      <c r="C771" s="58"/>
      <c r="D771" s="60" t="s">
        <v>86</v>
      </c>
      <c r="F771" s="87">
        <v>100</v>
      </c>
      <c r="G771" s="87">
        <v>1</v>
      </c>
      <c r="H771" s="60">
        <v>450</v>
      </c>
      <c r="I771" s="60">
        <v>145</v>
      </c>
      <c r="J771" s="60">
        <v>13</v>
      </c>
      <c r="K771" s="60">
        <v>100</v>
      </c>
      <c r="L771" s="60">
        <v>10</v>
      </c>
      <c r="M771" s="60">
        <v>59</v>
      </c>
      <c r="N771" s="60">
        <v>6</v>
      </c>
      <c r="P771" s="118">
        <f t="shared" si="73"/>
        <v>45600</v>
      </c>
      <c r="Q771" s="118">
        <f t="shared" si="74"/>
        <v>4350</v>
      </c>
      <c r="R771" s="104">
        <f t="shared" si="70"/>
        <v>0.91291291291291288</v>
      </c>
      <c r="S771" s="179"/>
      <c r="T771" s="63"/>
      <c r="U771" s="63"/>
      <c r="V771" s="63"/>
      <c r="Y771" s="87"/>
      <c r="Z771" s="329"/>
      <c r="AA771" s="118"/>
      <c r="AB771" s="118"/>
    </row>
    <row r="772" spans="1:29" s="60" customFormat="1" x14ac:dyDescent="0.2">
      <c r="A772" s="86">
        <v>42929</v>
      </c>
      <c r="B772" s="118">
        <v>5</v>
      </c>
      <c r="C772" s="58"/>
      <c r="D772" s="60" t="s">
        <v>86</v>
      </c>
      <c r="F772" s="87" t="s">
        <v>201</v>
      </c>
      <c r="G772" s="87">
        <v>1</v>
      </c>
      <c r="H772" s="245">
        <v>225</v>
      </c>
      <c r="I772" s="60">
        <v>1</v>
      </c>
      <c r="J772" s="60">
        <v>77</v>
      </c>
      <c r="K772" s="60">
        <v>2</v>
      </c>
      <c r="L772" s="60">
        <v>81</v>
      </c>
      <c r="M772" s="60">
        <v>0</v>
      </c>
      <c r="N772" s="60">
        <v>88</v>
      </c>
      <c r="P772" s="118">
        <f t="shared" si="73"/>
        <v>225</v>
      </c>
      <c r="Q772" s="118">
        <f t="shared" si="74"/>
        <v>18450</v>
      </c>
      <c r="R772" s="104">
        <f t="shared" si="70"/>
        <v>1.2048192771084338E-2</v>
      </c>
      <c r="S772" s="179"/>
      <c r="T772" s="63"/>
      <c r="U772" s="63"/>
      <c r="V772" s="63"/>
      <c r="Y772" s="87"/>
      <c r="Z772" s="329"/>
      <c r="AA772" s="118"/>
      <c r="AB772" s="118"/>
    </row>
    <row r="773" spans="1:29" s="60" customFormat="1" x14ac:dyDescent="0.2">
      <c r="A773" s="86">
        <v>42929</v>
      </c>
      <c r="B773" s="409">
        <v>7</v>
      </c>
      <c r="C773" s="58"/>
      <c r="D773" s="59" t="s">
        <v>74</v>
      </c>
      <c r="F773" s="87">
        <v>224</v>
      </c>
      <c r="G773" s="87" t="s">
        <v>352</v>
      </c>
      <c r="H773" s="245"/>
      <c r="P773" s="118">
        <v>9</v>
      </c>
      <c r="Q773" s="118">
        <v>7</v>
      </c>
      <c r="R773" s="104">
        <f t="shared" si="70"/>
        <v>0.5625</v>
      </c>
      <c r="S773" s="180" t="str">
        <f>D773</f>
        <v>SN-10 Low</v>
      </c>
      <c r="T773" s="63"/>
      <c r="U773" s="63"/>
      <c r="V773" s="63"/>
      <c r="Y773" s="87" t="str">
        <f>D773</f>
        <v>SN-10 Low</v>
      </c>
      <c r="Z773" s="323">
        <f>SUMIFS($P$697:$P$760, $D$697:$D$760, Y773, $F$697:$F$760, "&lt;200") + SUMIFS($Q$697:$Q$760, $D$697:$D$760, Y773, $F$697:$F$760, "&lt;200")</f>
        <v>434.22222222222223</v>
      </c>
      <c r="AA773" s="118">
        <f>SUM(P773:Q776)</f>
        <v>118.77777777777777</v>
      </c>
      <c r="AB773" s="118">
        <f>SUMIFS(Collection!O:O, Collection!B:B, "*" &amp; 'Bucket Counts'!Y773 &amp; "*", Collection!A:A, "&lt;" &amp; 'Bucket Counts'!A773,Collection!A:A,  "&gt;=" &amp; 'Bucket Counts'!$A$697)</f>
        <v>0</v>
      </c>
      <c r="AC773" s="104">
        <f>AA773/(Z773+AB773)</f>
        <v>0.27354145342886382</v>
      </c>
    </row>
    <row r="774" spans="1:29" s="60" customFormat="1" x14ac:dyDescent="0.2">
      <c r="A774" s="86">
        <v>42929</v>
      </c>
      <c r="B774" s="409">
        <v>7</v>
      </c>
      <c r="C774" s="58"/>
      <c r="D774" s="59" t="s">
        <v>74</v>
      </c>
      <c r="F774" s="87">
        <v>180</v>
      </c>
      <c r="G774" s="87">
        <v>3</v>
      </c>
      <c r="H774" s="245">
        <v>250</v>
      </c>
      <c r="I774" s="60">
        <v>0</v>
      </c>
      <c r="J774" s="60">
        <v>1</v>
      </c>
      <c r="K774" s="60">
        <v>0</v>
      </c>
      <c r="L774" s="60">
        <v>0</v>
      </c>
      <c r="M774" s="60">
        <v>0</v>
      </c>
      <c r="N774" s="60">
        <v>0</v>
      </c>
      <c r="P774" s="118">
        <f t="shared" si="73"/>
        <v>0</v>
      </c>
      <c r="Q774" s="118">
        <f t="shared" si="74"/>
        <v>27.777777777777775</v>
      </c>
      <c r="R774" s="104">
        <f t="shared" si="70"/>
        <v>0</v>
      </c>
      <c r="S774" s="178">
        <f>(SUM(P773:P776)/(SUM(P773:Q776)))</f>
        <v>7.5771749298409727E-2</v>
      </c>
      <c r="T774" s="63"/>
      <c r="U774" s="63"/>
      <c r="V774" s="63"/>
      <c r="Y774" s="87"/>
      <c r="Z774" s="329"/>
      <c r="AA774" s="118"/>
      <c r="AB774" s="118"/>
    </row>
    <row r="775" spans="1:29" s="60" customFormat="1" x14ac:dyDescent="0.2">
      <c r="A775" s="86">
        <v>42929</v>
      </c>
      <c r="B775" s="409">
        <v>7</v>
      </c>
      <c r="C775" s="58"/>
      <c r="D775" s="59" t="s">
        <v>74</v>
      </c>
      <c r="F775" s="87">
        <v>100</v>
      </c>
      <c r="G775" s="87">
        <v>3</v>
      </c>
      <c r="H775" s="245">
        <v>225</v>
      </c>
      <c r="I775" s="60">
        <v>0</v>
      </c>
      <c r="J775" s="60">
        <v>0</v>
      </c>
      <c r="K775" s="60">
        <v>0</v>
      </c>
      <c r="L775" s="60">
        <v>1</v>
      </c>
      <c r="M775" s="60">
        <v>0</v>
      </c>
      <c r="N775" s="60">
        <v>2</v>
      </c>
      <c r="P775" s="118">
        <f t="shared" si="73"/>
        <v>0</v>
      </c>
      <c r="Q775" s="118">
        <f t="shared" si="74"/>
        <v>75</v>
      </c>
      <c r="R775" s="104">
        <f t="shared" si="70"/>
        <v>0</v>
      </c>
      <c r="S775" s="179"/>
      <c r="T775" s="63"/>
      <c r="U775" s="63"/>
      <c r="V775" s="63"/>
      <c r="Y775" s="87"/>
      <c r="Z775" s="329"/>
      <c r="AA775" s="118"/>
      <c r="AB775" s="118"/>
    </row>
    <row r="776" spans="1:29" s="60" customFormat="1" x14ac:dyDescent="0.2">
      <c r="A776" s="86">
        <v>42929</v>
      </c>
      <c r="B776" s="409">
        <v>7</v>
      </c>
      <c r="C776" s="58"/>
      <c r="D776" s="59" t="s">
        <v>74</v>
      </c>
      <c r="F776" s="87" t="s">
        <v>201</v>
      </c>
      <c r="G776" s="301" t="s">
        <v>357</v>
      </c>
      <c r="H776" s="245"/>
      <c r="P776" s="302">
        <v>0</v>
      </c>
      <c r="Q776" s="302">
        <v>0</v>
      </c>
      <c r="R776" s="104" t="e">
        <f t="shared" si="70"/>
        <v>#DIV/0!</v>
      </c>
      <c r="S776" s="179"/>
      <c r="T776" s="63"/>
      <c r="U776" s="63"/>
      <c r="V776" s="63"/>
      <c r="Y776" s="87"/>
      <c r="Z776" s="329"/>
      <c r="AA776" s="118"/>
      <c r="AB776" s="118"/>
    </row>
    <row r="777" spans="1:29" s="60" customFormat="1" x14ac:dyDescent="0.2">
      <c r="A777" s="86">
        <v>42929</v>
      </c>
      <c r="B777" s="118">
        <v>17</v>
      </c>
      <c r="C777" s="58"/>
      <c r="D777" s="60" t="s">
        <v>38</v>
      </c>
      <c r="F777" s="87">
        <v>224</v>
      </c>
      <c r="G777" s="87">
        <v>3</v>
      </c>
      <c r="H777" s="245">
        <v>225</v>
      </c>
      <c r="I777" s="60">
        <v>1</v>
      </c>
      <c r="J777" s="60">
        <v>0</v>
      </c>
      <c r="K777" s="60">
        <v>1</v>
      </c>
      <c r="L777" s="60">
        <v>0</v>
      </c>
      <c r="M777" s="60">
        <v>0</v>
      </c>
      <c r="N777" s="60">
        <v>0</v>
      </c>
      <c r="P777" s="118">
        <f t="shared" si="73"/>
        <v>50</v>
      </c>
      <c r="Q777" s="118">
        <f t="shared" si="74"/>
        <v>0</v>
      </c>
      <c r="R777" s="104">
        <f t="shared" si="70"/>
        <v>1</v>
      </c>
      <c r="S777" s="180" t="str">
        <f>D777</f>
        <v>K-6 Ambient</v>
      </c>
      <c r="T777" s="63"/>
      <c r="U777" s="63"/>
      <c r="V777" s="63"/>
      <c r="Y777" s="87" t="str">
        <f>D777</f>
        <v>K-6 Ambient</v>
      </c>
      <c r="Z777" s="323">
        <f>SUMIFS($P$697:$P$760, $D$697:$D$760, Y777, $F$697:$F$760, "&lt;200") + SUMIFS($Q$697:$Q$760, $D$697:$D$760, Y777, $F$697:$F$760, "&lt;200")</f>
        <v>8229.1666666666661</v>
      </c>
      <c r="AA777" s="118">
        <f>SUM(P777:Q780)</f>
        <v>8237.5</v>
      </c>
      <c r="AB777" s="118">
        <f>SUMIFS(Collection!O:O, Collection!B:B, "*" &amp; 'Bucket Counts'!Y777 &amp; "*", Collection!A:A, "&lt;" &amp; 'Bucket Counts'!A777,Collection!A:A,  "&gt;=" &amp; 'Bucket Counts'!$A$697)</f>
        <v>0</v>
      </c>
      <c r="AC777" s="104">
        <f>AA777/(Z777+AB777)</f>
        <v>1.0010126582278482</v>
      </c>
    </row>
    <row r="778" spans="1:29" s="60" customFormat="1" x14ac:dyDescent="0.2">
      <c r="A778" s="86">
        <v>42929</v>
      </c>
      <c r="B778" s="118">
        <v>17</v>
      </c>
      <c r="C778" s="58"/>
      <c r="D778" s="60" t="s">
        <v>38</v>
      </c>
      <c r="F778" s="87">
        <v>180</v>
      </c>
      <c r="G778" s="87">
        <v>1</v>
      </c>
      <c r="H778" s="245">
        <v>275</v>
      </c>
      <c r="I778" s="60">
        <v>5</v>
      </c>
      <c r="J778" s="60">
        <v>7</v>
      </c>
      <c r="K778" s="60">
        <v>5</v>
      </c>
      <c r="L778" s="60">
        <v>2</v>
      </c>
      <c r="M778" s="60">
        <v>15</v>
      </c>
      <c r="N778" s="60">
        <v>7</v>
      </c>
      <c r="P778" s="118">
        <f t="shared" si="73"/>
        <v>2291.666666666667</v>
      </c>
      <c r="Q778" s="118">
        <f t="shared" si="74"/>
        <v>1466.6666666666665</v>
      </c>
      <c r="R778" s="104">
        <f t="shared" si="70"/>
        <v>0.60975609756097571</v>
      </c>
      <c r="S778" s="178">
        <f>(SUM(P777:P780)/(SUM(P777:Q780)))</f>
        <v>0.34344967121901876</v>
      </c>
      <c r="T778" s="63"/>
      <c r="U778" s="63"/>
      <c r="V778" s="63"/>
      <c r="Y778" s="87"/>
      <c r="Z778" s="329"/>
      <c r="AA778" s="118"/>
      <c r="AB778" s="118"/>
    </row>
    <row r="779" spans="1:29" s="60" customFormat="1" x14ac:dyDescent="0.2">
      <c r="A779" s="86">
        <v>42929</v>
      </c>
      <c r="B779" s="118">
        <v>17</v>
      </c>
      <c r="C779" s="58"/>
      <c r="D779" s="60" t="s">
        <v>38</v>
      </c>
      <c r="F779" s="87">
        <v>100</v>
      </c>
      <c r="G779" s="87">
        <v>2</v>
      </c>
      <c r="H779" s="245">
        <v>225</v>
      </c>
      <c r="I779" s="60">
        <v>6</v>
      </c>
      <c r="J779" s="60">
        <v>1</v>
      </c>
      <c r="K779" s="60">
        <v>2</v>
      </c>
      <c r="L779" s="60">
        <v>1</v>
      </c>
      <c r="M779" s="60">
        <v>5</v>
      </c>
      <c r="N779" s="60">
        <v>0</v>
      </c>
      <c r="P779" s="118">
        <f t="shared" si="73"/>
        <v>487.49999999999994</v>
      </c>
      <c r="Q779" s="118">
        <f t="shared" si="74"/>
        <v>75</v>
      </c>
      <c r="R779" s="104">
        <f t="shared" si="70"/>
        <v>0.86666666666666659</v>
      </c>
      <c r="S779" s="179"/>
      <c r="T779" s="63"/>
      <c r="U779" s="63"/>
      <c r="V779" s="63"/>
      <c r="Y779" s="87"/>
      <c r="Z779" s="329"/>
      <c r="AA779" s="118"/>
      <c r="AB779" s="118"/>
    </row>
    <row r="780" spans="1:29" s="60" customFormat="1" x14ac:dyDescent="0.2">
      <c r="A780" s="86">
        <v>42929</v>
      </c>
      <c r="B780" s="118">
        <v>17</v>
      </c>
      <c r="C780" s="58"/>
      <c r="D780" s="60" t="s">
        <v>38</v>
      </c>
      <c r="F780" s="87" t="s">
        <v>201</v>
      </c>
      <c r="G780" s="87">
        <v>1</v>
      </c>
      <c r="H780" s="245">
        <v>200</v>
      </c>
      <c r="I780" s="60">
        <v>0</v>
      </c>
      <c r="J780" s="60">
        <v>15</v>
      </c>
      <c r="K780" s="60">
        <v>0</v>
      </c>
      <c r="L780" s="60">
        <v>18</v>
      </c>
      <c r="M780" s="60">
        <v>0</v>
      </c>
      <c r="N780" s="60">
        <v>25</v>
      </c>
      <c r="P780" s="118">
        <f t="shared" si="73"/>
        <v>0</v>
      </c>
      <c r="Q780" s="118">
        <f t="shared" si="74"/>
        <v>3866.6666666666665</v>
      </c>
      <c r="R780" s="104">
        <f t="shared" si="70"/>
        <v>0</v>
      </c>
      <c r="S780" s="179"/>
      <c r="T780" s="63"/>
      <c r="U780" s="63"/>
      <c r="V780" s="63"/>
      <c r="Y780" s="87"/>
      <c r="Z780" s="329"/>
      <c r="AA780" s="118"/>
      <c r="AB780" s="118"/>
    </row>
    <row r="781" spans="1:29" s="60" customFormat="1" x14ac:dyDescent="0.2">
      <c r="A781" s="86">
        <v>42929</v>
      </c>
      <c r="B781" s="418">
        <v>23</v>
      </c>
      <c r="C781" s="58"/>
      <c r="D781" s="267" t="s">
        <v>21</v>
      </c>
      <c r="F781" s="87">
        <v>224</v>
      </c>
      <c r="G781" s="87">
        <v>2</v>
      </c>
      <c r="H781" s="245">
        <v>220</v>
      </c>
      <c r="I781" s="60">
        <v>4</v>
      </c>
      <c r="J781" s="60">
        <v>1</v>
      </c>
      <c r="K781" s="60">
        <v>2</v>
      </c>
      <c r="L781" s="60">
        <v>0</v>
      </c>
      <c r="M781" s="60">
        <v>0</v>
      </c>
      <c r="N781" s="60">
        <v>0</v>
      </c>
      <c r="P781" s="118">
        <f t="shared" si="73"/>
        <v>220</v>
      </c>
      <c r="Q781" s="118">
        <f t="shared" si="74"/>
        <v>36.666666666666664</v>
      </c>
      <c r="R781" s="104">
        <f t="shared" si="70"/>
        <v>0.8571428571428571</v>
      </c>
      <c r="S781" s="180" t="str">
        <f>D781</f>
        <v>HL-6 Low</v>
      </c>
      <c r="T781" s="63"/>
      <c r="U781" s="63"/>
      <c r="V781" s="63"/>
      <c r="Y781" s="87" t="str">
        <f>D781</f>
        <v>HL-6 Low</v>
      </c>
      <c r="Z781" s="323">
        <f>SUMIFS($P$697:$P$760, $D$697:$D$760, Y781, $F$697:$F$760, "&lt;200") + SUMIFS($Q$697:$Q$760, $D$697:$D$760, Y781, $F$697:$F$760, "&lt;200")</f>
        <v>7800</v>
      </c>
      <c r="AA781" s="118">
        <f>SUM(P781:Q784)</f>
        <v>9373.3333333333339</v>
      </c>
      <c r="AB781" s="118">
        <f>SUMIFS(Collection!O:O, Collection!B:B, "*" &amp; 'Bucket Counts'!Y781 &amp; "*", Collection!A:A, "&lt;" &amp; 'Bucket Counts'!A781,Collection!A:A,  "&gt;=" &amp; 'Bucket Counts'!$A$697)</f>
        <v>0</v>
      </c>
      <c r="AC781" s="104">
        <f>AA781/(Z781+AB781)</f>
        <v>1.2017094017094019</v>
      </c>
    </row>
    <row r="782" spans="1:29" s="60" customFormat="1" x14ac:dyDescent="0.2">
      <c r="A782" s="86">
        <v>42929</v>
      </c>
      <c r="B782" s="418">
        <v>23</v>
      </c>
      <c r="C782" s="58"/>
      <c r="D782" s="267" t="s">
        <v>21</v>
      </c>
      <c r="F782" s="87">
        <v>180</v>
      </c>
      <c r="G782" s="87">
        <v>1</v>
      </c>
      <c r="H782" s="245">
        <v>300</v>
      </c>
      <c r="I782" s="60">
        <v>14</v>
      </c>
      <c r="J782" s="60">
        <v>3</v>
      </c>
      <c r="K782" s="60">
        <v>13</v>
      </c>
      <c r="L782" s="60">
        <v>0</v>
      </c>
      <c r="M782" s="60">
        <v>15</v>
      </c>
      <c r="N782" s="60">
        <v>0</v>
      </c>
      <c r="P782" s="118">
        <f t="shared" si="73"/>
        <v>4200</v>
      </c>
      <c r="Q782" s="118">
        <f t="shared" si="74"/>
        <v>300</v>
      </c>
      <c r="R782" s="104">
        <f t="shared" si="70"/>
        <v>0.93333333333333335</v>
      </c>
      <c r="S782" s="178">
        <f>(SUM(P781:P784)/(SUM(P781:Q784)))</f>
        <v>0.51155761024182078</v>
      </c>
      <c r="T782" s="63"/>
      <c r="Y782" s="87"/>
      <c r="Z782" s="329"/>
      <c r="AA782" s="118"/>
      <c r="AB782" s="118"/>
    </row>
    <row r="783" spans="1:29" s="60" customFormat="1" x14ac:dyDescent="0.2">
      <c r="A783" s="86">
        <v>42929</v>
      </c>
      <c r="B783" s="418">
        <v>23</v>
      </c>
      <c r="C783" s="58"/>
      <c r="D783" s="267" t="s">
        <v>21</v>
      </c>
      <c r="F783" s="87">
        <v>100</v>
      </c>
      <c r="G783" s="87">
        <v>2</v>
      </c>
      <c r="H783" s="245">
        <v>225</v>
      </c>
      <c r="I783" s="60">
        <v>5</v>
      </c>
      <c r="J783" s="60">
        <v>0</v>
      </c>
      <c r="K783" s="60">
        <v>4</v>
      </c>
      <c r="L783" s="60">
        <v>0</v>
      </c>
      <c r="M783" s="60">
        <v>1</v>
      </c>
      <c r="N783" s="60">
        <v>2</v>
      </c>
      <c r="P783" s="118">
        <f t="shared" si="73"/>
        <v>375</v>
      </c>
      <c r="Q783" s="118">
        <f t="shared" si="74"/>
        <v>75</v>
      </c>
      <c r="R783" s="104">
        <f t="shared" si="70"/>
        <v>0.83333333333333337</v>
      </c>
      <c r="S783" s="179"/>
      <c r="T783" s="63"/>
      <c r="Y783" s="87"/>
      <c r="Z783" s="329"/>
      <c r="AA783" s="118"/>
      <c r="AB783" s="118"/>
    </row>
    <row r="784" spans="1:29" s="60" customFormat="1" x14ac:dyDescent="0.2">
      <c r="A784" s="86">
        <v>42929</v>
      </c>
      <c r="B784" s="418">
        <v>23</v>
      </c>
      <c r="C784" s="58"/>
      <c r="D784" s="267" t="s">
        <v>21</v>
      </c>
      <c r="F784" s="87" t="s">
        <v>201</v>
      </c>
      <c r="G784" s="87">
        <v>1</v>
      </c>
      <c r="H784" s="245">
        <v>250</v>
      </c>
      <c r="I784" s="60">
        <v>0</v>
      </c>
      <c r="J784" s="60">
        <v>17</v>
      </c>
      <c r="K784" s="60">
        <v>0</v>
      </c>
      <c r="L784" s="60">
        <v>19</v>
      </c>
      <c r="M784" s="60">
        <v>0</v>
      </c>
      <c r="N784" s="60">
        <v>14</v>
      </c>
      <c r="P784" s="118">
        <f t="shared" si="73"/>
        <v>0</v>
      </c>
      <c r="Q784" s="118">
        <f t="shared" si="74"/>
        <v>4166.666666666667</v>
      </c>
      <c r="R784" s="104">
        <f t="shared" si="70"/>
        <v>0</v>
      </c>
      <c r="S784" s="179"/>
      <c r="T784" s="63"/>
      <c r="Y784" s="87"/>
      <c r="Z784" s="329"/>
      <c r="AA784" s="118"/>
      <c r="AB784" s="118"/>
    </row>
    <row r="785" spans="1:29" s="60" customFormat="1" x14ac:dyDescent="0.2">
      <c r="A785" s="86">
        <v>42929</v>
      </c>
      <c r="B785" s="409">
        <v>24</v>
      </c>
      <c r="C785" s="58"/>
      <c r="D785" s="59" t="s">
        <v>118</v>
      </c>
      <c r="F785" s="87">
        <v>224</v>
      </c>
      <c r="G785" s="87">
        <v>2</v>
      </c>
      <c r="H785" s="245">
        <v>225</v>
      </c>
      <c r="I785" s="60">
        <v>0</v>
      </c>
      <c r="J785" s="60">
        <v>1</v>
      </c>
      <c r="K785" s="60">
        <v>0</v>
      </c>
      <c r="L785" s="60">
        <v>0</v>
      </c>
      <c r="M785" s="60">
        <v>3</v>
      </c>
      <c r="N785" s="60">
        <v>0</v>
      </c>
      <c r="P785" s="118">
        <f t="shared" si="73"/>
        <v>112.5</v>
      </c>
      <c r="Q785" s="118">
        <f t="shared" si="74"/>
        <v>37.5</v>
      </c>
      <c r="R785" s="104">
        <f t="shared" si="70"/>
        <v>0.75</v>
      </c>
      <c r="S785" s="177" t="str">
        <f>D785</f>
        <v>HL-6 Ambient</v>
      </c>
      <c r="T785" s="63"/>
      <c r="Y785" s="87" t="str">
        <f>D785</f>
        <v>HL-6 Ambient</v>
      </c>
      <c r="Z785" s="323">
        <f>SUMIFS($P$697:$P$760, $D$697:$D$760, Y785, $F$697:$F$760, "&lt;200") + SUMIFS($Q$697:$Q$760, $D$697:$D$760, Y785, $F$697:$F$760, "&lt;200")</f>
        <v>1228.3333333333335</v>
      </c>
      <c r="AA785" s="118">
        <f>SUM(P785:Q788)</f>
        <v>1538.8888888888889</v>
      </c>
      <c r="AB785" s="118">
        <f>SUMIFS(Collection!O:O, Collection!B:B, "*" &amp; 'Bucket Counts'!Y785 &amp; "*", Collection!A:A, "&lt;" &amp; 'Bucket Counts'!A785,Collection!A:A,  "&gt;=" &amp; 'Bucket Counts'!$A$697)</f>
        <v>0</v>
      </c>
      <c r="AC785" s="104">
        <f>AA785/(Z785+AB785)</f>
        <v>1.2528267752148348</v>
      </c>
    </row>
    <row r="786" spans="1:29" s="60" customFormat="1" x14ac:dyDescent="0.2">
      <c r="A786" s="86">
        <v>42929</v>
      </c>
      <c r="B786" s="409">
        <v>24</v>
      </c>
      <c r="C786" s="58"/>
      <c r="D786" s="59" t="s">
        <v>118</v>
      </c>
      <c r="F786" s="87">
        <v>180</v>
      </c>
      <c r="G786" s="87">
        <v>1</v>
      </c>
      <c r="H786" s="245">
        <v>250</v>
      </c>
      <c r="I786" s="60">
        <v>3</v>
      </c>
      <c r="J786" s="60">
        <v>0</v>
      </c>
      <c r="K786" s="60">
        <v>2</v>
      </c>
      <c r="L786" s="60">
        <v>1</v>
      </c>
      <c r="M786" s="60">
        <v>1</v>
      </c>
      <c r="N786" s="60">
        <v>1</v>
      </c>
      <c r="P786" s="118">
        <f t="shared" si="73"/>
        <v>500</v>
      </c>
      <c r="Q786" s="118">
        <f t="shared" si="74"/>
        <v>166.66666666666666</v>
      </c>
      <c r="R786" s="104">
        <f t="shared" si="70"/>
        <v>0.75</v>
      </c>
      <c r="S786" s="178">
        <f>(SUM(P785:P788)/(SUM(P785:Q788)))</f>
        <v>0.49440433212996393</v>
      </c>
      <c r="T786" s="63"/>
      <c r="Y786" s="87"/>
      <c r="Z786" s="329"/>
      <c r="AA786" s="118"/>
      <c r="AB786" s="118"/>
    </row>
    <row r="787" spans="1:29" s="60" customFormat="1" x14ac:dyDescent="0.2">
      <c r="A787" s="86">
        <v>42929</v>
      </c>
      <c r="B787" s="409">
        <v>24</v>
      </c>
      <c r="C787" s="58"/>
      <c r="D787" s="59" t="s">
        <v>118</v>
      </c>
      <c r="F787" s="87">
        <v>100</v>
      </c>
      <c r="G787" s="87">
        <v>3</v>
      </c>
      <c r="H787" s="245">
        <v>220</v>
      </c>
      <c r="I787" s="60">
        <v>1</v>
      </c>
      <c r="J787" s="60">
        <v>0</v>
      </c>
      <c r="K787" s="60">
        <v>1</v>
      </c>
      <c r="L787" s="60">
        <v>0</v>
      </c>
      <c r="M787" s="60">
        <v>1</v>
      </c>
      <c r="N787" s="60">
        <v>2</v>
      </c>
      <c r="P787" s="118">
        <f t="shared" si="73"/>
        <v>73.333333333333329</v>
      </c>
      <c r="Q787" s="118">
        <f t="shared" si="74"/>
        <v>48.888888888888886</v>
      </c>
      <c r="R787" s="104">
        <f t="shared" si="70"/>
        <v>0.6</v>
      </c>
      <c r="S787" s="176"/>
      <c r="T787" s="63"/>
      <c r="Y787" s="87"/>
      <c r="Z787" s="329"/>
      <c r="AA787" s="118"/>
      <c r="AB787" s="118"/>
    </row>
    <row r="788" spans="1:29" s="60" customFormat="1" x14ac:dyDescent="0.2">
      <c r="A788" s="86">
        <v>42929</v>
      </c>
      <c r="B788" s="409">
        <v>24</v>
      </c>
      <c r="C788" s="58"/>
      <c r="D788" s="59" t="s">
        <v>118</v>
      </c>
      <c r="F788" s="87" t="s">
        <v>201</v>
      </c>
      <c r="G788" s="87">
        <v>1</v>
      </c>
      <c r="H788" s="245">
        <v>225</v>
      </c>
      <c r="I788" s="60">
        <v>0</v>
      </c>
      <c r="J788" s="60">
        <v>2</v>
      </c>
      <c r="K788" s="60">
        <v>0</v>
      </c>
      <c r="L788" s="60">
        <v>3</v>
      </c>
      <c r="M788" s="60">
        <v>1</v>
      </c>
      <c r="N788" s="60">
        <v>2</v>
      </c>
      <c r="P788" s="118">
        <f>(AVERAGE(I788,K788,M788)/G788)*H788</f>
        <v>75</v>
      </c>
      <c r="Q788" s="118">
        <f t="shared" si="74"/>
        <v>525</v>
      </c>
      <c r="R788" s="104">
        <f t="shared" si="70"/>
        <v>0.125</v>
      </c>
      <c r="S788" s="179"/>
      <c r="T788" s="63"/>
      <c r="Y788" s="87"/>
      <c r="Z788" s="329"/>
      <c r="AA788" s="118"/>
      <c r="AB788" s="118"/>
    </row>
    <row r="789" spans="1:29" s="60" customFormat="1" x14ac:dyDescent="0.2">
      <c r="A789" s="86">
        <v>42929</v>
      </c>
      <c r="B789" s="409">
        <v>16</v>
      </c>
      <c r="C789" s="58"/>
      <c r="D789" s="59" t="s">
        <v>87</v>
      </c>
      <c r="F789" s="87">
        <v>224</v>
      </c>
      <c r="G789" s="87">
        <v>3</v>
      </c>
      <c r="H789" s="245">
        <v>220</v>
      </c>
      <c r="I789" s="60">
        <v>0</v>
      </c>
      <c r="J789" s="60">
        <v>0</v>
      </c>
      <c r="K789" s="60">
        <v>2</v>
      </c>
      <c r="L789" s="60">
        <v>0</v>
      </c>
      <c r="M789" s="60">
        <v>0</v>
      </c>
      <c r="N789" s="60">
        <v>0</v>
      </c>
      <c r="P789" s="118">
        <f>(AVERAGE(I789,K789,M789)/G789)*H789</f>
        <v>48.888888888888886</v>
      </c>
      <c r="Q789" s="118">
        <f t="shared" si="74"/>
        <v>0</v>
      </c>
      <c r="R789" s="104">
        <f t="shared" si="70"/>
        <v>1</v>
      </c>
      <c r="S789" s="180" t="str">
        <f>D789</f>
        <v>SN-6 Ambient</v>
      </c>
      <c r="T789" s="63"/>
      <c r="Y789" s="87" t="str">
        <f>D789</f>
        <v>SN-6 Ambient</v>
      </c>
      <c r="Z789" s="323">
        <f>SUMIFS($P$697:$P$760, $D$697:$D$760, Y789, $F$697:$F$760, "&lt;200") + SUMIFS($Q$697:$Q$760, $D$697:$D$760, Y789, $F$697:$F$760, "&lt;200")</f>
        <v>462.22222222222217</v>
      </c>
      <c r="AA789" s="118">
        <f>SUM(P789:Q792)</f>
        <v>728.88888888888891</v>
      </c>
      <c r="AB789" s="118">
        <f>SUMIFS(Collection!O:O, Collection!B:B, "*" &amp; 'Bucket Counts'!Y789 &amp; "*", Collection!A:A, "&lt;" &amp; 'Bucket Counts'!A789,Collection!A:A,  "&gt;=" &amp; 'Bucket Counts'!$A$697)</f>
        <v>0</v>
      </c>
      <c r="AC789" s="104">
        <f>AA789/(Z789+AB789)</f>
        <v>1.5769230769230771</v>
      </c>
    </row>
    <row r="790" spans="1:29" s="60" customFormat="1" x14ac:dyDescent="0.2">
      <c r="A790" s="86">
        <v>42929</v>
      </c>
      <c r="B790" s="409">
        <v>16</v>
      </c>
      <c r="C790" s="58"/>
      <c r="D790" s="59" t="s">
        <v>87</v>
      </c>
      <c r="F790" s="87">
        <v>180</v>
      </c>
      <c r="G790" s="87">
        <v>3</v>
      </c>
      <c r="H790" s="245">
        <v>240</v>
      </c>
      <c r="I790" s="60">
        <v>3</v>
      </c>
      <c r="J790" s="60">
        <v>0</v>
      </c>
      <c r="K790" s="60">
        <v>0</v>
      </c>
      <c r="L790" s="60">
        <v>0</v>
      </c>
      <c r="M790" s="60">
        <v>3</v>
      </c>
      <c r="N790" s="60">
        <v>0</v>
      </c>
      <c r="P790" s="118">
        <f>(AVERAGE(I790,K790,M790)/G790)*H790</f>
        <v>160</v>
      </c>
      <c r="Q790" s="118">
        <f t="shared" si="74"/>
        <v>0</v>
      </c>
      <c r="R790" s="104">
        <f t="shared" si="70"/>
        <v>1</v>
      </c>
      <c r="S790" s="178">
        <f>(SUM(P789:P792)/(SUM(P789:Q792)))</f>
        <v>0.28658536585365851</v>
      </c>
      <c r="T790" s="63"/>
      <c r="Y790" s="87"/>
      <c r="Z790" s="329"/>
      <c r="AA790" s="118"/>
      <c r="AB790" s="118"/>
    </row>
    <row r="791" spans="1:29" s="60" customFormat="1" x14ac:dyDescent="0.2">
      <c r="A791" s="86">
        <v>42929</v>
      </c>
      <c r="B791" s="409">
        <v>16</v>
      </c>
      <c r="C791" s="58"/>
      <c r="D791" s="59" t="s">
        <v>87</v>
      </c>
      <c r="F791" s="87">
        <v>100</v>
      </c>
      <c r="G791" s="87">
        <v>3</v>
      </c>
      <c r="H791" s="245">
        <v>220</v>
      </c>
      <c r="I791" s="60">
        <v>0</v>
      </c>
      <c r="J791" s="60">
        <v>0</v>
      </c>
      <c r="K791" s="60">
        <v>0</v>
      </c>
      <c r="L791" s="60">
        <v>0</v>
      </c>
      <c r="M791" s="60">
        <v>0</v>
      </c>
      <c r="N791" s="60">
        <v>0</v>
      </c>
      <c r="P791" s="118">
        <f>(AVERAGE(I791,K791,M791)/G791)*H791</f>
        <v>0</v>
      </c>
      <c r="Q791" s="118">
        <f t="shared" si="74"/>
        <v>0</v>
      </c>
      <c r="R791" s="104" t="e">
        <f t="shared" si="70"/>
        <v>#DIV/0!</v>
      </c>
      <c r="S791" s="179"/>
      <c r="T791" s="63"/>
      <c r="Y791" s="87"/>
      <c r="Z791" s="329"/>
      <c r="AA791" s="118"/>
      <c r="AB791" s="118"/>
    </row>
    <row r="792" spans="1:29" s="60" customFormat="1" x14ac:dyDescent="0.2">
      <c r="A792" s="86">
        <v>42929</v>
      </c>
      <c r="B792" s="409">
        <v>16</v>
      </c>
      <c r="C792" s="58"/>
      <c r="D792" s="59" t="s">
        <v>87</v>
      </c>
      <c r="F792" s="87" t="s">
        <v>201</v>
      </c>
      <c r="G792" s="87">
        <v>1</v>
      </c>
      <c r="H792" s="245">
        <v>260</v>
      </c>
      <c r="I792" s="60">
        <v>0</v>
      </c>
      <c r="J792" s="60">
        <v>1</v>
      </c>
      <c r="K792" s="60">
        <v>0</v>
      </c>
      <c r="L792" s="60">
        <v>4</v>
      </c>
      <c r="M792" s="60">
        <v>0</v>
      </c>
      <c r="N792" s="60">
        <v>1</v>
      </c>
      <c r="P792" s="118">
        <f>(AVERAGE(I792,K792,M792)/G792)*H792</f>
        <v>0</v>
      </c>
      <c r="Q792" s="118">
        <f t="shared" si="74"/>
        <v>520</v>
      </c>
      <c r="R792" s="104">
        <f t="shared" si="70"/>
        <v>0</v>
      </c>
      <c r="S792" s="179"/>
      <c r="T792" s="63"/>
      <c r="Y792" s="87"/>
      <c r="Z792" s="329"/>
      <c r="AA792" s="118"/>
      <c r="AB792" s="118"/>
    </row>
    <row r="793" spans="1:29" s="60" customFormat="1" x14ac:dyDescent="0.2">
      <c r="A793" s="86">
        <v>42929</v>
      </c>
      <c r="B793" s="118">
        <v>18</v>
      </c>
      <c r="C793" s="58"/>
      <c r="D793" s="60" t="s">
        <v>20</v>
      </c>
      <c r="F793" s="87">
        <v>224</v>
      </c>
      <c r="G793" s="87" t="s">
        <v>352</v>
      </c>
      <c r="H793" s="245"/>
      <c r="P793" s="118">
        <v>24</v>
      </c>
      <c r="Q793" s="118">
        <v>8</v>
      </c>
      <c r="R793" s="104">
        <f t="shared" si="70"/>
        <v>0.75</v>
      </c>
      <c r="S793" s="180" t="str">
        <f>D793</f>
        <v>K-10 Low</v>
      </c>
      <c r="Y793" s="87" t="str">
        <f>D793</f>
        <v>K-10 Low</v>
      </c>
      <c r="Z793" s="323">
        <f>SUMIFS($P$697:$P$760, $D$697:$D$760, Y793, $F$697:$F$760, "&lt;200") + SUMIFS($Q$697:$Q$760, $D$697:$D$760, Y793, $F$697:$F$760, "&lt;200")</f>
        <v>1466.6666666666665</v>
      </c>
      <c r="AA793" s="118">
        <f>SUM(P793:Q796)</f>
        <v>810.33333333333326</v>
      </c>
      <c r="AB793" s="118">
        <f>SUMIFS(Collection!O:O, Collection!B:B, "*" &amp; 'Bucket Counts'!Y793 &amp; "*", Collection!A:A, "&lt;" &amp; 'Bucket Counts'!A793,Collection!A:A,  "&gt;=" &amp; 'Bucket Counts'!$A$697)</f>
        <v>0</v>
      </c>
      <c r="AC793" s="104">
        <f>AA793/(Z793+AB793)</f>
        <v>0.55249999999999999</v>
      </c>
    </row>
    <row r="794" spans="1:29" s="60" customFormat="1" x14ac:dyDescent="0.2">
      <c r="A794" s="86">
        <v>42929</v>
      </c>
      <c r="B794" s="118">
        <v>18</v>
      </c>
      <c r="C794" s="58"/>
      <c r="D794" s="60" t="s">
        <v>20</v>
      </c>
      <c r="F794" s="87">
        <v>180</v>
      </c>
      <c r="G794" s="87">
        <v>3</v>
      </c>
      <c r="H794" s="245">
        <v>240</v>
      </c>
      <c r="I794" s="60">
        <v>5</v>
      </c>
      <c r="J794" s="60">
        <v>1</v>
      </c>
      <c r="K794" s="60">
        <v>3</v>
      </c>
      <c r="L794" s="60">
        <v>0</v>
      </c>
      <c r="M794" s="60">
        <v>3</v>
      </c>
      <c r="N794" s="60">
        <v>0</v>
      </c>
      <c r="P794" s="118">
        <f t="shared" ref="P794:P801" si="75">(AVERAGE(I794,K794,M794)/G794)*H794</f>
        <v>293.33333333333331</v>
      </c>
      <c r="Q794" s="118">
        <f t="shared" ref="Q794:Q805" si="76">(AVERAGE(J794,L794,N794)/G794)*H794</f>
        <v>26.666666666666664</v>
      </c>
      <c r="R794" s="104">
        <f t="shared" si="70"/>
        <v>0.91666666666666663</v>
      </c>
      <c r="S794" s="178">
        <f>(SUM(P793:P796)/(SUM(P793:Q796)))</f>
        <v>0.49444672974084741</v>
      </c>
      <c r="Y794" s="87"/>
      <c r="Z794" s="329"/>
      <c r="AA794" s="118"/>
      <c r="AB794" s="118"/>
    </row>
    <row r="795" spans="1:29" s="60" customFormat="1" x14ac:dyDescent="0.2">
      <c r="A795" s="86">
        <v>42929</v>
      </c>
      <c r="B795" s="118">
        <v>18</v>
      </c>
      <c r="C795" s="58"/>
      <c r="D795" s="60" t="s">
        <v>20</v>
      </c>
      <c r="F795" s="87">
        <v>100</v>
      </c>
      <c r="G795" s="87">
        <v>2</v>
      </c>
      <c r="H795" s="245">
        <v>250</v>
      </c>
      <c r="I795" s="60">
        <v>0</v>
      </c>
      <c r="J795" s="60">
        <v>1</v>
      </c>
      <c r="K795" s="60">
        <v>0</v>
      </c>
      <c r="L795" s="60">
        <v>0</v>
      </c>
      <c r="M795" s="60">
        <v>0</v>
      </c>
      <c r="N795" s="60">
        <v>1</v>
      </c>
      <c r="P795" s="118">
        <f t="shared" si="75"/>
        <v>0</v>
      </c>
      <c r="Q795" s="118">
        <f t="shared" si="76"/>
        <v>83.333333333333329</v>
      </c>
      <c r="R795" s="104">
        <f t="shared" si="70"/>
        <v>0</v>
      </c>
      <c r="S795" s="179"/>
      <c r="Y795" s="87"/>
      <c r="Z795" s="329"/>
      <c r="AA795" s="118"/>
      <c r="AB795" s="118"/>
    </row>
    <row r="796" spans="1:29" s="60" customFormat="1" x14ac:dyDescent="0.2">
      <c r="A796" s="86">
        <v>42929</v>
      </c>
      <c r="B796" s="118">
        <v>18</v>
      </c>
      <c r="C796" s="58"/>
      <c r="D796" s="60" t="s">
        <v>20</v>
      </c>
      <c r="F796" s="87" t="s">
        <v>201</v>
      </c>
      <c r="G796" s="87">
        <v>2</v>
      </c>
      <c r="H796" s="60">
        <v>250</v>
      </c>
      <c r="I796" s="60">
        <v>2</v>
      </c>
      <c r="J796" s="60">
        <v>3</v>
      </c>
      <c r="K796" s="60">
        <v>0</v>
      </c>
      <c r="L796" s="60">
        <v>4</v>
      </c>
      <c r="M796" s="60">
        <v>0</v>
      </c>
      <c r="N796" s="60">
        <v>0</v>
      </c>
      <c r="P796" s="118">
        <f t="shared" si="75"/>
        <v>83.333333333333329</v>
      </c>
      <c r="Q796" s="118">
        <f t="shared" si="76"/>
        <v>291.66666666666669</v>
      </c>
      <c r="R796" s="104">
        <f t="shared" si="70"/>
        <v>0.22222222222222221</v>
      </c>
      <c r="S796" s="179"/>
      <c r="Y796" s="87"/>
      <c r="Z796" s="329"/>
      <c r="AA796" s="118"/>
      <c r="AB796" s="118"/>
    </row>
    <row r="797" spans="1:29" s="60" customFormat="1" x14ac:dyDescent="0.2">
      <c r="A797" s="86">
        <v>42929</v>
      </c>
      <c r="B797" s="118">
        <v>3</v>
      </c>
      <c r="C797" s="58"/>
      <c r="D797" s="60" t="s">
        <v>84</v>
      </c>
      <c r="F797" s="87">
        <v>224</v>
      </c>
      <c r="G797" s="87" t="s">
        <v>352</v>
      </c>
      <c r="P797" s="118">
        <v>1</v>
      </c>
      <c r="Q797" s="118">
        <v>0</v>
      </c>
      <c r="R797" s="104">
        <f t="shared" si="70"/>
        <v>1</v>
      </c>
      <c r="S797" s="180" t="str">
        <f>D797</f>
        <v>NF-10 Ambient</v>
      </c>
      <c r="T797" s="63"/>
      <c r="U797" s="63"/>
      <c r="V797" s="63"/>
      <c r="Y797" s="87" t="str">
        <f>D797</f>
        <v>NF-10 Ambient</v>
      </c>
      <c r="Z797" s="323">
        <f>SUMIFS($P$697:$P$760, $D$697:$D$760, Y797, $F$697:$F$760, "&lt;200") + SUMIFS($Q$697:$Q$760, $D$697:$D$760, Y797, $F$697:$F$760, "&lt;200")</f>
        <v>391.11111111111109</v>
      </c>
      <c r="AA797" s="118">
        <f>SUM(P797:Q800)</f>
        <v>264</v>
      </c>
      <c r="AB797" s="118">
        <f>SUMIFS(Collection!O:O, Collection!B:B, "*" &amp; 'Bucket Counts'!Y797 &amp; "*", Collection!A:A, "&lt;" &amp; 'Bucket Counts'!A797,Collection!A:A,  "&gt;=" &amp; 'Bucket Counts'!$A$697)</f>
        <v>0</v>
      </c>
      <c r="AC797" s="104">
        <f>AA797/(Z797+AB797)</f>
        <v>0.67500000000000004</v>
      </c>
    </row>
    <row r="798" spans="1:29" s="60" customFormat="1" x14ac:dyDescent="0.2">
      <c r="A798" s="86">
        <v>42929</v>
      </c>
      <c r="B798" s="118">
        <v>3</v>
      </c>
      <c r="C798" s="58"/>
      <c r="D798" s="60" t="s">
        <v>84</v>
      </c>
      <c r="F798" s="87">
        <v>180</v>
      </c>
      <c r="G798" s="87" t="s">
        <v>352</v>
      </c>
      <c r="P798" s="118">
        <v>45</v>
      </c>
      <c r="Q798" s="118">
        <v>18</v>
      </c>
      <c r="R798" s="104">
        <f t="shared" si="70"/>
        <v>0.7142857142857143</v>
      </c>
      <c r="S798" s="178">
        <f>(SUM(P797:P800)/(SUM(P797:Q800)))</f>
        <v>0.17424242424242425</v>
      </c>
      <c r="T798" s="63"/>
      <c r="U798" s="63"/>
      <c r="V798" s="63"/>
      <c r="Y798" s="87"/>
      <c r="Z798" s="329"/>
      <c r="AA798" s="118"/>
      <c r="AB798" s="118"/>
    </row>
    <row r="799" spans="1:29" s="60" customFormat="1" x14ac:dyDescent="0.2">
      <c r="A799" s="86">
        <v>42929</v>
      </c>
      <c r="B799" s="118">
        <v>3</v>
      </c>
      <c r="C799" s="58"/>
      <c r="D799" s="60" t="s">
        <v>84</v>
      </c>
      <c r="F799" s="87">
        <v>100</v>
      </c>
      <c r="G799" s="87">
        <v>3</v>
      </c>
      <c r="H799" s="60">
        <v>230</v>
      </c>
      <c r="I799" s="60">
        <v>0</v>
      </c>
      <c r="J799" s="60">
        <v>0</v>
      </c>
      <c r="K799" s="60">
        <v>0</v>
      </c>
      <c r="L799" s="60">
        <v>0</v>
      </c>
      <c r="M799" s="60">
        <v>0</v>
      </c>
      <c r="N799" s="60">
        <v>0</v>
      </c>
      <c r="P799" s="118">
        <f t="shared" si="75"/>
        <v>0</v>
      </c>
      <c r="Q799" s="118">
        <f t="shared" si="76"/>
        <v>0</v>
      </c>
      <c r="R799" s="104" t="e">
        <f t="shared" si="70"/>
        <v>#DIV/0!</v>
      </c>
      <c r="S799" s="179"/>
      <c r="T799" s="63"/>
      <c r="U799" s="63"/>
      <c r="V799" s="63"/>
      <c r="Y799" s="87"/>
      <c r="Z799" s="329"/>
      <c r="AA799" s="118"/>
      <c r="AB799" s="118"/>
    </row>
    <row r="800" spans="1:29" s="60" customFormat="1" x14ac:dyDescent="0.2">
      <c r="A800" s="86">
        <v>42929</v>
      </c>
      <c r="B800" s="118">
        <v>3</v>
      </c>
      <c r="C800" s="58"/>
      <c r="D800" s="60" t="s">
        <v>84</v>
      </c>
      <c r="F800" s="87" t="s">
        <v>201</v>
      </c>
      <c r="G800" s="87">
        <v>2</v>
      </c>
      <c r="H800" s="60">
        <v>240</v>
      </c>
      <c r="I800" s="60">
        <v>0</v>
      </c>
      <c r="J800" s="60">
        <v>1</v>
      </c>
      <c r="K800" s="60">
        <v>0</v>
      </c>
      <c r="L800" s="60">
        <v>3</v>
      </c>
      <c r="M800" s="60">
        <v>0</v>
      </c>
      <c r="N800" s="60">
        <v>1</v>
      </c>
      <c r="P800" s="118">
        <f t="shared" si="75"/>
        <v>0</v>
      </c>
      <c r="Q800" s="118">
        <f t="shared" si="76"/>
        <v>200</v>
      </c>
      <c r="R800" s="104">
        <f t="shared" ref="R800:R863" si="77">P800/(P800+Q800)</f>
        <v>0</v>
      </c>
      <c r="S800" s="179"/>
      <c r="T800" s="63"/>
      <c r="U800" s="63"/>
      <c r="V800" s="63"/>
      <c r="Y800" s="87"/>
      <c r="Z800" s="329"/>
      <c r="AA800" s="118"/>
      <c r="AB800" s="118"/>
    </row>
    <row r="801" spans="1:29" s="60" customFormat="1" x14ac:dyDescent="0.2">
      <c r="A801" s="86">
        <v>42929</v>
      </c>
      <c r="B801" s="118">
        <v>22</v>
      </c>
      <c r="C801" s="58"/>
      <c r="D801" s="60" t="s">
        <v>17</v>
      </c>
      <c r="F801" s="87">
        <v>224</v>
      </c>
      <c r="G801" s="87">
        <v>3</v>
      </c>
      <c r="H801" s="60">
        <v>225</v>
      </c>
      <c r="I801" s="60">
        <v>1</v>
      </c>
      <c r="J801" s="60">
        <v>0</v>
      </c>
      <c r="K801" s="60">
        <v>0</v>
      </c>
      <c r="L801" s="60">
        <v>1</v>
      </c>
      <c r="M801" s="60">
        <v>0</v>
      </c>
      <c r="N801" s="60">
        <v>1</v>
      </c>
      <c r="P801" s="118">
        <f t="shared" si="75"/>
        <v>25</v>
      </c>
      <c r="Q801" s="118">
        <f t="shared" si="76"/>
        <v>50</v>
      </c>
      <c r="R801" s="104">
        <f t="shared" si="77"/>
        <v>0.33333333333333331</v>
      </c>
      <c r="S801" s="180" t="str">
        <f>D801</f>
        <v>K-10 Ambient</v>
      </c>
      <c r="T801" s="63"/>
      <c r="U801" s="63"/>
      <c r="V801" s="63"/>
      <c r="Y801" s="87" t="str">
        <f>D801</f>
        <v>K-10 Ambient</v>
      </c>
      <c r="Z801" s="323">
        <f>SUMIFS($P$697:$P$760, $D$697:$D$760, Y801, $F$697:$F$760, "&lt;200") + SUMIFS($Q$697:$Q$760, $D$697:$D$760, Y801, $F$697:$F$760, "&lt;200")</f>
        <v>1894.4444444444443</v>
      </c>
      <c r="AA801" s="118">
        <f>SUM(P801:Q804)</f>
        <v>581.66666666666674</v>
      </c>
      <c r="AB801" s="118">
        <f>SUMIFS(Collection!O:O, Collection!B:B, "*" &amp; 'Bucket Counts'!Y801 &amp; "*", Collection!A:A, "&lt;" &amp; 'Bucket Counts'!A801,Collection!A:A,  "&gt;=" &amp; 'Bucket Counts'!$A$697)</f>
        <v>0</v>
      </c>
      <c r="AC801" s="104">
        <f>AA801/(Z801+AB801)</f>
        <v>0.30703812316715551</v>
      </c>
    </row>
    <row r="802" spans="1:29" s="60" customFormat="1" x14ac:dyDescent="0.2">
      <c r="A802" s="86">
        <v>42929</v>
      </c>
      <c r="B802" s="118">
        <v>22</v>
      </c>
      <c r="C802" s="58"/>
      <c r="D802" s="60" t="s">
        <v>17</v>
      </c>
      <c r="F802" s="87">
        <v>180</v>
      </c>
      <c r="G802" s="87">
        <v>3</v>
      </c>
      <c r="H802" s="60">
        <v>240</v>
      </c>
      <c r="I802" s="60">
        <v>3</v>
      </c>
      <c r="J802" s="60">
        <v>2</v>
      </c>
      <c r="K802" s="60">
        <v>7</v>
      </c>
      <c r="L802" s="60">
        <v>2</v>
      </c>
      <c r="M802" s="60">
        <v>3</v>
      </c>
      <c r="N802" s="60">
        <v>0</v>
      </c>
      <c r="P802" s="118">
        <f>(AVERAGE(I802,K802,M802)/G802)*H802</f>
        <v>346.66666666666669</v>
      </c>
      <c r="Q802" s="118">
        <f t="shared" si="76"/>
        <v>106.66666666666666</v>
      </c>
      <c r="R802" s="104">
        <f t="shared" si="77"/>
        <v>0.76470588235294112</v>
      </c>
      <c r="S802" s="178">
        <f>(SUM(P801:P804)/(SUM(P801:Q804)))</f>
        <v>0.63896848137535811</v>
      </c>
      <c r="T802" s="63"/>
      <c r="U802" s="63"/>
      <c r="V802" s="63"/>
      <c r="Y802" s="87"/>
      <c r="Z802" s="329"/>
      <c r="AA802" s="118"/>
      <c r="AB802" s="118"/>
    </row>
    <row r="803" spans="1:29" s="60" customFormat="1" x14ac:dyDescent="0.2">
      <c r="A803" s="86">
        <v>42929</v>
      </c>
      <c r="B803" s="118">
        <v>22</v>
      </c>
      <c r="C803" s="58"/>
      <c r="D803" s="60" t="s">
        <v>17</v>
      </c>
      <c r="F803" s="87">
        <v>100</v>
      </c>
      <c r="G803" s="87">
        <v>3</v>
      </c>
      <c r="H803" s="60">
        <v>240</v>
      </c>
      <c r="I803" s="60">
        <v>0</v>
      </c>
      <c r="J803" s="60">
        <v>0</v>
      </c>
      <c r="K803" s="60">
        <v>0</v>
      </c>
      <c r="L803" s="60">
        <v>1</v>
      </c>
      <c r="M803" s="60">
        <v>0</v>
      </c>
      <c r="N803" s="60">
        <v>1</v>
      </c>
      <c r="P803" s="118">
        <f>(AVERAGE(I803,K803,M803)/G803)*H803</f>
        <v>0</v>
      </c>
      <c r="Q803" s="118">
        <f t="shared" si="76"/>
        <v>53.333333333333329</v>
      </c>
      <c r="R803" s="104">
        <f t="shared" si="77"/>
        <v>0</v>
      </c>
      <c r="S803" s="179"/>
      <c r="T803" s="63"/>
      <c r="U803" s="63"/>
      <c r="V803" s="63"/>
      <c r="Y803" s="87"/>
      <c r="Z803" s="329"/>
      <c r="AA803" s="118"/>
      <c r="AB803" s="118"/>
    </row>
    <row r="804" spans="1:29" s="60" customFormat="1" x14ac:dyDescent="0.2">
      <c r="A804" s="86">
        <v>42929</v>
      </c>
      <c r="B804" s="118">
        <v>22</v>
      </c>
      <c r="C804" s="58"/>
      <c r="D804" s="60" t="s">
        <v>17</v>
      </c>
      <c r="F804" s="87" t="s">
        <v>201</v>
      </c>
      <c r="G804" s="87"/>
      <c r="P804" s="118">
        <v>0</v>
      </c>
      <c r="Q804" s="118">
        <v>0</v>
      </c>
      <c r="R804" s="104" t="e">
        <f t="shared" si="77"/>
        <v>#DIV/0!</v>
      </c>
      <c r="S804" s="179"/>
      <c r="T804" s="63"/>
      <c r="U804" s="63"/>
      <c r="V804" s="63"/>
      <c r="Y804" s="87"/>
      <c r="Z804" s="329"/>
      <c r="AA804" s="118"/>
      <c r="AB804" s="118"/>
    </row>
    <row r="805" spans="1:29" s="60" customFormat="1" x14ac:dyDescent="0.2">
      <c r="A805" s="86">
        <v>42929</v>
      </c>
      <c r="B805" s="118">
        <v>19</v>
      </c>
      <c r="C805" s="58"/>
      <c r="D805" s="60" t="s">
        <v>88</v>
      </c>
      <c r="F805" s="87">
        <v>224</v>
      </c>
      <c r="G805" s="87">
        <v>2</v>
      </c>
      <c r="H805" s="60">
        <v>225</v>
      </c>
      <c r="I805" s="60">
        <v>0</v>
      </c>
      <c r="J805" s="60">
        <v>0</v>
      </c>
      <c r="K805" s="60">
        <v>1</v>
      </c>
      <c r="L805" s="60">
        <v>0</v>
      </c>
      <c r="M805" s="60">
        <v>1</v>
      </c>
      <c r="N805" s="60">
        <v>0</v>
      </c>
      <c r="P805" s="118">
        <f>(AVERAGE(I805,K805,M805)/G805)*H805</f>
        <v>75</v>
      </c>
      <c r="Q805" s="118">
        <f t="shared" si="76"/>
        <v>0</v>
      </c>
      <c r="R805" s="104">
        <f t="shared" si="77"/>
        <v>1</v>
      </c>
      <c r="S805" s="180" t="str">
        <f>D805</f>
        <v>HL-10 Ambient</v>
      </c>
      <c r="T805" s="63"/>
      <c r="U805" s="63"/>
      <c r="V805" s="63"/>
      <c r="Y805" s="87" t="str">
        <f>D805</f>
        <v>HL-10 Ambient</v>
      </c>
      <c r="Z805" s="323">
        <f>SUMIFS($P$697:$P$760, $D$697:$D$760, Y805, $F$697:$F$760, "&lt;200") + SUMIFS($Q$697:$Q$760, $D$697:$D$760, Y805, $F$697:$F$760, "&lt;200")</f>
        <v>51333.333333333328</v>
      </c>
      <c r="AA805" s="118">
        <f>SUM(P805:Q808)</f>
        <v>27376.666666666664</v>
      </c>
      <c r="AB805" s="118">
        <f>SUMIFS(Collection!O:O, Collection!B:B, "*" &amp; 'Bucket Counts'!Y805 &amp; "*", Collection!A:A, "&lt;" &amp; 'Bucket Counts'!A805,Collection!A:A,  "&gt;=" &amp; 'Bucket Counts'!$A$697)</f>
        <v>0</v>
      </c>
      <c r="AC805" s="104">
        <f>AA805/(Z805+AB805)</f>
        <v>0.53331168831168829</v>
      </c>
    </row>
    <row r="806" spans="1:29" s="60" customFormat="1" x14ac:dyDescent="0.2">
      <c r="A806" s="86">
        <v>42929</v>
      </c>
      <c r="B806" s="118">
        <v>19</v>
      </c>
      <c r="C806" s="58"/>
      <c r="D806" s="60" t="s">
        <v>88</v>
      </c>
      <c r="F806" s="87">
        <v>180</v>
      </c>
      <c r="G806" s="87">
        <v>1</v>
      </c>
      <c r="H806" s="60">
        <v>240</v>
      </c>
      <c r="I806" s="60">
        <v>12</v>
      </c>
      <c r="J806" s="60">
        <v>0</v>
      </c>
      <c r="K806" s="60">
        <v>18</v>
      </c>
      <c r="L806" s="60">
        <v>0</v>
      </c>
      <c r="M806" s="60">
        <v>18</v>
      </c>
      <c r="N806" s="60">
        <v>0</v>
      </c>
      <c r="P806" s="118">
        <f>(AVERAGE(I806,K806,M806)/G806)*H806</f>
        <v>3840</v>
      </c>
      <c r="Q806" s="118">
        <f>(AVERAGE(J806,L806,N806)/G806)*H806</f>
        <v>0</v>
      </c>
      <c r="R806" s="104">
        <f t="shared" si="77"/>
        <v>1</v>
      </c>
      <c r="S806" s="178">
        <f>(SUM(P805:P808)/(SUM(P805:Q808)))</f>
        <v>0.6038597345671497</v>
      </c>
      <c r="T806" s="63"/>
      <c r="U806" s="63"/>
      <c r="V806" s="63"/>
      <c r="Y806" s="87"/>
      <c r="Z806" s="329"/>
      <c r="AA806" s="118"/>
      <c r="AB806" s="118"/>
    </row>
    <row r="807" spans="1:29" s="60" customFormat="1" x14ac:dyDescent="0.2">
      <c r="A807" s="86">
        <v>42929</v>
      </c>
      <c r="B807" s="118">
        <v>19</v>
      </c>
      <c r="C807" s="58"/>
      <c r="D807" s="60" t="s">
        <v>88</v>
      </c>
      <c r="F807" s="87">
        <v>100</v>
      </c>
      <c r="G807" s="87">
        <v>1</v>
      </c>
      <c r="H807" s="60">
        <v>475</v>
      </c>
      <c r="I807" s="60">
        <v>26</v>
      </c>
      <c r="J807" s="60">
        <v>2</v>
      </c>
      <c r="K807" s="60">
        <v>15</v>
      </c>
      <c r="L807" s="60">
        <v>2</v>
      </c>
      <c r="M807" s="60">
        <v>25</v>
      </c>
      <c r="N807" s="60">
        <v>1</v>
      </c>
      <c r="P807" s="118">
        <f>(AVERAGE(I807,K807,M807)/G807)*H807</f>
        <v>10450</v>
      </c>
      <c r="Q807" s="118">
        <f>(AVERAGE(J807,L807,N807)/G807)*H807</f>
        <v>791.66666666666674</v>
      </c>
      <c r="R807" s="104">
        <f t="shared" si="77"/>
        <v>0.92957746478873249</v>
      </c>
      <c r="S807" s="179"/>
      <c r="T807" s="63"/>
      <c r="U807" s="63"/>
      <c r="V807" s="63"/>
      <c r="Y807" s="87"/>
      <c r="Z807" s="329"/>
      <c r="AA807" s="118"/>
      <c r="AB807" s="118"/>
    </row>
    <row r="808" spans="1:29" s="60" customFormat="1" x14ac:dyDescent="0.2">
      <c r="A808" s="86">
        <v>42929</v>
      </c>
      <c r="B808" s="118">
        <v>19</v>
      </c>
      <c r="C808" s="58"/>
      <c r="D808" s="60" t="s">
        <v>88</v>
      </c>
      <c r="F808" s="87" t="s">
        <v>201</v>
      </c>
      <c r="G808" s="87">
        <v>1</v>
      </c>
      <c r="H808" s="60">
        <v>260</v>
      </c>
      <c r="I808" s="60">
        <v>10</v>
      </c>
      <c r="J808" s="60">
        <v>33</v>
      </c>
      <c r="K808" s="60">
        <v>5</v>
      </c>
      <c r="L808" s="60">
        <v>33</v>
      </c>
      <c r="M808" s="60">
        <v>10</v>
      </c>
      <c r="N808" s="60">
        <v>50</v>
      </c>
      <c r="P808" s="118">
        <f>(AVERAGE(I808,K808,M808)/G808)*H808</f>
        <v>2166.666666666667</v>
      </c>
      <c r="Q808" s="118">
        <f>(AVERAGE(J808,L808,N808)/G808)*H808</f>
        <v>10053.333333333332</v>
      </c>
      <c r="R808" s="104">
        <f t="shared" si="77"/>
        <v>0.17730496453900713</v>
      </c>
      <c r="S808" s="179"/>
      <c r="T808" s="63"/>
      <c r="U808" s="63"/>
      <c r="V808" s="63"/>
      <c r="Y808" s="87"/>
      <c r="Z808" s="329"/>
      <c r="AA808" s="118"/>
      <c r="AB808" s="118"/>
    </row>
    <row r="809" spans="1:29" s="60" customFormat="1" x14ac:dyDescent="0.2">
      <c r="A809" s="86">
        <v>42929</v>
      </c>
      <c r="B809" s="118">
        <v>20</v>
      </c>
      <c r="C809" s="58"/>
      <c r="D809" s="60" t="s">
        <v>46</v>
      </c>
      <c r="F809" s="87">
        <v>224</v>
      </c>
      <c r="G809" s="87">
        <v>3</v>
      </c>
      <c r="H809" s="60">
        <v>250</v>
      </c>
      <c r="I809" s="60">
        <v>0</v>
      </c>
      <c r="J809" s="60">
        <v>0</v>
      </c>
      <c r="K809" s="60">
        <v>0</v>
      </c>
      <c r="L809" s="60">
        <v>1</v>
      </c>
      <c r="M809" s="60">
        <v>1</v>
      </c>
      <c r="N809" s="60">
        <v>1</v>
      </c>
      <c r="P809" s="118">
        <f>(AVERAGE(I809,K809,M809)/G809)*H809</f>
        <v>27.777777777777775</v>
      </c>
      <c r="Q809" s="118">
        <f>(AVERAGE(J809,L809,N809)/G809)*H809</f>
        <v>55.55555555555555</v>
      </c>
      <c r="R809" s="104">
        <f t="shared" si="77"/>
        <v>0.33333333333333331</v>
      </c>
      <c r="S809" s="180" t="str">
        <f>D809</f>
        <v>K-6 Low</v>
      </c>
      <c r="T809" s="63"/>
      <c r="U809" s="63"/>
      <c r="V809" s="63"/>
      <c r="Y809" s="87" t="str">
        <f>D809</f>
        <v>K-6 Low</v>
      </c>
      <c r="Z809" s="323">
        <f>SUMIFS($P$697:$P$760, $D$697:$D$760, Y809, $F$697:$F$760, "&lt;200") + SUMIFS($Q$697:$Q$760, $D$697:$D$760, Y809, $F$697:$F$760, "&lt;200")</f>
        <v>3800.8333333333335</v>
      </c>
      <c r="AA809" s="118">
        <f>SUM(P809:Q812)</f>
        <v>4148.3333333333339</v>
      </c>
      <c r="AB809" s="118">
        <f>SUMIFS(Collection!O:O, Collection!B:B, "*" &amp; 'Bucket Counts'!Y809 &amp; "*", Collection!A:A, "&lt;" &amp; 'Bucket Counts'!A809,Collection!A:A,  "&gt;=" &amp; 'Bucket Counts'!$A$697)</f>
        <v>0</v>
      </c>
      <c r="AC809" s="104">
        <f>AA809/(Z809+AB809)</f>
        <v>1.091427318570489</v>
      </c>
    </row>
    <row r="810" spans="1:29" s="60" customFormat="1" x14ac:dyDescent="0.2">
      <c r="A810" s="86">
        <v>42929</v>
      </c>
      <c r="B810" s="118">
        <v>20</v>
      </c>
      <c r="C810" s="58"/>
      <c r="D810" s="60" t="s">
        <v>46</v>
      </c>
      <c r="F810" s="87">
        <v>180</v>
      </c>
      <c r="G810" s="87">
        <v>3</v>
      </c>
      <c r="H810" s="60">
        <v>240</v>
      </c>
      <c r="I810" s="60">
        <v>4</v>
      </c>
      <c r="J810" s="60">
        <v>9</v>
      </c>
      <c r="K810" s="60">
        <v>0</v>
      </c>
      <c r="L810" s="60">
        <v>3</v>
      </c>
      <c r="M810" s="60">
        <v>8</v>
      </c>
      <c r="N810" s="60">
        <v>5</v>
      </c>
      <c r="P810" s="118">
        <f t="shared" ref="P810:P817" si="78">(AVERAGE(I810,K810,M810)/G810)*H810</f>
        <v>320</v>
      </c>
      <c r="Q810" s="118">
        <f t="shared" ref="Q810:Q817" si="79">(AVERAGE(J810,L810,N810)/G810)*H810</f>
        <v>453.33333333333337</v>
      </c>
      <c r="R810" s="104">
        <f t="shared" si="77"/>
        <v>0.41379310344827586</v>
      </c>
      <c r="S810" s="178">
        <f>(SUM(P809:P812)/(SUM(P809:Q812)))</f>
        <v>9.6692111959287508E-2</v>
      </c>
      <c r="T810" s="63"/>
      <c r="U810" s="63"/>
      <c r="V810" s="63"/>
      <c r="Y810" s="87"/>
      <c r="Z810" s="329"/>
      <c r="AA810" s="118"/>
      <c r="AB810" s="118"/>
    </row>
    <row r="811" spans="1:29" s="60" customFormat="1" x14ac:dyDescent="0.2">
      <c r="A811" s="86">
        <v>42929</v>
      </c>
      <c r="B811" s="118">
        <v>20</v>
      </c>
      <c r="C811" s="58"/>
      <c r="D811" s="60" t="s">
        <v>46</v>
      </c>
      <c r="F811" s="87">
        <v>100</v>
      </c>
      <c r="G811" s="87">
        <v>3</v>
      </c>
      <c r="H811" s="60">
        <v>240</v>
      </c>
      <c r="I811" s="60">
        <v>0</v>
      </c>
      <c r="J811" s="60">
        <v>5</v>
      </c>
      <c r="K811" s="60">
        <v>2</v>
      </c>
      <c r="L811" s="60">
        <v>3</v>
      </c>
      <c r="M811" s="60">
        <v>0</v>
      </c>
      <c r="N811" s="60">
        <v>0</v>
      </c>
      <c r="P811" s="118">
        <f t="shared" si="78"/>
        <v>53.333333333333329</v>
      </c>
      <c r="Q811" s="118">
        <f t="shared" si="79"/>
        <v>213.33333333333331</v>
      </c>
      <c r="R811" s="104">
        <f t="shared" si="77"/>
        <v>0.2</v>
      </c>
      <c r="S811" s="179"/>
      <c r="T811" s="63"/>
      <c r="U811" s="63"/>
      <c r="V811" s="63"/>
      <c r="Y811" s="87"/>
      <c r="Z811" s="329"/>
      <c r="AA811" s="118"/>
      <c r="AB811" s="118"/>
    </row>
    <row r="812" spans="1:29" s="60" customFormat="1" x14ac:dyDescent="0.2">
      <c r="A812" s="86">
        <v>42929</v>
      </c>
      <c r="B812" s="118">
        <v>20</v>
      </c>
      <c r="C812" s="58"/>
      <c r="D812" s="60" t="s">
        <v>46</v>
      </c>
      <c r="F812" s="87" t="s">
        <v>201</v>
      </c>
      <c r="G812" s="87">
        <v>2</v>
      </c>
      <c r="H812" s="60">
        <v>275</v>
      </c>
      <c r="I812" s="60">
        <v>0</v>
      </c>
      <c r="J812" s="60">
        <v>30</v>
      </c>
      <c r="K812" s="60">
        <v>0</v>
      </c>
      <c r="L812" s="60">
        <v>19</v>
      </c>
      <c r="M812" s="60">
        <v>0</v>
      </c>
      <c r="N812" s="60">
        <v>17</v>
      </c>
      <c r="P812" s="118">
        <f t="shared" si="78"/>
        <v>0</v>
      </c>
      <c r="Q812" s="118">
        <f t="shared" si="79"/>
        <v>3025</v>
      </c>
      <c r="R812" s="104">
        <f t="shared" si="77"/>
        <v>0</v>
      </c>
      <c r="S812" s="179"/>
      <c r="T812" s="63"/>
      <c r="U812" s="63"/>
      <c r="V812" s="63"/>
      <c r="Y812" s="87"/>
      <c r="Z812" s="329"/>
      <c r="AA812" s="118"/>
      <c r="AB812" s="118"/>
    </row>
    <row r="813" spans="1:29" s="60" customFormat="1" x14ac:dyDescent="0.2">
      <c r="A813" s="86">
        <v>42929</v>
      </c>
      <c r="B813" s="118">
        <v>21</v>
      </c>
      <c r="C813" s="58"/>
      <c r="D813" s="60" t="s">
        <v>108</v>
      </c>
      <c r="F813" s="87">
        <v>224</v>
      </c>
      <c r="G813" s="87">
        <v>3</v>
      </c>
      <c r="H813" s="60">
        <v>250</v>
      </c>
      <c r="I813" s="60">
        <v>4</v>
      </c>
      <c r="J813" s="60">
        <v>0</v>
      </c>
      <c r="K813" s="60">
        <v>6</v>
      </c>
      <c r="L813" s="60">
        <v>0</v>
      </c>
      <c r="M813" s="60">
        <v>2</v>
      </c>
      <c r="N813" s="60">
        <v>1</v>
      </c>
      <c r="P813" s="118">
        <f t="shared" si="78"/>
        <v>333.33333333333331</v>
      </c>
      <c r="Q813" s="118">
        <f t="shared" si="79"/>
        <v>27.777777777777775</v>
      </c>
      <c r="R813" s="104">
        <f t="shared" si="77"/>
        <v>0.92307692307692313</v>
      </c>
      <c r="S813" s="180" t="str">
        <f>D813</f>
        <v>HL-10 Low</v>
      </c>
      <c r="T813" s="63"/>
      <c r="U813" s="63"/>
      <c r="V813" s="63"/>
      <c r="Y813" s="87" t="str">
        <f>D813</f>
        <v>HL-10 Low</v>
      </c>
      <c r="Z813" s="323">
        <f>SUMIFS($P$697:$P$760, $D$697:$D$760, Y813, $F$697:$F$760, "&lt;200") + SUMIFS($Q$697:$Q$760, $D$697:$D$760, Y813, $F$697:$F$760, "&lt;200")</f>
        <v>20760.000000000004</v>
      </c>
      <c r="AA813" s="118">
        <f>SUM(P813:Q816)</f>
        <v>12797.777777777779</v>
      </c>
      <c r="AB813" s="118">
        <f>SUMIFS(Collection!O:O, Collection!B:B, "*" &amp; 'Bucket Counts'!Y813 &amp; "*", Collection!A:A, "&lt;" &amp; 'Bucket Counts'!A813,Collection!A:A,  "&gt;=" &amp; 'Bucket Counts'!$A$697)</f>
        <v>0</v>
      </c>
      <c r="AC813" s="104">
        <f>AA813/(Z813+AB813)</f>
        <v>0.61646328409334183</v>
      </c>
    </row>
    <row r="814" spans="1:29" s="60" customFormat="1" x14ac:dyDescent="0.2">
      <c r="A814" s="86">
        <v>42929</v>
      </c>
      <c r="B814" s="118">
        <v>21</v>
      </c>
      <c r="C814" s="58"/>
      <c r="D814" s="60" t="s">
        <v>108</v>
      </c>
      <c r="F814" s="87">
        <v>180</v>
      </c>
      <c r="G814" s="87">
        <v>1</v>
      </c>
      <c r="H814" s="60">
        <v>500</v>
      </c>
      <c r="I814" s="60">
        <v>13</v>
      </c>
      <c r="J814" s="60">
        <v>0</v>
      </c>
      <c r="K814" s="60">
        <v>17</v>
      </c>
      <c r="L814" s="60">
        <v>0</v>
      </c>
      <c r="M814" s="60">
        <v>20</v>
      </c>
      <c r="N814" s="60">
        <v>0</v>
      </c>
      <c r="P814" s="118">
        <f t="shared" si="78"/>
        <v>8333.3333333333339</v>
      </c>
      <c r="Q814" s="118">
        <f t="shared" si="79"/>
        <v>0</v>
      </c>
      <c r="R814" s="104">
        <f t="shared" si="77"/>
        <v>1</v>
      </c>
      <c r="S814" s="178">
        <f>(SUM(P813:P816)/(SUM(P813:Q816)))</f>
        <v>0.85171036638305264</v>
      </c>
      <c r="T814" s="63"/>
      <c r="U814" s="63"/>
      <c r="V814" s="63"/>
      <c r="Y814" s="87"/>
      <c r="Z814" s="329"/>
      <c r="AA814" s="118"/>
      <c r="AB814" s="118"/>
    </row>
    <row r="815" spans="1:29" s="60" customFormat="1" x14ac:dyDescent="0.2">
      <c r="A815" s="86">
        <v>42929</v>
      </c>
      <c r="B815" s="118">
        <v>21</v>
      </c>
      <c r="C815" s="58"/>
      <c r="D815" s="60" t="s">
        <v>108</v>
      </c>
      <c r="F815" s="87">
        <v>100</v>
      </c>
      <c r="G815" s="87">
        <v>2</v>
      </c>
      <c r="H815" s="60">
        <v>300</v>
      </c>
      <c r="I815" s="60">
        <v>17</v>
      </c>
      <c r="J815" s="60">
        <v>1</v>
      </c>
      <c r="K815" s="60">
        <v>9</v>
      </c>
      <c r="L815" s="60">
        <v>6</v>
      </c>
      <c r="M815" s="60">
        <v>8</v>
      </c>
      <c r="N815" s="60">
        <v>8</v>
      </c>
      <c r="P815" s="118">
        <f t="shared" si="78"/>
        <v>1700</v>
      </c>
      <c r="Q815" s="118">
        <f t="shared" si="79"/>
        <v>750</v>
      </c>
      <c r="R815" s="104">
        <f t="shared" si="77"/>
        <v>0.69387755102040816</v>
      </c>
      <c r="S815" s="179"/>
      <c r="T815" s="63"/>
      <c r="U815" s="63"/>
      <c r="V815" s="63"/>
      <c r="Y815" s="87"/>
      <c r="Z815" s="329"/>
      <c r="AA815" s="118"/>
      <c r="AB815" s="118"/>
    </row>
    <row r="816" spans="1:29" s="60" customFormat="1" ht="17" thickBot="1" x14ac:dyDescent="0.25">
      <c r="A816" s="86">
        <v>42929</v>
      </c>
      <c r="B816" s="118">
        <v>21</v>
      </c>
      <c r="C816" s="58"/>
      <c r="D816" s="60" t="s">
        <v>108</v>
      </c>
      <c r="F816" s="87" t="s">
        <v>201</v>
      </c>
      <c r="G816" s="87">
        <v>2</v>
      </c>
      <c r="H816" s="60">
        <v>320</v>
      </c>
      <c r="I816" s="60">
        <v>1</v>
      </c>
      <c r="J816" s="60">
        <v>11</v>
      </c>
      <c r="K816" s="60">
        <v>2</v>
      </c>
      <c r="L816" s="60">
        <v>5</v>
      </c>
      <c r="M816" s="60">
        <v>7</v>
      </c>
      <c r="N816" s="60">
        <v>5</v>
      </c>
      <c r="P816" s="118">
        <f t="shared" si="78"/>
        <v>533.33333333333337</v>
      </c>
      <c r="Q816" s="118">
        <f t="shared" si="79"/>
        <v>1120</v>
      </c>
      <c r="R816" s="104">
        <f t="shared" si="77"/>
        <v>0.32258064516129031</v>
      </c>
      <c r="S816" s="179"/>
      <c r="T816" s="63"/>
      <c r="U816" s="63"/>
      <c r="V816" s="63"/>
      <c r="Y816" s="87"/>
      <c r="Z816" s="329"/>
      <c r="AA816" s="118"/>
      <c r="AB816" s="118"/>
    </row>
    <row r="817" spans="1:29" s="258" customFormat="1" x14ac:dyDescent="0.2">
      <c r="A817" s="70">
        <v>42933</v>
      </c>
      <c r="B817" s="411">
        <v>10</v>
      </c>
      <c r="C817" s="257"/>
      <c r="D817" s="72" t="s">
        <v>104</v>
      </c>
      <c r="E817" s="144"/>
      <c r="F817" s="259">
        <v>224</v>
      </c>
      <c r="G817" s="84">
        <v>3</v>
      </c>
      <c r="H817" s="258">
        <v>250</v>
      </c>
      <c r="I817" s="78">
        <v>0</v>
      </c>
      <c r="J817" s="78">
        <v>0</v>
      </c>
      <c r="K817" s="78">
        <v>2</v>
      </c>
      <c r="L817" s="78">
        <v>0</v>
      </c>
      <c r="M817" s="85">
        <v>2</v>
      </c>
      <c r="N817" s="78">
        <v>0</v>
      </c>
      <c r="P817" s="122">
        <f t="shared" si="78"/>
        <v>111.1111111111111</v>
      </c>
      <c r="Q817" s="122">
        <f t="shared" si="79"/>
        <v>0</v>
      </c>
      <c r="R817" s="261">
        <f t="shared" si="77"/>
        <v>1</v>
      </c>
      <c r="S817" s="262" t="str">
        <f>D817</f>
        <v>NF-6 Low</v>
      </c>
      <c r="T817" s="263"/>
      <c r="U817" s="263"/>
      <c r="V817" s="263"/>
      <c r="Y817" s="85" t="str">
        <f>D817</f>
        <v>NF-6 Low</v>
      </c>
      <c r="Z817" s="324">
        <f>SUMIFS($P$761:$P$816, $D$761:$D$816, Y817, $F$761:$F$816, "&lt;200") + SUMIFS($Q$761:$Q$816, $D$761:$D$816, Y817, $F$761:$F$816, "&lt;200")</f>
        <v>2274.4444444444443</v>
      </c>
      <c r="AA817" s="122">
        <f>SUM(P817:Q820)</f>
        <v>1161.1111111111113</v>
      </c>
      <c r="AB817" s="122">
        <f>SUMIFS(Collection!O:O, Collection!B:B, "*" &amp; 'Bucket Counts'!Y817 &amp; "*", Collection!A:A, "&lt;" &amp; 'Bucket Counts'!A817,Collection!A:A,  "&gt;=" &amp; 'Bucket Counts'!$A$761)</f>
        <v>0</v>
      </c>
      <c r="AC817" s="158">
        <f>AA817/(Z817+AB817)</f>
        <v>0.5105031753786029</v>
      </c>
    </row>
    <row r="818" spans="1:29" s="78" customFormat="1" x14ac:dyDescent="0.2">
      <c r="A818" s="75">
        <v>42933</v>
      </c>
      <c r="B818" s="412">
        <v>10</v>
      </c>
      <c r="C818" s="76"/>
      <c r="D818" s="77" t="s">
        <v>104</v>
      </c>
      <c r="E818" s="144"/>
      <c r="F818" s="85">
        <v>180</v>
      </c>
      <c r="G818" s="85">
        <v>2</v>
      </c>
      <c r="H818" s="78">
        <v>325</v>
      </c>
      <c r="I818" s="154">
        <v>2</v>
      </c>
      <c r="J818" s="154">
        <v>1</v>
      </c>
      <c r="K818" s="154">
        <v>1</v>
      </c>
      <c r="L818" s="154">
        <v>0</v>
      </c>
      <c r="M818" s="154">
        <v>4</v>
      </c>
      <c r="N818" s="154">
        <v>0</v>
      </c>
      <c r="P818" s="298">
        <f t="shared" ref="P818:P824" si="80">(AVERAGE(I818,K818,M818)/G818)*H818</f>
        <v>379.16666666666669</v>
      </c>
      <c r="Q818" s="122">
        <f t="shared" ref="Q818:Q824" si="81">(AVERAGE(J818,L818,N818)/G818)*H818</f>
        <v>54.166666666666664</v>
      </c>
      <c r="R818" s="158">
        <f t="shared" si="77"/>
        <v>0.875</v>
      </c>
      <c r="S818" s="182">
        <f>(SUM(P817:P820)/(SUM(P817:Q820)))</f>
        <v>0.4222488038277511</v>
      </c>
      <c r="T818" s="79"/>
      <c r="U818" s="79"/>
      <c r="V818" s="79"/>
      <c r="W818" s="297"/>
      <c r="Y818" s="85"/>
      <c r="Z818" s="333"/>
      <c r="AA818" s="122"/>
      <c r="AB818" s="122"/>
    </row>
    <row r="819" spans="1:29" s="154" customFormat="1" x14ac:dyDescent="0.2">
      <c r="A819" s="75">
        <v>42933</v>
      </c>
      <c r="B819" s="412">
        <v>10</v>
      </c>
      <c r="C819" s="153"/>
      <c r="D819" s="77" t="s">
        <v>104</v>
      </c>
      <c r="E819" s="144"/>
      <c r="F819" s="155">
        <v>100</v>
      </c>
      <c r="G819" s="85">
        <v>3</v>
      </c>
      <c r="H819" s="154">
        <v>300</v>
      </c>
      <c r="I819" s="154">
        <v>0</v>
      </c>
      <c r="J819" s="154">
        <v>1</v>
      </c>
      <c r="K819" s="154">
        <v>0</v>
      </c>
      <c r="L819" s="154">
        <v>0</v>
      </c>
      <c r="M819" s="154">
        <v>0</v>
      </c>
      <c r="N819" s="154">
        <v>0</v>
      </c>
      <c r="P819" s="122">
        <f t="shared" si="80"/>
        <v>0</v>
      </c>
      <c r="Q819" s="122">
        <f t="shared" si="81"/>
        <v>33.333333333333329</v>
      </c>
      <c r="R819" s="159">
        <f t="shared" si="77"/>
        <v>0</v>
      </c>
      <c r="S819" s="184"/>
      <c r="T819" s="264"/>
      <c r="U819" s="264"/>
      <c r="V819" s="264"/>
      <c r="W819" s="297"/>
      <c r="Y819" s="155"/>
      <c r="Z819" s="334"/>
      <c r="AA819" s="156"/>
      <c r="AB819" s="156"/>
    </row>
    <row r="820" spans="1:29" s="78" customFormat="1" x14ac:dyDescent="0.2">
      <c r="A820" s="75">
        <v>42933</v>
      </c>
      <c r="B820" s="412">
        <v>10</v>
      </c>
      <c r="C820" s="76"/>
      <c r="D820" s="77" t="s">
        <v>104</v>
      </c>
      <c r="E820" s="144"/>
      <c r="F820" s="85" t="s">
        <v>201</v>
      </c>
      <c r="G820" s="85">
        <v>2</v>
      </c>
      <c r="H820" s="78">
        <v>250</v>
      </c>
      <c r="I820" s="78">
        <v>0</v>
      </c>
      <c r="J820" s="78">
        <v>4</v>
      </c>
      <c r="K820" s="78">
        <v>0</v>
      </c>
      <c r="L820" s="78">
        <v>4</v>
      </c>
      <c r="M820" s="78">
        <v>0</v>
      </c>
      <c r="N820" s="78">
        <v>6</v>
      </c>
      <c r="P820" s="122">
        <f t="shared" si="80"/>
        <v>0</v>
      </c>
      <c r="Q820" s="122">
        <f t="shared" si="81"/>
        <v>583.33333333333337</v>
      </c>
      <c r="R820" s="158">
        <f t="shared" si="77"/>
        <v>0</v>
      </c>
      <c r="S820" s="185"/>
      <c r="T820" s="79"/>
      <c r="U820" s="79"/>
      <c r="V820" s="79"/>
      <c r="Y820" s="85"/>
      <c r="Z820" s="333"/>
      <c r="AA820" s="122"/>
      <c r="AB820" s="122"/>
    </row>
    <row r="821" spans="1:29" s="78" customFormat="1" x14ac:dyDescent="0.2">
      <c r="A821" s="75">
        <v>42933</v>
      </c>
      <c r="B821" s="122">
        <v>12</v>
      </c>
      <c r="C821" s="76"/>
      <c r="D821" s="78" t="s">
        <v>83</v>
      </c>
      <c r="E821" s="144"/>
      <c r="F821" s="85">
        <v>224</v>
      </c>
      <c r="G821" s="85">
        <v>3</v>
      </c>
      <c r="H821" s="78">
        <v>350</v>
      </c>
      <c r="I821" s="78">
        <v>0</v>
      </c>
      <c r="J821" s="78">
        <v>0</v>
      </c>
      <c r="K821" s="78">
        <v>0</v>
      </c>
      <c r="L821" s="78">
        <v>0</v>
      </c>
      <c r="M821" s="78">
        <v>0</v>
      </c>
      <c r="N821" s="78">
        <v>0</v>
      </c>
      <c r="P821" s="122">
        <f t="shared" si="80"/>
        <v>0</v>
      </c>
      <c r="Q821" s="122">
        <f t="shared" si="81"/>
        <v>0</v>
      </c>
      <c r="R821" s="158" t="e">
        <f t="shared" si="77"/>
        <v>#DIV/0!</v>
      </c>
      <c r="S821" s="186" t="str">
        <f>D821</f>
        <v>NF-10 Low</v>
      </c>
      <c r="T821" s="79"/>
      <c r="U821" s="79"/>
      <c r="V821" s="79"/>
      <c r="Y821" s="85" t="str">
        <f>D821</f>
        <v>NF-10 Low</v>
      </c>
      <c r="Z821" s="324">
        <f>SUMIFS($P$761:$P$816, $D$761:$D$816, Y821, $F$761:$F$816, "&lt;200") + SUMIFS($Q$761:$Q$816, $D$761:$D$816, Y821, $F$761:$F$816, "&lt;200")</f>
        <v>1888.8888888888889</v>
      </c>
      <c r="AA821" s="122">
        <f>SUM(P821:Q824)</f>
        <v>1117.2222222222222</v>
      </c>
      <c r="AB821" s="122">
        <f>SUMIFS(Collection!O:O, Collection!B:B, "*" &amp; 'Bucket Counts'!Y821 &amp; "*", Collection!A:A, "&lt;" &amp; 'Bucket Counts'!A821,Collection!A:A,  "&gt;=" &amp; 'Bucket Counts'!$A$761)</f>
        <v>0</v>
      </c>
      <c r="AC821" s="158">
        <f>AA821/(Z821+AB821)</f>
        <v>0.59147058823529408</v>
      </c>
    </row>
    <row r="822" spans="1:29" s="78" customFormat="1" x14ac:dyDescent="0.2">
      <c r="A822" s="75">
        <v>42933</v>
      </c>
      <c r="B822" s="122">
        <v>12</v>
      </c>
      <c r="C822" s="76"/>
      <c r="D822" s="78" t="s">
        <v>83</v>
      </c>
      <c r="E822" s="144"/>
      <c r="F822" s="85">
        <v>180</v>
      </c>
      <c r="G822" s="85">
        <v>3</v>
      </c>
      <c r="H822" s="78">
        <v>325</v>
      </c>
      <c r="I822" s="78">
        <v>4</v>
      </c>
      <c r="J822" s="78">
        <v>0</v>
      </c>
      <c r="K822" s="78">
        <v>5</v>
      </c>
      <c r="L822" s="78">
        <v>3</v>
      </c>
      <c r="M822" s="78">
        <v>3</v>
      </c>
      <c r="N822" s="78">
        <v>0</v>
      </c>
      <c r="P822" s="122">
        <f t="shared" si="80"/>
        <v>433.33333333333331</v>
      </c>
      <c r="Q822" s="122">
        <f t="shared" si="81"/>
        <v>108.33333333333333</v>
      </c>
      <c r="R822" s="158">
        <f t="shared" si="77"/>
        <v>0.8</v>
      </c>
      <c r="S822" s="184">
        <f>(SUM(P821:P824)/(SUM(P821:Q824)))</f>
        <v>0.64644455494778719</v>
      </c>
      <c r="T822" s="79"/>
      <c r="U822" s="79"/>
      <c r="V822" s="79"/>
      <c r="Y822" s="85"/>
      <c r="Z822" s="333"/>
      <c r="AA822" s="122"/>
      <c r="AB822" s="122"/>
    </row>
    <row r="823" spans="1:29" s="78" customFormat="1" x14ac:dyDescent="0.2">
      <c r="A823" s="75">
        <v>42933</v>
      </c>
      <c r="B823" s="122">
        <v>12</v>
      </c>
      <c r="C823" s="76"/>
      <c r="D823" s="78" t="s">
        <v>83</v>
      </c>
      <c r="E823" s="144"/>
      <c r="F823" s="85">
        <v>100</v>
      </c>
      <c r="G823" s="85">
        <v>3</v>
      </c>
      <c r="H823" s="78">
        <v>325</v>
      </c>
      <c r="I823" s="78">
        <v>1</v>
      </c>
      <c r="J823" s="78">
        <v>0</v>
      </c>
      <c r="K823" s="78">
        <v>4</v>
      </c>
      <c r="L823" s="78">
        <v>2</v>
      </c>
      <c r="M823" s="78">
        <v>3</v>
      </c>
      <c r="N823" s="78">
        <v>2</v>
      </c>
      <c r="P823" s="122">
        <f t="shared" si="80"/>
        <v>288.88888888888886</v>
      </c>
      <c r="Q823" s="122">
        <f t="shared" si="81"/>
        <v>144.44444444444443</v>
      </c>
      <c r="R823" s="158">
        <f t="shared" si="77"/>
        <v>0.66666666666666674</v>
      </c>
      <c r="S823" s="185"/>
      <c r="T823" s="79"/>
      <c r="U823" s="79"/>
      <c r="V823" s="79"/>
      <c r="Y823" s="85"/>
      <c r="Z823" s="333"/>
      <c r="AA823" s="122"/>
      <c r="AB823" s="122"/>
    </row>
    <row r="824" spans="1:29" s="78" customFormat="1" x14ac:dyDescent="0.2">
      <c r="A824" s="75">
        <v>42933</v>
      </c>
      <c r="B824" s="122">
        <v>12</v>
      </c>
      <c r="C824" s="76"/>
      <c r="D824" s="78" t="s">
        <v>83</v>
      </c>
      <c r="E824" s="144"/>
      <c r="F824" s="85" t="s">
        <v>201</v>
      </c>
      <c r="G824" s="85">
        <v>3</v>
      </c>
      <c r="H824" s="78">
        <v>320</v>
      </c>
      <c r="I824" s="78">
        <v>0</v>
      </c>
      <c r="J824" s="78">
        <v>1</v>
      </c>
      <c r="K824" s="78">
        <v>0</v>
      </c>
      <c r="L824" s="78">
        <v>0</v>
      </c>
      <c r="M824" s="78">
        <v>0</v>
      </c>
      <c r="N824" s="78">
        <v>3</v>
      </c>
      <c r="P824" s="122">
        <f t="shared" si="80"/>
        <v>0</v>
      </c>
      <c r="Q824" s="122">
        <f t="shared" si="81"/>
        <v>142.22222222222223</v>
      </c>
      <c r="R824" s="158">
        <f t="shared" si="77"/>
        <v>0</v>
      </c>
      <c r="S824" s="185"/>
      <c r="T824" s="79"/>
      <c r="U824" s="79"/>
      <c r="V824" s="79"/>
      <c r="Y824" s="85"/>
      <c r="Z824" s="333"/>
      <c r="AA824" s="122"/>
      <c r="AB824" s="122"/>
    </row>
    <row r="825" spans="1:29" s="78" customFormat="1" x14ac:dyDescent="0.2">
      <c r="A825" s="75">
        <v>42933</v>
      </c>
      <c r="B825" s="122">
        <v>7</v>
      </c>
      <c r="C825" s="76"/>
      <c r="D825" s="78" t="s">
        <v>74</v>
      </c>
      <c r="F825" s="85">
        <v>224</v>
      </c>
      <c r="G825" s="85" t="s">
        <v>352</v>
      </c>
      <c r="P825" s="122">
        <v>1</v>
      </c>
      <c r="Q825" s="122">
        <v>2</v>
      </c>
      <c r="R825" s="158" t="e">
        <f>#REF!/(#REF!+#REF!)</f>
        <v>#REF!</v>
      </c>
      <c r="S825" s="186" t="str">
        <f>D825</f>
        <v>SN-10 Low</v>
      </c>
      <c r="T825" s="79"/>
      <c r="U825" s="79"/>
      <c r="V825" s="79"/>
      <c r="Y825" s="85" t="str">
        <f>D825</f>
        <v>SN-10 Low</v>
      </c>
      <c r="Z825" s="324">
        <f>SUMIFS($P$761:$P$816, $D$761:$D$816, Y825, $F$761:$F$816, "&lt;200") + SUMIFS($Q$761:$Q$816, $D$761:$D$816, Y825, $F$761:$F$816, "&lt;200")</f>
        <v>102.77777777777777</v>
      </c>
      <c r="AA825" s="122">
        <f>SUM(P825:Q828)</f>
        <v>178.55555555555554</v>
      </c>
      <c r="AB825" s="122">
        <f>SUMIFS(Collection!O:O, Collection!B:B, "*" &amp; 'Bucket Counts'!Y825 &amp; "*", Collection!A:A, "&lt;" &amp; 'Bucket Counts'!A825,Collection!A:A,  "&gt;=" &amp; 'Bucket Counts'!$A$761)</f>
        <v>0</v>
      </c>
      <c r="AC825" s="158">
        <f>AA825/(Z825+AB825)</f>
        <v>1.7372972972972973</v>
      </c>
    </row>
    <row r="826" spans="1:29" s="78" customFormat="1" x14ac:dyDescent="0.2">
      <c r="A826" s="75">
        <v>42933</v>
      </c>
      <c r="B826" s="122">
        <v>7</v>
      </c>
      <c r="C826" s="76"/>
      <c r="D826" s="78" t="s">
        <v>74</v>
      </c>
      <c r="F826" s="85">
        <v>180</v>
      </c>
      <c r="G826" s="78">
        <v>3</v>
      </c>
      <c r="H826" s="225">
        <v>330</v>
      </c>
      <c r="I826" s="78">
        <v>0</v>
      </c>
      <c r="J826" s="78">
        <v>0</v>
      </c>
      <c r="K826" s="78">
        <v>1</v>
      </c>
      <c r="L826" s="78">
        <v>0</v>
      </c>
      <c r="M826" s="78">
        <v>0</v>
      </c>
      <c r="N826" s="78">
        <v>1</v>
      </c>
      <c r="P826" s="298">
        <f>(AVERAGE(I826,K826,M826)/G826)*H826</f>
        <v>36.666666666666664</v>
      </c>
      <c r="Q826" s="122">
        <f>(AVERAGE(J826,L826,N826)/G826)*H826</f>
        <v>36.666666666666664</v>
      </c>
      <c r="R826" s="158">
        <f>P825/(P825+Q825)</f>
        <v>0.33333333333333331</v>
      </c>
      <c r="S826" s="184">
        <f>(SUM(P825:P828)/(SUM(P825:Q828)))</f>
        <v>0.21095208462974488</v>
      </c>
      <c r="T826" s="79"/>
      <c r="U826" s="79"/>
      <c r="V826" s="79"/>
      <c r="Y826" s="85"/>
      <c r="Z826" s="333"/>
      <c r="AA826" s="122"/>
      <c r="AB826" s="122"/>
    </row>
    <row r="827" spans="1:29" s="78" customFormat="1" x14ac:dyDescent="0.2">
      <c r="A827" s="75">
        <v>42933</v>
      </c>
      <c r="B827" s="122">
        <v>7</v>
      </c>
      <c r="C827" s="76"/>
      <c r="D827" s="78" t="s">
        <v>74</v>
      </c>
      <c r="F827" s="85">
        <v>100</v>
      </c>
      <c r="G827" s="85">
        <v>3</v>
      </c>
      <c r="H827" s="225">
        <v>350</v>
      </c>
      <c r="I827" s="78">
        <v>0</v>
      </c>
      <c r="J827" s="78">
        <v>0</v>
      </c>
      <c r="K827" s="78">
        <v>0</v>
      </c>
      <c r="L827" s="78">
        <v>0</v>
      </c>
      <c r="M827" s="78">
        <v>0</v>
      </c>
      <c r="N827" s="78">
        <v>0</v>
      </c>
      <c r="P827" s="122">
        <f>(AVERAGE(I827,K827,M827)/G827)*H827</f>
        <v>0</v>
      </c>
      <c r="Q827" s="122">
        <f>(AVERAGE(J827,L827,N827)/G827)*H827</f>
        <v>0</v>
      </c>
      <c r="R827" s="158" t="e">
        <f t="shared" si="77"/>
        <v>#DIV/0!</v>
      </c>
      <c r="S827" s="185"/>
      <c r="T827" s="79"/>
      <c r="U827" s="79"/>
      <c r="V827" s="79"/>
      <c r="Y827" s="85"/>
      <c r="Z827" s="333"/>
      <c r="AA827" s="122"/>
      <c r="AB827" s="122"/>
    </row>
    <row r="828" spans="1:29" s="78" customFormat="1" x14ac:dyDescent="0.2">
      <c r="A828" s="75">
        <v>42933</v>
      </c>
      <c r="B828" s="122">
        <v>7</v>
      </c>
      <c r="C828" s="76"/>
      <c r="D828" s="78" t="s">
        <v>74</v>
      </c>
      <c r="F828" s="85" t="s">
        <v>201</v>
      </c>
      <c r="G828" s="85">
        <v>3</v>
      </c>
      <c r="H828" s="225">
        <v>460</v>
      </c>
      <c r="I828" s="78">
        <v>0</v>
      </c>
      <c r="J828" s="78">
        <v>0</v>
      </c>
      <c r="K828" s="78">
        <v>0</v>
      </c>
      <c r="L828" s="78">
        <v>0</v>
      </c>
      <c r="M828" s="78">
        <v>0</v>
      </c>
      <c r="N828" s="78">
        <v>2</v>
      </c>
      <c r="P828" s="122">
        <f>(AVERAGE(I828,K828,M828)/G828)*H828</f>
        <v>0</v>
      </c>
      <c r="Q828" s="122">
        <f>(AVERAGE(J828,L828,N828)/G828)*H828</f>
        <v>102.22222222222221</v>
      </c>
      <c r="R828" s="158">
        <f t="shared" si="77"/>
        <v>0</v>
      </c>
      <c r="S828" s="185"/>
      <c r="T828" s="79"/>
      <c r="U828" s="79"/>
      <c r="V828" s="79"/>
      <c r="Y828" s="85"/>
      <c r="Z828" s="333"/>
      <c r="AA828" s="122"/>
      <c r="AB828" s="122"/>
    </row>
    <row r="829" spans="1:29" s="78" customFormat="1" x14ac:dyDescent="0.2">
      <c r="A829" s="75">
        <v>42933</v>
      </c>
      <c r="B829" s="412">
        <v>5</v>
      </c>
      <c r="C829" s="76"/>
      <c r="D829" s="77" t="s">
        <v>86</v>
      </c>
      <c r="F829" s="85">
        <v>224</v>
      </c>
      <c r="G829" s="85" t="s">
        <v>352</v>
      </c>
      <c r="H829" s="225"/>
      <c r="P829" s="122">
        <v>10</v>
      </c>
      <c r="Q829" s="122">
        <v>0</v>
      </c>
      <c r="R829" s="158" t="e">
        <f>#REF!/(#REF!+#REF!)</f>
        <v>#REF!</v>
      </c>
      <c r="S829" s="186" t="str">
        <f>D829</f>
        <v>SN-10 Ambient</v>
      </c>
      <c r="T829" s="79"/>
      <c r="U829" s="79"/>
      <c r="V829" s="79"/>
      <c r="Y829" s="85" t="str">
        <f>D829</f>
        <v>SN-10 Ambient</v>
      </c>
      <c r="Z829" s="324">
        <f>SUMIFS($P$761:$P$816, $D$761:$D$816, Y829, $F$761:$F$816, "&lt;200") + SUMIFS($Q$761:$Q$816, $D$761:$D$816, Y829, $F$761:$F$816, "&lt;200")</f>
        <v>50061.111111111109</v>
      </c>
      <c r="AA829" s="122">
        <f>SUM(P829:Q832)</f>
        <v>50430</v>
      </c>
      <c r="AB829" s="122">
        <f>SUMIFS(Collection!O:O, Collection!B:B, "*" &amp; 'Bucket Counts'!Y829 &amp; "*", Collection!A:A, "&lt;" &amp; 'Bucket Counts'!A829,Collection!A:A,  "&gt;=" &amp; 'Bucket Counts'!$A$761)</f>
        <v>0</v>
      </c>
      <c r="AC829" s="158">
        <f>AA829/(Z829+AB829)</f>
        <v>1.0073687715014983</v>
      </c>
    </row>
    <row r="830" spans="1:29" s="78" customFormat="1" x14ac:dyDescent="0.2">
      <c r="A830" s="75">
        <v>42933</v>
      </c>
      <c r="B830" s="412">
        <v>5</v>
      </c>
      <c r="C830" s="76"/>
      <c r="D830" s="77" t="s">
        <v>86</v>
      </c>
      <c r="F830" s="85">
        <v>180</v>
      </c>
      <c r="G830" s="78">
        <v>1</v>
      </c>
      <c r="H830" s="225">
        <v>340</v>
      </c>
      <c r="I830" s="78">
        <v>85</v>
      </c>
      <c r="J830" s="78">
        <v>0</v>
      </c>
      <c r="K830" s="78">
        <v>70</v>
      </c>
      <c r="L830" s="78">
        <v>0</v>
      </c>
      <c r="M830" s="78">
        <v>58</v>
      </c>
      <c r="N830" s="78">
        <v>0</v>
      </c>
      <c r="P830" s="122">
        <f>(AVERAGE(I830,K830,M830)/G830)*H830</f>
        <v>24140</v>
      </c>
      <c r="Q830" s="122">
        <f>(AVERAGE(J830,L830,N830)/G830)*H830</f>
        <v>0</v>
      </c>
      <c r="R830" s="158">
        <f>P829/(P829+Q829)</f>
        <v>1</v>
      </c>
      <c r="S830" s="184">
        <f>(SUM(P829:P832)/(SUM(P829:Q832)))</f>
        <v>0.73673078194196584</v>
      </c>
      <c r="T830" s="79"/>
      <c r="U830" s="79"/>
      <c r="V830" s="79"/>
      <c r="Y830" s="85"/>
      <c r="Z830" s="333"/>
      <c r="AA830" s="122"/>
      <c r="AB830" s="122"/>
    </row>
    <row r="831" spans="1:29" s="78" customFormat="1" x14ac:dyDescent="0.2">
      <c r="A831" s="75">
        <v>42933</v>
      </c>
      <c r="B831" s="412">
        <v>5</v>
      </c>
      <c r="C831" s="76"/>
      <c r="D831" s="77" t="s">
        <v>86</v>
      </c>
      <c r="F831" s="85">
        <v>100</v>
      </c>
      <c r="G831" s="85">
        <v>1</v>
      </c>
      <c r="H831" s="225">
        <v>350</v>
      </c>
      <c r="I831" s="78">
        <v>7</v>
      </c>
      <c r="J831" s="78">
        <v>50</v>
      </c>
      <c r="K831" s="78">
        <v>45</v>
      </c>
      <c r="L831" s="78">
        <v>8</v>
      </c>
      <c r="M831" s="78">
        <v>59</v>
      </c>
      <c r="N831" s="78">
        <v>11</v>
      </c>
      <c r="P831" s="122">
        <f>(AVERAGE(I831,K831,M831)/G831)*H831</f>
        <v>12950</v>
      </c>
      <c r="Q831" s="122">
        <f>(AVERAGE(J831,L831,N831)/G831)*H831</f>
        <v>8050</v>
      </c>
      <c r="R831" s="158">
        <f t="shared" si="77"/>
        <v>0.6166666666666667</v>
      </c>
      <c r="S831" s="185"/>
      <c r="T831" s="79"/>
      <c r="U831" s="79"/>
      <c r="V831" s="79"/>
      <c r="Y831" s="85"/>
      <c r="Z831" s="333"/>
      <c r="AA831" s="122"/>
      <c r="AB831" s="122"/>
    </row>
    <row r="832" spans="1:29" s="78" customFormat="1" x14ac:dyDescent="0.2">
      <c r="A832" s="75">
        <v>42933</v>
      </c>
      <c r="B832" s="412">
        <v>5</v>
      </c>
      <c r="C832" s="76"/>
      <c r="D832" s="77" t="s">
        <v>86</v>
      </c>
      <c r="F832" s="85" t="s">
        <v>201</v>
      </c>
      <c r="G832" s="85">
        <v>2</v>
      </c>
      <c r="H832" s="225">
        <v>320</v>
      </c>
      <c r="I832" s="78">
        <v>1</v>
      </c>
      <c r="J832" s="78">
        <v>33</v>
      </c>
      <c r="K832" s="78">
        <v>0</v>
      </c>
      <c r="L832" s="78">
        <v>30</v>
      </c>
      <c r="M832" s="78">
        <v>0</v>
      </c>
      <c r="N832" s="78">
        <v>35</v>
      </c>
      <c r="P832" s="122">
        <f>(AVERAGE(I832,K832,M832)/G832)*H832</f>
        <v>53.333333333333329</v>
      </c>
      <c r="Q832" s="122">
        <f>(AVERAGE(J832,L832,N832)/G832)*H832</f>
        <v>5226.6666666666661</v>
      </c>
      <c r="R832" s="158">
        <f t="shared" si="77"/>
        <v>1.0101010101010102E-2</v>
      </c>
      <c r="S832" s="185"/>
      <c r="T832" s="79"/>
      <c r="U832" s="79"/>
      <c r="V832" s="79"/>
      <c r="Y832" s="85"/>
      <c r="Z832" s="333"/>
      <c r="AA832" s="122"/>
      <c r="AB832" s="122"/>
    </row>
    <row r="833" spans="1:29" s="78" customFormat="1" x14ac:dyDescent="0.2">
      <c r="A833" s="75">
        <v>42933</v>
      </c>
      <c r="B833" s="122">
        <v>17</v>
      </c>
      <c r="C833" s="76"/>
      <c r="D833" s="78" t="s">
        <v>38</v>
      </c>
      <c r="F833" s="85">
        <v>224</v>
      </c>
      <c r="G833" s="85">
        <v>3</v>
      </c>
      <c r="H833" s="225">
        <v>290</v>
      </c>
      <c r="I833" s="78">
        <v>4</v>
      </c>
      <c r="J833" s="78">
        <v>0</v>
      </c>
      <c r="K833" s="78">
        <v>0</v>
      </c>
      <c r="L833" s="78">
        <v>0</v>
      </c>
      <c r="M833" s="78">
        <v>1</v>
      </c>
      <c r="N833" s="78">
        <v>0</v>
      </c>
      <c r="P833" s="122">
        <f>(AVERAGE(I833,K833,M833)/G833)*H833</f>
        <v>161.11111111111111</v>
      </c>
      <c r="Q833" s="122">
        <f>(AVERAGE(J833,L833,N833)/G833)*H833</f>
        <v>0</v>
      </c>
      <c r="R833" s="158">
        <f t="shared" si="77"/>
        <v>1</v>
      </c>
      <c r="S833" s="186" t="str">
        <f>D833</f>
        <v>K-6 Ambient</v>
      </c>
      <c r="T833" s="79"/>
      <c r="U833" s="79"/>
      <c r="V833" s="79"/>
      <c r="Y833" s="85" t="str">
        <f>D833</f>
        <v>K-6 Ambient</v>
      </c>
      <c r="Z833" s="324">
        <f>SUMIFS($P$761:$P$816, $D$761:$D$816, Y833, $F$761:$F$816, "&lt;200") + SUMIFS($Q$761:$Q$816, $D$761:$D$816, Y833, $F$761:$F$816, "&lt;200")</f>
        <v>4320.8333333333339</v>
      </c>
      <c r="AA833" s="122">
        <f>SUM(P833:Q836)</f>
        <v>995.33333333333348</v>
      </c>
      <c r="AB833" s="122">
        <f>SUMIFS(Collection!O:O, Collection!B:B, "*" &amp; 'Bucket Counts'!Y833 &amp; "*", Collection!A:A, "&lt;" &amp; 'Bucket Counts'!A833,Collection!A:A,  "&gt;=" &amp; 'Bucket Counts'!$A$761)</f>
        <v>0</v>
      </c>
      <c r="AC833" s="158">
        <f>AA833/(Z833+AB833)</f>
        <v>0.23035679845708776</v>
      </c>
    </row>
    <row r="834" spans="1:29" s="78" customFormat="1" x14ac:dyDescent="0.2">
      <c r="A834" s="75">
        <v>42933</v>
      </c>
      <c r="B834" s="122">
        <v>17</v>
      </c>
      <c r="C834" s="76"/>
      <c r="D834" s="78" t="s">
        <v>38</v>
      </c>
      <c r="F834" s="85">
        <v>180</v>
      </c>
      <c r="G834" s="85">
        <v>3</v>
      </c>
      <c r="H834" s="225">
        <v>300</v>
      </c>
      <c r="I834" s="78">
        <v>1</v>
      </c>
      <c r="J834" s="78">
        <v>1</v>
      </c>
      <c r="K834" s="78">
        <v>3</v>
      </c>
      <c r="L834" s="78">
        <v>0</v>
      </c>
      <c r="M834" s="78">
        <v>6</v>
      </c>
      <c r="N834" s="78">
        <v>0</v>
      </c>
      <c r="P834" s="122">
        <f>(AVERAGE(I834,K834,M834)/G834)*H834</f>
        <v>333.33333333333337</v>
      </c>
      <c r="Q834" s="122">
        <f>(AVERAGE(J834,L834,N834)/G834)*H834</f>
        <v>33.333333333333329</v>
      </c>
      <c r="R834" s="158">
        <f t="shared" si="77"/>
        <v>0.90909090909090917</v>
      </c>
      <c r="S834" s="184">
        <f>(SUM(P833:P836)/(SUM(P833:Q836)))</f>
        <v>0.65293592319714211</v>
      </c>
      <c r="T834" s="79"/>
      <c r="U834" s="79"/>
      <c r="V834" s="79"/>
      <c r="Y834" s="85"/>
      <c r="Z834" s="333"/>
      <c r="AA834" s="122"/>
      <c r="AB834" s="122"/>
    </row>
    <row r="835" spans="1:29" s="78" customFormat="1" x14ac:dyDescent="0.2">
      <c r="A835" s="75">
        <v>42933</v>
      </c>
      <c r="B835" s="122">
        <v>17</v>
      </c>
      <c r="C835" s="76"/>
      <c r="D835" s="78" t="s">
        <v>38</v>
      </c>
      <c r="F835" s="85">
        <v>100</v>
      </c>
      <c r="G835" s="85" t="s">
        <v>352</v>
      </c>
      <c r="H835" s="225"/>
      <c r="P835" s="122">
        <v>31</v>
      </c>
      <c r="Q835" s="122">
        <v>1</v>
      </c>
      <c r="R835" s="158">
        <f t="shared" si="77"/>
        <v>0.96875</v>
      </c>
      <c r="S835" s="185"/>
      <c r="T835" s="79"/>
      <c r="U835" s="79"/>
      <c r="V835" s="79"/>
      <c r="Y835" s="85"/>
      <c r="Z835" s="333"/>
      <c r="AA835" s="122"/>
      <c r="AB835" s="122"/>
    </row>
    <row r="836" spans="1:29" s="78" customFormat="1" x14ac:dyDescent="0.2">
      <c r="A836" s="75">
        <v>42933</v>
      </c>
      <c r="B836" s="122">
        <v>17</v>
      </c>
      <c r="C836" s="76"/>
      <c r="D836" s="78" t="s">
        <v>38</v>
      </c>
      <c r="F836" s="85" t="s">
        <v>201</v>
      </c>
      <c r="G836" s="85">
        <v>3</v>
      </c>
      <c r="H836" s="225">
        <v>280</v>
      </c>
      <c r="I836" s="78">
        <v>0</v>
      </c>
      <c r="J836" s="78">
        <v>6</v>
      </c>
      <c r="K836" s="78">
        <v>1</v>
      </c>
      <c r="L836" s="78">
        <v>0</v>
      </c>
      <c r="M836" s="78">
        <v>3</v>
      </c>
      <c r="N836" s="78">
        <v>4</v>
      </c>
      <c r="P836" s="122">
        <f t="shared" ref="P836:P844" si="82">(AVERAGE(I836,K836,M836)/G836)*H836</f>
        <v>124.44444444444444</v>
      </c>
      <c r="Q836" s="122">
        <f t="shared" ref="Q836:Q844" si="83">(AVERAGE(J836,L836,N836)/G836)*H836</f>
        <v>311.11111111111114</v>
      </c>
      <c r="R836" s="158">
        <f t="shared" si="77"/>
        <v>0.2857142857142857</v>
      </c>
      <c r="S836" s="185"/>
      <c r="T836" s="79"/>
      <c r="U836" s="79"/>
      <c r="V836" s="79"/>
      <c r="Y836" s="85"/>
      <c r="Z836" s="333"/>
      <c r="AA836" s="122"/>
      <c r="AB836" s="122"/>
    </row>
    <row r="837" spans="1:29" s="78" customFormat="1" x14ac:dyDescent="0.2">
      <c r="A837" s="75">
        <v>42933</v>
      </c>
      <c r="B837" s="122">
        <v>24</v>
      </c>
      <c r="C837" s="76"/>
      <c r="D837" s="78" t="s">
        <v>118</v>
      </c>
      <c r="F837" s="85">
        <v>224</v>
      </c>
      <c r="G837" s="85">
        <v>3</v>
      </c>
      <c r="H837" s="225">
        <v>300</v>
      </c>
      <c r="I837" s="78">
        <v>1</v>
      </c>
      <c r="J837" s="78">
        <v>0</v>
      </c>
      <c r="K837" s="78">
        <v>2</v>
      </c>
      <c r="L837" s="78">
        <v>1</v>
      </c>
      <c r="M837" s="78">
        <v>0</v>
      </c>
      <c r="N837" s="78">
        <v>0</v>
      </c>
      <c r="P837" s="122">
        <f t="shared" si="82"/>
        <v>100</v>
      </c>
      <c r="Q837" s="122">
        <f t="shared" si="83"/>
        <v>33.333333333333329</v>
      </c>
      <c r="R837" s="158">
        <f t="shared" si="77"/>
        <v>0.75000000000000011</v>
      </c>
      <c r="S837" s="186" t="str">
        <f>D837</f>
        <v>HL-6 Ambient</v>
      </c>
      <c r="T837" s="79"/>
      <c r="U837" s="79"/>
      <c r="V837" s="79"/>
      <c r="Y837" s="85" t="str">
        <f>D837</f>
        <v>HL-6 Ambient</v>
      </c>
      <c r="Z837" s="324">
        <f>SUMIFS($P$761:$P$816, $D$761:$D$816, Y837, $F$761:$F$816, "&lt;200") + SUMIFS($Q$761:$Q$816, $D$761:$D$816, Y837, $F$761:$F$816, "&lt;200")</f>
        <v>788.88888888888891</v>
      </c>
      <c r="AA837" s="122">
        <f>SUM(P837:Q840)</f>
        <v>768.33333333333337</v>
      </c>
      <c r="AB837" s="122">
        <f>SUMIFS(Collection!O:O, Collection!B:B, "*" &amp; 'Bucket Counts'!Y837 &amp; "*", Collection!A:A, "&lt;" &amp; 'Bucket Counts'!A837,Collection!A:A,  "&gt;=" &amp; 'Bucket Counts'!$A$761)</f>
        <v>0</v>
      </c>
      <c r="AC837" s="158">
        <f>AA837/(Z837+AB837)</f>
        <v>0.97394366197183102</v>
      </c>
    </row>
    <row r="838" spans="1:29" s="78" customFormat="1" x14ac:dyDescent="0.2">
      <c r="A838" s="75">
        <v>42933</v>
      </c>
      <c r="B838" s="122">
        <v>24</v>
      </c>
      <c r="C838" s="76"/>
      <c r="D838" s="78" t="s">
        <v>118</v>
      </c>
      <c r="F838" s="85">
        <v>180</v>
      </c>
      <c r="G838" s="85">
        <v>3</v>
      </c>
      <c r="H838" s="225">
        <v>375</v>
      </c>
      <c r="I838" s="78">
        <v>1</v>
      </c>
      <c r="J838" s="78">
        <v>0</v>
      </c>
      <c r="K838" s="78">
        <v>1</v>
      </c>
      <c r="L838" s="78">
        <v>0</v>
      </c>
      <c r="M838" s="78">
        <v>4</v>
      </c>
      <c r="N838" s="78">
        <v>0</v>
      </c>
      <c r="P838" s="298">
        <f t="shared" si="82"/>
        <v>250</v>
      </c>
      <c r="Q838" s="122">
        <f t="shared" si="83"/>
        <v>0</v>
      </c>
      <c r="R838" s="158">
        <f t="shared" si="77"/>
        <v>1</v>
      </c>
      <c r="S838" s="184">
        <f>(SUM(P837:P840)/(SUM(P837:Q840)))</f>
        <v>0.74909616775126531</v>
      </c>
      <c r="T838" s="79"/>
      <c r="Y838" s="85"/>
      <c r="Z838" s="333"/>
      <c r="AA838" s="122"/>
      <c r="AB838" s="122"/>
    </row>
    <row r="839" spans="1:29" s="78" customFormat="1" x14ac:dyDescent="0.2">
      <c r="A839" s="75">
        <v>42933</v>
      </c>
      <c r="B839" s="122">
        <v>24</v>
      </c>
      <c r="C839" s="76"/>
      <c r="D839" s="78" t="s">
        <v>118</v>
      </c>
      <c r="F839" s="85">
        <v>100</v>
      </c>
      <c r="G839" s="85">
        <v>3</v>
      </c>
      <c r="H839" s="78">
        <v>275</v>
      </c>
      <c r="I839" s="78">
        <v>0</v>
      </c>
      <c r="J839" s="78">
        <v>1</v>
      </c>
      <c r="K839" s="78">
        <v>0</v>
      </c>
      <c r="L839" s="78">
        <v>0</v>
      </c>
      <c r="M839" s="78">
        <v>0</v>
      </c>
      <c r="N839" s="78">
        <v>0</v>
      </c>
      <c r="P839" s="122">
        <f t="shared" si="82"/>
        <v>0</v>
      </c>
      <c r="Q839" s="122">
        <f t="shared" si="83"/>
        <v>30.555555555555554</v>
      </c>
      <c r="R839" s="158">
        <f t="shared" si="77"/>
        <v>0</v>
      </c>
      <c r="S839" s="185"/>
      <c r="T839" s="79"/>
      <c r="Y839" s="85"/>
      <c r="Z839" s="333"/>
      <c r="AA839" s="122"/>
      <c r="AB839" s="122"/>
    </row>
    <row r="840" spans="1:29" s="78" customFormat="1" x14ac:dyDescent="0.2">
      <c r="A840" s="75">
        <v>42933</v>
      </c>
      <c r="B840" s="122">
        <v>24</v>
      </c>
      <c r="C840" s="76"/>
      <c r="D840" s="78" t="s">
        <v>118</v>
      </c>
      <c r="F840" s="85" t="s">
        <v>201</v>
      </c>
      <c r="G840" s="85">
        <v>3</v>
      </c>
      <c r="H840" s="78">
        <v>290</v>
      </c>
      <c r="I840" s="78">
        <v>1</v>
      </c>
      <c r="J840" s="78">
        <v>3</v>
      </c>
      <c r="K840" s="78">
        <v>4</v>
      </c>
      <c r="L840" s="78">
        <v>0</v>
      </c>
      <c r="M840" s="78">
        <v>2</v>
      </c>
      <c r="N840" s="78">
        <v>1</v>
      </c>
      <c r="P840" s="122">
        <f t="shared" si="82"/>
        <v>225.55555555555557</v>
      </c>
      <c r="Q840" s="122">
        <f t="shared" si="83"/>
        <v>128.88888888888889</v>
      </c>
      <c r="R840" s="158">
        <f t="shared" si="77"/>
        <v>0.63636363636363635</v>
      </c>
      <c r="S840" s="185"/>
      <c r="T840" s="79"/>
      <c r="Y840" s="85"/>
      <c r="Z840" s="333"/>
      <c r="AA840" s="122"/>
      <c r="AB840" s="122"/>
    </row>
    <row r="841" spans="1:29" s="78" customFormat="1" x14ac:dyDescent="0.2">
      <c r="A841" s="75">
        <v>42933</v>
      </c>
      <c r="B841" s="412">
        <v>23</v>
      </c>
      <c r="C841" s="76"/>
      <c r="D841" s="77" t="s">
        <v>21</v>
      </c>
      <c r="F841" s="85">
        <v>224</v>
      </c>
      <c r="G841" s="85">
        <v>3</v>
      </c>
      <c r="H841" s="78">
        <v>350</v>
      </c>
      <c r="I841" s="78">
        <v>0</v>
      </c>
      <c r="J841" s="78">
        <v>0</v>
      </c>
      <c r="K841" s="78">
        <v>0</v>
      </c>
      <c r="L841" s="78">
        <v>0</v>
      </c>
      <c r="M841" s="78">
        <v>2</v>
      </c>
      <c r="N841" s="78">
        <v>1</v>
      </c>
      <c r="P841" s="122">
        <f t="shared" si="82"/>
        <v>77.777777777777771</v>
      </c>
      <c r="Q841" s="122">
        <f t="shared" si="83"/>
        <v>38.888888888888886</v>
      </c>
      <c r="R841" s="158">
        <f t="shared" si="77"/>
        <v>0.66666666666666663</v>
      </c>
      <c r="S841" s="183" t="str">
        <f>D841</f>
        <v>HL-6 Low</v>
      </c>
      <c r="T841" s="79"/>
      <c r="Y841" s="85" t="str">
        <f>D841</f>
        <v>HL-6 Low</v>
      </c>
      <c r="Z841" s="324">
        <f>SUMIFS($P$761:$P$816, $D$761:$D$816, Y841, $F$761:$F$816, "&lt;200") + SUMIFS($Q$761:$Q$816, $D$761:$D$816, Y841, $F$761:$F$816, "&lt;200")</f>
        <v>4950</v>
      </c>
      <c r="AA841" s="122">
        <f>SUM(P841:Q844)</f>
        <v>2427.2222222222222</v>
      </c>
      <c r="AB841" s="122">
        <f>SUMIFS(Collection!O:O, Collection!B:B, "*" &amp; 'Bucket Counts'!Y841 &amp; "*", Collection!A:A, "&lt;" &amp; 'Bucket Counts'!A841,Collection!A:A,  "&gt;=" &amp; 'Bucket Counts'!$A$761)</f>
        <v>0</v>
      </c>
      <c r="AC841" s="158">
        <f>AA841/(Z841+AB841)</f>
        <v>0.49034792368125701</v>
      </c>
    </row>
    <row r="842" spans="1:29" s="78" customFormat="1" x14ac:dyDescent="0.2">
      <c r="A842" s="75">
        <v>42933</v>
      </c>
      <c r="B842" s="412">
        <v>23</v>
      </c>
      <c r="C842" s="76"/>
      <c r="D842" s="77" t="s">
        <v>21</v>
      </c>
      <c r="F842" s="85">
        <v>180</v>
      </c>
      <c r="G842" s="85">
        <v>3</v>
      </c>
      <c r="H842" s="78">
        <v>340</v>
      </c>
      <c r="I842" s="78">
        <v>7</v>
      </c>
      <c r="J842" s="78">
        <v>1</v>
      </c>
      <c r="K842" s="78">
        <v>12</v>
      </c>
      <c r="L842" s="78">
        <v>2</v>
      </c>
      <c r="M842" s="78">
        <v>5</v>
      </c>
      <c r="N842" s="78">
        <v>1</v>
      </c>
      <c r="P842" s="122">
        <f t="shared" si="82"/>
        <v>906.66666666666663</v>
      </c>
      <c r="Q842" s="122">
        <f t="shared" si="83"/>
        <v>151.11111111111111</v>
      </c>
      <c r="R842" s="158">
        <f t="shared" si="77"/>
        <v>0.8571428571428571</v>
      </c>
      <c r="S842" s="184">
        <f>(SUM(P841:P844)/(SUM(P841:Q844)))</f>
        <v>0.46898603799496452</v>
      </c>
      <c r="T842" s="79"/>
      <c r="Y842" s="85"/>
      <c r="Z842" s="333"/>
      <c r="AA842" s="122"/>
      <c r="AB842" s="122"/>
    </row>
    <row r="843" spans="1:29" s="78" customFormat="1" x14ac:dyDescent="0.2">
      <c r="A843" s="75">
        <v>42933</v>
      </c>
      <c r="B843" s="412">
        <v>23</v>
      </c>
      <c r="C843" s="76"/>
      <c r="D843" s="77" t="s">
        <v>21</v>
      </c>
      <c r="F843" s="85">
        <v>100</v>
      </c>
      <c r="G843" s="85">
        <v>3</v>
      </c>
      <c r="H843" s="224">
        <v>440</v>
      </c>
      <c r="I843" s="78">
        <v>0</v>
      </c>
      <c r="J843" s="78">
        <v>0</v>
      </c>
      <c r="K843" s="78">
        <v>0</v>
      </c>
      <c r="L843" s="78">
        <v>1</v>
      </c>
      <c r="M843" s="78">
        <v>1</v>
      </c>
      <c r="N843" s="78">
        <v>0</v>
      </c>
      <c r="P843" s="122">
        <f t="shared" si="82"/>
        <v>48.888888888888886</v>
      </c>
      <c r="Q843" s="122">
        <f t="shared" si="83"/>
        <v>48.888888888888886</v>
      </c>
      <c r="R843" s="158">
        <f t="shared" si="77"/>
        <v>0.5</v>
      </c>
      <c r="S843" s="182"/>
      <c r="T843" s="79"/>
      <c r="Y843" s="85"/>
      <c r="Z843" s="333"/>
      <c r="AA843" s="122"/>
      <c r="AB843" s="122"/>
    </row>
    <row r="844" spans="1:29" s="78" customFormat="1" x14ac:dyDescent="0.2">
      <c r="A844" s="75">
        <v>42933</v>
      </c>
      <c r="B844" s="412">
        <v>23</v>
      </c>
      <c r="C844" s="76"/>
      <c r="D844" s="77" t="s">
        <v>21</v>
      </c>
      <c r="F844" s="85" t="s">
        <v>201</v>
      </c>
      <c r="G844" s="85">
        <v>3</v>
      </c>
      <c r="H844" s="224">
        <v>315</v>
      </c>
      <c r="I844" s="78">
        <v>0</v>
      </c>
      <c r="J844" s="78">
        <v>12</v>
      </c>
      <c r="K844" s="78">
        <v>0</v>
      </c>
      <c r="L844" s="78">
        <v>10</v>
      </c>
      <c r="M844" s="78">
        <v>3</v>
      </c>
      <c r="N844" s="78">
        <v>8</v>
      </c>
      <c r="P844" s="122">
        <f t="shared" si="82"/>
        <v>105</v>
      </c>
      <c r="Q844" s="122">
        <f t="shared" si="83"/>
        <v>1050</v>
      </c>
      <c r="R844" s="158">
        <f t="shared" si="77"/>
        <v>9.0909090909090912E-2</v>
      </c>
      <c r="S844" s="185"/>
      <c r="T844" s="79"/>
      <c r="Y844" s="85"/>
      <c r="Z844" s="333"/>
      <c r="AA844" s="122"/>
      <c r="AB844" s="122"/>
    </row>
    <row r="845" spans="1:29" s="78" customFormat="1" x14ac:dyDescent="0.2">
      <c r="A845" s="75">
        <v>42933</v>
      </c>
      <c r="B845" s="412">
        <v>18</v>
      </c>
      <c r="C845" s="76"/>
      <c r="D845" s="77" t="s">
        <v>20</v>
      </c>
      <c r="F845" s="85">
        <v>224</v>
      </c>
      <c r="G845" s="85" t="s">
        <v>352</v>
      </c>
      <c r="P845" s="122">
        <v>6</v>
      </c>
      <c r="Q845" s="122">
        <v>0</v>
      </c>
      <c r="R845" s="158">
        <f t="shared" si="77"/>
        <v>1</v>
      </c>
      <c r="S845" s="186" t="str">
        <f>D845</f>
        <v>K-10 Low</v>
      </c>
      <c r="T845" s="79"/>
      <c r="Y845" s="85" t="str">
        <f>D845</f>
        <v>K-10 Low</v>
      </c>
      <c r="Z845" s="324">
        <f>SUMIFS($P$761:$P$816, $D$761:$D$816, Y845, $F$761:$F$816, "&lt;200") + SUMIFS($Q$761:$Q$816, $D$761:$D$816, Y845, $F$761:$F$816, "&lt;200")</f>
        <v>403.33333333333331</v>
      </c>
      <c r="AA845" s="122">
        <f>SUM(P845:Q848)</f>
        <v>226</v>
      </c>
      <c r="AB845" s="122">
        <f>SUMIFS(Collection!O:O, Collection!B:B, "*" &amp; 'Bucket Counts'!Y845 &amp; "*", Collection!A:A, "&lt;" &amp; 'Bucket Counts'!A845,Collection!A:A,  "&gt;=" &amp; 'Bucket Counts'!$A$761)</f>
        <v>0</v>
      </c>
      <c r="AC845" s="158">
        <f>AA845/(Z845+AB845)</f>
        <v>0.56033057851239676</v>
      </c>
    </row>
    <row r="846" spans="1:29" s="78" customFormat="1" x14ac:dyDescent="0.2">
      <c r="A846" s="75">
        <v>42933</v>
      </c>
      <c r="B846" s="412">
        <v>18</v>
      </c>
      <c r="C846" s="76"/>
      <c r="D846" s="77" t="s">
        <v>20</v>
      </c>
      <c r="F846" s="85">
        <v>180</v>
      </c>
      <c r="G846" s="85">
        <v>3</v>
      </c>
      <c r="H846" s="78">
        <v>310</v>
      </c>
      <c r="I846" s="78">
        <v>0</v>
      </c>
      <c r="J846" s="78">
        <v>0</v>
      </c>
      <c r="K846" s="78">
        <v>2</v>
      </c>
      <c r="L846" s="78">
        <v>0</v>
      </c>
      <c r="M846" s="78">
        <v>1</v>
      </c>
      <c r="N846" s="78">
        <v>0</v>
      </c>
      <c r="P846" s="122">
        <f>(AVERAGE(I846,K846,M846)/G846)*H846</f>
        <v>103.33333333333333</v>
      </c>
      <c r="Q846" s="122">
        <f>(AVERAGE(J846,L846,N846)/G846)*H846</f>
        <v>0</v>
      </c>
      <c r="R846" s="158">
        <f t="shared" si="77"/>
        <v>1</v>
      </c>
      <c r="S846" s="184">
        <f>(SUM(P845:P848)/(SUM(P845:Q848)))</f>
        <v>0.631268436578171</v>
      </c>
      <c r="T846" s="79"/>
      <c r="Y846" s="85"/>
      <c r="Z846" s="333"/>
      <c r="AA846" s="122"/>
      <c r="AB846" s="122"/>
    </row>
    <row r="847" spans="1:29" s="78" customFormat="1" x14ac:dyDescent="0.2">
      <c r="A847" s="75">
        <v>42933</v>
      </c>
      <c r="B847" s="412">
        <v>18</v>
      </c>
      <c r="C847" s="76"/>
      <c r="D847" s="77" t="s">
        <v>20</v>
      </c>
      <c r="F847" s="85">
        <v>100</v>
      </c>
      <c r="G847" s="85">
        <v>3</v>
      </c>
      <c r="H847" s="224">
        <v>300</v>
      </c>
      <c r="I847" s="78">
        <v>0</v>
      </c>
      <c r="J847" s="78">
        <v>0</v>
      </c>
      <c r="K847" s="78">
        <v>0</v>
      </c>
      <c r="L847" s="78">
        <v>0</v>
      </c>
      <c r="M847" s="78">
        <v>1</v>
      </c>
      <c r="N847" s="78">
        <v>0</v>
      </c>
      <c r="P847" s="122">
        <f>(AVERAGE(I847,K847,M847)/G847)*H847</f>
        <v>33.333333333333329</v>
      </c>
      <c r="Q847" s="122">
        <f>(AVERAGE(J847,L847,N847)/G847)*H847</f>
        <v>0</v>
      </c>
      <c r="R847" s="158">
        <f t="shared" si="77"/>
        <v>1</v>
      </c>
      <c r="S847" s="185"/>
      <c r="T847" s="79"/>
      <c r="Y847" s="85"/>
      <c r="Z847" s="333"/>
      <c r="AA847" s="122"/>
      <c r="AB847" s="122"/>
    </row>
    <row r="848" spans="1:29" s="78" customFormat="1" x14ac:dyDescent="0.2">
      <c r="A848" s="75">
        <v>42933</v>
      </c>
      <c r="B848" s="412">
        <v>18</v>
      </c>
      <c r="C848" s="76"/>
      <c r="D848" s="77" t="s">
        <v>20</v>
      </c>
      <c r="F848" s="85" t="s">
        <v>201</v>
      </c>
      <c r="G848" s="85">
        <v>3</v>
      </c>
      <c r="H848" s="224">
        <v>250</v>
      </c>
      <c r="I848" s="78">
        <v>0</v>
      </c>
      <c r="J848" s="78">
        <v>2</v>
      </c>
      <c r="K848" s="78">
        <v>0</v>
      </c>
      <c r="L848" s="78">
        <v>1</v>
      </c>
      <c r="M848" s="78">
        <v>0</v>
      </c>
      <c r="N848" s="78">
        <v>0</v>
      </c>
      <c r="P848" s="122">
        <f>(AVERAGE(I848,K848,M848)/G848)*H848</f>
        <v>0</v>
      </c>
      <c r="Q848" s="122">
        <f>(AVERAGE(J848,L848,N848)/G848)*H848</f>
        <v>83.333333333333329</v>
      </c>
      <c r="R848" s="158">
        <f t="shared" si="77"/>
        <v>0</v>
      </c>
      <c r="S848" s="185"/>
      <c r="T848" s="79"/>
      <c r="Y848" s="85"/>
      <c r="Z848" s="333"/>
      <c r="AA848" s="122"/>
      <c r="AB848" s="122"/>
    </row>
    <row r="849" spans="1:29" s="78" customFormat="1" x14ac:dyDescent="0.2">
      <c r="A849" s="75">
        <v>42933</v>
      </c>
      <c r="B849" s="122">
        <v>16</v>
      </c>
      <c r="C849" s="76"/>
      <c r="D849" s="78" t="s">
        <v>87</v>
      </c>
      <c r="F849" s="85">
        <v>224</v>
      </c>
      <c r="G849" s="85">
        <v>3</v>
      </c>
      <c r="H849" s="78">
        <v>250</v>
      </c>
      <c r="I849" s="78">
        <v>0</v>
      </c>
      <c r="J849" s="78">
        <v>0</v>
      </c>
      <c r="K849" s="78">
        <v>1</v>
      </c>
      <c r="L849" s="78">
        <v>0</v>
      </c>
      <c r="M849" s="78">
        <v>0</v>
      </c>
      <c r="N849" s="78">
        <v>0</v>
      </c>
      <c r="P849" s="122">
        <f>(AVERAGE(I849,K849,M849)/G849)*H849</f>
        <v>27.777777777777775</v>
      </c>
      <c r="Q849" s="122">
        <f>(AVERAGE(J849,L849,N849)/G849)*H849</f>
        <v>0</v>
      </c>
      <c r="R849" s="158">
        <f t="shared" si="77"/>
        <v>1</v>
      </c>
      <c r="S849" s="186" t="str">
        <f>D849</f>
        <v>SN-6 Ambient</v>
      </c>
      <c r="Y849" s="85" t="str">
        <f>D849</f>
        <v>SN-6 Ambient</v>
      </c>
      <c r="Z849" s="324">
        <f>SUMIFS($P$761:$P$816, $D$761:$D$816, Y849, $F$761:$F$816, "&lt;200") + SUMIFS($Q$761:$Q$816, $D$761:$D$816, Y849, $F$761:$F$816, "&lt;200")</f>
        <v>160</v>
      </c>
      <c r="AA849" s="122">
        <f>SUM(P849:Q852)</f>
        <v>118.88888888888887</v>
      </c>
      <c r="AB849" s="122">
        <f>SUMIFS(Collection!O:O, Collection!B:B, "*" &amp; 'Bucket Counts'!Y849 &amp; "*", Collection!A:A, "&lt;" &amp; 'Bucket Counts'!A849,Collection!A:A,  "&gt;=" &amp; 'Bucket Counts'!$A$761)</f>
        <v>0</v>
      </c>
      <c r="AC849" s="158">
        <f>AA849/(Z849+AB849)</f>
        <v>0.74305555555555547</v>
      </c>
    </row>
    <row r="850" spans="1:29" s="78" customFormat="1" x14ac:dyDescent="0.2">
      <c r="A850" s="75">
        <v>42933</v>
      </c>
      <c r="B850" s="122">
        <v>16</v>
      </c>
      <c r="C850" s="76"/>
      <c r="D850" s="78" t="s">
        <v>87</v>
      </c>
      <c r="F850" s="85">
        <v>180</v>
      </c>
      <c r="G850" s="85">
        <v>3</v>
      </c>
      <c r="H850" s="78">
        <v>260</v>
      </c>
      <c r="I850" s="78">
        <v>1</v>
      </c>
      <c r="J850" s="78">
        <v>0</v>
      </c>
      <c r="K850" s="78">
        <v>0</v>
      </c>
      <c r="L850" s="78">
        <v>0</v>
      </c>
      <c r="M850" s="78">
        <v>1</v>
      </c>
      <c r="N850" s="78">
        <v>0</v>
      </c>
      <c r="P850" s="122">
        <f>(AVERAGE(I850,K850,M850)/G850)*H850</f>
        <v>57.777777777777771</v>
      </c>
      <c r="Q850" s="122">
        <f>(AVERAGE(J850,L850,N850)/G850)*H850</f>
        <v>0</v>
      </c>
      <c r="R850" s="158">
        <f t="shared" si="77"/>
        <v>1</v>
      </c>
      <c r="S850" s="184">
        <f>(SUM(P849:P852)/(SUM(P849:Q852)))</f>
        <v>0.71962616822429903</v>
      </c>
      <c r="Y850" s="85"/>
      <c r="Z850" s="333"/>
      <c r="AA850" s="122"/>
      <c r="AB850" s="122"/>
    </row>
    <row r="851" spans="1:29" s="78" customFormat="1" x14ac:dyDescent="0.2">
      <c r="A851" s="75">
        <v>42933</v>
      </c>
      <c r="B851" s="122">
        <v>16</v>
      </c>
      <c r="C851" s="76"/>
      <c r="D851" s="78" t="s">
        <v>87</v>
      </c>
      <c r="F851" s="85">
        <v>100</v>
      </c>
      <c r="G851" s="85" t="s">
        <v>352</v>
      </c>
      <c r="P851" s="122">
        <v>0</v>
      </c>
      <c r="Q851" s="122">
        <v>0</v>
      </c>
      <c r="R851" s="158" t="e">
        <f t="shared" si="77"/>
        <v>#DIV/0!</v>
      </c>
      <c r="S851" s="185"/>
      <c r="Y851" s="85"/>
      <c r="Z851" s="333"/>
      <c r="AA851" s="122"/>
      <c r="AB851" s="122"/>
    </row>
    <row r="852" spans="1:29" s="78" customFormat="1" x14ac:dyDescent="0.2">
      <c r="A852" s="75">
        <v>42933</v>
      </c>
      <c r="B852" s="122">
        <v>16</v>
      </c>
      <c r="C852" s="76"/>
      <c r="D852" s="78" t="s">
        <v>87</v>
      </c>
      <c r="F852" s="85" t="s">
        <v>201</v>
      </c>
      <c r="G852" s="85">
        <v>3</v>
      </c>
      <c r="H852" s="78">
        <v>300</v>
      </c>
      <c r="I852" s="78">
        <v>0</v>
      </c>
      <c r="J852" s="78">
        <v>1</v>
      </c>
      <c r="K852" s="78">
        <v>0</v>
      </c>
      <c r="L852" s="78">
        <v>0</v>
      </c>
      <c r="M852" s="78">
        <v>0</v>
      </c>
      <c r="N852" s="78">
        <v>0</v>
      </c>
      <c r="P852" s="122">
        <f>(AVERAGE(I852,K852,M852)/G852)*H852</f>
        <v>0</v>
      </c>
      <c r="Q852" s="122">
        <f>(AVERAGE(J852,L852,N852)/G852)*H852</f>
        <v>33.333333333333329</v>
      </c>
      <c r="R852" s="158">
        <f t="shared" si="77"/>
        <v>0</v>
      </c>
      <c r="S852" s="185"/>
      <c r="Y852" s="85"/>
      <c r="Z852" s="333"/>
      <c r="AA852" s="122"/>
      <c r="AB852" s="122"/>
    </row>
    <row r="853" spans="1:29" s="78" customFormat="1" x14ac:dyDescent="0.2">
      <c r="A853" s="75">
        <v>42933</v>
      </c>
      <c r="B853" s="122">
        <v>3</v>
      </c>
      <c r="C853" s="76"/>
      <c r="D853" s="78" t="s">
        <v>84</v>
      </c>
      <c r="F853" s="85">
        <v>224</v>
      </c>
      <c r="G853" s="85">
        <v>3</v>
      </c>
      <c r="H853" s="78">
        <v>250</v>
      </c>
      <c r="I853" s="78">
        <v>0</v>
      </c>
      <c r="J853" s="78">
        <v>0</v>
      </c>
      <c r="K853" s="78">
        <v>0</v>
      </c>
      <c r="L853" s="78">
        <v>0</v>
      </c>
      <c r="M853" s="78">
        <v>1</v>
      </c>
      <c r="N853" s="78">
        <v>0</v>
      </c>
      <c r="P853" s="318">
        <f>(AVERAGE(I853,K853,M853)/G853)*H853</f>
        <v>27.777777777777775</v>
      </c>
      <c r="Q853" s="122">
        <f>(AVERAGE(J853,L853,N853)/G853)*H853</f>
        <v>0</v>
      </c>
      <c r="R853" s="158">
        <f t="shared" si="77"/>
        <v>1</v>
      </c>
      <c r="S853" s="186" t="str">
        <f>D853</f>
        <v>NF-10 Ambient</v>
      </c>
      <c r="T853" s="79"/>
      <c r="U853" s="79"/>
      <c r="V853" s="79"/>
      <c r="W853" s="78" t="s">
        <v>360</v>
      </c>
      <c r="Y853" s="85" t="str">
        <f>D853</f>
        <v>NF-10 Ambient</v>
      </c>
      <c r="Z853" s="324">
        <f>SUMIFS($P$761:$P$816, $D$761:$D$816, Y853, $F$761:$F$816, "&lt;200") + SUMIFS($Q$761:$Q$816, $D$761:$D$816, Y853, $F$761:$F$816, "&lt;200")</f>
        <v>63</v>
      </c>
      <c r="AA853" s="122">
        <f>SUM(P853:Q856)</f>
        <v>465.55555555555554</v>
      </c>
      <c r="AB853" s="122">
        <f>SUMIFS(Collection!O:O, Collection!B:B, "*" &amp; 'Bucket Counts'!Y853 &amp; "*", Collection!A:A, "&lt;" &amp; 'Bucket Counts'!A853,Collection!A:A,  "&gt;=" &amp; 'Bucket Counts'!$A$761)</f>
        <v>0</v>
      </c>
      <c r="AC853" s="158">
        <f>AA853/(Z853+AB853)</f>
        <v>7.3897707231040561</v>
      </c>
    </row>
    <row r="854" spans="1:29" s="78" customFormat="1" x14ac:dyDescent="0.2">
      <c r="A854" s="75">
        <v>42933</v>
      </c>
      <c r="B854" s="122">
        <v>3</v>
      </c>
      <c r="C854" s="76"/>
      <c r="D854" s="78" t="s">
        <v>84</v>
      </c>
      <c r="F854" s="85">
        <v>180</v>
      </c>
      <c r="G854" s="85">
        <v>3</v>
      </c>
      <c r="H854" s="78">
        <v>250</v>
      </c>
      <c r="I854" s="78">
        <v>1</v>
      </c>
      <c r="J854" s="78">
        <v>0</v>
      </c>
      <c r="K854" s="78">
        <v>0</v>
      </c>
      <c r="L854" s="78">
        <v>0</v>
      </c>
      <c r="M854" s="78">
        <v>1</v>
      </c>
      <c r="N854" s="78">
        <v>0</v>
      </c>
      <c r="P854" s="122">
        <f>(AVERAGE(I854,K854,M854)/G854)*H854</f>
        <v>55.55555555555555</v>
      </c>
      <c r="Q854" s="122">
        <f>(AVERAGE(J854,L854,N854)/G854)*H854</f>
        <v>0</v>
      </c>
      <c r="R854" s="158">
        <f t="shared" si="77"/>
        <v>1</v>
      </c>
      <c r="S854" s="184">
        <f>(SUM(P853:P856)/(SUM(P853:Q856)))</f>
        <v>0.30668257756563244</v>
      </c>
      <c r="T854" s="79"/>
      <c r="U854" s="79"/>
      <c r="V854" s="79"/>
      <c r="Y854" s="85"/>
      <c r="Z854" s="333"/>
      <c r="AA854" s="122"/>
      <c r="AB854" s="122"/>
    </row>
    <row r="855" spans="1:29" s="78" customFormat="1" x14ac:dyDescent="0.2">
      <c r="A855" s="75">
        <v>42933</v>
      </c>
      <c r="B855" s="122">
        <v>3</v>
      </c>
      <c r="C855" s="76"/>
      <c r="D855" s="78" t="s">
        <v>84</v>
      </c>
      <c r="F855" s="85">
        <v>100</v>
      </c>
      <c r="G855" s="85">
        <v>3</v>
      </c>
      <c r="H855" s="78">
        <v>275</v>
      </c>
      <c r="I855" s="78">
        <v>0</v>
      </c>
      <c r="J855" s="78">
        <v>1</v>
      </c>
      <c r="K855" s="78">
        <v>0</v>
      </c>
      <c r="L855" s="78">
        <v>2</v>
      </c>
      <c r="M855" s="78">
        <v>1</v>
      </c>
      <c r="N855" s="78">
        <v>0</v>
      </c>
      <c r="P855" s="122">
        <f>(AVERAGE(I855,K855,M855)/G855)*H855</f>
        <v>30.555555555555554</v>
      </c>
      <c r="Q855" s="122">
        <f>(AVERAGE(J855,L855,N855)/G855)*H855</f>
        <v>91.666666666666657</v>
      </c>
      <c r="R855" s="158">
        <f t="shared" si="77"/>
        <v>0.25</v>
      </c>
      <c r="S855" s="185"/>
      <c r="T855" s="79"/>
      <c r="U855" s="79"/>
      <c r="V855" s="79"/>
      <c r="Y855" s="85"/>
      <c r="Z855" s="333"/>
      <c r="AA855" s="122"/>
      <c r="AB855" s="122"/>
    </row>
    <row r="856" spans="1:29" s="78" customFormat="1" x14ac:dyDescent="0.2">
      <c r="A856" s="75">
        <v>42933</v>
      </c>
      <c r="B856" s="122">
        <v>3</v>
      </c>
      <c r="C856" s="76"/>
      <c r="D856" s="78" t="s">
        <v>84</v>
      </c>
      <c r="F856" s="85" t="s">
        <v>201</v>
      </c>
      <c r="G856" s="85">
        <v>3</v>
      </c>
      <c r="H856" s="78">
        <v>260</v>
      </c>
      <c r="I856" s="78">
        <v>0</v>
      </c>
      <c r="J856" s="78">
        <v>5</v>
      </c>
      <c r="K856" s="78">
        <v>0</v>
      </c>
      <c r="L856" s="78">
        <v>1</v>
      </c>
      <c r="M856" s="78">
        <v>1</v>
      </c>
      <c r="N856" s="78">
        <v>2</v>
      </c>
      <c r="P856" s="122">
        <f>(AVERAGE(I856,K856,M856)/G856)*H856</f>
        <v>28.888888888888886</v>
      </c>
      <c r="Q856" s="122">
        <f>(AVERAGE(J856,L856,N856)/G856)*H856</f>
        <v>231.11111111111109</v>
      </c>
      <c r="R856" s="158">
        <f t="shared" si="77"/>
        <v>0.1111111111111111</v>
      </c>
      <c r="S856" s="185"/>
      <c r="T856" s="79"/>
      <c r="U856" s="79"/>
      <c r="V856" s="79"/>
      <c r="Y856" s="85"/>
      <c r="Z856" s="333"/>
      <c r="AA856" s="122"/>
      <c r="AB856" s="122"/>
    </row>
    <row r="857" spans="1:29" s="78" customFormat="1" x14ac:dyDescent="0.2">
      <c r="A857" s="75">
        <v>42933</v>
      </c>
      <c r="B857" s="122">
        <v>22</v>
      </c>
      <c r="C857" s="76"/>
      <c r="D857" s="78" t="s">
        <v>17</v>
      </c>
      <c r="F857" s="85">
        <v>224</v>
      </c>
      <c r="G857" s="85" t="s">
        <v>352</v>
      </c>
      <c r="P857" s="122">
        <v>3</v>
      </c>
      <c r="Q857" s="122">
        <v>0</v>
      </c>
      <c r="R857" s="158">
        <f t="shared" si="77"/>
        <v>1</v>
      </c>
      <c r="S857" s="186" t="str">
        <f>D857</f>
        <v>K-10 Ambient</v>
      </c>
      <c r="T857" s="79"/>
      <c r="U857" s="79"/>
      <c r="V857" s="79"/>
      <c r="Y857" s="85" t="str">
        <f>D857</f>
        <v>K-10 Ambient</v>
      </c>
      <c r="Z857" s="324">
        <f>SUMIFS($P$761:$P$816, $D$761:$D$816, Y857, $F$761:$F$816, "&lt;200") + SUMIFS($Q$761:$Q$816, $D$761:$D$816, Y857, $F$761:$F$816, "&lt;200")</f>
        <v>506.66666666666669</v>
      </c>
      <c r="AA857" s="122">
        <f>SUM(P857:Q860)</f>
        <v>91.888888888888886</v>
      </c>
      <c r="AB857" s="122">
        <f>SUMIFS(Collection!O:O, Collection!B:B, "*" &amp; 'Bucket Counts'!Y857 &amp; "*", Collection!A:A, "&lt;" &amp; 'Bucket Counts'!A857,Collection!A:A,  "&gt;=" &amp; 'Bucket Counts'!$A$761)</f>
        <v>0</v>
      </c>
      <c r="AC857" s="158">
        <f>AA857/(Z857+AB857)</f>
        <v>0.181359649122807</v>
      </c>
    </row>
    <row r="858" spans="1:29" s="78" customFormat="1" x14ac:dyDescent="0.2">
      <c r="A858" s="75">
        <v>42933</v>
      </c>
      <c r="B858" s="122">
        <v>22</v>
      </c>
      <c r="C858" s="76"/>
      <c r="D858" s="78" t="s">
        <v>17</v>
      </c>
      <c r="F858" s="85">
        <v>180</v>
      </c>
      <c r="G858" s="85">
        <v>3</v>
      </c>
      <c r="H858" s="78">
        <v>250</v>
      </c>
      <c r="I858" s="78">
        <v>0</v>
      </c>
      <c r="J858" s="78">
        <v>0</v>
      </c>
      <c r="K858" s="78">
        <v>0</v>
      </c>
      <c r="L858" s="78">
        <v>0</v>
      </c>
      <c r="M858" s="78">
        <v>1</v>
      </c>
      <c r="N858" s="78">
        <v>0</v>
      </c>
      <c r="P858" s="298">
        <f>(AVERAGE(I858,K858,M858)/G858)*H858</f>
        <v>27.777777777777775</v>
      </c>
      <c r="Q858" s="122">
        <f>(AVERAGE(J858,L858,N858)/G858)*H858</f>
        <v>0</v>
      </c>
      <c r="R858" s="158">
        <f t="shared" si="77"/>
        <v>1</v>
      </c>
      <c r="S858" s="184">
        <f>(SUM(P857:P860)/(SUM(P857:Q860)))</f>
        <v>0.33494558645707373</v>
      </c>
      <c r="T858" s="79"/>
      <c r="U858" s="79"/>
      <c r="V858" s="79"/>
      <c r="Y858" s="85"/>
      <c r="Z858" s="333"/>
      <c r="AA858" s="122"/>
      <c r="AB858" s="122"/>
    </row>
    <row r="859" spans="1:29" s="78" customFormat="1" x14ac:dyDescent="0.2">
      <c r="A859" s="75">
        <v>42933</v>
      </c>
      <c r="B859" s="122">
        <v>22</v>
      </c>
      <c r="C859" s="76"/>
      <c r="D859" s="78" t="s">
        <v>17</v>
      </c>
      <c r="F859" s="85">
        <v>100</v>
      </c>
      <c r="G859" s="85" t="s">
        <v>352</v>
      </c>
      <c r="P859" s="122">
        <v>0</v>
      </c>
      <c r="Q859" s="122">
        <v>0</v>
      </c>
      <c r="R859" s="158" t="e">
        <f t="shared" si="77"/>
        <v>#DIV/0!</v>
      </c>
      <c r="S859" s="185"/>
      <c r="T859" s="79"/>
      <c r="U859" s="79"/>
      <c r="V859" s="79"/>
      <c r="Y859" s="85"/>
      <c r="Z859" s="333"/>
      <c r="AA859" s="122"/>
      <c r="AB859" s="122"/>
    </row>
    <row r="860" spans="1:29" s="78" customFormat="1" x14ac:dyDescent="0.2">
      <c r="A860" s="75">
        <v>42933</v>
      </c>
      <c r="B860" s="122">
        <v>22</v>
      </c>
      <c r="C860" s="76"/>
      <c r="D860" s="78" t="s">
        <v>17</v>
      </c>
      <c r="F860" s="85" t="s">
        <v>201</v>
      </c>
      <c r="G860" s="85">
        <v>3</v>
      </c>
      <c r="H860" s="78">
        <v>275</v>
      </c>
      <c r="I860" s="78">
        <v>0</v>
      </c>
      <c r="J860" s="78">
        <v>1</v>
      </c>
      <c r="K860" s="78">
        <v>0</v>
      </c>
      <c r="L860" s="78">
        <v>0</v>
      </c>
      <c r="M860" s="78">
        <v>0</v>
      </c>
      <c r="N860" s="78">
        <v>1</v>
      </c>
      <c r="P860" s="122">
        <f t="shared" ref="P860:P868" si="84">(AVERAGE(I860,K860,M860)/G860)*H860</f>
        <v>0</v>
      </c>
      <c r="Q860" s="122">
        <f t="shared" ref="Q860:Q868" si="85">(AVERAGE(J860,L860,N860)/G860)*H860</f>
        <v>61.111111111111107</v>
      </c>
      <c r="R860" s="158">
        <f t="shared" si="77"/>
        <v>0</v>
      </c>
      <c r="S860" s="185"/>
      <c r="T860" s="79"/>
      <c r="U860" s="79"/>
      <c r="V860" s="79"/>
      <c r="Y860" s="85"/>
      <c r="Z860" s="333"/>
      <c r="AA860" s="122"/>
      <c r="AB860" s="122"/>
    </row>
    <row r="861" spans="1:29" s="78" customFormat="1" x14ac:dyDescent="0.2">
      <c r="A861" s="75">
        <v>42933</v>
      </c>
      <c r="B861" s="122">
        <v>21</v>
      </c>
      <c r="C861" s="76"/>
      <c r="D861" s="78" t="s">
        <v>108</v>
      </c>
      <c r="F861" s="85">
        <v>224</v>
      </c>
      <c r="G861" s="85">
        <v>3</v>
      </c>
      <c r="H861" s="78">
        <v>260</v>
      </c>
      <c r="I861" s="78">
        <v>4</v>
      </c>
      <c r="J861" s="78">
        <v>0</v>
      </c>
      <c r="K861" s="78">
        <v>5</v>
      </c>
      <c r="L861" s="78">
        <v>0</v>
      </c>
      <c r="M861" s="78">
        <v>9</v>
      </c>
      <c r="N861" s="78">
        <v>0</v>
      </c>
      <c r="P861" s="318">
        <f t="shared" si="84"/>
        <v>520</v>
      </c>
      <c r="Q861" s="122">
        <f t="shared" si="85"/>
        <v>0</v>
      </c>
      <c r="R861" s="158">
        <f t="shared" si="77"/>
        <v>1</v>
      </c>
      <c r="S861" s="186" t="str">
        <f>D861</f>
        <v>HL-10 Low</v>
      </c>
      <c r="T861" s="79"/>
      <c r="U861" s="79"/>
      <c r="V861" s="79"/>
      <c r="Y861" s="85" t="str">
        <f>D861</f>
        <v>HL-10 Low</v>
      </c>
      <c r="Z861" s="324">
        <f>SUMIFS($P$761:$P$816, $D$761:$D$816, Y861, $F$761:$F$816, "&lt;200") + SUMIFS($Q$761:$Q$816, $D$761:$D$816, Y861, $F$761:$F$816, "&lt;200")</f>
        <v>10783.333333333334</v>
      </c>
      <c r="AA861" s="122">
        <f>SUM(P861:Q864)</f>
        <v>8668.8888888888887</v>
      </c>
      <c r="AB861" s="122">
        <f>SUMIFS(Collection!O:O, Collection!B:B, "*" &amp; 'Bucket Counts'!Y861 &amp; "*", Collection!A:A, "&lt;" &amp; 'Bucket Counts'!A861,Collection!A:A,  "&gt;=" &amp; 'Bucket Counts'!$A$761)</f>
        <v>0</v>
      </c>
      <c r="AC861" s="158">
        <f>AA861/(Z861+AB861)</f>
        <v>0.80391550747037599</v>
      </c>
    </row>
    <row r="862" spans="1:29" s="78" customFormat="1" x14ac:dyDescent="0.2">
      <c r="A862" s="75">
        <v>42933</v>
      </c>
      <c r="B862" s="122">
        <v>21</v>
      </c>
      <c r="C862" s="76"/>
      <c r="D862" s="78" t="s">
        <v>108</v>
      </c>
      <c r="F862" s="85">
        <v>180</v>
      </c>
      <c r="G862" s="85">
        <v>3</v>
      </c>
      <c r="H862" s="78">
        <v>235</v>
      </c>
      <c r="I862" s="78">
        <v>57</v>
      </c>
      <c r="J862" s="78">
        <v>5</v>
      </c>
      <c r="K862" s="78">
        <v>56</v>
      </c>
      <c r="L862" s="78">
        <v>7</v>
      </c>
      <c r="M862" s="78">
        <v>45</v>
      </c>
      <c r="N862" s="78">
        <v>7</v>
      </c>
      <c r="P862" s="122">
        <f t="shared" si="84"/>
        <v>4125.5555555555547</v>
      </c>
      <c r="Q862" s="122">
        <f t="shared" si="85"/>
        <v>496.11111111111114</v>
      </c>
      <c r="R862" s="158">
        <f t="shared" si="77"/>
        <v>0.89265536723163841</v>
      </c>
      <c r="S862" s="184">
        <f>(SUM(P861:P864)/(SUM(P861:Q864)))</f>
        <v>0.58491412458344005</v>
      </c>
      <c r="T862" s="79"/>
      <c r="U862" s="79"/>
      <c r="V862" s="79"/>
      <c r="Y862" s="85"/>
      <c r="Z862" s="333"/>
      <c r="AA862" s="122"/>
      <c r="AB862" s="122"/>
    </row>
    <row r="863" spans="1:29" s="78" customFormat="1" x14ac:dyDescent="0.2">
      <c r="A863" s="75">
        <v>42933</v>
      </c>
      <c r="B863" s="122">
        <v>21</v>
      </c>
      <c r="C863" s="76"/>
      <c r="D863" s="78" t="s">
        <v>108</v>
      </c>
      <c r="F863" s="85">
        <v>100</v>
      </c>
      <c r="G863" s="85">
        <v>3</v>
      </c>
      <c r="H863" s="78">
        <v>255</v>
      </c>
      <c r="I863" s="78">
        <v>2</v>
      </c>
      <c r="J863" s="78">
        <v>2</v>
      </c>
      <c r="K863" s="78">
        <v>3</v>
      </c>
      <c r="L863" s="78">
        <v>2</v>
      </c>
      <c r="M863" s="78">
        <v>10</v>
      </c>
      <c r="N863" s="78">
        <v>2</v>
      </c>
      <c r="P863" s="122">
        <f t="shared" si="84"/>
        <v>425</v>
      </c>
      <c r="Q863" s="122">
        <f t="shared" si="85"/>
        <v>170</v>
      </c>
      <c r="R863" s="158">
        <f t="shared" si="77"/>
        <v>0.7142857142857143</v>
      </c>
      <c r="S863" s="185"/>
      <c r="T863" s="79"/>
      <c r="U863" s="79"/>
      <c r="V863" s="79"/>
      <c r="Y863" s="85"/>
      <c r="Z863" s="333"/>
      <c r="AA863" s="122"/>
      <c r="AB863" s="122"/>
    </row>
    <row r="864" spans="1:29" s="78" customFormat="1" x14ac:dyDescent="0.2">
      <c r="A864" s="75">
        <v>42933</v>
      </c>
      <c r="B864" s="122">
        <v>21</v>
      </c>
      <c r="C864" s="76"/>
      <c r="D864" s="78" t="s">
        <v>108</v>
      </c>
      <c r="F864" s="85" t="s">
        <v>201</v>
      </c>
      <c r="G864" s="85">
        <v>3</v>
      </c>
      <c r="H864" s="78">
        <v>290</v>
      </c>
      <c r="I864" s="78">
        <v>0</v>
      </c>
      <c r="J864" s="78">
        <v>33</v>
      </c>
      <c r="K864" s="78">
        <v>0</v>
      </c>
      <c r="L864" s="78">
        <v>32</v>
      </c>
      <c r="M864" s="78">
        <v>0</v>
      </c>
      <c r="N864" s="78">
        <v>26</v>
      </c>
      <c r="P864" s="122">
        <f t="shared" si="84"/>
        <v>0</v>
      </c>
      <c r="Q864" s="122">
        <f t="shared" si="85"/>
        <v>2932.2222222222222</v>
      </c>
      <c r="R864" s="158">
        <f t="shared" ref="R864:R908" si="86">P864/(P864+Q864)</f>
        <v>0</v>
      </c>
      <c r="S864" s="185"/>
      <c r="T864" s="79"/>
      <c r="U864" s="79"/>
      <c r="V864" s="79"/>
      <c r="Y864" s="85"/>
      <c r="Z864" s="333"/>
      <c r="AA864" s="122"/>
      <c r="AB864" s="122"/>
    </row>
    <row r="865" spans="1:29" s="78" customFormat="1" x14ac:dyDescent="0.2">
      <c r="A865" s="75">
        <v>42933</v>
      </c>
      <c r="B865" s="122">
        <v>19</v>
      </c>
      <c r="C865" s="76"/>
      <c r="D865" s="78" t="s">
        <v>88</v>
      </c>
      <c r="F865" s="85">
        <v>224</v>
      </c>
      <c r="G865" s="85">
        <v>3</v>
      </c>
      <c r="H865" s="78">
        <v>275</v>
      </c>
      <c r="I865" s="78">
        <v>2</v>
      </c>
      <c r="J865" s="78">
        <v>0</v>
      </c>
      <c r="K865" s="78">
        <v>0</v>
      </c>
      <c r="L865" s="78">
        <v>0</v>
      </c>
      <c r="M865" s="78">
        <v>0</v>
      </c>
      <c r="N865" s="78">
        <v>0</v>
      </c>
      <c r="P865" s="122">
        <f t="shared" si="84"/>
        <v>61.111111111111107</v>
      </c>
      <c r="Q865" s="122">
        <f t="shared" si="85"/>
        <v>0</v>
      </c>
      <c r="R865" s="158">
        <f t="shared" si="86"/>
        <v>1</v>
      </c>
      <c r="S865" s="186" t="str">
        <f>D865</f>
        <v>HL-10 Ambient</v>
      </c>
      <c r="T865" s="79"/>
      <c r="U865" s="79"/>
      <c r="V865" s="79"/>
      <c r="Y865" s="85" t="str">
        <f>D865</f>
        <v>HL-10 Ambient</v>
      </c>
      <c r="Z865" s="324">
        <f>SUMIFS($P$761:$P$816, $D$761:$D$816, Y865, $F$761:$F$816, "&lt;200") + SUMIFS($Q$761:$Q$816, $D$761:$D$816, Y865, $F$761:$F$816, "&lt;200")</f>
        <v>15081.666666666666</v>
      </c>
      <c r="AA865" s="122">
        <f>SUM(P865:Q868)</f>
        <v>7761.1111111111113</v>
      </c>
      <c r="AB865" s="122">
        <f>SUMIFS(Collection!O:O, Collection!B:B, "*" &amp; 'Bucket Counts'!Y865 &amp; "*", Collection!A:A, "&lt;" &amp; 'Bucket Counts'!A865,Collection!A:A,  "&gt;=" &amp; 'Bucket Counts'!$A$761)</f>
        <v>0</v>
      </c>
      <c r="AC865" s="158">
        <f>AA865/(Z865+AB865)</f>
        <v>0.51460566545106279</v>
      </c>
    </row>
    <row r="866" spans="1:29" s="78" customFormat="1" x14ac:dyDescent="0.2">
      <c r="A866" s="75">
        <v>42933</v>
      </c>
      <c r="B866" s="122">
        <v>19</v>
      </c>
      <c r="C866" s="76"/>
      <c r="D866" s="78" t="s">
        <v>88</v>
      </c>
      <c r="F866" s="85">
        <v>180</v>
      </c>
      <c r="G866" s="85">
        <v>3</v>
      </c>
      <c r="H866" s="78">
        <v>260</v>
      </c>
      <c r="I866" s="78">
        <v>20</v>
      </c>
      <c r="J866" s="78">
        <v>5</v>
      </c>
      <c r="K866" s="78">
        <v>12</v>
      </c>
      <c r="L866" s="78">
        <v>2</v>
      </c>
      <c r="M866" s="78">
        <v>14</v>
      </c>
      <c r="N866" s="78">
        <v>2</v>
      </c>
      <c r="P866" s="122">
        <f t="shared" si="84"/>
        <v>1328.8888888888889</v>
      </c>
      <c r="Q866" s="122">
        <f t="shared" si="85"/>
        <v>260</v>
      </c>
      <c r="R866" s="158">
        <f t="shared" si="86"/>
        <v>0.83636363636363642</v>
      </c>
      <c r="S866" s="184">
        <f>(SUM(P865:P868)/(SUM(P865:Q868)))</f>
        <v>0.41889763779527556</v>
      </c>
      <c r="T866" s="79"/>
      <c r="U866" s="79"/>
      <c r="V866" s="79"/>
      <c r="Y866" s="85"/>
      <c r="Z866" s="333"/>
      <c r="AA866" s="122"/>
      <c r="AB866" s="122"/>
    </row>
    <row r="867" spans="1:29" s="78" customFormat="1" x14ac:dyDescent="0.2">
      <c r="A867" s="75">
        <v>42933</v>
      </c>
      <c r="B867" s="122">
        <v>19</v>
      </c>
      <c r="C867" s="76"/>
      <c r="D867" s="78" t="s">
        <v>88</v>
      </c>
      <c r="F867" s="85">
        <v>100</v>
      </c>
      <c r="G867" s="85">
        <v>3</v>
      </c>
      <c r="H867" s="78">
        <v>250</v>
      </c>
      <c r="I867" s="78">
        <v>20</v>
      </c>
      <c r="J867" s="78">
        <v>13</v>
      </c>
      <c r="K867" s="78">
        <v>24</v>
      </c>
      <c r="L867" s="78">
        <v>7</v>
      </c>
      <c r="M867" s="78">
        <v>23</v>
      </c>
      <c r="N867" s="78">
        <v>12</v>
      </c>
      <c r="P867" s="122">
        <f t="shared" si="84"/>
        <v>1861.1111111111109</v>
      </c>
      <c r="Q867" s="122">
        <f t="shared" si="85"/>
        <v>888.8888888888888</v>
      </c>
      <c r="R867" s="158">
        <f t="shared" si="86"/>
        <v>0.6767676767676768</v>
      </c>
      <c r="S867" s="185"/>
      <c r="T867" s="79"/>
      <c r="U867" s="79"/>
      <c r="V867" s="79"/>
      <c r="Y867" s="85"/>
      <c r="Z867" s="333"/>
      <c r="AA867" s="122"/>
      <c r="AB867" s="122"/>
    </row>
    <row r="868" spans="1:29" s="78" customFormat="1" x14ac:dyDescent="0.2">
      <c r="A868" s="75">
        <v>42933</v>
      </c>
      <c r="B868" s="122">
        <v>19</v>
      </c>
      <c r="C868" s="76"/>
      <c r="D868" s="78" t="s">
        <v>88</v>
      </c>
      <c r="F868" s="85" t="s">
        <v>201</v>
      </c>
      <c r="G868" s="85">
        <v>3</v>
      </c>
      <c r="H868" s="78">
        <v>250</v>
      </c>
      <c r="I868" s="78">
        <v>0</v>
      </c>
      <c r="J868" s="78">
        <v>33</v>
      </c>
      <c r="K868" s="78">
        <v>0</v>
      </c>
      <c r="L868" s="78">
        <v>45</v>
      </c>
      <c r="M868" s="78">
        <v>0</v>
      </c>
      <c r="N868" s="78">
        <v>43</v>
      </c>
      <c r="P868" s="122">
        <f t="shared" si="84"/>
        <v>0</v>
      </c>
      <c r="Q868" s="122">
        <f t="shared" si="85"/>
        <v>3361.1111111111113</v>
      </c>
      <c r="R868" s="158">
        <f t="shared" si="86"/>
        <v>0</v>
      </c>
      <c r="S868" s="185"/>
      <c r="T868" s="79"/>
      <c r="U868" s="79"/>
      <c r="V868" s="79"/>
      <c r="Y868" s="85"/>
      <c r="Z868" s="333"/>
      <c r="AA868" s="122"/>
      <c r="AB868" s="122"/>
    </row>
    <row r="869" spans="1:29" s="78" customFormat="1" x14ac:dyDescent="0.2">
      <c r="A869" s="75">
        <v>42933</v>
      </c>
      <c r="B869" s="122">
        <v>20</v>
      </c>
      <c r="C869" s="76"/>
      <c r="D869" s="78" t="s">
        <v>46</v>
      </c>
      <c r="F869" s="85">
        <v>224</v>
      </c>
      <c r="G869" s="85" t="s">
        <v>352</v>
      </c>
      <c r="P869" s="122">
        <v>18</v>
      </c>
      <c r="Q869" s="122">
        <v>1</v>
      </c>
      <c r="R869" s="158">
        <f t="shared" si="86"/>
        <v>0.94736842105263153</v>
      </c>
      <c r="S869" s="186" t="str">
        <f>D869</f>
        <v>K-6 Low</v>
      </c>
      <c r="T869" s="79"/>
      <c r="U869" s="79"/>
      <c r="V869" s="79"/>
      <c r="Y869" s="85" t="str">
        <f>D869</f>
        <v>K-6 Low</v>
      </c>
      <c r="Z869" s="324">
        <f>SUMIFS($P$761:$P$816, $D$761:$D$816, Y869, $F$761:$F$816, "&lt;200") + SUMIFS($Q$761:$Q$816, $D$761:$D$816, Y869, $F$761:$F$816, "&lt;200")</f>
        <v>1040</v>
      </c>
      <c r="AA869" s="122">
        <f>SUM(P869:Q872)</f>
        <v>647.33333333333326</v>
      </c>
      <c r="AB869" s="122">
        <f>SUMIFS(Collection!O:O, Collection!B:B, "*" &amp; 'Bucket Counts'!Y869 &amp; "*", Collection!A:A, "&lt;" &amp; 'Bucket Counts'!A869,Collection!A:A,  "&gt;=" &amp; 'Bucket Counts'!$A$761)</f>
        <v>0</v>
      </c>
      <c r="AC869" s="158">
        <f>AA869/(Z869+AB869)</f>
        <v>0.62243589743589733</v>
      </c>
    </row>
    <row r="870" spans="1:29" s="78" customFormat="1" x14ac:dyDescent="0.2">
      <c r="A870" s="75">
        <v>42933</v>
      </c>
      <c r="B870" s="122">
        <v>20</v>
      </c>
      <c r="C870" s="76"/>
      <c r="D870" s="78" t="s">
        <v>46</v>
      </c>
      <c r="F870" s="85">
        <v>180</v>
      </c>
      <c r="G870" s="85">
        <v>3</v>
      </c>
      <c r="H870" s="78">
        <v>250</v>
      </c>
      <c r="I870" s="78">
        <v>1</v>
      </c>
      <c r="J870" s="78">
        <v>0</v>
      </c>
      <c r="K870" s="78">
        <v>3</v>
      </c>
      <c r="L870" s="78">
        <v>0</v>
      </c>
      <c r="M870" s="78">
        <v>3</v>
      </c>
      <c r="N870" s="78">
        <v>0</v>
      </c>
      <c r="P870" s="122">
        <f>(AVERAGE(I870,K870,M870)/G870)*H870</f>
        <v>194.44444444444446</v>
      </c>
      <c r="Q870" s="122">
        <f>(AVERAGE(J870,L870,N870)/G870)*H870</f>
        <v>0</v>
      </c>
      <c r="R870" s="158">
        <f t="shared" si="86"/>
        <v>1</v>
      </c>
      <c r="S870" s="184">
        <f>(SUM(P869:P872)/(SUM(P869:Q872)))</f>
        <v>0.37538619979402682</v>
      </c>
      <c r="T870" s="79"/>
      <c r="U870" s="79"/>
      <c r="V870" s="79"/>
      <c r="Y870" s="85"/>
      <c r="Z870" s="333"/>
      <c r="AA870" s="122"/>
      <c r="AB870" s="122"/>
    </row>
    <row r="871" spans="1:29" s="78" customFormat="1" x14ac:dyDescent="0.2">
      <c r="A871" s="75">
        <v>42933</v>
      </c>
      <c r="B871" s="122">
        <v>20</v>
      </c>
      <c r="C871" s="76"/>
      <c r="D871" s="78" t="s">
        <v>46</v>
      </c>
      <c r="F871" s="85">
        <v>100</v>
      </c>
      <c r="G871" s="85">
        <v>3</v>
      </c>
      <c r="H871" s="78">
        <v>275</v>
      </c>
      <c r="I871" s="78">
        <v>1</v>
      </c>
      <c r="J871" s="78">
        <v>1</v>
      </c>
      <c r="K871" s="78">
        <v>0</v>
      </c>
      <c r="L871" s="78">
        <v>1</v>
      </c>
      <c r="M871" s="78">
        <v>0</v>
      </c>
      <c r="N871" s="78">
        <v>0</v>
      </c>
      <c r="P871" s="122">
        <f>(AVERAGE(I871,K871,M871)/G871)*H871</f>
        <v>30.555555555555554</v>
      </c>
      <c r="Q871" s="122">
        <f>(AVERAGE(J871,L871,N871)/G871)*H871</f>
        <v>61.111111111111107</v>
      </c>
      <c r="R871" s="158">
        <f t="shared" si="86"/>
        <v>0.33333333333333337</v>
      </c>
      <c r="S871" s="185"/>
      <c r="T871" s="79"/>
      <c r="U871" s="79"/>
      <c r="V871" s="79"/>
      <c r="Y871" s="85"/>
      <c r="Z871" s="333"/>
      <c r="AA871" s="122"/>
      <c r="AB871" s="122"/>
    </row>
    <row r="872" spans="1:29" s="78" customFormat="1" ht="17" thickBot="1" x14ac:dyDescent="0.25">
      <c r="A872" s="75">
        <v>42933</v>
      </c>
      <c r="B872" s="122">
        <v>20</v>
      </c>
      <c r="C872" s="76"/>
      <c r="D872" s="78" t="s">
        <v>46</v>
      </c>
      <c r="F872" s="85" t="s">
        <v>201</v>
      </c>
      <c r="G872" s="85">
        <v>3</v>
      </c>
      <c r="H872" s="78">
        <v>280</v>
      </c>
      <c r="I872" s="78">
        <v>0</v>
      </c>
      <c r="J872" s="78">
        <v>4</v>
      </c>
      <c r="K872" s="78">
        <v>0</v>
      </c>
      <c r="L872" s="78">
        <v>5</v>
      </c>
      <c r="M872" s="78">
        <v>0</v>
      </c>
      <c r="N872" s="78">
        <v>2</v>
      </c>
      <c r="P872" s="122">
        <f>(AVERAGE(I872,K872,M872)/G872)*H872</f>
        <v>0</v>
      </c>
      <c r="Q872" s="122">
        <f>(AVERAGE(J872,L872,N872)/G872)*H872</f>
        <v>342.22222222222217</v>
      </c>
      <c r="R872" s="158">
        <f t="shared" si="86"/>
        <v>0</v>
      </c>
      <c r="S872" s="185"/>
      <c r="T872" s="79"/>
      <c r="U872" s="79"/>
      <c r="V872" s="79"/>
      <c r="Y872" s="85"/>
      <c r="Z872" s="333"/>
      <c r="AA872" s="122"/>
      <c r="AB872" s="122"/>
    </row>
    <row r="873" spans="1:29" s="237" customFormat="1" x14ac:dyDescent="0.2">
      <c r="A873" s="299">
        <v>42936</v>
      </c>
      <c r="B873" s="416">
        <v>19</v>
      </c>
      <c r="C873" s="235"/>
      <c r="D873" s="266" t="s">
        <v>88</v>
      </c>
      <c r="F873" s="238">
        <v>224</v>
      </c>
      <c r="G873" s="238" t="s">
        <v>352</v>
      </c>
      <c r="P873" s="118">
        <v>20</v>
      </c>
      <c r="Q873" s="118">
        <v>7</v>
      </c>
      <c r="R873" s="118" t="e">
        <f>(AVERAGE(K873,M873,O873)/H873)*I873</f>
        <v>#DIV/0!</v>
      </c>
      <c r="S873" s="241" t="str">
        <f>D873</f>
        <v>HL-10 Ambient</v>
      </c>
      <c r="T873" s="242"/>
      <c r="U873" s="242"/>
      <c r="V873" s="242"/>
      <c r="Y873" s="87" t="str">
        <f>D873</f>
        <v>HL-10 Ambient</v>
      </c>
      <c r="Z873" s="323">
        <f>SUMIFS($P$817:$P$872, $D$817:$D$872, Y873, $F$817:$F$872, "&lt;200") + SUMIFS($Q$817:$Q$872, $D$817:$D$872, Y873, $F$817:$F$872, "&lt;200")</f>
        <v>4338.8888888888887</v>
      </c>
      <c r="AA873" s="118">
        <f>SUM(P873:Q876)</f>
        <v>3159.7777777777774</v>
      </c>
      <c r="AB873" s="118">
        <f>SUMIFS(Collection!O:O, Collection!B:B, "*" &amp; 'Bucket Counts'!Y873 &amp; "*", Collection!A:A, "&lt;" &amp; 'Bucket Counts'!A873,Collection!A:A,  "&gt;=" &amp; 'Bucket Counts'!$A$817)</f>
        <v>0</v>
      </c>
      <c r="AC873" s="104">
        <f>AA873/(Z873+AB873)</f>
        <v>0.72824583866837378</v>
      </c>
    </row>
    <row r="874" spans="1:29" s="60" customFormat="1" x14ac:dyDescent="0.2">
      <c r="A874" s="86">
        <v>42936</v>
      </c>
      <c r="B874" s="409">
        <v>19</v>
      </c>
      <c r="C874" s="58"/>
      <c r="D874" s="59" t="s">
        <v>88</v>
      </c>
      <c r="E874" s="135"/>
      <c r="F874" s="87">
        <v>180</v>
      </c>
      <c r="G874" s="87">
        <v>3</v>
      </c>
      <c r="H874" s="60">
        <v>220</v>
      </c>
      <c r="I874" s="60">
        <v>2</v>
      </c>
      <c r="J874" s="60">
        <v>2</v>
      </c>
      <c r="K874" s="60">
        <v>5</v>
      </c>
      <c r="L874" s="60">
        <v>1</v>
      </c>
      <c r="M874" s="87">
        <v>3</v>
      </c>
      <c r="N874" s="60">
        <v>3</v>
      </c>
      <c r="P874" s="118">
        <f t="shared" ref="P874:P880" si="87">(AVERAGE(I874,K874,M874)/G874)*H874</f>
        <v>244.44444444444446</v>
      </c>
      <c r="Q874" s="118">
        <f t="shared" ref="Q874:Q880" si="88">(AVERAGE(J874,L874,N874)/G874)*H874</f>
        <v>146.66666666666666</v>
      </c>
      <c r="R874" s="104">
        <f t="shared" si="86"/>
        <v>0.62500000000000011</v>
      </c>
      <c r="S874" s="178">
        <f>(SUM(P873:P876)/(SUM(P873:Q876)))</f>
        <v>0.1047893663408116</v>
      </c>
      <c r="T874" s="63"/>
      <c r="U874" s="63"/>
      <c r="V874" s="63"/>
      <c r="Y874" s="87"/>
      <c r="Z874" s="329"/>
      <c r="AA874" s="118"/>
      <c r="AB874" s="118"/>
    </row>
    <row r="875" spans="1:29" s="60" customFormat="1" x14ac:dyDescent="0.2">
      <c r="A875" s="86">
        <v>42936</v>
      </c>
      <c r="B875" s="409">
        <v>19</v>
      </c>
      <c r="C875" s="58"/>
      <c r="D875" s="59" t="s">
        <v>88</v>
      </c>
      <c r="E875" s="135"/>
      <c r="F875" s="87">
        <v>100</v>
      </c>
      <c r="G875" s="87">
        <v>3</v>
      </c>
      <c r="H875" s="60">
        <v>200</v>
      </c>
      <c r="I875" s="60">
        <v>1</v>
      </c>
      <c r="J875" s="60">
        <v>4</v>
      </c>
      <c r="K875" s="60">
        <v>1</v>
      </c>
      <c r="L875" s="60">
        <v>1</v>
      </c>
      <c r="M875" s="60">
        <v>1</v>
      </c>
      <c r="N875" s="60">
        <v>1</v>
      </c>
      <c r="P875" s="118">
        <f t="shared" si="87"/>
        <v>66.666666666666657</v>
      </c>
      <c r="Q875" s="118">
        <f t="shared" si="88"/>
        <v>133.33333333333331</v>
      </c>
      <c r="R875" s="104">
        <f t="shared" si="86"/>
        <v>0.33333333333333331</v>
      </c>
      <c r="S875" s="176"/>
      <c r="T875" s="63"/>
      <c r="U875" s="63"/>
      <c r="V875" s="63"/>
      <c r="Y875" s="87"/>
      <c r="Z875" s="329"/>
      <c r="AA875" s="118"/>
      <c r="AB875" s="118"/>
    </row>
    <row r="876" spans="1:29" s="60" customFormat="1" x14ac:dyDescent="0.2">
      <c r="A876" s="86">
        <v>42936</v>
      </c>
      <c r="B876" s="409">
        <v>19</v>
      </c>
      <c r="C876" s="58"/>
      <c r="D876" s="59" t="s">
        <v>88</v>
      </c>
      <c r="E876" s="135"/>
      <c r="F876" s="87" t="s">
        <v>201</v>
      </c>
      <c r="G876" s="87">
        <v>2</v>
      </c>
      <c r="H876" s="60">
        <v>250</v>
      </c>
      <c r="I876" s="60">
        <v>0</v>
      </c>
      <c r="J876" s="60">
        <v>22</v>
      </c>
      <c r="K876" s="60">
        <v>0</v>
      </c>
      <c r="L876" s="60">
        <v>21</v>
      </c>
      <c r="M876" s="60">
        <v>0</v>
      </c>
      <c r="N876" s="60">
        <v>18</v>
      </c>
      <c r="P876" s="118">
        <f t="shared" si="87"/>
        <v>0</v>
      </c>
      <c r="Q876" s="118">
        <f t="shared" si="88"/>
        <v>2541.6666666666665</v>
      </c>
      <c r="R876" s="104">
        <f t="shared" si="86"/>
        <v>0</v>
      </c>
      <c r="S876" s="179"/>
      <c r="T876" s="63"/>
      <c r="U876" s="63"/>
      <c r="V876" s="63"/>
      <c r="Y876" s="87"/>
      <c r="Z876" s="329"/>
      <c r="AA876" s="118"/>
      <c r="AB876" s="118"/>
    </row>
    <row r="877" spans="1:29" s="60" customFormat="1" x14ac:dyDescent="0.2">
      <c r="A877" s="86">
        <v>42936</v>
      </c>
      <c r="B877" s="118">
        <v>3</v>
      </c>
      <c r="C877" s="58"/>
      <c r="D877" s="60" t="s">
        <v>84</v>
      </c>
      <c r="E877" s="135"/>
      <c r="F877" s="87">
        <v>224</v>
      </c>
      <c r="G877" s="87" t="s">
        <v>352</v>
      </c>
      <c r="P877" s="318">
        <v>12</v>
      </c>
      <c r="Q877" s="118">
        <v>16</v>
      </c>
      <c r="R877" s="104">
        <f t="shared" si="86"/>
        <v>0.42857142857142855</v>
      </c>
      <c r="S877" s="180" t="str">
        <f>D877</f>
        <v>NF-10 Ambient</v>
      </c>
      <c r="T877" s="63"/>
      <c r="U877" s="63"/>
      <c r="V877" s="63"/>
      <c r="Y877" s="87" t="str">
        <f>D877</f>
        <v>NF-10 Ambient</v>
      </c>
      <c r="Z877" s="323">
        <f>SUMIFS($P$817:$P$872, $D$817:$D$872, Y877, $F$817:$F$872, "&lt;200") + SUMIFS($Q$817:$Q$872, $D$817:$D$872, Y877, $F$817:$F$872, "&lt;200")</f>
        <v>177.77777777777777</v>
      </c>
      <c r="AA877" s="118">
        <f>SUM(P877:Q880)</f>
        <v>223</v>
      </c>
      <c r="AB877" s="118">
        <f>SUMIFS(Collection!O:O, Collection!B:B, "*" &amp; 'Bucket Counts'!Y877 &amp; "*", Collection!A:A, "&lt;" &amp; 'Bucket Counts'!A877,Collection!A:A,  "&gt;=" &amp; 'Bucket Counts'!$A$817)</f>
        <v>0</v>
      </c>
      <c r="AC877" s="104">
        <f>AA877/(Z877+AB877)</f>
        <v>1.254375</v>
      </c>
    </row>
    <row r="878" spans="1:29" s="60" customFormat="1" x14ac:dyDescent="0.2">
      <c r="A878" s="86">
        <v>42936</v>
      </c>
      <c r="B878" s="118">
        <v>3</v>
      </c>
      <c r="C878" s="58"/>
      <c r="D878" s="60" t="s">
        <v>84</v>
      </c>
      <c r="E878" s="135"/>
      <c r="F878" s="87">
        <v>180</v>
      </c>
      <c r="G878" s="87" t="s">
        <v>352</v>
      </c>
      <c r="P878" s="318">
        <v>25</v>
      </c>
      <c r="Q878" s="118">
        <v>30</v>
      </c>
      <c r="R878" s="104">
        <f t="shared" si="86"/>
        <v>0.45454545454545453</v>
      </c>
      <c r="S878" s="178">
        <f>(SUM(P877:P880)/(SUM(P877:Q880)))</f>
        <v>0.16591928251121077</v>
      </c>
      <c r="T878" s="63"/>
      <c r="U878" s="63"/>
      <c r="V878" s="63"/>
      <c r="Y878" s="87"/>
      <c r="Z878" s="329"/>
      <c r="AA878" s="118"/>
      <c r="AB878" s="118"/>
    </row>
    <row r="879" spans="1:29" s="60" customFormat="1" x14ac:dyDescent="0.2">
      <c r="A879" s="86">
        <v>42936</v>
      </c>
      <c r="B879" s="118">
        <v>3</v>
      </c>
      <c r="C879" s="58"/>
      <c r="D879" s="60" t="s">
        <v>84</v>
      </c>
      <c r="E879" s="135"/>
      <c r="F879" s="87">
        <v>100</v>
      </c>
      <c r="G879" s="87">
        <v>3</v>
      </c>
      <c r="H879" s="60">
        <v>230</v>
      </c>
      <c r="I879" s="60">
        <v>0</v>
      </c>
      <c r="J879" s="60">
        <v>0</v>
      </c>
      <c r="K879" s="60">
        <v>0</v>
      </c>
      <c r="L879" s="60">
        <v>0</v>
      </c>
      <c r="M879" s="60">
        <v>0</v>
      </c>
      <c r="N879" s="60">
        <v>0</v>
      </c>
      <c r="P879" s="118">
        <f t="shared" si="87"/>
        <v>0</v>
      </c>
      <c r="Q879" s="118">
        <f t="shared" si="88"/>
        <v>0</v>
      </c>
      <c r="R879" s="104" t="e">
        <f t="shared" si="86"/>
        <v>#DIV/0!</v>
      </c>
      <c r="S879" s="179"/>
      <c r="T879" s="63"/>
      <c r="U879" s="63"/>
      <c r="V879" s="63"/>
      <c r="Y879" s="87"/>
      <c r="Z879" s="329"/>
      <c r="AA879" s="118"/>
      <c r="AB879" s="118"/>
    </row>
    <row r="880" spans="1:29" s="60" customFormat="1" x14ac:dyDescent="0.2">
      <c r="A880" s="86">
        <v>42936</v>
      </c>
      <c r="B880" s="118">
        <v>3</v>
      </c>
      <c r="C880" s="58"/>
      <c r="D880" s="60" t="s">
        <v>84</v>
      </c>
      <c r="E880" s="135"/>
      <c r="F880" s="87" t="s">
        <v>201</v>
      </c>
      <c r="G880" s="87">
        <v>2</v>
      </c>
      <c r="H880" s="60">
        <v>280</v>
      </c>
      <c r="I880" s="60">
        <v>0</v>
      </c>
      <c r="J880" s="60">
        <v>0</v>
      </c>
      <c r="K880" s="60">
        <v>0</v>
      </c>
      <c r="L880" s="60">
        <v>1</v>
      </c>
      <c r="M880" s="60">
        <v>0</v>
      </c>
      <c r="N880" s="60">
        <v>2</v>
      </c>
      <c r="P880" s="118">
        <f t="shared" si="87"/>
        <v>0</v>
      </c>
      <c r="Q880" s="118">
        <f t="shared" si="88"/>
        <v>140</v>
      </c>
      <c r="R880" s="104">
        <f t="shared" si="86"/>
        <v>0</v>
      </c>
      <c r="S880" s="179"/>
      <c r="T880" s="63"/>
      <c r="U880" s="63"/>
      <c r="V880" s="63"/>
      <c r="Y880" s="87"/>
      <c r="Z880" s="329"/>
      <c r="AA880" s="118"/>
      <c r="AB880" s="118"/>
    </row>
    <row r="881" spans="1:29" s="60" customFormat="1" x14ac:dyDescent="0.2">
      <c r="A881" s="86">
        <v>42936</v>
      </c>
      <c r="B881" s="118">
        <v>21</v>
      </c>
      <c r="C881" s="58"/>
      <c r="D881" s="60" t="s">
        <v>108</v>
      </c>
      <c r="F881" s="87">
        <v>224</v>
      </c>
      <c r="G881" s="87">
        <v>2</v>
      </c>
      <c r="H881" s="60">
        <v>300</v>
      </c>
      <c r="I881" s="60">
        <v>2</v>
      </c>
      <c r="J881" s="60">
        <v>0</v>
      </c>
      <c r="K881" s="60">
        <v>5</v>
      </c>
      <c r="L881" s="60">
        <v>0</v>
      </c>
      <c r="M881" s="60">
        <v>4</v>
      </c>
      <c r="N881" s="60">
        <v>1</v>
      </c>
      <c r="P881" s="318">
        <f>(AVERAGE(I881,K881,M881)/G881)*H881</f>
        <v>550</v>
      </c>
      <c r="Q881" s="118">
        <f>(AVERAGE(J881,L881,N881)/G881)*H881</f>
        <v>50</v>
      </c>
      <c r="R881" s="104">
        <f t="shared" si="86"/>
        <v>0.91666666666666663</v>
      </c>
      <c r="S881" s="180" t="str">
        <f>D881</f>
        <v>HL-10 Low</v>
      </c>
      <c r="T881" s="63"/>
      <c r="U881" s="63"/>
      <c r="V881" s="63"/>
      <c r="W881" s="60" t="s">
        <v>361</v>
      </c>
      <c r="Y881" s="87" t="str">
        <f>D881</f>
        <v>HL-10 Low</v>
      </c>
      <c r="Z881" s="323">
        <f>SUMIFS($P$817:$P$872, $D$817:$D$872, Y881, $F$817:$F$872, "&lt;200") + SUMIFS($Q$817:$Q$872, $D$817:$D$872, Y881, $F$817:$F$872, "&lt;200")</f>
        <v>5216.6666666666661</v>
      </c>
      <c r="AA881" s="118">
        <f>SUM(P881:Q884)</f>
        <v>4900</v>
      </c>
      <c r="AB881" s="118">
        <f>SUMIFS(Collection!O:O, Collection!B:B, "*" &amp; 'Bucket Counts'!Y881 &amp; "*", Collection!A:A, "&lt;" &amp; 'Bucket Counts'!A881,Collection!A:A,  "&gt;=" &amp; 'Bucket Counts'!$A$817)</f>
        <v>0</v>
      </c>
      <c r="AC881" s="104">
        <f>AA881/(Z881+AB881)</f>
        <v>0.93929712460063908</v>
      </c>
    </row>
    <row r="882" spans="1:29" s="60" customFormat="1" x14ac:dyDescent="0.2">
      <c r="A882" s="86">
        <v>42936</v>
      </c>
      <c r="B882" s="118">
        <v>21</v>
      </c>
      <c r="C882" s="58"/>
      <c r="D882" s="60" t="s">
        <v>108</v>
      </c>
      <c r="F882" s="87">
        <v>180</v>
      </c>
      <c r="G882" s="87">
        <v>2</v>
      </c>
      <c r="H882" s="60">
        <v>280</v>
      </c>
      <c r="I882" s="60">
        <v>8</v>
      </c>
      <c r="J882" s="60">
        <v>0</v>
      </c>
      <c r="K882" s="60">
        <v>7</v>
      </c>
      <c r="L882" s="60">
        <v>4</v>
      </c>
      <c r="M882" s="60">
        <v>6</v>
      </c>
      <c r="N882" s="60">
        <v>5</v>
      </c>
      <c r="P882" s="118">
        <f>(AVERAGE(I882,K882,M882)/G882)*H882</f>
        <v>980</v>
      </c>
      <c r="Q882" s="118">
        <f>(AVERAGE(J882,L882,N882)/G882)*H882</f>
        <v>420</v>
      </c>
      <c r="R882" s="104">
        <f t="shared" si="86"/>
        <v>0.7</v>
      </c>
      <c r="S882" s="178">
        <f>(SUM(P881:P884)/(SUM(P881:Q884)))</f>
        <v>0.34183673469387754</v>
      </c>
      <c r="T882" s="63"/>
      <c r="U882" s="63"/>
      <c r="V882" s="63"/>
      <c r="Y882" s="87"/>
      <c r="Z882" s="329"/>
      <c r="AA882" s="118"/>
      <c r="AB882" s="118"/>
    </row>
    <row r="883" spans="1:29" s="60" customFormat="1" x14ac:dyDescent="0.2">
      <c r="A883" s="86">
        <v>42936</v>
      </c>
      <c r="B883" s="118">
        <v>21</v>
      </c>
      <c r="C883" s="58"/>
      <c r="D883" s="60" t="s">
        <v>108</v>
      </c>
      <c r="F883" s="87">
        <v>100</v>
      </c>
      <c r="G883" s="87">
        <v>2</v>
      </c>
      <c r="H883" s="60">
        <v>290</v>
      </c>
      <c r="I883" s="60">
        <v>2</v>
      </c>
      <c r="J883" s="60">
        <v>0</v>
      </c>
      <c r="K883" s="60">
        <v>1</v>
      </c>
      <c r="L883" s="60">
        <v>0</v>
      </c>
      <c r="M883" s="60">
        <v>0</v>
      </c>
      <c r="N883" s="60">
        <v>1</v>
      </c>
      <c r="P883" s="118">
        <f>(AVERAGE(I883,K883,M883)/G883)*H883</f>
        <v>145</v>
      </c>
      <c r="Q883" s="118">
        <f>(AVERAGE(J883,L883,N883)/G883)*H883</f>
        <v>48.333333333333329</v>
      </c>
      <c r="R883" s="104">
        <f t="shared" si="86"/>
        <v>0.75000000000000011</v>
      </c>
      <c r="S883" s="179"/>
      <c r="T883" s="63"/>
      <c r="U883" s="63"/>
      <c r="V883" s="63"/>
      <c r="Y883" s="87"/>
      <c r="Z883" s="329"/>
      <c r="AA883" s="118"/>
      <c r="AB883" s="118"/>
    </row>
    <row r="884" spans="1:29" s="60" customFormat="1" x14ac:dyDescent="0.2">
      <c r="A884" s="86">
        <v>42936</v>
      </c>
      <c r="B884" s="118">
        <v>21</v>
      </c>
      <c r="C884" s="58"/>
      <c r="D884" s="60" t="s">
        <v>108</v>
      </c>
      <c r="F884" s="87" t="s">
        <v>201</v>
      </c>
      <c r="G884" s="87">
        <v>2</v>
      </c>
      <c r="H884" s="245">
        <v>290</v>
      </c>
      <c r="I884" s="60">
        <v>0</v>
      </c>
      <c r="J884" s="60">
        <v>21</v>
      </c>
      <c r="K884" s="60">
        <v>0</v>
      </c>
      <c r="L884" s="60">
        <v>20</v>
      </c>
      <c r="M884" s="60">
        <v>0</v>
      </c>
      <c r="N884" s="60">
        <v>15</v>
      </c>
      <c r="P884" s="118">
        <f>(AVERAGE(I884,K884,M884)/G884)*H884</f>
        <v>0</v>
      </c>
      <c r="Q884" s="118">
        <f>(AVERAGE(J884,L884,N884)/G884)*H884</f>
        <v>2706.666666666667</v>
      </c>
      <c r="R884" s="104">
        <f t="shared" si="86"/>
        <v>0</v>
      </c>
      <c r="S884" s="179"/>
      <c r="T884" s="63"/>
      <c r="U884" s="63"/>
      <c r="V884" s="63"/>
      <c r="Y884" s="87"/>
      <c r="Z884" s="329"/>
      <c r="AA884" s="118"/>
      <c r="AB884" s="118"/>
    </row>
    <row r="885" spans="1:29" s="60" customFormat="1" x14ac:dyDescent="0.2">
      <c r="A885" s="86">
        <v>42936</v>
      </c>
      <c r="B885" s="409">
        <v>18</v>
      </c>
      <c r="C885" s="58"/>
      <c r="D885" s="59" t="s">
        <v>20</v>
      </c>
      <c r="F885" s="87">
        <v>224</v>
      </c>
      <c r="G885" s="87">
        <v>3</v>
      </c>
      <c r="H885" s="245">
        <v>250</v>
      </c>
      <c r="I885" s="60">
        <v>0</v>
      </c>
      <c r="J885" s="60">
        <v>0</v>
      </c>
      <c r="K885" s="60">
        <v>0</v>
      </c>
      <c r="L885" s="60">
        <v>0</v>
      </c>
      <c r="M885" s="60">
        <v>1</v>
      </c>
      <c r="N885" s="60">
        <v>0</v>
      </c>
      <c r="P885" s="118">
        <f>(AVERAGE(I885,K885,M885)/G885)*H885</f>
        <v>27.777777777777775</v>
      </c>
      <c r="Q885" s="118">
        <f>(AVERAGE(J885,L885,N885)/G885)*H885</f>
        <v>0</v>
      </c>
      <c r="R885" s="104">
        <f t="shared" si="86"/>
        <v>1</v>
      </c>
      <c r="S885" s="180" t="str">
        <f>D885</f>
        <v>K-10 Low</v>
      </c>
      <c r="T885" s="63"/>
      <c r="U885" s="63"/>
      <c r="V885" s="63"/>
      <c r="Y885" s="87" t="str">
        <f>D885</f>
        <v>K-10 Low</v>
      </c>
      <c r="Z885" s="323">
        <f>SUMIFS($P$817:$P$872, $D$817:$D$872, Y885, $F$817:$F$872, "&lt;200") + SUMIFS($Q$817:$Q$872, $D$817:$D$872, Y885, $F$817:$F$872, "&lt;200")</f>
        <v>136.66666666666666</v>
      </c>
      <c r="AA885" s="118">
        <f>SUM(P885:Q888)</f>
        <v>73.6111111111111</v>
      </c>
      <c r="AB885" s="118">
        <f>SUMIFS(Collection!O:O, Collection!B:B, "*" &amp; 'Bucket Counts'!Y885 &amp; "*", Collection!A:A, "&lt;" &amp; 'Bucket Counts'!A885,Collection!A:A,  "&gt;=" &amp; 'Bucket Counts'!$A$817)</f>
        <v>0</v>
      </c>
      <c r="AC885" s="104">
        <f>AA885/(Z885+AB885)</f>
        <v>0.53861788617886175</v>
      </c>
    </row>
    <row r="886" spans="1:29" s="60" customFormat="1" x14ac:dyDescent="0.2">
      <c r="A886" s="86">
        <v>42936</v>
      </c>
      <c r="B886" s="409">
        <v>18</v>
      </c>
      <c r="C886" s="58"/>
      <c r="D886" s="59" t="s">
        <v>20</v>
      </c>
      <c r="F886" s="87">
        <v>180</v>
      </c>
      <c r="G886" s="87">
        <v>3</v>
      </c>
      <c r="H886" s="245">
        <v>275</v>
      </c>
      <c r="I886" s="60">
        <v>0</v>
      </c>
      <c r="J886" s="60">
        <v>0</v>
      </c>
      <c r="K886" s="60">
        <v>0</v>
      </c>
      <c r="L886" s="60">
        <v>0</v>
      </c>
      <c r="M886" s="60">
        <v>0</v>
      </c>
      <c r="N886" s="60">
        <v>0</v>
      </c>
      <c r="P886" s="118">
        <f t="shared" ref="P886:P892" si="89">(AVERAGE(I886,K886,M886)/G886)*H886</f>
        <v>0</v>
      </c>
      <c r="Q886" s="118">
        <f t="shared" ref="Q886:Q892" si="90">(AVERAGE(J886,L886,N886)/G886)*H886</f>
        <v>0</v>
      </c>
      <c r="R886" s="104" t="e">
        <f t="shared" si="86"/>
        <v>#DIV/0!</v>
      </c>
      <c r="S886" s="178">
        <f>(SUM(P885:P888)/(SUM(P885:Q888)))</f>
        <v>0.37735849056603776</v>
      </c>
      <c r="T886" s="63"/>
      <c r="U886" s="63"/>
      <c r="V886" s="63"/>
      <c r="Y886" s="87"/>
      <c r="Z886" s="329"/>
      <c r="AA886" s="118"/>
      <c r="AB886" s="118"/>
    </row>
    <row r="887" spans="1:29" s="60" customFormat="1" x14ac:dyDescent="0.2">
      <c r="A887" s="86">
        <v>42936</v>
      </c>
      <c r="B887" s="409">
        <v>18</v>
      </c>
      <c r="C887" s="58"/>
      <c r="D887" s="59" t="s">
        <v>20</v>
      </c>
      <c r="F887" s="87">
        <v>100</v>
      </c>
      <c r="G887" s="87" t="s">
        <v>352</v>
      </c>
      <c r="H887" s="245"/>
      <c r="P887" s="118">
        <v>0</v>
      </c>
      <c r="Q887" s="118">
        <v>0</v>
      </c>
      <c r="R887" s="104" t="e">
        <f t="shared" si="86"/>
        <v>#DIV/0!</v>
      </c>
      <c r="S887" s="179"/>
      <c r="T887" s="63"/>
      <c r="U887" s="63"/>
      <c r="V887" s="63"/>
      <c r="Y887" s="87"/>
      <c r="Z887" s="329"/>
      <c r="AA887" s="118"/>
      <c r="AB887" s="118"/>
    </row>
    <row r="888" spans="1:29" s="60" customFormat="1" x14ac:dyDescent="0.2">
      <c r="A888" s="86">
        <v>42936</v>
      </c>
      <c r="B888" s="409">
        <v>18</v>
      </c>
      <c r="C888" s="58"/>
      <c r="D888" s="59" t="s">
        <v>20</v>
      </c>
      <c r="F888" s="87" t="s">
        <v>201</v>
      </c>
      <c r="G888" s="87">
        <v>2</v>
      </c>
      <c r="H888" s="245">
        <v>275</v>
      </c>
      <c r="I888" s="60">
        <v>0</v>
      </c>
      <c r="J888" s="60">
        <v>1</v>
      </c>
      <c r="K888" s="60">
        <v>0</v>
      </c>
      <c r="L888" s="60">
        <v>0</v>
      </c>
      <c r="M888" s="60">
        <v>0</v>
      </c>
      <c r="N888" s="60">
        <v>0</v>
      </c>
      <c r="P888" s="118">
        <f t="shared" si="89"/>
        <v>0</v>
      </c>
      <c r="Q888" s="118">
        <f t="shared" si="90"/>
        <v>45.833333333333329</v>
      </c>
      <c r="R888" s="104">
        <f t="shared" si="86"/>
        <v>0</v>
      </c>
      <c r="S888" s="179"/>
      <c r="T888" s="63"/>
      <c r="U888" s="63"/>
      <c r="V888" s="63"/>
      <c r="Y888" s="87"/>
      <c r="Z888" s="329"/>
      <c r="AA888" s="118"/>
      <c r="AB888" s="118"/>
    </row>
    <row r="889" spans="1:29" s="60" customFormat="1" x14ac:dyDescent="0.2">
      <c r="A889" s="86">
        <v>42936</v>
      </c>
      <c r="B889" s="409">
        <v>20</v>
      </c>
      <c r="C889" s="58"/>
      <c r="D889" s="59" t="s">
        <v>46</v>
      </c>
      <c r="F889" s="87">
        <v>224</v>
      </c>
      <c r="G889" s="87">
        <v>3</v>
      </c>
      <c r="H889" s="245">
        <v>275</v>
      </c>
      <c r="I889" s="60">
        <v>0</v>
      </c>
      <c r="J889" s="60">
        <v>0</v>
      </c>
      <c r="K889" s="60">
        <v>0</v>
      </c>
      <c r="L889" s="60">
        <v>0</v>
      </c>
      <c r="M889" s="60">
        <v>0</v>
      </c>
      <c r="N889" s="60">
        <v>0</v>
      </c>
      <c r="P889" s="118">
        <f t="shared" si="89"/>
        <v>0</v>
      </c>
      <c r="Q889" s="118">
        <f t="shared" si="90"/>
        <v>0</v>
      </c>
      <c r="R889" s="104" t="e">
        <f t="shared" si="86"/>
        <v>#DIV/0!</v>
      </c>
      <c r="S889" s="179"/>
      <c r="T889" s="63"/>
      <c r="U889" s="63"/>
      <c r="V889" s="63"/>
      <c r="Y889" s="87" t="str">
        <f>D889</f>
        <v>K-6 Low</v>
      </c>
      <c r="Z889" s="323">
        <f>SUMIFS($P$817:$P$872, $D$817:$D$872, Y889, $F$817:$F$872, "&lt;200") + SUMIFS($Q$817:$Q$872, $D$817:$D$872, Y889, $F$817:$F$872, "&lt;200")</f>
        <v>286.11111111111109</v>
      </c>
      <c r="AA889" s="118">
        <f>SUM(P889:Q892)</f>
        <v>108.88888888888889</v>
      </c>
      <c r="AB889" s="118">
        <f>SUMIFS(Collection!O:O, Collection!B:B, "*" &amp; 'Bucket Counts'!Y889 &amp; "*", Collection!A:A, "&lt;" &amp; 'Bucket Counts'!A889,Collection!A:A,  "&gt;=" &amp; 'Bucket Counts'!$A$817)</f>
        <v>0</v>
      </c>
      <c r="AC889" s="104">
        <f>AA889/(Z889+AB889)</f>
        <v>0.38058252427184469</v>
      </c>
    </row>
    <row r="890" spans="1:29" s="60" customFormat="1" x14ac:dyDescent="0.2">
      <c r="A890" s="86">
        <v>42936</v>
      </c>
      <c r="B890" s="409">
        <v>20</v>
      </c>
      <c r="C890" s="58"/>
      <c r="D890" s="59" t="s">
        <v>46</v>
      </c>
      <c r="F890" s="87">
        <v>180</v>
      </c>
      <c r="G890" s="87">
        <v>3</v>
      </c>
      <c r="H890" s="245">
        <v>270</v>
      </c>
      <c r="I890" s="60">
        <v>0</v>
      </c>
      <c r="J890" s="60">
        <v>0</v>
      </c>
      <c r="K890" s="60">
        <v>0</v>
      </c>
      <c r="L890" s="60">
        <v>0</v>
      </c>
      <c r="M890" s="60">
        <v>0</v>
      </c>
      <c r="N890" s="60">
        <v>2</v>
      </c>
      <c r="P890" s="118">
        <f t="shared" si="89"/>
        <v>0</v>
      </c>
      <c r="Q890" s="118">
        <f t="shared" si="90"/>
        <v>60</v>
      </c>
      <c r="R890" s="104">
        <f t="shared" si="86"/>
        <v>0</v>
      </c>
      <c r="S890" s="179"/>
      <c r="T890" s="63"/>
      <c r="U890" s="63"/>
      <c r="V890" s="63"/>
      <c r="Y890" s="87"/>
      <c r="Z890" s="329"/>
      <c r="AA890" s="118"/>
      <c r="AB890" s="118"/>
    </row>
    <row r="891" spans="1:29" s="60" customFormat="1" x14ac:dyDescent="0.2">
      <c r="A891" s="86">
        <v>42936</v>
      </c>
      <c r="B891" s="409">
        <v>20</v>
      </c>
      <c r="C891" s="58"/>
      <c r="D891" s="59" t="s">
        <v>46</v>
      </c>
      <c r="F891" s="87">
        <v>100</v>
      </c>
      <c r="G891" s="87">
        <v>3</v>
      </c>
      <c r="H891" s="245">
        <v>210</v>
      </c>
      <c r="I891" s="60">
        <v>0</v>
      </c>
      <c r="J891" s="60">
        <v>0</v>
      </c>
      <c r="K891" s="60">
        <v>0</v>
      </c>
      <c r="L891" s="60">
        <v>0</v>
      </c>
      <c r="M891" s="60">
        <v>0</v>
      </c>
      <c r="N891" s="60">
        <v>0</v>
      </c>
      <c r="P891" s="118">
        <f t="shared" si="89"/>
        <v>0</v>
      </c>
      <c r="Q891" s="118">
        <f t="shared" si="90"/>
        <v>0</v>
      </c>
      <c r="R891" s="104" t="e">
        <f t="shared" si="86"/>
        <v>#DIV/0!</v>
      </c>
      <c r="S891" s="179"/>
      <c r="T891" s="63"/>
      <c r="U891" s="63"/>
      <c r="V891" s="63"/>
      <c r="Y891" s="87"/>
      <c r="Z891" s="329"/>
      <c r="AA891" s="118"/>
      <c r="AB891" s="118"/>
    </row>
    <row r="892" spans="1:29" s="60" customFormat="1" x14ac:dyDescent="0.2">
      <c r="A892" s="86">
        <v>42936</v>
      </c>
      <c r="B892" s="409">
        <v>20</v>
      </c>
      <c r="C892" s="58"/>
      <c r="D892" s="59" t="s">
        <v>46</v>
      </c>
      <c r="F892" s="87" t="s">
        <v>201</v>
      </c>
      <c r="G892" s="87">
        <v>3</v>
      </c>
      <c r="H892" s="245">
        <v>220</v>
      </c>
      <c r="I892" s="60">
        <v>0</v>
      </c>
      <c r="J892" s="60">
        <v>1</v>
      </c>
      <c r="K892" s="60">
        <v>0</v>
      </c>
      <c r="L892" s="60">
        <v>1</v>
      </c>
      <c r="M892" s="60">
        <v>0</v>
      </c>
      <c r="N892" s="60">
        <v>0</v>
      </c>
      <c r="P892" s="118">
        <f t="shared" si="89"/>
        <v>0</v>
      </c>
      <c r="Q892" s="118">
        <f t="shared" si="90"/>
        <v>48.888888888888886</v>
      </c>
      <c r="R892" s="104">
        <f t="shared" si="86"/>
        <v>0</v>
      </c>
      <c r="S892" s="179"/>
      <c r="T892" s="63"/>
      <c r="U892" s="63"/>
      <c r="V892" s="63"/>
      <c r="Y892" s="87"/>
      <c r="Z892" s="329"/>
      <c r="AA892" s="118"/>
      <c r="AB892" s="118"/>
    </row>
    <row r="893" spans="1:29" s="60" customFormat="1" x14ac:dyDescent="0.2">
      <c r="A893" s="86">
        <v>42936</v>
      </c>
      <c r="B893" s="118">
        <v>23</v>
      </c>
      <c r="C893" s="58"/>
      <c r="D893" s="60" t="s">
        <v>21</v>
      </c>
      <c r="F893" s="87">
        <v>224</v>
      </c>
      <c r="G893" s="87">
        <v>3</v>
      </c>
      <c r="H893" s="245">
        <v>200</v>
      </c>
      <c r="I893" s="60">
        <v>0</v>
      </c>
      <c r="J893" s="60">
        <v>0</v>
      </c>
      <c r="K893" s="60">
        <v>1</v>
      </c>
      <c r="L893" s="60">
        <v>0</v>
      </c>
      <c r="M893" s="60">
        <v>2</v>
      </c>
      <c r="N893" s="60">
        <v>0</v>
      </c>
      <c r="P893" s="118">
        <f t="shared" ref="P893:P903" si="91">(AVERAGE(I893,K893,M893)/G893)*H893</f>
        <v>66.666666666666657</v>
      </c>
      <c r="Q893" s="118">
        <f t="shared" ref="Q893:Q908" si="92">(AVERAGE(J893,L893,N893)/G893)*H893</f>
        <v>0</v>
      </c>
      <c r="R893" s="104">
        <f t="shared" si="86"/>
        <v>1</v>
      </c>
      <c r="S893" s="180" t="str">
        <f>D893</f>
        <v>HL-6 Low</v>
      </c>
      <c r="T893" s="63"/>
      <c r="U893" s="63"/>
      <c r="V893" s="63"/>
      <c r="Y893" s="87" t="str">
        <f>D893</f>
        <v>HL-6 Low</v>
      </c>
      <c r="Z893" s="323">
        <f>SUMIFS($P$817:$P$872, $D$817:$D$872, Y893, $F$817:$F$872, "&lt;200") + SUMIFS($Q$817:$Q$872, $D$817:$D$872, Y893, $F$817:$F$872, "&lt;200")</f>
        <v>1155.5555555555557</v>
      </c>
      <c r="AA893" s="118">
        <f>SUM(P893:Q896)</f>
        <v>900</v>
      </c>
      <c r="AB893" s="118">
        <f>SUMIFS(Collection!O:O, Collection!B:B, "*" &amp; 'Bucket Counts'!Y893 &amp; "*", Collection!A:A, "&lt;" &amp; 'Bucket Counts'!A893,Collection!A:A,  "&gt;=" &amp; 'Bucket Counts'!$A$817)</f>
        <v>0</v>
      </c>
      <c r="AC893" s="104">
        <f>AA893/(Z893+AB893)</f>
        <v>0.77884615384615374</v>
      </c>
    </row>
    <row r="894" spans="1:29" s="60" customFormat="1" x14ac:dyDescent="0.2">
      <c r="A894" s="86">
        <v>42936</v>
      </c>
      <c r="B894" s="118">
        <v>23</v>
      </c>
      <c r="C894" s="58"/>
      <c r="D894" s="60" t="s">
        <v>21</v>
      </c>
      <c r="F894" s="87">
        <v>180</v>
      </c>
      <c r="G894" s="87">
        <v>3</v>
      </c>
      <c r="H894" s="245">
        <v>300</v>
      </c>
      <c r="I894" s="60">
        <v>3</v>
      </c>
      <c r="J894" s="60">
        <v>1</v>
      </c>
      <c r="K894" s="60">
        <v>0</v>
      </c>
      <c r="L894" s="60">
        <v>0</v>
      </c>
      <c r="M894" s="60">
        <v>1</v>
      </c>
      <c r="N894" s="60">
        <v>0</v>
      </c>
      <c r="P894" s="298">
        <f t="shared" si="91"/>
        <v>133.33333333333331</v>
      </c>
      <c r="Q894" s="118">
        <f t="shared" si="92"/>
        <v>33.333333333333329</v>
      </c>
      <c r="R894" s="104">
        <f t="shared" si="86"/>
        <v>0.8</v>
      </c>
      <c r="S894" s="178">
        <f>(SUM(P893:P896)/(SUM(P893:Q896)))</f>
        <v>0.22222222222222218</v>
      </c>
      <c r="T894" s="63"/>
      <c r="U894" s="63"/>
      <c r="V894" s="63"/>
      <c r="Y894" s="87"/>
      <c r="Z894" s="329"/>
      <c r="AA894" s="118"/>
      <c r="AB894" s="118"/>
    </row>
    <row r="895" spans="1:29" s="60" customFormat="1" x14ac:dyDescent="0.2">
      <c r="A895" s="86">
        <v>42936</v>
      </c>
      <c r="B895" s="118">
        <v>23</v>
      </c>
      <c r="C895" s="58"/>
      <c r="D895" s="60" t="s">
        <v>21</v>
      </c>
      <c r="F895" s="87">
        <v>100</v>
      </c>
      <c r="G895" s="87">
        <v>3</v>
      </c>
      <c r="H895" s="245">
        <v>200</v>
      </c>
      <c r="I895" s="60">
        <v>0</v>
      </c>
      <c r="J895" s="60">
        <v>0</v>
      </c>
      <c r="K895" s="60">
        <v>0</v>
      </c>
      <c r="L895" s="60">
        <v>0</v>
      </c>
      <c r="M895" s="60">
        <v>0</v>
      </c>
      <c r="N895" s="60">
        <v>0</v>
      </c>
      <c r="P895" s="118">
        <f t="shared" si="91"/>
        <v>0</v>
      </c>
      <c r="Q895" s="118">
        <f t="shared" si="92"/>
        <v>0</v>
      </c>
      <c r="R895" s="104" t="e">
        <f t="shared" si="86"/>
        <v>#DIV/0!</v>
      </c>
      <c r="S895" s="179"/>
      <c r="T895" s="63"/>
      <c r="U895" s="63"/>
      <c r="V895" s="63"/>
      <c r="Y895" s="87"/>
      <c r="Z895" s="329"/>
      <c r="AA895" s="118"/>
      <c r="AB895" s="118"/>
    </row>
    <row r="896" spans="1:29" s="60" customFormat="1" x14ac:dyDescent="0.2">
      <c r="A896" s="86">
        <v>42936</v>
      </c>
      <c r="B896" s="118">
        <v>23</v>
      </c>
      <c r="C896" s="58"/>
      <c r="D896" s="60" t="s">
        <v>21</v>
      </c>
      <c r="F896" s="87" t="s">
        <v>201</v>
      </c>
      <c r="G896" s="87">
        <v>2</v>
      </c>
      <c r="H896" s="245">
        <v>250</v>
      </c>
      <c r="I896" s="60">
        <v>0</v>
      </c>
      <c r="J896" s="60">
        <v>3</v>
      </c>
      <c r="K896" s="60">
        <v>0</v>
      </c>
      <c r="L896" s="60">
        <v>7</v>
      </c>
      <c r="M896" s="60">
        <v>0</v>
      </c>
      <c r="N896" s="60">
        <v>6</v>
      </c>
      <c r="P896" s="118">
        <f t="shared" si="91"/>
        <v>0</v>
      </c>
      <c r="Q896" s="118">
        <f t="shared" si="92"/>
        <v>666.66666666666663</v>
      </c>
      <c r="R896" s="104">
        <f t="shared" si="86"/>
        <v>0</v>
      </c>
      <c r="S896" s="179"/>
      <c r="T896" s="63"/>
      <c r="U896" s="63"/>
      <c r="V896" s="63"/>
      <c r="Y896" s="87"/>
      <c r="Z896" s="329"/>
      <c r="AA896" s="118"/>
      <c r="AB896" s="118"/>
    </row>
    <row r="897" spans="1:29" s="60" customFormat="1" x14ac:dyDescent="0.2">
      <c r="A897" s="86">
        <v>42936</v>
      </c>
      <c r="B897" s="418">
        <v>17</v>
      </c>
      <c r="C897" s="58"/>
      <c r="D897" s="267" t="s">
        <v>38</v>
      </c>
      <c r="F897" s="87">
        <v>224</v>
      </c>
      <c r="G897" s="87">
        <v>3</v>
      </c>
      <c r="H897" s="245">
        <v>300</v>
      </c>
      <c r="I897" s="60">
        <v>0</v>
      </c>
      <c r="J897" s="60">
        <v>0</v>
      </c>
      <c r="K897" s="60">
        <v>0</v>
      </c>
      <c r="L897" s="60">
        <v>0</v>
      </c>
      <c r="M897" s="60">
        <v>2</v>
      </c>
      <c r="N897" s="60">
        <v>0</v>
      </c>
      <c r="P897" s="118">
        <f t="shared" si="91"/>
        <v>66.666666666666657</v>
      </c>
      <c r="Q897" s="118">
        <f t="shared" si="92"/>
        <v>0</v>
      </c>
      <c r="R897" s="104">
        <f t="shared" si="86"/>
        <v>1</v>
      </c>
      <c r="S897" s="180" t="str">
        <f>D897</f>
        <v>K-6 Ambient</v>
      </c>
      <c r="T897" s="63"/>
      <c r="U897" s="63"/>
      <c r="V897" s="63"/>
      <c r="Y897" s="87" t="str">
        <f>D897</f>
        <v>K-6 Ambient</v>
      </c>
      <c r="Z897" s="323">
        <f>SUMIFS($P$817:$P$872, $D$817:$D$872, Y897, $F$817:$F$872, "&lt;200") + SUMIFS($Q$817:$Q$872, $D$817:$D$872, Y897, $F$817:$F$872, "&lt;200")</f>
        <v>398.66666666666669</v>
      </c>
      <c r="AA897" s="118">
        <f>SUM(P897:Q900)</f>
        <v>286.66666666666663</v>
      </c>
      <c r="AB897" s="118">
        <f>SUMIFS(Collection!O:O, Collection!B:B, "*" &amp; 'Bucket Counts'!Y897 &amp; "*", Collection!A:A, "&lt;" &amp; 'Bucket Counts'!A897,Collection!A:A,  "&gt;=" &amp; 'Bucket Counts'!$A$817)</f>
        <v>0</v>
      </c>
      <c r="AC897" s="104">
        <f>AA897/(Z897+AB897)</f>
        <v>0.71906354515050153</v>
      </c>
    </row>
    <row r="898" spans="1:29" s="60" customFormat="1" x14ac:dyDescent="0.2">
      <c r="A898" s="86">
        <v>42936</v>
      </c>
      <c r="B898" s="418">
        <v>17</v>
      </c>
      <c r="C898" s="58"/>
      <c r="D898" s="267" t="s">
        <v>38</v>
      </c>
      <c r="F898" s="87">
        <v>180</v>
      </c>
      <c r="G898" s="87">
        <v>3</v>
      </c>
      <c r="H898" s="245">
        <v>240</v>
      </c>
      <c r="I898" s="60">
        <v>0</v>
      </c>
      <c r="J898" s="60">
        <v>1</v>
      </c>
      <c r="K898" s="60">
        <v>1</v>
      </c>
      <c r="L898" s="60">
        <v>0</v>
      </c>
      <c r="M898" s="60">
        <v>0</v>
      </c>
      <c r="N898" s="60">
        <v>1</v>
      </c>
      <c r="P898" s="118">
        <f t="shared" si="91"/>
        <v>26.666666666666664</v>
      </c>
      <c r="Q898" s="118">
        <f t="shared" si="92"/>
        <v>53.333333333333329</v>
      </c>
      <c r="R898" s="104">
        <f t="shared" si="86"/>
        <v>0.33333333333333331</v>
      </c>
      <c r="S898" s="178">
        <f>(SUM(P897:P900)/(SUM(P897:Q900)))</f>
        <v>0.32558139534883718</v>
      </c>
      <c r="T898" s="63"/>
      <c r="Y898" s="87"/>
      <c r="Z898" s="329"/>
      <c r="AA898" s="118"/>
      <c r="AB898" s="118"/>
    </row>
    <row r="899" spans="1:29" s="60" customFormat="1" x14ac:dyDescent="0.2">
      <c r="A899" s="86">
        <v>42936</v>
      </c>
      <c r="B899" s="418">
        <v>17</v>
      </c>
      <c r="C899" s="58"/>
      <c r="D899" s="267" t="s">
        <v>38</v>
      </c>
      <c r="F899" s="87">
        <v>100</v>
      </c>
      <c r="G899" s="87">
        <v>3</v>
      </c>
      <c r="H899" s="245">
        <v>250</v>
      </c>
      <c r="I899" s="60">
        <v>0</v>
      </c>
      <c r="J899" s="60">
        <v>0</v>
      </c>
      <c r="K899" s="60">
        <v>0</v>
      </c>
      <c r="L899" s="60">
        <v>0</v>
      </c>
      <c r="M899" s="60">
        <v>0</v>
      </c>
      <c r="N899" s="60">
        <v>0</v>
      </c>
      <c r="P899" s="118">
        <f t="shared" si="91"/>
        <v>0</v>
      </c>
      <c r="Q899" s="118">
        <f t="shared" si="92"/>
        <v>0</v>
      </c>
      <c r="R899" s="104" t="e">
        <f t="shared" si="86"/>
        <v>#DIV/0!</v>
      </c>
      <c r="S899" s="179"/>
      <c r="T899" s="63"/>
      <c r="Y899" s="87"/>
      <c r="Z899" s="329"/>
      <c r="AA899" s="118"/>
      <c r="AB899" s="118"/>
    </row>
    <row r="900" spans="1:29" s="60" customFormat="1" x14ac:dyDescent="0.2">
      <c r="A900" s="86">
        <v>42936</v>
      </c>
      <c r="B900" s="418">
        <v>17</v>
      </c>
      <c r="C900" s="58"/>
      <c r="D900" s="267" t="s">
        <v>38</v>
      </c>
      <c r="F900" s="87" t="s">
        <v>201</v>
      </c>
      <c r="G900" s="87">
        <v>2</v>
      </c>
      <c r="H900" s="245">
        <v>280</v>
      </c>
      <c r="I900" s="60">
        <v>0</v>
      </c>
      <c r="J900" s="60">
        <v>0</v>
      </c>
      <c r="K900" s="60">
        <v>0</v>
      </c>
      <c r="L900" s="60">
        <v>1</v>
      </c>
      <c r="M900" s="60">
        <v>0</v>
      </c>
      <c r="N900" s="60">
        <v>2</v>
      </c>
      <c r="P900" s="118">
        <f t="shared" si="91"/>
        <v>0</v>
      </c>
      <c r="Q900" s="118">
        <f t="shared" si="92"/>
        <v>140</v>
      </c>
      <c r="R900" s="104">
        <f t="shared" si="86"/>
        <v>0</v>
      </c>
      <c r="S900" s="179"/>
      <c r="T900" s="63"/>
      <c r="Y900" s="87"/>
      <c r="Z900" s="329"/>
      <c r="AA900" s="118"/>
      <c r="AB900" s="118"/>
    </row>
    <row r="901" spans="1:29" s="60" customFormat="1" x14ac:dyDescent="0.2">
      <c r="A901" s="86">
        <v>42936</v>
      </c>
      <c r="B901" s="409">
        <v>12</v>
      </c>
      <c r="C901" s="58"/>
      <c r="D901" s="59" t="s">
        <v>83</v>
      </c>
      <c r="F901" s="87">
        <v>224</v>
      </c>
      <c r="G901" s="87">
        <v>3</v>
      </c>
      <c r="H901" s="245">
        <v>250</v>
      </c>
      <c r="I901" s="60">
        <v>4</v>
      </c>
      <c r="J901" s="60">
        <v>0</v>
      </c>
      <c r="K901" s="60">
        <v>1</v>
      </c>
      <c r="L901" s="60">
        <v>0</v>
      </c>
      <c r="M901" s="60">
        <v>1</v>
      </c>
      <c r="N901" s="60">
        <v>1</v>
      </c>
      <c r="P901" s="118">
        <f t="shared" si="91"/>
        <v>166.66666666666666</v>
      </c>
      <c r="Q901" s="118">
        <f t="shared" si="92"/>
        <v>27.777777777777775</v>
      </c>
      <c r="R901" s="104">
        <f t="shared" si="86"/>
        <v>0.85714285714285721</v>
      </c>
      <c r="S901" s="177" t="str">
        <f>D901</f>
        <v>NF-10 Low</v>
      </c>
      <c r="T901" s="63"/>
      <c r="Y901" s="87" t="str">
        <f>D901</f>
        <v>NF-10 Low</v>
      </c>
      <c r="Z901" s="323">
        <f>SUMIFS($P$817:$P$872, $D$817:$D$872, Y901, $F$817:$F$872, "&lt;200") + SUMIFS($Q$817:$Q$872, $D$817:$D$872, Y901, $F$817:$F$872, "&lt;200")</f>
        <v>975</v>
      </c>
      <c r="AA901" s="118">
        <f>SUM(P901:Q904)</f>
        <v>794.44444444444446</v>
      </c>
      <c r="AB901" s="118">
        <f>SUMIFS(Collection!O:O, Collection!B:B, "*" &amp; 'Bucket Counts'!Y901 &amp; "*", Collection!A:A, "&lt;" &amp; 'Bucket Counts'!A901,Collection!A:A,  "&gt;=" &amp; 'Bucket Counts'!$A$817)</f>
        <v>0</v>
      </c>
      <c r="AC901" s="104">
        <f>AA901/(Z901+AB901)</f>
        <v>0.81481481481481488</v>
      </c>
    </row>
    <row r="902" spans="1:29" s="60" customFormat="1" x14ac:dyDescent="0.2">
      <c r="A902" s="86">
        <v>42936</v>
      </c>
      <c r="B902" s="409">
        <v>12</v>
      </c>
      <c r="C902" s="58"/>
      <c r="D902" s="59" t="s">
        <v>83</v>
      </c>
      <c r="F902" s="87">
        <v>180</v>
      </c>
      <c r="G902" s="87">
        <v>3</v>
      </c>
      <c r="H902" s="245">
        <v>250</v>
      </c>
      <c r="I902" s="60">
        <v>3</v>
      </c>
      <c r="J902" s="60">
        <v>0</v>
      </c>
      <c r="K902" s="60">
        <v>5</v>
      </c>
      <c r="L902" s="60">
        <v>0</v>
      </c>
      <c r="M902" s="60">
        <v>1</v>
      </c>
      <c r="N902" s="60">
        <v>0</v>
      </c>
      <c r="P902" s="118">
        <f t="shared" si="91"/>
        <v>250</v>
      </c>
      <c r="Q902" s="118">
        <f t="shared" si="92"/>
        <v>0</v>
      </c>
      <c r="R902" s="104">
        <f t="shared" si="86"/>
        <v>1</v>
      </c>
      <c r="S902" s="178">
        <f>(SUM(P901:P904)/(SUM(P901:Q904)))</f>
        <v>0.55594405594405594</v>
      </c>
      <c r="T902" s="63"/>
      <c r="Y902" s="87"/>
      <c r="Z902" s="329"/>
      <c r="AA902" s="118"/>
      <c r="AB902" s="118"/>
    </row>
    <row r="903" spans="1:29" s="60" customFormat="1" x14ac:dyDescent="0.2">
      <c r="A903" s="86">
        <v>42936</v>
      </c>
      <c r="B903" s="409">
        <v>12</v>
      </c>
      <c r="C903" s="58"/>
      <c r="D903" s="59" t="s">
        <v>83</v>
      </c>
      <c r="F903" s="87">
        <v>100</v>
      </c>
      <c r="G903" s="87">
        <v>3</v>
      </c>
      <c r="H903" s="245">
        <v>225</v>
      </c>
      <c r="I903" s="60">
        <v>0</v>
      </c>
      <c r="J903" s="60">
        <v>0</v>
      </c>
      <c r="K903" s="60">
        <v>1</v>
      </c>
      <c r="L903" s="60">
        <v>0</v>
      </c>
      <c r="M903" s="60">
        <v>0</v>
      </c>
      <c r="N903" s="60">
        <v>1</v>
      </c>
      <c r="P903" s="118">
        <f t="shared" si="91"/>
        <v>25</v>
      </c>
      <c r="Q903" s="118">
        <f t="shared" si="92"/>
        <v>25</v>
      </c>
      <c r="R903" s="104">
        <f t="shared" si="86"/>
        <v>0.5</v>
      </c>
      <c r="S903" s="176"/>
      <c r="T903" s="63"/>
      <c r="Y903" s="87"/>
      <c r="Z903" s="329"/>
      <c r="AA903" s="118"/>
      <c r="AB903" s="118"/>
    </row>
    <row r="904" spans="1:29" s="60" customFormat="1" x14ac:dyDescent="0.2">
      <c r="A904" s="86">
        <v>42936</v>
      </c>
      <c r="B904" s="409">
        <v>12</v>
      </c>
      <c r="C904" s="58"/>
      <c r="D904" s="59" t="s">
        <v>83</v>
      </c>
      <c r="F904" s="87" t="s">
        <v>201</v>
      </c>
      <c r="G904" s="87">
        <v>2</v>
      </c>
      <c r="H904" s="245">
        <v>300</v>
      </c>
      <c r="I904" s="60">
        <v>0</v>
      </c>
      <c r="J904" s="60">
        <v>1</v>
      </c>
      <c r="K904" s="60">
        <v>0</v>
      </c>
      <c r="L904" s="60">
        <v>3</v>
      </c>
      <c r="M904" s="60">
        <v>0</v>
      </c>
      <c r="N904" s="60">
        <v>2</v>
      </c>
      <c r="P904" s="118">
        <f>(AVERAGE(I904,K904,M904)/G904)*H904</f>
        <v>0</v>
      </c>
      <c r="Q904" s="118">
        <f t="shared" si="92"/>
        <v>300</v>
      </c>
      <c r="R904" s="104">
        <f t="shared" si="86"/>
        <v>0</v>
      </c>
      <c r="S904" s="179"/>
      <c r="T904" s="63"/>
      <c r="Y904" s="87"/>
      <c r="Z904" s="329"/>
      <c r="AA904" s="118"/>
      <c r="AB904" s="118"/>
    </row>
    <row r="905" spans="1:29" s="60" customFormat="1" x14ac:dyDescent="0.2">
      <c r="A905" s="86">
        <v>42936</v>
      </c>
      <c r="B905" s="409">
        <v>5</v>
      </c>
      <c r="C905" s="58"/>
      <c r="D905" s="59" t="s">
        <v>86</v>
      </c>
      <c r="F905" s="87">
        <v>224</v>
      </c>
      <c r="G905" s="87">
        <v>2</v>
      </c>
      <c r="H905" s="245">
        <v>430</v>
      </c>
      <c r="I905" s="60">
        <v>48</v>
      </c>
      <c r="J905" s="60">
        <v>0</v>
      </c>
      <c r="K905" s="60">
        <v>31</v>
      </c>
      <c r="L905" s="60">
        <v>0</v>
      </c>
      <c r="M905" s="60">
        <v>32</v>
      </c>
      <c r="N905" s="60">
        <v>0</v>
      </c>
      <c r="P905" s="118">
        <f t="shared" ref="P905:P919" si="93">(AVERAGE(I905,K905,M905)/G905)*H905</f>
        <v>7955</v>
      </c>
      <c r="Q905" s="118">
        <f t="shared" si="92"/>
        <v>0</v>
      </c>
      <c r="R905" s="104">
        <f t="shared" si="86"/>
        <v>1</v>
      </c>
      <c r="S905" s="180" t="str">
        <f>D905</f>
        <v>SN-10 Ambient</v>
      </c>
      <c r="T905" s="63"/>
      <c r="Y905" s="87" t="str">
        <f>D905</f>
        <v>SN-10 Ambient</v>
      </c>
      <c r="Z905" s="323">
        <f>SUMIFS($P$817:$P$872, $D$817:$D$872, Y905, $F$817:$F$872, "&lt;200") + SUMIFS($Q$817:$Q$872, $D$817:$D$872, Y905, $F$817:$F$872, "&lt;200")</f>
        <v>45140</v>
      </c>
      <c r="AA905" s="118">
        <f>SUM(P905:Q908)</f>
        <v>27988.333333333336</v>
      </c>
      <c r="AB905" s="118">
        <f>SUMIFS(Collection!O:O, Collection!B:B, "*" &amp; 'Bucket Counts'!Y905 &amp; "*", Collection!A:A, "&lt;" &amp; 'Bucket Counts'!A905,Collection!A:A,  "&gt;=" &amp; 'Bucket Counts'!$A$817)</f>
        <v>0</v>
      </c>
      <c r="AC905" s="104">
        <f>AA905/(Z905+AB905)</f>
        <v>0.62003396839462421</v>
      </c>
    </row>
    <row r="906" spans="1:29" s="60" customFormat="1" x14ac:dyDescent="0.2">
      <c r="A906" s="86">
        <v>42936</v>
      </c>
      <c r="B906" s="409">
        <v>5</v>
      </c>
      <c r="C906" s="58"/>
      <c r="D906" s="59" t="s">
        <v>86</v>
      </c>
      <c r="F906" s="87">
        <v>180</v>
      </c>
      <c r="G906" s="87">
        <v>1</v>
      </c>
      <c r="H906" s="245">
        <v>300</v>
      </c>
      <c r="I906" s="60">
        <v>18</v>
      </c>
      <c r="J906" s="60">
        <v>7</v>
      </c>
      <c r="K906" s="60">
        <v>24</v>
      </c>
      <c r="L906" s="60">
        <v>3</v>
      </c>
      <c r="M906" s="60">
        <v>23</v>
      </c>
      <c r="N906" s="60">
        <v>3</v>
      </c>
      <c r="P906" s="118">
        <f t="shared" si="93"/>
        <v>6500</v>
      </c>
      <c r="Q906" s="118">
        <f t="shared" si="92"/>
        <v>1300</v>
      </c>
      <c r="R906" s="104">
        <f t="shared" si="86"/>
        <v>0.83333333333333337</v>
      </c>
      <c r="S906" s="178">
        <f>(SUM(P905:P908)/(SUM(P905:Q908)))</f>
        <v>0.55672006193056622</v>
      </c>
      <c r="T906" s="63"/>
      <c r="Y906" s="87"/>
      <c r="Z906" s="329"/>
      <c r="AA906" s="118"/>
      <c r="AB906" s="118"/>
    </row>
    <row r="907" spans="1:29" s="60" customFormat="1" x14ac:dyDescent="0.2">
      <c r="A907" s="86">
        <v>42936</v>
      </c>
      <c r="B907" s="409">
        <v>5</v>
      </c>
      <c r="C907" s="58"/>
      <c r="D907" s="59" t="s">
        <v>86</v>
      </c>
      <c r="F907" s="87">
        <v>100</v>
      </c>
      <c r="G907" s="87">
        <v>1</v>
      </c>
      <c r="H907" s="245">
        <v>260</v>
      </c>
      <c r="I907" s="60">
        <v>5</v>
      </c>
      <c r="J907" s="60">
        <v>10</v>
      </c>
      <c r="K907" s="60">
        <v>3</v>
      </c>
      <c r="L907" s="60">
        <v>6</v>
      </c>
      <c r="M907" s="60">
        <v>5</v>
      </c>
      <c r="N907" s="60">
        <v>6</v>
      </c>
      <c r="P907" s="118">
        <f t="shared" si="93"/>
        <v>1126.6666666666665</v>
      </c>
      <c r="Q907" s="118">
        <f t="shared" si="92"/>
        <v>1906.6666666666665</v>
      </c>
      <c r="R907" s="104">
        <f t="shared" si="86"/>
        <v>0.37142857142857144</v>
      </c>
      <c r="S907" s="179"/>
      <c r="T907" s="63"/>
      <c r="Y907" s="87"/>
      <c r="Z907" s="329"/>
      <c r="AA907" s="118"/>
      <c r="AB907" s="118"/>
    </row>
    <row r="908" spans="1:29" s="307" customFormat="1" ht="17" thickBot="1" x14ac:dyDescent="0.25">
      <c r="A908" s="305">
        <v>42936</v>
      </c>
      <c r="B908" s="417">
        <v>5</v>
      </c>
      <c r="C908" s="306"/>
      <c r="D908" s="244" t="s">
        <v>86</v>
      </c>
      <c r="F908" s="308" t="s">
        <v>201</v>
      </c>
      <c r="G908" s="308">
        <v>1</v>
      </c>
      <c r="H908" s="309">
        <v>300</v>
      </c>
      <c r="I908" s="307">
        <v>0</v>
      </c>
      <c r="J908" s="307">
        <v>34</v>
      </c>
      <c r="K908" s="307">
        <v>0</v>
      </c>
      <c r="L908" s="307">
        <v>27</v>
      </c>
      <c r="M908" s="307">
        <v>0</v>
      </c>
      <c r="N908" s="307">
        <v>31</v>
      </c>
      <c r="P908" s="310">
        <f t="shared" si="93"/>
        <v>0</v>
      </c>
      <c r="Q908" s="310">
        <f t="shared" si="92"/>
        <v>9200</v>
      </c>
      <c r="R908" s="311">
        <f t="shared" si="86"/>
        <v>0</v>
      </c>
      <c r="S908" s="312"/>
      <c r="T908" s="313"/>
      <c r="Y908" s="308"/>
      <c r="Z908" s="338"/>
      <c r="AA908" s="310"/>
      <c r="AB908" s="310"/>
    </row>
    <row r="909" spans="1:29" s="73" customFormat="1" x14ac:dyDescent="0.2">
      <c r="A909" s="70">
        <v>42941</v>
      </c>
      <c r="B909" s="120">
        <v>5</v>
      </c>
      <c r="C909" s="71"/>
      <c r="D909" s="73" t="s">
        <v>86</v>
      </c>
      <c r="F909" s="84">
        <v>224</v>
      </c>
      <c r="G909" s="84">
        <v>3</v>
      </c>
      <c r="H909" s="314">
        <v>375</v>
      </c>
      <c r="I909" s="73">
        <v>0</v>
      </c>
      <c r="J909" s="73">
        <v>5</v>
      </c>
      <c r="K909" s="73">
        <v>0</v>
      </c>
      <c r="L909" s="73">
        <v>12</v>
      </c>
      <c r="M909" s="73">
        <v>0</v>
      </c>
      <c r="N909" s="73">
        <v>11</v>
      </c>
      <c r="P909" s="120">
        <f t="shared" si="93"/>
        <v>0</v>
      </c>
      <c r="Q909" s="120">
        <f t="shared" ref="Q909:Q924" si="94">(AVERAGE(J909,L909,N909)/G909)*H909</f>
        <v>1166.6666666666667</v>
      </c>
      <c r="R909" s="157">
        <f t="shared" ref="R909:R924" si="95">P909/(P909+Q909)</f>
        <v>0</v>
      </c>
      <c r="S909" s="315" t="str">
        <f>D909</f>
        <v>SN-10 Ambient</v>
      </c>
      <c r="T909" s="74"/>
      <c r="U909" s="74"/>
      <c r="V909" s="74"/>
      <c r="Y909" s="85" t="str">
        <f>D909</f>
        <v>SN-10 Ambient</v>
      </c>
      <c r="Z909" s="324">
        <f>SUMIFS($P$873:$P$908, $D$873:$D$908, Y909, $F$873:$F$908, "&lt;200") + SUMIFS($Q$873:$Q$908, $D$873:$D$908, Y909, $F$873:$F$908, "&lt;200")</f>
        <v>10833.333333333332</v>
      </c>
      <c r="AA909" s="122">
        <f>SUM(P909:Q912)</f>
        <v>12190</v>
      </c>
      <c r="AB909" s="122">
        <f>SUMIFS(Collection!O:O, Collection!B:B, "*" &amp; 'Bucket Counts'!Y909 &amp; "*", Collection!A:A, "&lt;" &amp; 'Bucket Counts'!A909,Collection!A:A,  "&gt;=" &amp; 'Bucket Counts'!$A$873)</f>
        <v>0</v>
      </c>
      <c r="AC909" s="158">
        <f>AA909/(Z909+AB909)</f>
        <v>1.1252307692307693</v>
      </c>
    </row>
    <row r="910" spans="1:29" s="78" customFormat="1" x14ac:dyDescent="0.2">
      <c r="A910" s="75">
        <v>42941</v>
      </c>
      <c r="B910" s="122">
        <v>5</v>
      </c>
      <c r="C910" s="76"/>
      <c r="D910" s="78" t="s">
        <v>86</v>
      </c>
      <c r="F910" s="85">
        <v>180</v>
      </c>
      <c r="G910" s="85">
        <v>3</v>
      </c>
      <c r="H910" s="225">
        <v>260</v>
      </c>
      <c r="I910" s="78">
        <v>0</v>
      </c>
      <c r="J910" s="78">
        <v>21</v>
      </c>
      <c r="K910" s="78">
        <v>0</v>
      </c>
      <c r="L910" s="78">
        <v>24</v>
      </c>
      <c r="M910" s="78">
        <v>0</v>
      </c>
      <c r="N910" s="78">
        <v>28</v>
      </c>
      <c r="P910" s="122">
        <f t="shared" si="93"/>
        <v>0</v>
      </c>
      <c r="Q910" s="122">
        <f t="shared" si="94"/>
        <v>2108.8888888888887</v>
      </c>
      <c r="R910" s="158">
        <f t="shared" si="95"/>
        <v>0</v>
      </c>
      <c r="S910" s="184">
        <f>(SUM(P909:P912)/(SUM(P909:Q912)))</f>
        <v>0</v>
      </c>
      <c r="T910" s="79"/>
      <c r="U910" s="79"/>
      <c r="V910" s="79"/>
      <c r="Y910" s="85"/>
      <c r="Z910" s="333"/>
      <c r="AA910" s="122"/>
      <c r="AB910" s="122"/>
    </row>
    <row r="911" spans="1:29" s="78" customFormat="1" x14ac:dyDescent="0.2">
      <c r="A911" s="75">
        <v>42941</v>
      </c>
      <c r="B911" s="122">
        <v>5</v>
      </c>
      <c r="C911" s="76"/>
      <c r="D911" s="78" t="s">
        <v>86</v>
      </c>
      <c r="F911" s="85">
        <v>100</v>
      </c>
      <c r="G911" s="85">
        <v>3</v>
      </c>
      <c r="H911" s="225">
        <v>280</v>
      </c>
      <c r="I911" s="78">
        <v>0</v>
      </c>
      <c r="J911" s="78">
        <v>11</v>
      </c>
      <c r="K911" s="78">
        <v>0</v>
      </c>
      <c r="L911" s="78">
        <v>5</v>
      </c>
      <c r="M911" s="78">
        <v>0</v>
      </c>
      <c r="N911" s="78">
        <v>0</v>
      </c>
      <c r="P911" s="122">
        <f t="shared" si="93"/>
        <v>0</v>
      </c>
      <c r="Q911" s="122">
        <f t="shared" si="94"/>
        <v>497.77777777777777</v>
      </c>
      <c r="R911" s="158">
        <f t="shared" si="95"/>
        <v>0</v>
      </c>
      <c r="S911" s="185"/>
      <c r="T911" s="79"/>
      <c r="U911" s="79"/>
      <c r="V911" s="79"/>
      <c r="Y911" s="85"/>
      <c r="Z911" s="333"/>
      <c r="AA911" s="122"/>
      <c r="AB911" s="122"/>
    </row>
    <row r="912" spans="1:29" s="78" customFormat="1" x14ac:dyDescent="0.2">
      <c r="A912" s="75">
        <v>42941</v>
      </c>
      <c r="B912" s="122">
        <v>5</v>
      </c>
      <c r="C912" s="76"/>
      <c r="D912" s="78" t="s">
        <v>86</v>
      </c>
      <c r="F912" s="85" t="s">
        <v>201</v>
      </c>
      <c r="G912" s="85">
        <v>3</v>
      </c>
      <c r="H912" s="225">
        <v>250</v>
      </c>
      <c r="I912" s="78">
        <v>0</v>
      </c>
      <c r="J912" s="78">
        <v>101</v>
      </c>
      <c r="K912" s="78">
        <v>0</v>
      </c>
      <c r="L912" s="78">
        <v>114</v>
      </c>
      <c r="M912" s="78">
        <v>0</v>
      </c>
      <c r="N912" s="78">
        <v>88</v>
      </c>
      <c r="P912" s="122">
        <f t="shared" si="93"/>
        <v>0</v>
      </c>
      <c r="Q912" s="122">
        <f t="shared" si="94"/>
        <v>8416.6666666666661</v>
      </c>
      <c r="R912" s="158">
        <f t="shared" si="95"/>
        <v>0</v>
      </c>
      <c r="S912" s="185"/>
      <c r="T912" s="79"/>
      <c r="U912" s="79"/>
      <c r="V912" s="79"/>
      <c r="Y912" s="85"/>
      <c r="Z912" s="333"/>
      <c r="AA912" s="122"/>
      <c r="AB912" s="122"/>
    </row>
    <row r="913" spans="1:29" s="78" customFormat="1" x14ac:dyDescent="0.2">
      <c r="A913" s="75">
        <v>42941</v>
      </c>
      <c r="B913" s="419">
        <v>12</v>
      </c>
      <c r="C913" s="76"/>
      <c r="D913" s="304" t="s">
        <v>83</v>
      </c>
      <c r="F913" s="85">
        <v>224</v>
      </c>
      <c r="G913" s="85">
        <v>3</v>
      </c>
      <c r="H913" s="225">
        <v>240</v>
      </c>
      <c r="I913" s="78">
        <v>0</v>
      </c>
      <c r="J913" s="78">
        <v>0</v>
      </c>
      <c r="K913" s="78">
        <v>0</v>
      </c>
      <c r="L913" s="78">
        <v>0</v>
      </c>
      <c r="M913" s="78">
        <v>0</v>
      </c>
      <c r="N913" s="78">
        <v>1</v>
      </c>
      <c r="P913" s="122">
        <f t="shared" si="93"/>
        <v>0</v>
      </c>
      <c r="Q913" s="122">
        <f t="shared" si="94"/>
        <v>26.666666666666664</v>
      </c>
      <c r="R913" s="158">
        <f t="shared" si="95"/>
        <v>0</v>
      </c>
      <c r="S913" s="186" t="str">
        <f>D913</f>
        <v>NF-10 Low</v>
      </c>
      <c r="T913" s="79"/>
      <c r="U913" s="79"/>
      <c r="V913" s="79"/>
      <c r="Y913" s="85" t="str">
        <f>D913</f>
        <v>NF-10 Low</v>
      </c>
      <c r="Z913" s="324">
        <f>SUMIFS($P$873:$P$908, $D$873:$D$908, Y913, $F$873:$F$908, "&lt;200") + SUMIFS($Q$873:$Q$908, $D$873:$D$908, Y913, $F$873:$F$908, "&lt;200")</f>
        <v>300</v>
      </c>
      <c r="AA913" s="122">
        <f>SUM(P913:Q916)</f>
        <v>182.22222222222223</v>
      </c>
      <c r="AB913" s="122">
        <f>SUMIFS(Collection!O:O, Collection!B:B, "*" &amp; 'Bucket Counts'!Y913 &amp; "*", Collection!A:A, "&lt;" &amp; 'Bucket Counts'!A913,Collection!A:A,  "&gt;=" &amp; 'Bucket Counts'!$A$873)</f>
        <v>0</v>
      </c>
      <c r="AC913" s="158">
        <f>AA913/(Z913+AB913)</f>
        <v>0.6074074074074074</v>
      </c>
    </row>
    <row r="914" spans="1:29" s="78" customFormat="1" x14ac:dyDescent="0.2">
      <c r="A914" s="75">
        <v>42941</v>
      </c>
      <c r="B914" s="419">
        <v>12</v>
      </c>
      <c r="C914" s="76"/>
      <c r="D914" s="304" t="s">
        <v>83</v>
      </c>
      <c r="F914" s="85">
        <v>180</v>
      </c>
      <c r="G914" s="85">
        <v>2</v>
      </c>
      <c r="H914" s="225">
        <v>100</v>
      </c>
      <c r="I914" s="78">
        <v>0</v>
      </c>
      <c r="J914" s="78">
        <v>0</v>
      </c>
      <c r="K914" s="78">
        <v>0</v>
      </c>
      <c r="L914" s="78">
        <v>1</v>
      </c>
      <c r="M914" s="78">
        <v>0</v>
      </c>
      <c r="N914" s="78">
        <v>1</v>
      </c>
      <c r="P914" s="122">
        <f t="shared" si="93"/>
        <v>0</v>
      </c>
      <c r="Q914" s="122">
        <f t="shared" si="94"/>
        <v>33.333333333333329</v>
      </c>
      <c r="R914" s="158">
        <f t="shared" si="95"/>
        <v>0</v>
      </c>
      <c r="S914" s="184">
        <f>(SUM(P913:P916)/(SUM(P913:Q916)))</f>
        <v>0</v>
      </c>
      <c r="T914" s="79"/>
      <c r="W914" s="78" t="s">
        <v>362</v>
      </c>
      <c r="Y914" s="85"/>
      <c r="Z914" s="333"/>
      <c r="AA914" s="122"/>
      <c r="AB914" s="122"/>
    </row>
    <row r="915" spans="1:29" s="78" customFormat="1" x14ac:dyDescent="0.2">
      <c r="A915" s="75">
        <v>42941</v>
      </c>
      <c r="B915" s="419">
        <v>12</v>
      </c>
      <c r="C915" s="76"/>
      <c r="D915" s="304" t="s">
        <v>83</v>
      </c>
      <c r="F915" s="85">
        <v>100</v>
      </c>
      <c r="G915" s="85">
        <v>3</v>
      </c>
      <c r="H915" s="225">
        <v>200</v>
      </c>
      <c r="I915" s="78">
        <v>0</v>
      </c>
      <c r="J915" s="78">
        <v>1</v>
      </c>
      <c r="K915" s="78">
        <v>0</v>
      </c>
      <c r="L915" s="78">
        <v>0</v>
      </c>
      <c r="M915" s="78">
        <v>0</v>
      </c>
      <c r="N915" s="78">
        <v>0</v>
      </c>
      <c r="P915" s="122">
        <f t="shared" si="93"/>
        <v>0</v>
      </c>
      <c r="Q915" s="122">
        <f t="shared" si="94"/>
        <v>22.222222222222221</v>
      </c>
      <c r="R915" s="158">
        <f t="shared" si="95"/>
        <v>0</v>
      </c>
      <c r="S915" s="185"/>
      <c r="T915" s="79"/>
      <c r="Y915" s="85"/>
      <c r="Z915" s="333"/>
      <c r="AA915" s="122"/>
      <c r="AB915" s="122"/>
    </row>
    <row r="916" spans="1:29" s="78" customFormat="1" x14ac:dyDescent="0.2">
      <c r="A916" s="75">
        <v>42941</v>
      </c>
      <c r="B916" s="419">
        <v>12</v>
      </c>
      <c r="C916" s="76"/>
      <c r="D916" s="304" t="s">
        <v>83</v>
      </c>
      <c r="F916" s="85" t="s">
        <v>201</v>
      </c>
      <c r="G916" s="85">
        <v>2</v>
      </c>
      <c r="H916" s="225">
        <v>200</v>
      </c>
      <c r="I916" s="78">
        <v>0</v>
      </c>
      <c r="J916" s="78">
        <v>2</v>
      </c>
      <c r="K916" s="78">
        <v>0</v>
      </c>
      <c r="L916" s="78">
        <v>1</v>
      </c>
      <c r="M916" s="78">
        <v>0</v>
      </c>
      <c r="N916" s="78">
        <v>0</v>
      </c>
      <c r="P916" s="122">
        <f t="shared" si="93"/>
        <v>0</v>
      </c>
      <c r="Q916" s="122">
        <f t="shared" si="94"/>
        <v>100</v>
      </c>
      <c r="R916" s="158">
        <f t="shared" si="95"/>
        <v>0</v>
      </c>
      <c r="S916" s="185"/>
      <c r="T916" s="79"/>
      <c r="Y916" s="85"/>
      <c r="Z916" s="333"/>
      <c r="AA916" s="122"/>
      <c r="AB916" s="122"/>
    </row>
    <row r="917" spans="1:29" s="78" customFormat="1" x14ac:dyDescent="0.2">
      <c r="A917" s="75">
        <v>42941</v>
      </c>
      <c r="B917" s="412">
        <v>21</v>
      </c>
      <c r="C917" s="76"/>
      <c r="D917" s="77" t="s">
        <v>108</v>
      </c>
      <c r="F917" s="85">
        <v>224</v>
      </c>
      <c r="G917" s="85">
        <v>3</v>
      </c>
      <c r="H917" s="225">
        <v>225</v>
      </c>
      <c r="I917" s="78">
        <v>0</v>
      </c>
      <c r="J917" s="78">
        <v>3</v>
      </c>
      <c r="K917" s="78">
        <v>3</v>
      </c>
      <c r="L917" s="78">
        <v>0</v>
      </c>
      <c r="M917" s="78">
        <v>2</v>
      </c>
      <c r="N917" s="78">
        <v>1</v>
      </c>
      <c r="P917" s="122">
        <f t="shared" si="93"/>
        <v>125</v>
      </c>
      <c r="Q917" s="122">
        <f t="shared" si="94"/>
        <v>100</v>
      </c>
      <c r="R917" s="158">
        <f t="shared" si="95"/>
        <v>0.55555555555555558</v>
      </c>
      <c r="S917" s="183" t="str">
        <f>D917</f>
        <v>HL-10 Low</v>
      </c>
      <c r="T917" s="79"/>
      <c r="Y917" s="85" t="str">
        <f>D917</f>
        <v>HL-10 Low</v>
      </c>
      <c r="Z917" s="324">
        <f>SUMIFS($P$873:$P$908, $D$873:$D$908, Y917, $F$873:$F$908, "&lt;200") + SUMIFS($Q$873:$Q$908, $D$873:$D$908, Y917, $F$873:$F$908, "&lt;200")</f>
        <v>1593.3333333333333</v>
      </c>
      <c r="AA917" s="122">
        <f>SUM(P917:Q920)</f>
        <v>1791.6666666666665</v>
      </c>
      <c r="AB917" s="122">
        <f>SUMIFS(Collection!O:O, Collection!B:B, "*" &amp; 'Bucket Counts'!Y917 &amp; "*", Collection!A:A, "&lt;" &amp; 'Bucket Counts'!A917,Collection!A:A,  "&gt;=" &amp; 'Bucket Counts'!$A$873)</f>
        <v>0</v>
      </c>
      <c r="AC917" s="158">
        <f>AA917/(Z917+AB917)</f>
        <v>1.1244769874476988</v>
      </c>
    </row>
    <row r="918" spans="1:29" s="78" customFormat="1" x14ac:dyDescent="0.2">
      <c r="A918" s="75">
        <v>42941</v>
      </c>
      <c r="B918" s="412">
        <v>21</v>
      </c>
      <c r="C918" s="76"/>
      <c r="D918" s="77" t="s">
        <v>108</v>
      </c>
      <c r="F918" s="85">
        <v>180</v>
      </c>
      <c r="G918" s="85">
        <v>3</v>
      </c>
      <c r="H918" s="225">
        <v>250</v>
      </c>
      <c r="I918" s="78">
        <v>2</v>
      </c>
      <c r="J918" s="78">
        <v>6</v>
      </c>
      <c r="K918" s="78">
        <v>2</v>
      </c>
      <c r="L918" s="78">
        <v>4</v>
      </c>
      <c r="M918" s="78">
        <v>2</v>
      </c>
      <c r="N918" s="78">
        <v>5</v>
      </c>
      <c r="P918" s="298">
        <f t="shared" si="93"/>
        <v>166.66666666666666</v>
      </c>
      <c r="Q918" s="122">
        <f t="shared" si="94"/>
        <v>416.66666666666669</v>
      </c>
      <c r="R918" s="158">
        <f t="shared" si="95"/>
        <v>0.2857142857142857</v>
      </c>
      <c r="S918" s="184">
        <f>(SUM(P917:P920)/(SUM(P917:Q920)))</f>
        <v>0.17519379844961239</v>
      </c>
      <c r="T918" s="79"/>
      <c r="Y918" s="85"/>
      <c r="Z918" s="333"/>
      <c r="AA918" s="122"/>
      <c r="AB918" s="122"/>
    </row>
    <row r="919" spans="1:29" s="78" customFormat="1" x14ac:dyDescent="0.2">
      <c r="A919" s="75">
        <v>42941</v>
      </c>
      <c r="B919" s="412">
        <v>21</v>
      </c>
      <c r="C919" s="76"/>
      <c r="D919" s="77" t="s">
        <v>108</v>
      </c>
      <c r="F919" s="85">
        <v>100</v>
      </c>
      <c r="G919" s="85">
        <v>3</v>
      </c>
      <c r="H919" s="225">
        <v>200</v>
      </c>
      <c r="I919" s="78">
        <v>0</v>
      </c>
      <c r="J919" s="78">
        <v>0</v>
      </c>
      <c r="K919" s="78">
        <v>0</v>
      </c>
      <c r="L919" s="78">
        <v>2</v>
      </c>
      <c r="M919" s="78">
        <v>1</v>
      </c>
      <c r="N919" s="78">
        <v>0</v>
      </c>
      <c r="P919" s="122">
        <f t="shared" si="93"/>
        <v>22.222222222222221</v>
      </c>
      <c r="Q919" s="122">
        <f t="shared" si="94"/>
        <v>44.444444444444443</v>
      </c>
      <c r="R919" s="158">
        <f t="shared" si="95"/>
        <v>0.33333333333333337</v>
      </c>
      <c r="S919" s="182"/>
      <c r="T919" s="79"/>
      <c r="Y919" s="85"/>
      <c r="Z919" s="333"/>
      <c r="AA919" s="122"/>
      <c r="AB919" s="122"/>
    </row>
    <row r="920" spans="1:29" s="78" customFormat="1" x14ac:dyDescent="0.2">
      <c r="A920" s="75">
        <v>42941</v>
      </c>
      <c r="B920" s="412">
        <v>21</v>
      </c>
      <c r="C920" s="76"/>
      <c r="D920" s="77" t="s">
        <v>108</v>
      </c>
      <c r="F920" s="85" t="s">
        <v>201</v>
      </c>
      <c r="G920" s="85">
        <v>2</v>
      </c>
      <c r="H920" s="225">
        <v>250</v>
      </c>
      <c r="I920" s="78">
        <v>0</v>
      </c>
      <c r="J920" s="78">
        <v>4</v>
      </c>
      <c r="K920" s="78">
        <v>0</v>
      </c>
      <c r="L920" s="78">
        <v>10</v>
      </c>
      <c r="M920" s="78">
        <v>0</v>
      </c>
      <c r="N920" s="78">
        <v>8</v>
      </c>
      <c r="P920" s="122">
        <f>(AVERAGE(I920,K920,M920)/G920)*H920</f>
        <v>0</v>
      </c>
      <c r="Q920" s="122">
        <f t="shared" si="94"/>
        <v>916.66666666666663</v>
      </c>
      <c r="R920" s="158">
        <f t="shared" si="95"/>
        <v>0</v>
      </c>
      <c r="S920" s="185"/>
      <c r="T920" s="79"/>
      <c r="Y920" s="85"/>
      <c r="Z920" s="333"/>
      <c r="AA920" s="122"/>
      <c r="AB920" s="122"/>
    </row>
    <row r="921" spans="1:29" s="78" customFormat="1" x14ac:dyDescent="0.2">
      <c r="A921" s="75">
        <v>42941</v>
      </c>
      <c r="B921" s="412">
        <v>19</v>
      </c>
      <c r="C921" s="76"/>
      <c r="D921" s="77" t="s">
        <v>88</v>
      </c>
      <c r="F921" s="85">
        <v>224</v>
      </c>
      <c r="G921" s="85">
        <v>3</v>
      </c>
      <c r="H921" s="225">
        <v>250</v>
      </c>
      <c r="I921" s="78">
        <v>0</v>
      </c>
      <c r="J921" s="78">
        <v>1</v>
      </c>
      <c r="K921" s="78">
        <v>1</v>
      </c>
      <c r="L921" s="78">
        <v>0</v>
      </c>
      <c r="M921" s="78">
        <v>0</v>
      </c>
      <c r="N921" s="78">
        <v>1</v>
      </c>
      <c r="P921" s="122">
        <f>(AVERAGE(I921,K921,M921)/G921)*H921</f>
        <v>27.777777777777775</v>
      </c>
      <c r="Q921" s="122">
        <f t="shared" si="94"/>
        <v>55.55555555555555</v>
      </c>
      <c r="R921" s="158">
        <f t="shared" si="95"/>
        <v>0.33333333333333331</v>
      </c>
      <c r="S921" s="186" t="str">
        <f>D921</f>
        <v>HL-10 Ambient</v>
      </c>
      <c r="T921" s="79"/>
      <c r="Y921" s="85" t="str">
        <f>D921</f>
        <v>HL-10 Ambient</v>
      </c>
      <c r="Z921" s="324">
        <f>SUMIFS($P$873:$P$908, $D$873:$D$908, Y921, $F$873:$F$908, "&lt;200") + SUMIFS($Q$873:$Q$908, $D$873:$D$908, Y921, $F$873:$F$908, "&lt;200")</f>
        <v>591.11111111111109</v>
      </c>
      <c r="AA921" s="122">
        <f>SUM(P921:Q924)</f>
        <v>561.11111111111109</v>
      </c>
      <c r="AB921" s="122">
        <f>SUMIFS(Collection!O:O, Collection!B:B, "*" &amp; 'Bucket Counts'!Y921 &amp; "*", Collection!A:A, "&lt;" &amp; 'Bucket Counts'!A921,Collection!A:A,  "&gt;=" &amp; 'Bucket Counts'!$A$873)</f>
        <v>0</v>
      </c>
      <c r="AC921" s="158">
        <f>AA921/(Z921+AB921)</f>
        <v>0.9492481203007519</v>
      </c>
    </row>
    <row r="922" spans="1:29" s="78" customFormat="1" x14ac:dyDescent="0.2">
      <c r="A922" s="75">
        <v>42941</v>
      </c>
      <c r="B922" s="412">
        <v>19</v>
      </c>
      <c r="C922" s="76"/>
      <c r="D922" s="77" t="s">
        <v>88</v>
      </c>
      <c r="F922" s="85">
        <v>180</v>
      </c>
      <c r="G922" s="85">
        <v>3</v>
      </c>
      <c r="H922" s="225">
        <v>250</v>
      </c>
      <c r="I922" s="78">
        <v>0</v>
      </c>
      <c r="J922" s="78">
        <v>1</v>
      </c>
      <c r="K922" s="78">
        <v>1</v>
      </c>
      <c r="L922" s="78">
        <v>2</v>
      </c>
      <c r="M922" s="78">
        <v>2</v>
      </c>
      <c r="N922" s="78">
        <v>1</v>
      </c>
      <c r="P922" s="298">
        <f>(AVERAGE(I922,K922,M922)/G922)*H922</f>
        <v>83.333333333333329</v>
      </c>
      <c r="Q922" s="122">
        <f t="shared" si="94"/>
        <v>111.1111111111111</v>
      </c>
      <c r="R922" s="158">
        <f t="shared" si="95"/>
        <v>0.4285714285714286</v>
      </c>
      <c r="S922" s="184">
        <f>(SUM(P921:P924)/(SUM(P921:Q924)))</f>
        <v>0.198019801980198</v>
      </c>
      <c r="T922" s="79"/>
      <c r="Y922" s="85"/>
      <c r="Z922" s="333"/>
      <c r="AA922" s="122"/>
      <c r="AB922" s="122"/>
    </row>
    <row r="923" spans="1:29" s="78" customFormat="1" x14ac:dyDescent="0.2">
      <c r="A923" s="75">
        <v>42941</v>
      </c>
      <c r="B923" s="412">
        <v>19</v>
      </c>
      <c r="C923" s="76"/>
      <c r="D923" s="77" t="s">
        <v>88</v>
      </c>
      <c r="F923" s="85">
        <v>100</v>
      </c>
      <c r="G923" s="85">
        <v>3</v>
      </c>
      <c r="H923" s="225">
        <v>200</v>
      </c>
      <c r="I923" s="78">
        <v>0</v>
      </c>
      <c r="J923" s="78">
        <v>0</v>
      </c>
      <c r="K923" s="78">
        <v>0</v>
      </c>
      <c r="L923" s="78">
        <v>0</v>
      </c>
      <c r="M923" s="78">
        <v>0</v>
      </c>
      <c r="N923" s="78">
        <v>0</v>
      </c>
      <c r="P923" s="122">
        <f>(AVERAGE(I923,K923,M923)/G923)*H923</f>
        <v>0</v>
      </c>
      <c r="Q923" s="122">
        <f t="shared" si="94"/>
        <v>0</v>
      </c>
      <c r="R923" s="158" t="e">
        <f t="shared" si="95"/>
        <v>#DIV/0!</v>
      </c>
      <c r="S923" s="185"/>
      <c r="T923" s="79"/>
      <c r="Y923" s="85"/>
      <c r="Z923" s="333"/>
      <c r="AA923" s="122"/>
      <c r="AB923" s="122"/>
    </row>
    <row r="924" spans="1:29" s="83" customFormat="1" ht="17" thickBot="1" x14ac:dyDescent="0.25">
      <c r="A924" s="80">
        <v>42941</v>
      </c>
      <c r="B924" s="420">
        <v>19</v>
      </c>
      <c r="C924" s="81"/>
      <c r="D924" s="82" t="s">
        <v>88</v>
      </c>
      <c r="F924" s="138" t="s">
        <v>201</v>
      </c>
      <c r="G924" s="138">
        <v>3</v>
      </c>
      <c r="H924" s="316">
        <v>150</v>
      </c>
      <c r="I924" s="83">
        <v>0</v>
      </c>
      <c r="J924" s="83">
        <v>7</v>
      </c>
      <c r="K924" s="83">
        <v>0</v>
      </c>
      <c r="L924" s="83">
        <v>3</v>
      </c>
      <c r="M924" s="83">
        <v>0</v>
      </c>
      <c r="N924" s="83">
        <v>7</v>
      </c>
      <c r="P924" s="139">
        <f>(AVERAGE(I924,K924,M924)/G924)*H924</f>
        <v>0</v>
      </c>
      <c r="Q924" s="139">
        <f t="shared" si="94"/>
        <v>283.33333333333337</v>
      </c>
      <c r="R924" s="161">
        <f t="shared" si="95"/>
        <v>0</v>
      </c>
      <c r="S924" s="196"/>
      <c r="T924" s="317"/>
      <c r="Y924" s="138"/>
      <c r="Z924" s="335"/>
      <c r="AA924" s="139"/>
      <c r="AB924" s="139"/>
    </row>
    <row r="925" spans="1:29" x14ac:dyDescent="0.2">
      <c r="AC925" s="340">
        <f>AVERAGE(AC189:AC924)</f>
        <v>0.9148075757248012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Resources!$A$2:$A$17</xm:f>
          </x14:formula1>
          <xm:sqref>B261:B924 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52"/>
  <sheetViews>
    <sheetView showRuler="0" topLeftCell="A101" workbookViewId="0">
      <selection activeCell="D113" sqref="D113"/>
    </sheetView>
  </sheetViews>
  <sheetFormatPr baseColWidth="10" defaultRowHeight="16" x14ac:dyDescent="0.2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5" x14ac:dyDescent="0.25">
      <c r="A1" s="32" t="s">
        <v>213</v>
      </c>
      <c r="C1" s="197" t="s">
        <v>119</v>
      </c>
      <c r="D1" s="197" t="s">
        <v>304</v>
      </c>
      <c r="E1" s="197" t="s">
        <v>121</v>
      </c>
      <c r="F1" s="197" t="s">
        <v>175</v>
      </c>
      <c r="G1" s="197" t="s">
        <v>176</v>
      </c>
      <c r="H1" s="197" t="s">
        <v>208</v>
      </c>
      <c r="I1" s="197" t="s">
        <v>215</v>
      </c>
      <c r="J1" s="436" t="s">
        <v>136</v>
      </c>
      <c r="K1" s="437" t="s">
        <v>214</v>
      </c>
      <c r="L1" s="438" t="s">
        <v>303</v>
      </c>
      <c r="M1" s="438" t="s">
        <v>346</v>
      </c>
      <c r="N1" s="438" t="s">
        <v>368</v>
      </c>
      <c r="O1" s="438" t="s">
        <v>370</v>
      </c>
      <c r="P1" s="438" t="s">
        <v>369</v>
      </c>
      <c r="Q1" s="438" t="s">
        <v>371</v>
      </c>
      <c r="R1" s="438" t="s">
        <v>347</v>
      </c>
      <c r="S1" s="438" t="s">
        <v>350</v>
      </c>
      <c r="T1" s="438" t="s">
        <v>351</v>
      </c>
      <c r="U1" s="438" t="s">
        <v>358</v>
      </c>
      <c r="V1" s="438" t="s">
        <v>359</v>
      </c>
      <c r="W1" s="438" t="s">
        <v>349</v>
      </c>
      <c r="X1" s="438" t="s">
        <v>348</v>
      </c>
      <c r="Y1" s="32" t="s">
        <v>475</v>
      </c>
      <c r="Z1" s="32" t="s">
        <v>480</v>
      </c>
      <c r="AA1" s="32" t="s">
        <v>481</v>
      </c>
      <c r="AC1" t="s">
        <v>381</v>
      </c>
      <c r="AD1" t="s">
        <v>299</v>
      </c>
      <c r="AE1" s="32" t="s">
        <v>359</v>
      </c>
      <c r="AF1" s="32" t="s">
        <v>349</v>
      </c>
      <c r="AG1" s="32" t="s">
        <v>348</v>
      </c>
      <c r="AH1" s="218" t="s">
        <v>371</v>
      </c>
    </row>
    <row r="2" spans="1:34" x14ac:dyDescent="0.2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'Summary-info'!A2, Collection!O:O)</f>
        <v>213510.00000000003</v>
      </c>
      <c r="J2" s="439" t="s">
        <v>84</v>
      </c>
      <c r="K2" s="440">
        <f>SUM(C2:C3)</f>
        <v>1116063.3333333333</v>
      </c>
      <c r="L2" s="440">
        <f>SUM(D2:D3)</f>
        <v>5</v>
      </c>
      <c r="M2" s="440">
        <f>SUM(L28:L29)</f>
        <v>319276.66666666669</v>
      </c>
      <c r="N2" s="440">
        <f>SUMIFS('Bucket Counts'!P:P, 'Bucket Counts'!F:F, "100 Morts", 'Bucket Counts'!D:D, 'Summary-info'!J2 &amp;"*")</f>
        <v>10298.888888888889</v>
      </c>
      <c r="O2" s="440">
        <f>'Bucket Counts'!P878+'Bucket Counts'!P877+'Bucket Counts'!AD385+'Bucket Counts'!P853</f>
        <v>34597.444444444453</v>
      </c>
      <c r="P2" s="440"/>
      <c r="Q2" s="440">
        <f t="shared" ref="Q2:Q17" si="1">M2-N2-O2</f>
        <v>274380.33333333337</v>
      </c>
      <c r="R2" s="441">
        <f>Q72+P2</f>
        <v>3736.2222222222222</v>
      </c>
      <c r="S2" s="442">
        <v>47</v>
      </c>
      <c r="T2" s="442">
        <v>12</v>
      </c>
      <c r="U2" s="442">
        <v>626</v>
      </c>
      <c r="V2" s="443">
        <f>R2/Q2</f>
        <v>1.3616946144909152E-2</v>
      </c>
      <c r="W2" s="444">
        <f>(U2+(S2-T2))/R2</f>
        <v>0.17691667162314875</v>
      </c>
      <c r="X2" s="445">
        <f t="shared" ref="X2:X17" si="2">(U2+(S2-T2))/Q2</f>
        <v>2.409064789628994E-3</v>
      </c>
      <c r="Y2" t="s">
        <v>160</v>
      </c>
      <c r="AC2" s="466" t="s">
        <v>377</v>
      </c>
      <c r="AD2" s="199" t="s">
        <v>372</v>
      </c>
      <c r="AE2" s="347">
        <v>1.3473145403176214E-2</v>
      </c>
      <c r="AF2" s="347">
        <v>0.17875063850244885</v>
      </c>
      <c r="AG2" s="348">
        <v>2.4083333434540819E-3</v>
      </c>
      <c r="AH2" s="17">
        <v>274463.66666666669</v>
      </c>
    </row>
    <row r="3" spans="1:34" x14ac:dyDescent="0.2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'Summary-info'!A3, Collection!O:O)</f>
        <v>105766.66666666667</v>
      </c>
      <c r="J3" s="439" t="s">
        <v>83</v>
      </c>
      <c r="K3" s="440">
        <f>C4+C5</f>
        <v>439841.66666666663</v>
      </c>
      <c r="L3" s="440">
        <f>D4+D5</f>
        <v>4</v>
      </c>
      <c r="M3" s="440">
        <f>SUM(L30:L31)</f>
        <v>211416.66666666666</v>
      </c>
      <c r="N3" s="440">
        <f>SUMIFS('Bucket Counts'!P:P, 'Bucket Counts'!F:F, "100 Morts", 'Bucket Counts'!D:D, 'Summary-info'!J3 &amp;"*")</f>
        <v>510</v>
      </c>
      <c r="O3" s="440"/>
      <c r="P3" s="440"/>
      <c r="Q3" s="440">
        <f t="shared" si="1"/>
        <v>210906.66666666666</v>
      </c>
      <c r="R3" s="441">
        <f t="shared" ref="R3:R17" si="3">Q73+P3</f>
        <v>2977.333333333333</v>
      </c>
      <c r="S3" s="442">
        <v>4</v>
      </c>
      <c r="T3" s="442">
        <v>2</v>
      </c>
      <c r="U3" s="442">
        <v>75</v>
      </c>
      <c r="V3" s="446">
        <f t="shared" ref="V3:V17" si="4">R3/Q3</f>
        <v>1.411682892906815E-2</v>
      </c>
      <c r="W3" s="447">
        <f t="shared" ref="W3:W17" si="5">(U3+(S3-T3))/R3</f>
        <v>2.5862068965517244E-2</v>
      </c>
      <c r="X3" s="448">
        <f t="shared" si="2"/>
        <v>3.650904033379694E-4</v>
      </c>
      <c r="Y3">
        <v>74</v>
      </c>
      <c r="AC3" s="466"/>
      <c r="AD3" s="199" t="s">
        <v>373</v>
      </c>
      <c r="AE3" s="347">
        <v>1.411682892906815E-2</v>
      </c>
      <c r="AF3" s="347">
        <v>2.5862068965517244E-2</v>
      </c>
      <c r="AG3" s="348">
        <v>3.650904033379694E-4</v>
      </c>
      <c r="AH3" s="17">
        <v>210906.66666666666</v>
      </c>
    </row>
    <row r="4" spans="1:34" x14ac:dyDescent="0.2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'Summary-info'!A4, Collection!O:O)</f>
        <v>47141.666666666664</v>
      </c>
      <c r="J4" s="439" t="s">
        <v>85</v>
      </c>
      <c r="K4" s="440">
        <f>C6+C7</f>
        <v>277708.33333333331</v>
      </c>
      <c r="L4" s="440">
        <f>D6+D7</f>
        <v>4</v>
      </c>
      <c r="M4" s="440">
        <f>SUM(L32:L33)</f>
        <v>131675</v>
      </c>
      <c r="N4" s="440">
        <f>SUMIFS('Bucket Counts'!P:P, 'Bucket Counts'!F:F, "100 Morts", 'Bucket Counts'!D:D, 'Summary-info'!J4 &amp;"*")</f>
        <v>670</v>
      </c>
      <c r="O4" s="442"/>
      <c r="P4" s="440">
        <f>'Bucket Counts'!P758</f>
        <v>13</v>
      </c>
      <c r="Q4" s="440">
        <f t="shared" si="1"/>
        <v>131005</v>
      </c>
      <c r="R4" s="441">
        <f t="shared" si="3"/>
        <v>11119.444444444443</v>
      </c>
      <c r="S4" s="442">
        <v>19</v>
      </c>
      <c r="T4" s="442">
        <v>14</v>
      </c>
      <c r="U4" s="442">
        <v>1503</v>
      </c>
      <c r="V4" s="449">
        <f t="shared" si="4"/>
        <v>8.487801568218345E-2</v>
      </c>
      <c r="W4" s="450">
        <f t="shared" si="5"/>
        <v>0.13561828628528605</v>
      </c>
      <c r="X4" s="451">
        <f t="shared" si="2"/>
        <v>1.1511011030113354E-2</v>
      </c>
      <c r="Y4">
        <f>718+721</f>
        <v>1439</v>
      </c>
      <c r="Z4" s="103">
        <f t="shared" ref="Z4:Z9" si="6">Y4/U4</f>
        <v>0.95741849634065201</v>
      </c>
      <c r="AC4" s="466"/>
      <c r="AD4" s="350" t="s">
        <v>374</v>
      </c>
      <c r="AE4" s="347">
        <v>8.487801568218345E-2</v>
      </c>
      <c r="AF4" s="347">
        <v>0.13561828628528605</v>
      </c>
      <c r="AG4" s="348">
        <v>1.1511011030113354E-2</v>
      </c>
      <c r="AH4" s="17">
        <v>131005</v>
      </c>
    </row>
    <row r="5" spans="1:34" x14ac:dyDescent="0.2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'Summary-info'!A5, Collection!O:O)</f>
        <v>164275</v>
      </c>
      <c r="J5" s="439" t="s">
        <v>104</v>
      </c>
      <c r="K5" s="440">
        <f>C8+C9</f>
        <v>1483708.888888889</v>
      </c>
      <c r="L5" s="440">
        <f>D8+D9</f>
        <v>9</v>
      </c>
      <c r="M5" s="440">
        <f>SUM(L34:L35)</f>
        <v>391715.55555555556</v>
      </c>
      <c r="N5" s="440">
        <f>SUMIFS('Bucket Counts'!P:P, 'Bucket Counts'!F:F, "100 Morts", 'Bucket Counts'!D:D, 'Summary-info'!J5 &amp;"*")</f>
        <v>1580.0000000000002</v>
      </c>
      <c r="O5" s="440"/>
      <c r="P5" s="440">
        <f>'Bucket Counts'!P818</f>
        <v>379.16666666666669</v>
      </c>
      <c r="Q5" s="440">
        <f t="shared" si="1"/>
        <v>390135.55555555556</v>
      </c>
      <c r="R5" s="441">
        <f t="shared" si="3"/>
        <v>11779.999999999998</v>
      </c>
      <c r="S5" s="442">
        <v>22</v>
      </c>
      <c r="T5" s="442">
        <v>8</v>
      </c>
      <c r="U5" s="442">
        <v>670</v>
      </c>
      <c r="V5" s="452">
        <f t="shared" si="4"/>
        <v>3.0194633204413276E-2</v>
      </c>
      <c r="W5" s="453">
        <f t="shared" si="5"/>
        <v>5.8064516129032268E-2</v>
      </c>
      <c r="X5" s="454">
        <f t="shared" si="2"/>
        <v>1.7532367667078678E-3</v>
      </c>
      <c r="Y5">
        <v>606</v>
      </c>
      <c r="Z5" s="103">
        <f t="shared" si="6"/>
        <v>0.90447761194029852</v>
      </c>
      <c r="AC5" s="466"/>
      <c r="AD5" s="350" t="s">
        <v>375</v>
      </c>
      <c r="AE5" s="347">
        <v>3.1886481479253631E-2</v>
      </c>
      <c r="AF5" s="347">
        <v>5.8064516129032268E-2</v>
      </c>
      <c r="AG5" s="348">
        <v>1.8514731181502112E-3</v>
      </c>
      <c r="AH5" s="17">
        <v>369435.55555555556</v>
      </c>
    </row>
    <row r="6" spans="1:34" x14ac:dyDescent="0.2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'Summary-info'!A6, Collection!O:O)</f>
        <v>66708.333333333328</v>
      </c>
      <c r="J6" s="439" t="s">
        <v>86</v>
      </c>
      <c r="K6" s="440">
        <f>C10+C11</f>
        <v>3463350</v>
      </c>
      <c r="L6" s="440">
        <f>D10+D11</f>
        <v>14</v>
      </c>
      <c r="M6" s="440">
        <f>SUM(L36:L37)</f>
        <v>793086.66666666674</v>
      </c>
      <c r="N6" s="440">
        <f>SUMIFS('Bucket Counts'!P:P, 'Bucket Counts'!F:F, "100 Morts", 'Bucket Counts'!D:D, 'Summary-info'!J6 &amp;"*")</f>
        <v>11556.111111111113</v>
      </c>
      <c r="O6" s="440">
        <f>'Bucket Counts'!P257</f>
        <v>30333.333333333332</v>
      </c>
      <c r="P6" s="440"/>
      <c r="Q6" s="440">
        <f t="shared" si="1"/>
        <v>751197.22222222225</v>
      </c>
      <c r="R6" s="441">
        <f t="shared" si="3"/>
        <v>29595.333333333332</v>
      </c>
      <c r="S6" s="442">
        <v>3</v>
      </c>
      <c r="T6" s="442">
        <v>1</v>
      </c>
      <c r="U6" s="442">
        <v>52</v>
      </c>
      <c r="V6" s="443">
        <f t="shared" si="4"/>
        <v>3.9397554274472966E-2</v>
      </c>
      <c r="W6" s="444">
        <f t="shared" si="5"/>
        <v>1.8246119883765458E-3</v>
      </c>
      <c r="X6" s="445">
        <f t="shared" si="2"/>
        <v>7.1885249841919011E-5</v>
      </c>
      <c r="Y6">
        <v>47</v>
      </c>
      <c r="Z6" s="103">
        <f t="shared" si="6"/>
        <v>0.90384615384615385</v>
      </c>
      <c r="AC6" s="467" t="s">
        <v>376</v>
      </c>
      <c r="AD6" s="199" t="s">
        <v>372</v>
      </c>
      <c r="AE6" s="347">
        <v>4.1748019438460147E-2</v>
      </c>
      <c r="AF6" s="347">
        <v>1.8246119883765458E-3</v>
      </c>
      <c r="AG6" s="348">
        <v>7.6173936758391469E-5</v>
      </c>
      <c r="AH6" s="17">
        <v>708903.88888888899</v>
      </c>
    </row>
    <row r="7" spans="1:34" x14ac:dyDescent="0.2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'Summary-info'!A7, Collection!O:O)</f>
        <v>64966.666666666672</v>
      </c>
      <c r="J7" s="439" t="s">
        <v>74</v>
      </c>
      <c r="K7" s="440">
        <f>C12+C13</f>
        <v>2373206.666666667</v>
      </c>
      <c r="L7" s="440">
        <f>D12+D13</f>
        <v>9</v>
      </c>
      <c r="M7" s="440">
        <f>SUM(L38:L39)</f>
        <v>660450</v>
      </c>
      <c r="N7" s="440">
        <f>SUMIFS('Bucket Counts'!P:P, 'Bucket Counts'!F:F, "100 Morts", 'Bucket Counts'!D:D, 'Summary-info'!J7 &amp;"*")</f>
        <v>9573.3333333333321</v>
      </c>
      <c r="O7" s="440">
        <f>'Bucket Counts'!P82 + 'Bucket Counts'!P106 + 'Bucket Counts'!P147 + 'Bucket Counts'!P205</f>
        <v>4348.0555555555557</v>
      </c>
      <c r="P7" s="440">
        <f>'Bucket Counts'!P826</f>
        <v>36.666666666666664</v>
      </c>
      <c r="Q7" s="440">
        <f t="shared" si="1"/>
        <v>646528.61111111112</v>
      </c>
      <c r="R7" s="441">
        <f t="shared" si="3"/>
        <v>4756.9444444444453</v>
      </c>
      <c r="S7" s="442">
        <v>1</v>
      </c>
      <c r="T7" s="442">
        <v>0</v>
      </c>
      <c r="U7" s="442">
        <v>34</v>
      </c>
      <c r="V7" s="446">
        <f t="shared" si="4"/>
        <v>7.3576704304999831E-3</v>
      </c>
      <c r="W7" s="447">
        <f t="shared" si="5"/>
        <v>7.3576642335766414E-3</v>
      </c>
      <c r="X7" s="448">
        <f t="shared" si="2"/>
        <v>5.4135268568934178E-5</v>
      </c>
      <c r="Y7">
        <v>27</v>
      </c>
      <c r="Z7" s="103">
        <f t="shared" si="6"/>
        <v>0.79411764705882348</v>
      </c>
      <c r="AC7" s="467"/>
      <c r="AD7" s="199" t="s">
        <v>373</v>
      </c>
      <c r="AE7" s="347">
        <v>7.3576704304999831E-3</v>
      </c>
      <c r="AF7" s="347">
        <v>7.3576642335766414E-3</v>
      </c>
      <c r="AG7" s="348">
        <v>5.4135268568934178E-5</v>
      </c>
      <c r="AH7" s="17">
        <v>646528.61111111112</v>
      </c>
    </row>
    <row r="8" spans="1:34" x14ac:dyDescent="0.2">
      <c r="A8" s="7" t="s">
        <v>120</v>
      </c>
      <c r="C8" s="17">
        <f>SUMIF(Collection!B:B, A8, Collection!J:J)</f>
        <v>591372.22222222225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42240.873015873018</v>
      </c>
      <c r="I8" s="17">
        <f>SUMIF(Collection!B:B, 'Summary-info'!A8, Collection!O:O)</f>
        <v>218462.22222222222</v>
      </c>
      <c r="J8" s="439" t="s">
        <v>87</v>
      </c>
      <c r="K8" s="440">
        <f>C14+C15</f>
        <v>2178386.6666666665</v>
      </c>
      <c r="L8" s="440">
        <f>D14+D15</f>
        <v>9</v>
      </c>
      <c r="M8" s="440">
        <f>SUM(L40:L41)</f>
        <v>477403.33333333331</v>
      </c>
      <c r="N8" s="440">
        <f>SUMIFS('Bucket Counts'!P:P, 'Bucket Counts'!F:F, "100 Morts", 'Bucket Counts'!D:D, 'Summary-info'!J8 &amp;"*")</f>
        <v>19279.999999999996</v>
      </c>
      <c r="O8" s="440">
        <f>'Bucket Counts'!AD509</f>
        <v>10955.199999999993</v>
      </c>
      <c r="P8" s="440"/>
      <c r="Q8" s="440">
        <f t="shared" si="1"/>
        <v>447168.1333333333</v>
      </c>
      <c r="R8" s="441">
        <f t="shared" si="3"/>
        <v>11930.666666666666</v>
      </c>
      <c r="S8" s="442">
        <v>5</v>
      </c>
      <c r="T8" s="442">
        <v>1</v>
      </c>
      <c r="U8" s="442">
        <v>124</v>
      </c>
      <c r="V8" s="449">
        <f t="shared" si="4"/>
        <v>2.6680493929054576E-2</v>
      </c>
      <c r="W8" s="450">
        <f t="shared" si="5"/>
        <v>1.0728654447921324E-2</v>
      </c>
      <c r="X8" s="451">
        <f t="shared" si="2"/>
        <v>2.8624579986468926E-4</v>
      </c>
      <c r="Y8">
        <v>120</v>
      </c>
      <c r="Z8" s="103">
        <f t="shared" si="6"/>
        <v>0.967741935483871</v>
      </c>
      <c r="AC8" s="467"/>
      <c r="AD8" s="350" t="s">
        <v>374</v>
      </c>
      <c r="AE8" s="347">
        <v>2.7411813793276688E-2</v>
      </c>
      <c r="AF8" s="347">
        <v>1.0728654447921324E-2</v>
      </c>
      <c r="AG8" s="348">
        <v>2.9409187797882903E-4</v>
      </c>
      <c r="AH8" s="17">
        <v>435238.13333333336</v>
      </c>
    </row>
    <row r="9" spans="1:34" x14ac:dyDescent="0.2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'Summary-info'!A9, Collection!O:O)</f>
        <v>173253.33333333334</v>
      </c>
      <c r="J9" s="439" t="s">
        <v>77</v>
      </c>
      <c r="K9" s="440">
        <f>C16+C17</f>
        <v>2115476.666666667</v>
      </c>
      <c r="L9" s="440">
        <f>D16+D17</f>
        <v>10</v>
      </c>
      <c r="M9" s="440">
        <f>SUM(L42:L43)</f>
        <v>532416.66666666663</v>
      </c>
      <c r="N9" s="440">
        <f>SUMIFS('Bucket Counts'!P:P, 'Bucket Counts'!F:F, "100 Morts", 'Bucket Counts'!D:D, 'Summary-info'!J9 &amp;"*")</f>
        <v>16628.333333333332</v>
      </c>
      <c r="O9" s="442"/>
      <c r="P9" s="440">
        <f>'Bucket Counts'!P698</f>
        <v>27</v>
      </c>
      <c r="Q9" s="440">
        <f t="shared" si="1"/>
        <v>515788.33333333331</v>
      </c>
      <c r="R9" s="441">
        <f t="shared" si="3"/>
        <v>6029.4444444444443</v>
      </c>
      <c r="S9" s="442">
        <v>23</v>
      </c>
      <c r="T9" s="442">
        <v>4</v>
      </c>
      <c r="U9" s="442">
        <v>192</v>
      </c>
      <c r="V9" s="452">
        <f t="shared" si="4"/>
        <v>1.1689765073743644E-2</v>
      </c>
      <c r="W9" s="453">
        <f t="shared" si="5"/>
        <v>3.4994932276789827E-2</v>
      </c>
      <c r="X9" s="454">
        <f t="shared" si="2"/>
        <v>4.0908253708724188E-4</v>
      </c>
      <c r="Y9">
        <v>190</v>
      </c>
      <c r="Z9" s="103">
        <f t="shared" si="6"/>
        <v>0.98958333333333337</v>
      </c>
      <c r="AC9" s="467"/>
      <c r="AD9" s="350" t="s">
        <v>375</v>
      </c>
      <c r="AE9" s="349">
        <v>1.1689765073743644E-2</v>
      </c>
      <c r="AF9" s="347">
        <v>3.4994932276789799E-2</v>
      </c>
      <c r="AG9" s="348">
        <v>4.0908253708724188E-4</v>
      </c>
      <c r="AH9" s="17">
        <v>515788.33333333331</v>
      </c>
    </row>
    <row r="10" spans="1:34" ht="30" customHeight="1" x14ac:dyDescent="0.2">
      <c r="A10" s="7" t="s">
        <v>27</v>
      </c>
      <c r="C10" s="17">
        <f>SUMIF(Collection!B:B, A10, Collection!J:J)</f>
        <v>1960566.6666666667</v>
      </c>
      <c r="D10" s="17">
        <f>COUNTIFS(Collection!B:B, A10, Collection!O:O, "&gt;0", Collection!J:J, "&gt;5,000")</f>
        <v>6</v>
      </c>
      <c r="E10">
        <v>17</v>
      </c>
      <c r="F10">
        <v>37</v>
      </c>
      <c r="G10">
        <v>7.2</v>
      </c>
      <c r="H10" s="17">
        <f t="shared" si="0"/>
        <v>115327.45098039217</v>
      </c>
      <c r="I10" s="17">
        <f>SUMIF(Collection!B:B, 'Summary-info'!A10, Collection!O:O)</f>
        <v>410920</v>
      </c>
      <c r="J10" s="439" t="s">
        <v>88</v>
      </c>
      <c r="K10" s="440">
        <f t="shared" ref="K10:L17" si="7">C18</f>
        <v>939467.77777777775</v>
      </c>
      <c r="L10" s="440">
        <f t="shared" si="7"/>
        <v>5</v>
      </c>
      <c r="M10" s="440">
        <f>L44</f>
        <v>283857.77777777775</v>
      </c>
      <c r="N10" s="440">
        <f>SUMIFS('Bucket Counts'!P:P, 'Bucket Counts'!F:F, "100 Morts", 'Bucket Counts'!D:D, 'Summary-info'!J10 &amp;"*")</f>
        <v>13988.333333333332</v>
      </c>
      <c r="O10" s="440"/>
      <c r="P10" s="440">
        <f>'Bucket Counts'!P922</f>
        <v>83.333333333333329</v>
      </c>
      <c r="Q10" s="440">
        <f t="shared" si="1"/>
        <v>269869.44444444444</v>
      </c>
      <c r="R10" s="441">
        <f t="shared" si="3"/>
        <v>13916.666666666668</v>
      </c>
      <c r="S10" s="442">
        <v>42</v>
      </c>
      <c r="T10" s="442">
        <v>0</v>
      </c>
      <c r="U10" s="442">
        <v>1311</v>
      </c>
      <c r="V10" s="455">
        <f t="shared" si="4"/>
        <v>5.1568145090733181E-2</v>
      </c>
      <c r="W10" s="444">
        <f t="shared" si="5"/>
        <v>9.7221556886227536E-2</v>
      </c>
      <c r="X10" s="456">
        <f t="shared" si="2"/>
        <v>5.0135353514559507E-3</v>
      </c>
      <c r="Y10" t="s">
        <v>160</v>
      </c>
      <c r="AC10" s="466" t="s">
        <v>378</v>
      </c>
      <c r="AD10" s="199" t="s">
        <v>372</v>
      </c>
      <c r="AE10" s="347">
        <v>5.1568145090733181E-2</v>
      </c>
      <c r="AF10" s="347">
        <v>9.7221556886227536E-2</v>
      </c>
      <c r="AG10" s="347">
        <v>5.0135353514559507E-3</v>
      </c>
      <c r="AH10" s="17">
        <v>269869.44444444444</v>
      </c>
    </row>
    <row r="11" spans="1:34" x14ac:dyDescent="0.2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'Summary-info'!A11, Collection!O:O)</f>
        <v>582166.66666666674</v>
      </c>
      <c r="J11" s="439" t="s">
        <v>108</v>
      </c>
      <c r="K11" s="440">
        <f t="shared" si="7"/>
        <v>705188.33333333337</v>
      </c>
      <c r="L11" s="440">
        <f t="shared" si="7"/>
        <v>6</v>
      </c>
      <c r="M11" s="440">
        <f t="shared" ref="M11:M16" si="8">L45</f>
        <v>310875</v>
      </c>
      <c r="N11" s="440">
        <f>SUMIFS('Bucket Counts'!P:P, 'Bucket Counts'!F:F, "100 Morts", 'Bucket Counts'!D:D, 'Summary-info'!J11 &amp;"*")</f>
        <v>9586.6666666666661</v>
      </c>
      <c r="O11" s="440">
        <f>'Bucket Counts'!P861 + 'Bucket Counts'!P881</f>
        <v>1070</v>
      </c>
      <c r="P11" s="440">
        <f>'Bucket Counts'!P918</f>
        <v>166.66666666666666</v>
      </c>
      <c r="Q11" s="440">
        <f t="shared" si="1"/>
        <v>300218.33333333331</v>
      </c>
      <c r="R11" s="441">
        <f t="shared" si="3"/>
        <v>19857.5</v>
      </c>
      <c r="S11" s="442">
        <v>92</v>
      </c>
      <c r="T11" s="442">
        <v>0</v>
      </c>
      <c r="U11" s="442">
        <v>1091</v>
      </c>
      <c r="V11" s="457">
        <f t="shared" si="4"/>
        <v>6.6143528876206767E-2</v>
      </c>
      <c r="W11" s="447">
        <f t="shared" si="5"/>
        <v>5.9574468085106386E-2</v>
      </c>
      <c r="X11" s="458">
        <f t="shared" si="2"/>
        <v>3.9404655500718923E-3</v>
      </c>
      <c r="Y11" t="s">
        <v>160</v>
      </c>
      <c r="AC11" s="466"/>
      <c r="AD11" s="199" t="s">
        <v>373</v>
      </c>
      <c r="AE11" s="347">
        <v>6.6177328245546799E-2</v>
      </c>
      <c r="AF11" s="347">
        <v>5.9574468085106386E-2</v>
      </c>
      <c r="AG11" s="347">
        <v>3.942479129521937E-3</v>
      </c>
      <c r="AH11" s="17">
        <v>300065</v>
      </c>
    </row>
    <row r="12" spans="1:34" x14ac:dyDescent="0.2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'Summary-info'!A12, Collection!O:O)</f>
        <v>327900</v>
      </c>
      <c r="J12" s="439" t="s">
        <v>118</v>
      </c>
      <c r="K12" s="440">
        <f t="shared" si="7"/>
        <v>105133.33333333334</v>
      </c>
      <c r="L12" s="440">
        <f t="shared" si="7"/>
        <v>1</v>
      </c>
      <c r="M12" s="440">
        <f t="shared" si="8"/>
        <v>65666.666666666672</v>
      </c>
      <c r="N12" s="440">
        <f>SUMIFS('Bucket Counts'!P:P, 'Bucket Counts'!F:F, "100 Morts", 'Bucket Counts'!D:D, 'Summary-info'!J12 &amp;"*")</f>
        <v>9880.5555555555529</v>
      </c>
      <c r="O12" s="440">
        <f>'Bucket Counts'!AD577</f>
        <v>6857.533333333331</v>
      </c>
      <c r="P12" s="440">
        <f>'Bucket Counts'!P838</f>
        <v>250</v>
      </c>
      <c r="Q12" s="440">
        <f t="shared" si="1"/>
        <v>48928.577777777784</v>
      </c>
      <c r="R12" s="441">
        <f t="shared" si="3"/>
        <v>2495.833333333333</v>
      </c>
      <c r="S12" s="442">
        <v>160</v>
      </c>
      <c r="T12" s="442">
        <v>0</v>
      </c>
      <c r="U12" s="442">
        <v>501</v>
      </c>
      <c r="V12" s="459">
        <f t="shared" si="4"/>
        <v>5.1009725740830389E-2</v>
      </c>
      <c r="W12" s="450">
        <f t="shared" si="5"/>
        <v>0.26484140233722875</v>
      </c>
      <c r="X12" s="460">
        <f t="shared" si="2"/>
        <v>1.3509487298038953E-2</v>
      </c>
      <c r="Y12">
        <v>480</v>
      </c>
      <c r="Z12" s="103">
        <f>Y12/U12</f>
        <v>0.95808383233532934</v>
      </c>
      <c r="AC12" s="466"/>
      <c r="AD12" s="350" t="s">
        <v>374</v>
      </c>
      <c r="AE12" s="347">
        <v>5.1009725740830389E-2</v>
      </c>
      <c r="AF12" s="347">
        <v>0.26484140233722875</v>
      </c>
      <c r="AG12" s="347">
        <v>1.3509487298038953E-2</v>
      </c>
      <c r="AH12" s="17">
        <v>48928.577777777784</v>
      </c>
    </row>
    <row r="13" spans="1:34" x14ac:dyDescent="0.2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'Summary-info'!A13, Collection!O:O)</f>
        <v>332550.00000000006</v>
      </c>
      <c r="J13" s="439" t="s">
        <v>21</v>
      </c>
      <c r="K13" s="440">
        <f t="shared" si="7"/>
        <v>959265</v>
      </c>
      <c r="L13" s="440">
        <f t="shared" si="7"/>
        <v>3</v>
      </c>
      <c r="M13" s="440">
        <f t="shared" si="8"/>
        <v>255370.55555555556</v>
      </c>
      <c r="N13" s="440">
        <f>SUMIFS('Bucket Counts'!P:P, 'Bucket Counts'!F:F, "100 Morts", 'Bucket Counts'!D:D, 'Summary-info'!J13 &amp;"*")</f>
        <v>27659.999999999996</v>
      </c>
      <c r="O13" s="440"/>
      <c r="P13" s="440">
        <f>'Bucket Counts'!P894</f>
        <v>133.33333333333331</v>
      </c>
      <c r="Q13" s="440">
        <f t="shared" si="1"/>
        <v>227710.55555555556</v>
      </c>
      <c r="R13" s="441">
        <f t="shared" si="3"/>
        <v>10686.111111111111</v>
      </c>
      <c r="S13" s="442">
        <v>162</v>
      </c>
      <c r="T13" s="442">
        <v>0</v>
      </c>
      <c r="U13" s="442">
        <v>834</v>
      </c>
      <c r="V13" s="461">
        <f t="shared" si="4"/>
        <v>4.6928483772040043E-2</v>
      </c>
      <c r="W13" s="453">
        <f t="shared" si="5"/>
        <v>9.3205094879126593E-2</v>
      </c>
      <c r="X13" s="462">
        <f t="shared" si="2"/>
        <v>4.3739737825065446E-3</v>
      </c>
      <c r="Y13">
        <v>714</v>
      </c>
      <c r="Z13" s="103">
        <f>Y13/U13</f>
        <v>0.85611510791366907</v>
      </c>
      <c r="AC13" s="466"/>
      <c r="AD13" s="350" t="s">
        <v>375</v>
      </c>
      <c r="AE13" s="347">
        <v>4.6928483772040043E-2</v>
      </c>
      <c r="AF13" s="347">
        <v>9.3205094879126593E-2</v>
      </c>
      <c r="AG13" s="347">
        <v>4.3739737825065446E-3</v>
      </c>
      <c r="AH13" s="17">
        <v>227710.55555555556</v>
      </c>
    </row>
    <row r="14" spans="1:34" x14ac:dyDescent="0.2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'Summary-info'!A14, Collection!O:O)</f>
        <v>57500</v>
      </c>
      <c r="J14" s="439" t="s">
        <v>17</v>
      </c>
      <c r="K14" s="440">
        <f t="shared" si="7"/>
        <v>466208.33333333337</v>
      </c>
      <c r="L14" s="440">
        <f t="shared" si="7"/>
        <v>9</v>
      </c>
      <c r="M14" s="440">
        <f t="shared" si="8"/>
        <v>324165.00000000006</v>
      </c>
      <c r="N14" s="440">
        <f>SUMIFS('Bucket Counts'!P:P, 'Bucket Counts'!F:F, "100 Morts", 'Bucket Counts'!D:D, 'Summary-info'!J14 &amp;"*")</f>
        <v>9727.5</v>
      </c>
      <c r="O14" s="440"/>
      <c r="P14" s="440">
        <f>'Bucket Counts'!P858</f>
        <v>27.777777777777775</v>
      </c>
      <c r="Q14" s="440">
        <f t="shared" si="1"/>
        <v>314437.50000000006</v>
      </c>
      <c r="R14" s="441">
        <f t="shared" si="3"/>
        <v>13854.944444444445</v>
      </c>
      <c r="S14" s="442">
        <v>13</v>
      </c>
      <c r="T14" s="442">
        <v>0</v>
      </c>
      <c r="U14" s="442">
        <v>246</v>
      </c>
      <c r="V14" s="443">
        <f t="shared" si="4"/>
        <v>4.4062633892091252E-2</v>
      </c>
      <c r="W14" s="444">
        <f t="shared" si="5"/>
        <v>1.8693687371937013E-2</v>
      </c>
      <c r="X14" s="445">
        <f t="shared" si="2"/>
        <v>8.2369310276287006E-4</v>
      </c>
      <c r="Y14" t="s">
        <v>160</v>
      </c>
      <c r="AC14" s="467" t="s">
        <v>379</v>
      </c>
      <c r="AD14" s="199" t="s">
        <v>372</v>
      </c>
      <c r="AE14" s="347">
        <v>4.4306455531261724E-2</v>
      </c>
      <c r="AF14" s="347">
        <v>1.8590814654123915E-2</v>
      </c>
      <c r="AG14" s="348">
        <v>8.2369310276287006E-4</v>
      </c>
      <c r="AH14" s="17">
        <v>314437.50000000006</v>
      </c>
    </row>
    <row r="15" spans="1:34" x14ac:dyDescent="0.2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'Summary-info'!A15, Collection!O:O)</f>
        <v>419903.33333333331</v>
      </c>
      <c r="J15" s="439" t="s">
        <v>20</v>
      </c>
      <c r="K15" s="440">
        <f t="shared" si="7"/>
        <v>653356.66666666663</v>
      </c>
      <c r="L15" s="440">
        <f t="shared" si="7"/>
        <v>7</v>
      </c>
      <c r="M15" s="440">
        <f t="shared" si="8"/>
        <v>225873.33333333331</v>
      </c>
      <c r="N15" s="440">
        <f>SUMIFS('Bucket Counts'!P:P, 'Bucket Counts'!F:F, "100 Morts", 'Bucket Counts'!D:D, 'Summary-info'!J15 &amp;"*")</f>
        <v>5136.6666666666661</v>
      </c>
      <c r="O15" s="440"/>
      <c r="P15" s="440"/>
      <c r="Q15" s="440">
        <f t="shared" si="1"/>
        <v>220736.66666666666</v>
      </c>
      <c r="R15" s="441">
        <f t="shared" si="3"/>
        <v>1970.5555555555554</v>
      </c>
      <c r="S15" s="442">
        <v>9</v>
      </c>
      <c r="T15" s="442">
        <v>0</v>
      </c>
      <c r="U15" s="442">
        <v>113</v>
      </c>
      <c r="V15" s="446">
        <f t="shared" si="4"/>
        <v>8.9271781861745766E-3</v>
      </c>
      <c r="W15" s="447">
        <f t="shared" si="5"/>
        <v>6.1911474485480691E-2</v>
      </c>
      <c r="X15" s="448">
        <f t="shared" si="2"/>
        <v>5.526947645006871E-4</v>
      </c>
      <c r="Y15" t="s">
        <v>160</v>
      </c>
      <c r="AC15" s="467"/>
      <c r="AD15" s="199" t="s">
        <v>373</v>
      </c>
      <c r="AE15" s="347">
        <v>9.5064664037965655E-3</v>
      </c>
      <c r="AF15" s="347">
        <v>5.7941952506596318E-2</v>
      </c>
      <c r="AG15" s="348">
        <v>5.5082322487433409E-4</v>
      </c>
      <c r="AH15" s="17">
        <v>221486.66666666666</v>
      </c>
    </row>
    <row r="16" spans="1:34" x14ac:dyDescent="0.2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'Summary-info'!A16, Collection!O:O)</f>
        <v>210583.33333333334</v>
      </c>
      <c r="J16" s="439" t="s">
        <v>38</v>
      </c>
      <c r="K16" s="440">
        <f t="shared" si="7"/>
        <v>517545</v>
      </c>
      <c r="L16" s="440">
        <f t="shared" si="7"/>
        <v>6</v>
      </c>
      <c r="M16" s="440">
        <f t="shared" si="8"/>
        <v>353768.33333333326</v>
      </c>
      <c r="N16" s="440">
        <f>SUMIFS('Bucket Counts'!P:P, 'Bucket Counts'!F:F, "100 Morts", 'Bucket Counts'!D:D, 'Summary-info'!J16 &amp;"*")</f>
        <v>20591.111111111113</v>
      </c>
      <c r="O16" s="440"/>
      <c r="P16" s="440"/>
      <c r="Q16" s="440">
        <f t="shared" si="1"/>
        <v>333177.22222222213</v>
      </c>
      <c r="R16" s="441">
        <f t="shared" si="3"/>
        <v>22186.111111111113</v>
      </c>
      <c r="S16" s="442">
        <v>16</v>
      </c>
      <c r="T16" s="442">
        <v>0</v>
      </c>
      <c r="U16" s="442">
        <v>356</v>
      </c>
      <c r="V16" s="449">
        <f t="shared" si="4"/>
        <v>6.6589519424930702E-2</v>
      </c>
      <c r="W16" s="450">
        <f t="shared" si="5"/>
        <v>1.6767246776011015E-2</v>
      </c>
      <c r="X16" s="451">
        <f t="shared" si="2"/>
        <v>1.1165229048937923E-3</v>
      </c>
      <c r="Y16">
        <v>331</v>
      </c>
      <c r="Z16" s="103">
        <f t="shared" ref="Z16:Z21" si="9">Y16/U16</f>
        <v>0.9297752808988764</v>
      </c>
      <c r="AC16" s="467"/>
      <c r="AD16" s="350" t="s">
        <v>374</v>
      </c>
      <c r="AE16" s="347">
        <v>6.6589519424930702E-2</v>
      </c>
      <c r="AF16" s="347">
        <v>1.6767246776011015E-2</v>
      </c>
      <c r="AG16" s="348">
        <v>1.1165229048937923E-3</v>
      </c>
      <c r="AH16" s="17">
        <v>333177.22222222213</v>
      </c>
    </row>
    <row r="17" spans="1:34" x14ac:dyDescent="0.2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'Summary-info'!A17, Collection!O:O)</f>
        <v>321833.33333333331</v>
      </c>
      <c r="J17" s="439" t="s">
        <v>46</v>
      </c>
      <c r="K17" s="440">
        <f t="shared" si="7"/>
        <v>370073.33333333337</v>
      </c>
      <c r="L17" s="440">
        <f t="shared" si="7"/>
        <v>5</v>
      </c>
      <c r="M17" s="440">
        <f>L51</f>
        <v>179716.66666666666</v>
      </c>
      <c r="N17" s="440">
        <f>SUMIFS('Bucket Counts'!P:P, 'Bucket Counts'!F:F, "100 Morts", 'Bucket Counts'!D:D, 'Summary-info'!J17 &amp;"*")</f>
        <v>7718.8888888888896</v>
      </c>
      <c r="O17" s="440"/>
      <c r="P17" s="440"/>
      <c r="Q17" s="440">
        <f t="shared" si="1"/>
        <v>171997.77777777778</v>
      </c>
      <c r="R17" s="441">
        <f t="shared" si="3"/>
        <v>9734.9444444444434</v>
      </c>
      <c r="S17" s="442">
        <v>7</v>
      </c>
      <c r="T17" s="442">
        <v>0</v>
      </c>
      <c r="U17" s="442">
        <v>334</v>
      </c>
      <c r="V17" s="452">
        <f t="shared" si="4"/>
        <v>5.65992454682877E-2</v>
      </c>
      <c r="W17" s="453">
        <f t="shared" si="5"/>
        <v>3.5028448487407909E-2</v>
      </c>
      <c r="X17" s="454">
        <f t="shared" si="2"/>
        <v>1.9825837543120711E-3</v>
      </c>
      <c r="Y17">
        <v>315</v>
      </c>
      <c r="Z17" s="103">
        <f t="shared" si="9"/>
        <v>0.94311377245508987</v>
      </c>
      <c r="AC17" s="467"/>
      <c r="AD17" s="350" t="s">
        <v>375</v>
      </c>
      <c r="AE17" s="347">
        <v>5.65992454682877E-2</v>
      </c>
      <c r="AF17" s="347">
        <v>3.5028448487407909E-2</v>
      </c>
      <c r="AG17" s="348">
        <v>1.9825837543120711E-3</v>
      </c>
      <c r="AH17" s="17">
        <v>171997.77777777778</v>
      </c>
    </row>
    <row r="18" spans="1:34" x14ac:dyDescent="0.2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'Summary-info'!A18, Collection!O:O)</f>
        <v>283857.77777777775</v>
      </c>
      <c r="J18" t="s">
        <v>476</v>
      </c>
      <c r="L18" s="51"/>
      <c r="M18">
        <v>800</v>
      </c>
      <c r="U18">
        <v>31</v>
      </c>
      <c r="W18" s="103"/>
      <c r="X18" s="103">
        <f>U18/M18</f>
        <v>3.875E-2</v>
      </c>
      <c r="Y18">
        <v>19</v>
      </c>
      <c r="Z18" s="103">
        <f t="shared" si="9"/>
        <v>0.61290322580645162</v>
      </c>
      <c r="AC18" s="467" t="s">
        <v>380</v>
      </c>
      <c r="AD18" s="199" t="s">
        <v>372</v>
      </c>
      <c r="AF18" s="340"/>
      <c r="AG18" s="354">
        <v>5.0000000000000001E-3</v>
      </c>
      <c r="AH18" s="17">
        <v>800</v>
      </c>
    </row>
    <row r="19" spans="1:34" x14ac:dyDescent="0.2">
      <c r="A19" s="14" t="s">
        <v>108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'Summary-info'!A19, Collection!O:O)</f>
        <v>310875</v>
      </c>
      <c r="J19" t="s">
        <v>477</v>
      </c>
      <c r="M19">
        <v>800</v>
      </c>
      <c r="U19">
        <v>275</v>
      </c>
      <c r="W19" s="103"/>
      <c r="X19" s="103">
        <f>U19/M19</f>
        <v>0.34375</v>
      </c>
      <c r="Y19">
        <v>190</v>
      </c>
      <c r="Z19" s="103">
        <f t="shared" si="9"/>
        <v>0.69090909090909092</v>
      </c>
      <c r="AC19" s="467"/>
      <c r="AD19" s="199" t="s">
        <v>373</v>
      </c>
      <c r="AF19" s="340"/>
      <c r="AG19" s="103">
        <v>0.03</v>
      </c>
      <c r="AH19" s="17">
        <v>800</v>
      </c>
    </row>
    <row r="20" spans="1:34" x14ac:dyDescent="0.2">
      <c r="A20" s="14" t="s">
        <v>118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'Summary-info'!A20, Collection!O:O)</f>
        <v>65666.666666666672</v>
      </c>
      <c r="J20" t="s">
        <v>478</v>
      </c>
      <c r="M20">
        <v>800</v>
      </c>
      <c r="U20">
        <v>4</v>
      </c>
      <c r="W20" s="103"/>
      <c r="X20" s="103">
        <f>U20/M20</f>
        <v>5.0000000000000001E-3</v>
      </c>
      <c r="Y20">
        <v>4</v>
      </c>
      <c r="Z20" s="103">
        <f t="shared" si="9"/>
        <v>1</v>
      </c>
      <c r="AC20" s="467"/>
      <c r="AD20" s="350" t="s">
        <v>374</v>
      </c>
      <c r="AF20" s="340"/>
      <c r="AG20" s="340">
        <v>0.12</v>
      </c>
      <c r="AH20" s="17">
        <v>800</v>
      </c>
    </row>
    <row r="21" spans="1:34" x14ac:dyDescent="0.2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'Summary-info'!A21, Collection!O:O)</f>
        <v>255370.55555555556</v>
      </c>
      <c r="J21" t="s">
        <v>479</v>
      </c>
      <c r="M21">
        <v>800</v>
      </c>
      <c r="U21">
        <v>96</v>
      </c>
      <c r="W21" s="103"/>
      <c r="X21" s="103">
        <f>U21/M21</f>
        <v>0.12</v>
      </c>
      <c r="Y21">
        <v>68</v>
      </c>
      <c r="Z21" s="103">
        <f t="shared" si="9"/>
        <v>0.70833333333333337</v>
      </c>
      <c r="AC21" s="467"/>
      <c r="AD21" s="350" t="s">
        <v>375</v>
      </c>
      <c r="AF21" s="340"/>
      <c r="AG21" s="340">
        <v>0.34375</v>
      </c>
      <c r="AH21" s="17">
        <v>800</v>
      </c>
    </row>
    <row r="22" spans="1:34" x14ac:dyDescent="0.2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302</v>
      </c>
      <c r="H22" s="17">
        <f t="shared" si="0"/>
        <v>4053.985507246377</v>
      </c>
      <c r="I22" s="17">
        <f>SUMIF(Collection!B:B, 'Summary-info'!A22, Collection!O:O)</f>
        <v>324165.00000000006</v>
      </c>
    </row>
    <row r="23" spans="1:34" x14ac:dyDescent="0.2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302</v>
      </c>
      <c r="H23" s="17">
        <f t="shared" si="0"/>
        <v>5886.0960960960956</v>
      </c>
      <c r="I23" s="17">
        <f>SUMIF(Collection!B:B, 'Summary-info'!A23, Collection!O:O)</f>
        <v>225873.33333333331</v>
      </c>
    </row>
    <row r="24" spans="1:34" x14ac:dyDescent="0.2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302</v>
      </c>
      <c r="H24" s="17">
        <f t="shared" si="0"/>
        <v>4423.4615384615381</v>
      </c>
      <c r="I24" s="17">
        <f>SUMIF(Collection!B:B, 'Summary-info'!A24, Collection!O:O)</f>
        <v>353768.33333333326</v>
      </c>
    </row>
    <row r="25" spans="1:34" s="208" customFormat="1" ht="17" thickBot="1" x14ac:dyDescent="0.25">
      <c r="A25" s="209" t="s">
        <v>46</v>
      </c>
      <c r="B25" s="210"/>
      <c r="C25" s="210">
        <f>SUMIF(Collection!B:B, A25, Collection!J:J)</f>
        <v>370073.33333333337</v>
      </c>
      <c r="D25" s="210">
        <f>COUNTIFS(Collection!B:B, A25, Collection!O:O, "&gt;0", Collection!J:J, "&gt;5,000")</f>
        <v>5</v>
      </c>
      <c r="E25" s="208">
        <v>126</v>
      </c>
      <c r="F25" s="208" t="s">
        <v>302</v>
      </c>
      <c r="H25" s="210">
        <f t="shared" si="0"/>
        <v>2937.0899470899476</v>
      </c>
      <c r="I25" s="210">
        <f>SUMIF(Collection!B:B, 'Summary-info'!A25, Collection!O:O)</f>
        <v>179716.66666666666</v>
      </c>
    </row>
    <row r="26" spans="1:34" ht="28" customHeight="1" thickTop="1" x14ac:dyDescent="0.25">
      <c r="C26" s="464" t="s">
        <v>220</v>
      </c>
      <c r="D26" s="464"/>
      <c r="E26" s="464"/>
      <c r="F26" s="464"/>
      <c r="G26" s="464"/>
      <c r="H26" s="464"/>
      <c r="I26" s="464"/>
      <c r="J26" s="464"/>
      <c r="K26" s="464"/>
      <c r="L26" s="201"/>
      <c r="M26" s="201"/>
    </row>
    <row r="27" spans="1:34" s="197" customFormat="1" ht="19" x14ac:dyDescent="0.25">
      <c r="A27" s="32" t="s">
        <v>213</v>
      </c>
      <c r="B27" s="198"/>
      <c r="C27" s="201">
        <v>42891</v>
      </c>
      <c r="D27" s="201">
        <v>42895</v>
      </c>
      <c r="E27" s="201">
        <v>42898</v>
      </c>
      <c r="F27" s="201">
        <v>42901</v>
      </c>
      <c r="G27" s="201">
        <v>42905</v>
      </c>
      <c r="H27" s="201">
        <v>42908</v>
      </c>
      <c r="I27" s="201">
        <v>42912</v>
      </c>
      <c r="J27" s="201">
        <v>42915</v>
      </c>
      <c r="K27" s="201">
        <v>42919</v>
      </c>
      <c r="L27" s="201">
        <v>42922</v>
      </c>
    </row>
    <row r="28" spans="1:34" x14ac:dyDescent="0.2">
      <c r="A28" s="14" t="s">
        <v>98</v>
      </c>
      <c r="B28" s="116"/>
      <c r="C28" s="150">
        <f>SUMIFS(Collection!$O:$O, Collection!$B:$B, 'Summary-info'!$A28, Collection!$A:$A, "&lt;"&amp;'Summary-info'!C$27)</f>
        <v>136326.66666666669</v>
      </c>
      <c r="D28" s="150">
        <f>SUMIFS(Collection!$O:$O, Collection!$B:$B, 'Summary-info'!$A28, Collection!$A:$A, "&lt;"&amp;'Summary-info'!D$27)</f>
        <v>213510.00000000003</v>
      </c>
      <c r="E28" s="150">
        <f>SUMIFS(Collection!$O:$O, Collection!$B:$B, 'Summary-info'!$A28, Collection!$A:$A, "&lt;"&amp;'Summary-info'!E$27)</f>
        <v>213510.00000000003</v>
      </c>
      <c r="F28" s="150">
        <f>SUMIFS(Collection!$O:$O, Collection!$B:$B, 'Summary-info'!$A28, Collection!$A:$A, "&lt;"&amp;'Summary-info'!F$27)</f>
        <v>213510.00000000003</v>
      </c>
      <c r="G28" s="150">
        <f>SUMIFS(Collection!$O:$O, Collection!$B:$B, 'Summary-info'!$A28, Collection!$A:$A, "&lt;"&amp;'Summary-info'!G$27)</f>
        <v>213510.00000000003</v>
      </c>
      <c r="H28" s="150">
        <f>SUMIFS(Collection!$O:$O, Collection!$B:$B, 'Summary-info'!$A28, Collection!$A:$A, "&lt;"&amp;'Summary-info'!H$27)</f>
        <v>213510.00000000003</v>
      </c>
      <c r="I28" s="150">
        <f>SUMIFS(Collection!$O:$O, Collection!$B:$B, 'Summary-info'!$A28, Collection!$A:$A, "&lt;"&amp;'Summary-info'!I$27)</f>
        <v>213510.00000000003</v>
      </c>
      <c r="J28" s="150">
        <f>SUMIFS(Collection!$O:$O, Collection!$B:$B, 'Summary-info'!$A28, Collection!$A:$A, "&lt;"&amp;'Summary-info'!J$27)</f>
        <v>213510.00000000003</v>
      </c>
      <c r="K28" s="150">
        <f>SUMIFS(Collection!$O:$O, Collection!$B:$B, 'Summary-info'!$A28, Collection!$A:$A, "&lt;"&amp;'Summary-info'!K$27)</f>
        <v>213510.00000000003</v>
      </c>
      <c r="L28" s="150">
        <f>SUMIFS(Collection!$O:$O, Collection!$B:$B, 'Summary-info'!$A28, Collection!$A:$A, "&lt;"&amp;'Summary-info'!L$27)</f>
        <v>213510.00000000003</v>
      </c>
    </row>
    <row r="29" spans="1:34" x14ac:dyDescent="0.2">
      <c r="A29" s="7" t="s">
        <v>31</v>
      </c>
      <c r="B29" s="116"/>
      <c r="C29" s="150">
        <f>SUMIFS(Collection!$O:$O, Collection!$B:$B, 'Summary-info'!$A29, Collection!$A:$A, "&lt;"&amp;'Summary-info'!C$27)</f>
        <v>0</v>
      </c>
      <c r="D29" s="150">
        <f>SUMIFS(Collection!$O:$O, Collection!$B:$B, 'Summary-info'!$A29, Collection!$A:$A, "&lt;"&amp;'Summary-info'!D$27)</f>
        <v>0</v>
      </c>
      <c r="E29" s="150">
        <f>SUMIFS(Collection!$O:$O, Collection!$B:$B, 'Summary-info'!$A29, Collection!$A:$A, "&lt;"&amp;'Summary-info'!E$27)</f>
        <v>0</v>
      </c>
      <c r="F29" s="150">
        <f>SUMIFS(Collection!$O:$O, Collection!$B:$B, 'Summary-info'!$A29, Collection!$A:$A, "&lt;"&amp;'Summary-info'!F$27)</f>
        <v>57866.666666666664</v>
      </c>
      <c r="G29" s="150">
        <f>SUMIFS(Collection!$O:$O, Collection!$B:$B, 'Summary-info'!$A29, Collection!$A:$A, "&lt;"&amp;'Summary-info'!G$27)</f>
        <v>105766.66666666667</v>
      </c>
      <c r="H29" s="150">
        <f>SUMIFS(Collection!$O:$O, Collection!$B:$B, 'Summary-info'!$A29, Collection!$A:$A, "&lt;"&amp;'Summary-info'!H$27)</f>
        <v>105766.66666666667</v>
      </c>
      <c r="I29" s="150">
        <f>SUMIFS(Collection!$O:$O, Collection!$B:$B, 'Summary-info'!$A29, Collection!$A:$A, "&lt;"&amp;'Summary-info'!I$27)</f>
        <v>105766.66666666667</v>
      </c>
      <c r="J29" s="150">
        <f>SUMIFS(Collection!$O:$O, Collection!$B:$B, 'Summary-info'!$A29, Collection!$A:$A, "&lt;"&amp;'Summary-info'!J$27)</f>
        <v>105766.66666666667</v>
      </c>
      <c r="K29" s="150">
        <f>SUMIFS(Collection!$O:$O, Collection!$B:$B, 'Summary-info'!$A29, Collection!$A:$A, "&lt;"&amp;'Summary-info'!K$27)</f>
        <v>105766.66666666667</v>
      </c>
      <c r="L29" s="150">
        <f>SUMIFS(Collection!$O:$O, Collection!$B:$B, 'Summary-info'!$A29, Collection!$A:$A, "&lt;"&amp;'Summary-info'!L$27)</f>
        <v>105766.66666666667</v>
      </c>
    </row>
    <row r="30" spans="1:34" x14ac:dyDescent="0.2">
      <c r="A30" s="14" t="s">
        <v>49</v>
      </c>
      <c r="B30" s="116"/>
      <c r="C30" s="150">
        <f>SUMIFS(Collection!$O:$O, Collection!$B:$B, 'Summary-info'!$A30, Collection!$A:$A, "&lt;"&amp;'Summary-info'!C$27)</f>
        <v>5183.3333333333339</v>
      </c>
      <c r="D30" s="150">
        <f>SUMIFS(Collection!$O:$O, Collection!$B:$B, 'Summary-info'!$A30, Collection!$A:$A, "&lt;"&amp;'Summary-info'!D$27)</f>
        <v>5183.3333333333339</v>
      </c>
      <c r="E30" s="150">
        <f>SUMIFS(Collection!$O:$O, Collection!$B:$B, 'Summary-info'!$A30, Collection!$A:$A, "&lt;"&amp;'Summary-info'!E$27)</f>
        <v>5183.3333333333339</v>
      </c>
      <c r="F30" s="150">
        <f>SUMIFS(Collection!$O:$O, Collection!$B:$B, 'Summary-info'!$A30, Collection!$A:$A, "&lt;"&amp;'Summary-info'!F$27)</f>
        <v>5183.3333333333339</v>
      </c>
      <c r="G30" s="150">
        <f>SUMIFS(Collection!$O:$O, Collection!$B:$B, 'Summary-info'!$A30, Collection!$A:$A, "&lt;"&amp;'Summary-info'!G$27)</f>
        <v>5183.3333333333339</v>
      </c>
      <c r="H30" s="150">
        <f>SUMIFS(Collection!$O:$O, Collection!$B:$B, 'Summary-info'!$A30, Collection!$A:$A, "&lt;"&amp;'Summary-info'!H$27)</f>
        <v>5183.3333333333339</v>
      </c>
      <c r="I30" s="150">
        <f>SUMIFS(Collection!$O:$O, Collection!$B:$B, 'Summary-info'!$A30, Collection!$A:$A, "&lt;"&amp;'Summary-info'!I$27)</f>
        <v>5183.3333333333339</v>
      </c>
      <c r="J30" s="150">
        <f>SUMIFS(Collection!$O:$O, Collection!$B:$B, 'Summary-info'!$A30, Collection!$A:$A, "&lt;"&amp;'Summary-info'!J$27)</f>
        <v>5183.3333333333339</v>
      </c>
      <c r="K30" s="150">
        <f>SUMIFS(Collection!$O:$O, Collection!$B:$B, 'Summary-info'!$A30, Collection!$A:$A, "&lt;"&amp;'Summary-info'!K$27)</f>
        <v>5183.3333333333339</v>
      </c>
      <c r="L30" s="150">
        <f>SUMIFS(Collection!$O:$O, Collection!$B:$B, 'Summary-info'!$A30, Collection!$A:$A, "&lt;"&amp;'Summary-info'!L$27)</f>
        <v>47141.666666666664</v>
      </c>
    </row>
    <row r="31" spans="1:34" x14ac:dyDescent="0.2">
      <c r="A31" s="7" t="s">
        <v>47</v>
      </c>
      <c r="B31" s="116"/>
      <c r="C31" s="150">
        <f>SUMIFS(Collection!$O:$O, Collection!$B:$B, 'Summary-info'!$A31, Collection!$A:$A, "&lt;"&amp;'Summary-info'!C$27)</f>
        <v>164275</v>
      </c>
      <c r="D31" s="150">
        <f>SUMIFS(Collection!$O:$O, Collection!$B:$B, 'Summary-info'!$A31, Collection!$A:$A, "&lt;"&amp;'Summary-info'!D$27)</f>
        <v>164275</v>
      </c>
      <c r="E31" s="150">
        <f>SUMIFS(Collection!$O:$O, Collection!$B:$B, 'Summary-info'!$A31, Collection!$A:$A, "&lt;"&amp;'Summary-info'!E$27)</f>
        <v>164275</v>
      </c>
      <c r="F31" s="150">
        <f>SUMIFS(Collection!$O:$O, Collection!$B:$B, 'Summary-info'!$A31, Collection!$A:$A, "&lt;"&amp;'Summary-info'!F$27)</f>
        <v>164275</v>
      </c>
      <c r="G31" s="150">
        <f>SUMIFS(Collection!$O:$O, Collection!$B:$B, 'Summary-info'!$A31, Collection!$A:$A, "&lt;"&amp;'Summary-info'!G$27)</f>
        <v>164275</v>
      </c>
      <c r="H31" s="150">
        <f>SUMIFS(Collection!$O:$O, Collection!$B:$B, 'Summary-info'!$A31, Collection!$A:$A, "&lt;"&amp;'Summary-info'!H$27)</f>
        <v>164275</v>
      </c>
      <c r="I31" s="150">
        <f>SUMIFS(Collection!$O:$O, Collection!$B:$B, 'Summary-info'!$A31, Collection!$A:$A, "&lt;"&amp;'Summary-info'!I$27)</f>
        <v>164275</v>
      </c>
      <c r="J31" s="150">
        <f>SUMIFS(Collection!$O:$O, Collection!$B:$B, 'Summary-info'!$A31, Collection!$A:$A, "&lt;"&amp;'Summary-info'!J$27)</f>
        <v>164275</v>
      </c>
      <c r="K31" s="150">
        <f>SUMIFS(Collection!$O:$O, Collection!$B:$B, 'Summary-info'!$A31, Collection!$A:$A, "&lt;"&amp;'Summary-info'!K$27)</f>
        <v>164275</v>
      </c>
      <c r="L31" s="150">
        <f>SUMIFS(Collection!$O:$O, Collection!$B:$B, 'Summary-info'!$A31, Collection!$A:$A, "&lt;"&amp;'Summary-info'!L$27)</f>
        <v>164275</v>
      </c>
    </row>
    <row r="32" spans="1:34" x14ac:dyDescent="0.2">
      <c r="A32" s="7" t="s">
        <v>50</v>
      </c>
      <c r="B32" s="116"/>
      <c r="C32" s="150">
        <f>SUMIFS(Collection!$O:$O, Collection!$B:$B, 'Summary-info'!$A32, Collection!$A:$A, "&lt;"&amp;'Summary-info'!C$27)</f>
        <v>66675</v>
      </c>
      <c r="D32" s="150">
        <f>SUMIFS(Collection!$O:$O, Collection!$B:$B, 'Summary-info'!$A32, Collection!$A:$A, "&lt;"&amp;'Summary-info'!D$27)</f>
        <v>66675</v>
      </c>
      <c r="E32" s="150">
        <f>SUMIFS(Collection!$O:$O, Collection!$B:$B, 'Summary-info'!$A32, Collection!$A:$A, "&lt;"&amp;'Summary-info'!E$27)</f>
        <v>66675</v>
      </c>
      <c r="F32" s="150">
        <f>SUMIFS(Collection!$O:$O, Collection!$B:$B, 'Summary-info'!$A32, Collection!$A:$A, "&lt;"&amp;'Summary-info'!F$27)</f>
        <v>66675</v>
      </c>
      <c r="G32" s="150">
        <f>SUMIFS(Collection!$O:$O, Collection!$B:$B, 'Summary-info'!$A32, Collection!$A:$A, "&lt;"&amp;'Summary-info'!G$27)</f>
        <v>66675</v>
      </c>
      <c r="H32" s="150">
        <f>SUMIFS(Collection!$O:$O, Collection!$B:$B, 'Summary-info'!$A32, Collection!$A:$A, "&lt;"&amp;'Summary-info'!H$27)</f>
        <v>66675</v>
      </c>
      <c r="I32" s="150">
        <f>SUMIFS(Collection!$O:$O, Collection!$B:$B, 'Summary-info'!$A32, Collection!$A:$A, "&lt;"&amp;'Summary-info'!I$27)</f>
        <v>66708.333333333328</v>
      </c>
      <c r="J32" s="150">
        <f>SUMIFS(Collection!$O:$O, Collection!$B:$B, 'Summary-info'!$A32, Collection!$A:$A, "&lt;"&amp;'Summary-info'!J$27)</f>
        <v>66708.333333333328</v>
      </c>
      <c r="K32" s="150">
        <f>SUMIFS(Collection!$O:$O, Collection!$B:$B, 'Summary-info'!$A32, Collection!$A:$A, "&lt;"&amp;'Summary-info'!K$27)</f>
        <v>66708.333333333328</v>
      </c>
      <c r="L32" s="150">
        <f>SUMIFS(Collection!$O:$O, Collection!$B:$B, 'Summary-info'!$A32, Collection!$A:$A, "&lt;"&amp;'Summary-info'!L$27)</f>
        <v>66708.333333333328</v>
      </c>
    </row>
    <row r="33" spans="1:12" x14ac:dyDescent="0.2">
      <c r="A33" s="14" t="s">
        <v>39</v>
      </c>
      <c r="B33" s="116"/>
      <c r="C33" s="150">
        <f>SUMIFS(Collection!$O:$O, Collection!$B:$B, 'Summary-info'!$A33, Collection!$A:$A, "&lt;"&amp;'Summary-info'!C$27)</f>
        <v>64966.666666666672</v>
      </c>
      <c r="D33" s="150">
        <f>SUMIFS(Collection!$O:$O, Collection!$B:$B, 'Summary-info'!$A33, Collection!$A:$A, "&lt;"&amp;'Summary-info'!D$27)</f>
        <v>64966.666666666672</v>
      </c>
      <c r="E33" s="150">
        <f>SUMIFS(Collection!$O:$O, Collection!$B:$B, 'Summary-info'!$A33, Collection!$A:$A, "&lt;"&amp;'Summary-info'!E$27)</f>
        <v>64966.666666666672</v>
      </c>
      <c r="F33" s="150">
        <f>SUMIFS(Collection!$O:$O, Collection!$B:$B, 'Summary-info'!$A33, Collection!$A:$A, "&lt;"&amp;'Summary-info'!F$27)</f>
        <v>64966.666666666672</v>
      </c>
      <c r="G33" s="150">
        <f>SUMIFS(Collection!$O:$O, Collection!$B:$B, 'Summary-info'!$A33, Collection!$A:$A, "&lt;"&amp;'Summary-info'!G$27)</f>
        <v>64966.666666666672</v>
      </c>
      <c r="H33" s="150">
        <f>SUMIFS(Collection!$O:$O, Collection!$B:$B, 'Summary-info'!$A33, Collection!$A:$A, "&lt;"&amp;'Summary-info'!H$27)</f>
        <v>64966.666666666672</v>
      </c>
      <c r="I33" s="150">
        <f>SUMIFS(Collection!$O:$O, Collection!$B:$B, 'Summary-info'!$A33, Collection!$A:$A, "&lt;"&amp;'Summary-info'!I$27)</f>
        <v>64966.666666666672</v>
      </c>
      <c r="J33" s="150">
        <f>SUMIFS(Collection!$O:$O, Collection!$B:$B, 'Summary-info'!$A33, Collection!$A:$A, "&lt;"&amp;'Summary-info'!J$27)</f>
        <v>64966.666666666672</v>
      </c>
      <c r="K33" s="150">
        <f>SUMIFS(Collection!$O:$O, Collection!$B:$B, 'Summary-info'!$A33, Collection!$A:$A, "&lt;"&amp;'Summary-info'!K$27)</f>
        <v>64966.666666666672</v>
      </c>
      <c r="L33" s="150">
        <f>SUMIFS(Collection!$O:$O, Collection!$B:$B, 'Summary-info'!$A33, Collection!$A:$A, "&lt;"&amp;'Summary-info'!L$27)</f>
        <v>64966.666666666672</v>
      </c>
    </row>
    <row r="34" spans="1:12" x14ac:dyDescent="0.2">
      <c r="A34" s="7" t="s">
        <v>120</v>
      </c>
      <c r="B34" s="116"/>
      <c r="C34" s="150">
        <f>SUMIFS(Collection!$O:$O, Collection!$B:$B, 'Summary-info'!$A34, Collection!$A:$A, "&lt;"&amp;'Summary-info'!C$27)</f>
        <v>0</v>
      </c>
      <c r="D34" s="150">
        <f>SUMIFS(Collection!$O:$O, Collection!$B:$B, 'Summary-info'!$A34, Collection!$A:$A, "&lt;"&amp;'Summary-info'!D$27)</f>
        <v>86800</v>
      </c>
      <c r="E34" s="150">
        <f>SUMIFS(Collection!$O:$O, Collection!$B:$B, 'Summary-info'!$A34, Collection!$A:$A, "&lt;"&amp;'Summary-info'!E$27)</f>
        <v>148533.33333333334</v>
      </c>
      <c r="F34" s="150">
        <f>SUMIFS(Collection!$O:$O, Collection!$B:$B, 'Summary-info'!$A34, Collection!$A:$A, "&lt;"&amp;'Summary-info'!F$27)</f>
        <v>157933.33333333334</v>
      </c>
      <c r="G34" s="150">
        <f>SUMIFS(Collection!$O:$O, Collection!$B:$B, 'Summary-info'!$A34, Collection!$A:$A, "&lt;"&amp;'Summary-info'!G$27)</f>
        <v>157933.33333333334</v>
      </c>
      <c r="H34" s="150">
        <f>SUMIFS(Collection!$O:$O, Collection!$B:$B, 'Summary-info'!$A34, Collection!$A:$A, "&lt;"&amp;'Summary-info'!H$27)</f>
        <v>217573.33333333334</v>
      </c>
      <c r="I34" s="150">
        <f>SUMIFS(Collection!$O:$O, Collection!$B:$B, 'Summary-info'!$A34, Collection!$A:$A, "&lt;"&amp;'Summary-info'!I$27)</f>
        <v>218462.22222222222</v>
      </c>
      <c r="J34" s="150">
        <f>SUMIFS(Collection!$O:$O, Collection!$B:$B, 'Summary-info'!$A34, Collection!$A:$A, "&lt;"&amp;'Summary-info'!J$27)</f>
        <v>218462.22222222222</v>
      </c>
      <c r="K34" s="150">
        <f>SUMIFS(Collection!$O:$O, Collection!$B:$B, 'Summary-info'!$A34, Collection!$A:$A, "&lt;"&amp;'Summary-info'!K$27)</f>
        <v>218462.22222222222</v>
      </c>
      <c r="L34" s="150">
        <f>SUMIFS(Collection!$O:$O, Collection!$B:$B, 'Summary-info'!$A34, Collection!$A:$A, "&lt;"&amp;'Summary-info'!L$27)</f>
        <v>218462.22222222222</v>
      </c>
    </row>
    <row r="35" spans="1:12" x14ac:dyDescent="0.2">
      <c r="A35" s="14" t="s">
        <v>97</v>
      </c>
      <c r="B35" s="116"/>
      <c r="C35" s="150">
        <f>SUMIFS(Collection!$O:$O, Collection!$B:$B, 'Summary-info'!$A35, Collection!$A:$A, "&lt;"&amp;'Summary-info'!C$27)</f>
        <v>120666.66666666667</v>
      </c>
      <c r="D35" s="150">
        <f>SUMIFS(Collection!$O:$O, Collection!$B:$B, 'Summary-info'!$A35, Collection!$A:$A, "&lt;"&amp;'Summary-info'!D$27)</f>
        <v>173253.33333333334</v>
      </c>
      <c r="E35" s="150">
        <f>SUMIFS(Collection!$O:$O, Collection!$B:$B, 'Summary-info'!$A35, Collection!$A:$A, "&lt;"&amp;'Summary-info'!E$27)</f>
        <v>173253.33333333334</v>
      </c>
      <c r="F35" s="150">
        <f>SUMIFS(Collection!$O:$O, Collection!$B:$B, 'Summary-info'!$A35, Collection!$A:$A, "&lt;"&amp;'Summary-info'!F$27)</f>
        <v>173253.33333333334</v>
      </c>
      <c r="G35" s="150">
        <f>SUMIFS(Collection!$O:$O, Collection!$B:$B, 'Summary-info'!$A35, Collection!$A:$A, "&lt;"&amp;'Summary-info'!G$27)</f>
        <v>173253.33333333334</v>
      </c>
      <c r="H35" s="150">
        <f>SUMIFS(Collection!$O:$O, Collection!$B:$B, 'Summary-info'!$A35, Collection!$A:$A, "&lt;"&amp;'Summary-info'!H$27)</f>
        <v>173253.33333333334</v>
      </c>
      <c r="I35" s="150">
        <f>SUMIFS(Collection!$O:$O, Collection!$B:$B, 'Summary-info'!$A35, Collection!$A:$A, "&lt;"&amp;'Summary-info'!I$27)</f>
        <v>173253.33333333334</v>
      </c>
      <c r="J35" s="150">
        <f>SUMIFS(Collection!$O:$O, Collection!$B:$B, 'Summary-info'!$A35, Collection!$A:$A, "&lt;"&amp;'Summary-info'!J$27)</f>
        <v>173253.33333333334</v>
      </c>
      <c r="K35" s="150">
        <f>SUMIFS(Collection!$O:$O, Collection!$B:$B, 'Summary-info'!$A35, Collection!$A:$A, "&lt;"&amp;'Summary-info'!K$27)</f>
        <v>173253.33333333334</v>
      </c>
      <c r="L35" s="150">
        <f>SUMIFS(Collection!$O:$O, Collection!$B:$B, 'Summary-info'!$A35, Collection!$A:$A, "&lt;"&amp;'Summary-info'!L$27)</f>
        <v>173253.33333333334</v>
      </c>
    </row>
    <row r="36" spans="1:12" x14ac:dyDescent="0.2">
      <c r="A36" s="7" t="s">
        <v>27</v>
      </c>
      <c r="B36" s="116"/>
      <c r="C36" s="150">
        <f>SUMIFS(Collection!$O:$O, Collection!$B:$B, 'Summary-info'!$A36, Collection!$A:$A, "&lt;"&amp;'Summary-info'!C$27)</f>
        <v>368626.66666666669</v>
      </c>
      <c r="D36" s="150">
        <f>SUMIFS(Collection!$O:$O, Collection!$B:$B, 'Summary-info'!$A36, Collection!$A:$A, "&lt;"&amp;'Summary-info'!D$27)</f>
        <v>410920</v>
      </c>
      <c r="E36" s="150">
        <f>SUMIFS(Collection!$O:$O, Collection!$B:$B, 'Summary-info'!$A36, Collection!$A:$A, "&lt;"&amp;'Summary-info'!E$27)</f>
        <v>410920</v>
      </c>
      <c r="F36" s="150">
        <f>SUMIFS(Collection!$O:$O, Collection!$B:$B, 'Summary-info'!$A36, Collection!$A:$A, "&lt;"&amp;'Summary-info'!F$27)</f>
        <v>410920</v>
      </c>
      <c r="G36" s="150">
        <f>SUMIFS(Collection!$O:$O, Collection!$B:$B, 'Summary-info'!$A36, Collection!$A:$A, "&lt;"&amp;'Summary-info'!G$27)</f>
        <v>410920</v>
      </c>
      <c r="H36" s="150">
        <f>SUMIFS(Collection!$O:$O, Collection!$B:$B, 'Summary-info'!$A36, Collection!$A:$A, "&lt;"&amp;'Summary-info'!H$27)</f>
        <v>410920</v>
      </c>
      <c r="I36" s="150">
        <f>SUMIFS(Collection!$O:$O, Collection!$B:$B, 'Summary-info'!$A36, Collection!$A:$A, "&lt;"&amp;'Summary-info'!I$27)</f>
        <v>410920</v>
      </c>
      <c r="J36" s="150">
        <f>SUMIFS(Collection!$O:$O, Collection!$B:$B, 'Summary-info'!$A36, Collection!$A:$A, "&lt;"&amp;'Summary-info'!J$27)</f>
        <v>410920</v>
      </c>
      <c r="K36" s="150">
        <f>SUMIFS(Collection!$O:$O, Collection!$B:$B, 'Summary-info'!$A36, Collection!$A:$A, "&lt;"&amp;'Summary-info'!K$27)</f>
        <v>410920</v>
      </c>
      <c r="L36" s="150">
        <f>SUMIFS(Collection!$O:$O, Collection!$B:$B, 'Summary-info'!$A36, Collection!$A:$A, "&lt;"&amp;'Summary-info'!L$27)</f>
        <v>410920</v>
      </c>
    </row>
    <row r="37" spans="1:12" x14ac:dyDescent="0.2">
      <c r="A37" s="7" t="s">
        <v>23</v>
      </c>
      <c r="B37" s="116"/>
      <c r="C37" s="150">
        <f>SUMIFS(Collection!$O:$O, Collection!$B:$B, 'Summary-info'!$A37, Collection!$A:$A, "&lt;"&amp;'Summary-info'!C$27)</f>
        <v>293333.33333333337</v>
      </c>
      <c r="D37" s="150">
        <f>SUMIFS(Collection!$O:$O, Collection!$B:$B, 'Summary-info'!$A37, Collection!$A:$A, "&lt;"&amp;'Summary-info'!D$27)</f>
        <v>293333.33333333337</v>
      </c>
      <c r="E37" s="150">
        <f>SUMIFS(Collection!$O:$O, Collection!$B:$B, 'Summary-info'!$A37, Collection!$A:$A, "&lt;"&amp;'Summary-info'!E$27)</f>
        <v>293333.33333333337</v>
      </c>
      <c r="F37" s="150">
        <f>SUMIFS(Collection!$O:$O, Collection!$B:$B, 'Summary-info'!$A37, Collection!$A:$A, "&lt;"&amp;'Summary-info'!F$27)</f>
        <v>332333.33333333337</v>
      </c>
      <c r="G37" s="150">
        <f>SUMIFS(Collection!$O:$O, Collection!$B:$B, 'Summary-info'!$A37, Collection!$A:$A, "&lt;"&amp;'Summary-info'!G$27)</f>
        <v>382166.66666666674</v>
      </c>
      <c r="H37" s="150">
        <f>SUMIFS(Collection!$O:$O, Collection!$B:$B, 'Summary-info'!$A37, Collection!$A:$A, "&lt;"&amp;'Summary-info'!H$27)</f>
        <v>382166.66666666674</v>
      </c>
      <c r="I37" s="150">
        <f>SUMIFS(Collection!$O:$O, Collection!$B:$B, 'Summary-info'!$A37, Collection!$A:$A, "&lt;"&amp;'Summary-info'!I$27)</f>
        <v>382166.66666666674</v>
      </c>
      <c r="J37" s="150">
        <f>SUMIFS(Collection!$O:$O, Collection!$B:$B, 'Summary-info'!$A37, Collection!$A:$A, "&lt;"&amp;'Summary-info'!J$27)</f>
        <v>382166.66666666674</v>
      </c>
      <c r="K37" s="150">
        <f>SUMIFS(Collection!$O:$O, Collection!$B:$B, 'Summary-info'!$A37, Collection!$A:$A, "&lt;"&amp;'Summary-info'!K$27)</f>
        <v>382166.66666666674</v>
      </c>
      <c r="L37" s="150">
        <f>SUMIFS(Collection!$O:$O, Collection!$B:$B, 'Summary-info'!$A37, Collection!$A:$A, "&lt;"&amp;'Summary-info'!L$27)</f>
        <v>382166.66666666674</v>
      </c>
    </row>
    <row r="38" spans="1:12" x14ac:dyDescent="0.2">
      <c r="A38" s="7" t="s">
        <v>24</v>
      </c>
      <c r="B38" s="116"/>
      <c r="C38" s="150">
        <f>SUMIFS(Collection!$O:$O, Collection!$B:$B, 'Summary-info'!$A38, Collection!$A:$A, "&lt;"&amp;'Summary-info'!C$27)</f>
        <v>250333.33333333334</v>
      </c>
      <c r="D38" s="150">
        <f>SUMIFS(Collection!$O:$O, Collection!$B:$B, 'Summary-info'!$A38, Collection!$A:$A, "&lt;"&amp;'Summary-info'!D$27)</f>
        <v>250333.33333333334</v>
      </c>
      <c r="E38" s="150">
        <f>SUMIFS(Collection!$O:$O, Collection!$B:$B, 'Summary-info'!$A38, Collection!$A:$A, "&lt;"&amp;'Summary-info'!E$27)</f>
        <v>250333.33333333334</v>
      </c>
      <c r="F38" s="150">
        <f>SUMIFS(Collection!$O:$O, Collection!$B:$B, 'Summary-info'!$A38, Collection!$A:$A, "&lt;"&amp;'Summary-info'!F$27)</f>
        <v>250333.33333333334</v>
      </c>
      <c r="G38" s="150">
        <f>SUMIFS(Collection!$O:$O, Collection!$B:$B, 'Summary-info'!$A38, Collection!$A:$A, "&lt;"&amp;'Summary-info'!G$27)</f>
        <v>250333.33333333334</v>
      </c>
      <c r="H38" s="150">
        <f>SUMIFS(Collection!$O:$O, Collection!$B:$B, 'Summary-info'!$A38, Collection!$A:$A, "&lt;"&amp;'Summary-info'!H$27)</f>
        <v>250333.33333333334</v>
      </c>
      <c r="I38" s="150">
        <f>SUMIFS(Collection!$O:$O, Collection!$B:$B, 'Summary-info'!$A38, Collection!$A:$A, "&lt;"&amp;'Summary-info'!I$27)</f>
        <v>327900</v>
      </c>
      <c r="J38" s="150">
        <f>SUMIFS(Collection!$O:$O, Collection!$B:$B, 'Summary-info'!$A38, Collection!$A:$A, "&lt;"&amp;'Summary-info'!J$27)</f>
        <v>327900</v>
      </c>
      <c r="K38" s="150">
        <f>SUMIFS(Collection!$O:$O, Collection!$B:$B, 'Summary-info'!$A38, Collection!$A:$A, "&lt;"&amp;'Summary-info'!K$27)</f>
        <v>327900</v>
      </c>
      <c r="L38" s="150">
        <f>SUMIFS(Collection!$O:$O, Collection!$B:$B, 'Summary-info'!$A38, Collection!$A:$A, "&lt;"&amp;'Summary-info'!L$27)</f>
        <v>327900</v>
      </c>
    </row>
    <row r="39" spans="1:12" x14ac:dyDescent="0.2">
      <c r="A39" s="14" t="s">
        <v>34</v>
      </c>
      <c r="B39" s="116"/>
      <c r="C39" s="150">
        <f>SUMIFS(Collection!$O:$O, Collection!$B:$B, 'Summary-info'!$A39, Collection!$A:$A, "&lt;"&amp;'Summary-info'!C$27)</f>
        <v>202250</v>
      </c>
      <c r="D39" s="150">
        <f>SUMIFS(Collection!$O:$O, Collection!$B:$B, 'Summary-info'!$A39, Collection!$A:$A, "&lt;"&amp;'Summary-info'!D$27)</f>
        <v>202250</v>
      </c>
      <c r="E39" s="150">
        <f>SUMIFS(Collection!$O:$O, Collection!$B:$B, 'Summary-info'!$A39, Collection!$A:$A, "&lt;"&amp;'Summary-info'!E$27)</f>
        <v>202250</v>
      </c>
      <c r="F39" s="150">
        <f>SUMIFS(Collection!$O:$O, Collection!$B:$B, 'Summary-info'!$A39, Collection!$A:$A, "&lt;"&amp;'Summary-info'!F$27)</f>
        <v>281816.66666666669</v>
      </c>
      <c r="G39" s="150">
        <f>SUMIFS(Collection!$O:$O, Collection!$B:$B, 'Summary-info'!$A39, Collection!$A:$A, "&lt;"&amp;'Summary-info'!G$27)</f>
        <v>331683.33333333337</v>
      </c>
      <c r="H39" s="150">
        <f>SUMIFS(Collection!$O:$O, Collection!$B:$B, 'Summary-info'!$A39, Collection!$A:$A, "&lt;"&amp;'Summary-info'!H$27)</f>
        <v>331683.33333333337</v>
      </c>
      <c r="I39" s="150">
        <f>SUMIFS(Collection!$O:$O, Collection!$B:$B, 'Summary-info'!$A39, Collection!$A:$A, "&lt;"&amp;'Summary-info'!I$27)</f>
        <v>332550.00000000006</v>
      </c>
      <c r="J39" s="150">
        <f>SUMIFS(Collection!$O:$O, Collection!$B:$B, 'Summary-info'!$A39, Collection!$A:$A, "&lt;"&amp;'Summary-info'!J$27)</f>
        <v>332550.00000000006</v>
      </c>
      <c r="K39" s="150">
        <f>SUMIFS(Collection!$O:$O, Collection!$B:$B, 'Summary-info'!$A39, Collection!$A:$A, "&lt;"&amp;'Summary-info'!K$27)</f>
        <v>332550.00000000006</v>
      </c>
      <c r="L39" s="150">
        <f>SUMIFS(Collection!$O:$O, Collection!$B:$B, 'Summary-info'!$A39, Collection!$A:$A, "&lt;"&amp;'Summary-info'!L$27)</f>
        <v>332550.00000000006</v>
      </c>
    </row>
    <row r="40" spans="1:12" x14ac:dyDescent="0.2">
      <c r="A40" s="14" t="s">
        <v>25</v>
      </c>
      <c r="B40" s="116"/>
      <c r="C40" s="150">
        <f>SUMIFS(Collection!$O:$O, Collection!$B:$B, 'Summary-info'!$A40, Collection!$A:$A, "&lt;"&amp;'Summary-info'!C$27)</f>
        <v>1400</v>
      </c>
      <c r="D40" s="150">
        <f>SUMIFS(Collection!$O:$O, Collection!$B:$B, 'Summary-info'!$A40, Collection!$A:$A, "&lt;"&amp;'Summary-info'!D$27)</f>
        <v>1400</v>
      </c>
      <c r="E40" s="150">
        <f>SUMIFS(Collection!$O:$O, Collection!$B:$B, 'Summary-info'!$A40, Collection!$A:$A, "&lt;"&amp;'Summary-info'!E$27)</f>
        <v>1400</v>
      </c>
      <c r="F40" s="150">
        <f>SUMIFS(Collection!$O:$O, Collection!$B:$B, 'Summary-info'!$A40, Collection!$A:$A, "&lt;"&amp;'Summary-info'!F$27)</f>
        <v>1400</v>
      </c>
      <c r="G40" s="150">
        <f>SUMIFS(Collection!$O:$O, Collection!$B:$B, 'Summary-info'!$A40, Collection!$A:$A, "&lt;"&amp;'Summary-info'!G$27)</f>
        <v>1400</v>
      </c>
      <c r="H40" s="150">
        <f>SUMIFS(Collection!$O:$O, Collection!$B:$B, 'Summary-info'!$A40, Collection!$A:$A, "&lt;"&amp;'Summary-info'!H$27)</f>
        <v>57500</v>
      </c>
      <c r="I40" s="150">
        <f>SUMIFS(Collection!$O:$O, Collection!$B:$B, 'Summary-info'!$A40, Collection!$A:$A, "&lt;"&amp;'Summary-info'!I$27)</f>
        <v>57500</v>
      </c>
      <c r="J40" s="150">
        <f>SUMIFS(Collection!$O:$O, Collection!$B:$B, 'Summary-info'!$A40, Collection!$A:$A, "&lt;"&amp;'Summary-info'!J$27)</f>
        <v>57500</v>
      </c>
      <c r="K40" s="150">
        <f>SUMIFS(Collection!$O:$O, Collection!$B:$B, 'Summary-info'!$A40, Collection!$A:$A, "&lt;"&amp;'Summary-info'!K$27)</f>
        <v>57500</v>
      </c>
      <c r="L40" s="150">
        <f>SUMIFS(Collection!$O:$O, Collection!$B:$B, 'Summary-info'!$A40, Collection!$A:$A, "&lt;"&amp;'Summary-info'!L$27)</f>
        <v>57500</v>
      </c>
    </row>
    <row r="41" spans="1:12" x14ac:dyDescent="0.2">
      <c r="A41" s="7" t="s">
        <v>36</v>
      </c>
      <c r="B41" s="116"/>
      <c r="C41" s="150">
        <f>SUMIFS(Collection!$O:$O, Collection!$B:$B, 'Summary-info'!$A41, Collection!$A:$A, "&lt;"&amp;'Summary-info'!C$27)</f>
        <v>159916.66666666666</v>
      </c>
      <c r="D41" s="150">
        <f>SUMIFS(Collection!$O:$O, Collection!$B:$B, 'Summary-info'!$A41, Collection!$A:$A, "&lt;"&amp;'Summary-info'!D$27)</f>
        <v>265850</v>
      </c>
      <c r="E41" s="150">
        <f>SUMIFS(Collection!$O:$O, Collection!$B:$B, 'Summary-info'!$A41, Collection!$A:$A, "&lt;"&amp;'Summary-info'!E$27)</f>
        <v>265850</v>
      </c>
      <c r="F41" s="150">
        <f>SUMIFS(Collection!$O:$O, Collection!$B:$B, 'Summary-info'!$A41, Collection!$A:$A, "&lt;"&amp;'Summary-info'!F$27)</f>
        <v>265850</v>
      </c>
      <c r="G41" s="150">
        <f>SUMIFS(Collection!$O:$O, Collection!$B:$B, 'Summary-info'!$A41, Collection!$A:$A, "&lt;"&amp;'Summary-info'!G$27)</f>
        <v>389983.33333333331</v>
      </c>
      <c r="H41" s="150">
        <f>SUMIFS(Collection!$O:$O, Collection!$B:$B, 'Summary-info'!$A41, Collection!$A:$A, "&lt;"&amp;'Summary-info'!H$27)</f>
        <v>419903.33333333331</v>
      </c>
      <c r="I41" s="150">
        <f>SUMIFS(Collection!$O:$O, Collection!$B:$B, 'Summary-info'!$A41, Collection!$A:$A, "&lt;"&amp;'Summary-info'!I$27)</f>
        <v>419903.33333333331</v>
      </c>
      <c r="J41" s="150">
        <f>SUMIFS(Collection!$O:$O, Collection!$B:$B, 'Summary-info'!$A41, Collection!$A:$A, "&lt;"&amp;'Summary-info'!J$27)</f>
        <v>419903.33333333331</v>
      </c>
      <c r="K41" s="150">
        <f>SUMIFS(Collection!$O:$O, Collection!$B:$B, 'Summary-info'!$A41, Collection!$A:$A, "&lt;"&amp;'Summary-info'!K$27)</f>
        <v>419903.33333333331</v>
      </c>
      <c r="L41" s="150">
        <f>SUMIFS(Collection!$O:$O, Collection!$B:$B, 'Summary-info'!$A41, Collection!$A:$A, "&lt;"&amp;'Summary-info'!L$27)</f>
        <v>419903.33333333331</v>
      </c>
    </row>
    <row r="42" spans="1:12" x14ac:dyDescent="0.2">
      <c r="A42" s="7" t="s">
        <v>44</v>
      </c>
      <c r="B42" s="116"/>
      <c r="C42" s="150">
        <f>SUMIFS(Collection!$O:$O, Collection!$B:$B, 'Summary-info'!$A42, Collection!$A:$A, "&lt;"&amp;'Summary-info'!C$27)</f>
        <v>152583.33333333334</v>
      </c>
      <c r="D42" s="150">
        <f>SUMIFS(Collection!$O:$O, Collection!$B:$B, 'Summary-info'!$A42, Collection!$A:$A, "&lt;"&amp;'Summary-info'!D$27)</f>
        <v>152583.33333333334</v>
      </c>
      <c r="E42" s="150">
        <f>SUMIFS(Collection!$O:$O, Collection!$B:$B, 'Summary-info'!$A42, Collection!$A:$A, "&lt;"&amp;'Summary-info'!E$27)</f>
        <v>152583.33333333334</v>
      </c>
      <c r="F42" s="150">
        <f>SUMIFS(Collection!$O:$O, Collection!$B:$B, 'Summary-info'!$A42, Collection!$A:$A, "&lt;"&amp;'Summary-info'!F$27)</f>
        <v>152583.33333333334</v>
      </c>
      <c r="G42" s="150">
        <f>SUMIFS(Collection!$O:$O, Collection!$B:$B, 'Summary-info'!$A42, Collection!$A:$A, "&lt;"&amp;'Summary-info'!G$27)</f>
        <v>210583.33333333334</v>
      </c>
      <c r="H42" s="150">
        <f>SUMIFS(Collection!$O:$O, Collection!$B:$B, 'Summary-info'!$A42, Collection!$A:$A, "&lt;"&amp;'Summary-info'!H$27)</f>
        <v>210583.33333333334</v>
      </c>
      <c r="I42" s="150">
        <f>SUMIFS(Collection!$O:$O, Collection!$B:$B, 'Summary-info'!$A42, Collection!$A:$A, "&lt;"&amp;'Summary-info'!I$27)</f>
        <v>210583.33333333334</v>
      </c>
      <c r="J42" s="150">
        <f>SUMIFS(Collection!$O:$O, Collection!$B:$B, 'Summary-info'!$A42, Collection!$A:$A, "&lt;"&amp;'Summary-info'!J$27)</f>
        <v>210583.33333333334</v>
      </c>
      <c r="K42" s="150">
        <f>SUMIFS(Collection!$O:$O, Collection!$B:$B, 'Summary-info'!$A42, Collection!$A:$A, "&lt;"&amp;'Summary-info'!K$27)</f>
        <v>210583.33333333334</v>
      </c>
      <c r="L42" s="150">
        <f>SUMIFS(Collection!$O:$O, Collection!$B:$B, 'Summary-info'!$A42, Collection!$A:$A, "&lt;"&amp;'Summary-info'!L$27)</f>
        <v>210583.33333333334</v>
      </c>
    </row>
    <row r="43" spans="1:12" x14ac:dyDescent="0.2">
      <c r="A43" s="7" t="s">
        <v>48</v>
      </c>
      <c r="B43" s="116"/>
      <c r="C43" s="150">
        <f>SUMIFS(Collection!$O:$O, Collection!$B:$B, 'Summary-info'!$A43, Collection!$A:$A, "&lt;"&amp;'Summary-info'!C$27)</f>
        <v>138400</v>
      </c>
      <c r="D43" s="150">
        <f>SUMIFS(Collection!$O:$O, Collection!$B:$B, 'Summary-info'!$A43, Collection!$A:$A, "&lt;"&amp;'Summary-info'!D$27)</f>
        <v>138400</v>
      </c>
      <c r="E43" s="150">
        <f>SUMIFS(Collection!$O:$O, Collection!$B:$B, 'Summary-info'!$A43, Collection!$A:$A, "&lt;"&amp;'Summary-info'!E$27)</f>
        <v>138400</v>
      </c>
      <c r="F43" s="150">
        <f>SUMIFS(Collection!$O:$O, Collection!$B:$B, 'Summary-info'!$A43, Collection!$A:$A, "&lt;"&amp;'Summary-info'!F$27)</f>
        <v>274600</v>
      </c>
      <c r="G43" s="150">
        <f>SUMIFS(Collection!$O:$O, Collection!$B:$B, 'Summary-info'!$A43, Collection!$A:$A, "&lt;"&amp;'Summary-info'!G$27)</f>
        <v>321833.33333333331</v>
      </c>
      <c r="H43" s="150">
        <f>SUMIFS(Collection!$O:$O, Collection!$B:$B, 'Summary-info'!$A43, Collection!$A:$A, "&lt;"&amp;'Summary-info'!H$27)</f>
        <v>321833.33333333331</v>
      </c>
      <c r="I43" s="150">
        <f>SUMIFS(Collection!$O:$O, Collection!$B:$B, 'Summary-info'!$A43, Collection!$A:$A, "&lt;"&amp;'Summary-info'!I$27)</f>
        <v>321833.33333333331</v>
      </c>
      <c r="J43" s="150">
        <f>SUMIFS(Collection!$O:$O, Collection!$B:$B, 'Summary-info'!$A43, Collection!$A:$A, "&lt;"&amp;'Summary-info'!J$27)</f>
        <v>321833.33333333331</v>
      </c>
      <c r="K43" s="150">
        <f>SUMIFS(Collection!$O:$O, Collection!$B:$B, 'Summary-info'!$A43, Collection!$A:$A, "&lt;"&amp;'Summary-info'!K$27)</f>
        <v>321833.33333333331</v>
      </c>
      <c r="L43" s="150">
        <f>SUMIFS(Collection!$O:$O, Collection!$B:$B, 'Summary-info'!$A43, Collection!$A:$A, "&lt;"&amp;'Summary-info'!L$27)</f>
        <v>321833.33333333331</v>
      </c>
    </row>
    <row r="44" spans="1:12" x14ac:dyDescent="0.2">
      <c r="A44" s="14" t="s">
        <v>88</v>
      </c>
      <c r="C44" s="150">
        <f>SUMIFS(Collection!$O:$O, Collection!$B:$B, 'Summary-info'!$A44, Collection!$A:$A, "&lt;"&amp;'Summary-info'!C$27)</f>
        <v>153386.66666666666</v>
      </c>
      <c r="D44" s="150">
        <f>SUMIFS(Collection!$O:$O, Collection!$B:$B, 'Summary-info'!$A44, Collection!$A:$A, "&lt;"&amp;'Summary-info'!D$27)</f>
        <v>153386.66666666666</v>
      </c>
      <c r="E44" s="150">
        <f>SUMIFS(Collection!$O:$O, Collection!$B:$B, 'Summary-info'!$A44, Collection!$A:$A, "&lt;"&amp;'Summary-info'!E$27)</f>
        <v>153386.66666666666</v>
      </c>
      <c r="F44" s="150">
        <f>SUMIFS(Collection!$O:$O, Collection!$B:$B, 'Summary-info'!$A44, Collection!$A:$A, "&lt;"&amp;'Summary-info'!F$27)</f>
        <v>153386.66666666666</v>
      </c>
      <c r="G44" s="150">
        <f>SUMIFS(Collection!$O:$O, Collection!$B:$B, 'Summary-info'!$A44, Collection!$A:$A, "&lt;"&amp;'Summary-info'!G$27)</f>
        <v>153386.66666666666</v>
      </c>
      <c r="H44" s="150">
        <f>SUMIFS(Collection!$O:$O, Collection!$B:$B, 'Summary-info'!$A44, Collection!$A:$A, "&lt;"&amp;'Summary-info'!H$27)</f>
        <v>206843.33333333331</v>
      </c>
      <c r="I44" s="150">
        <f>SUMIFS(Collection!$O:$O, Collection!$B:$B, 'Summary-info'!$A44, Collection!$A:$A, "&lt;"&amp;'Summary-info'!I$27)</f>
        <v>208407.77777777775</v>
      </c>
      <c r="J44" s="150">
        <f>SUMIFS(Collection!$O:$O, Collection!$B:$B, 'Summary-info'!$A44, Collection!$A:$A, "&lt;"&amp;'Summary-info'!J$27)</f>
        <v>208407.77777777775</v>
      </c>
      <c r="K44" s="150">
        <f>SUMIFS(Collection!$O:$O, Collection!$B:$B, 'Summary-info'!$A44, Collection!$A:$A, "&lt;"&amp;'Summary-info'!K$27)</f>
        <v>283857.77777777775</v>
      </c>
      <c r="L44" s="150">
        <f>SUMIFS(Collection!$O:$O, Collection!$B:$B, 'Summary-info'!$A44, Collection!$A:$A, "&lt;"&amp;'Summary-info'!L$27)</f>
        <v>283857.77777777775</v>
      </c>
    </row>
    <row r="45" spans="1:12" x14ac:dyDescent="0.2">
      <c r="A45" s="14" t="s">
        <v>108</v>
      </c>
      <c r="C45" s="150">
        <f>SUMIFS(Collection!$O:$O, Collection!$B:$B, 'Summary-info'!$A45, Collection!$A:$A, "&lt;"&amp;'Summary-info'!C$27)</f>
        <v>162066.66666666669</v>
      </c>
      <c r="D45" s="150">
        <f>SUMIFS(Collection!$O:$O, Collection!$B:$B, 'Summary-info'!$A45, Collection!$A:$A, "&lt;"&amp;'Summary-info'!D$27)</f>
        <v>162066.66666666669</v>
      </c>
      <c r="E45" s="150">
        <f>SUMIFS(Collection!$O:$O, Collection!$B:$B, 'Summary-info'!$A45, Collection!$A:$A, "&lt;"&amp;'Summary-info'!E$27)</f>
        <v>216266.66666666669</v>
      </c>
      <c r="F45" s="150">
        <f>SUMIFS(Collection!$O:$O, Collection!$B:$B, 'Summary-info'!$A45, Collection!$A:$A, "&lt;"&amp;'Summary-info'!F$27)</f>
        <v>269600</v>
      </c>
      <c r="G45" s="150">
        <f>SUMIFS(Collection!$O:$O, Collection!$B:$B, 'Summary-info'!$A45, Collection!$A:$A, "&lt;"&amp;'Summary-info'!G$27)</f>
        <v>300750</v>
      </c>
      <c r="H45" s="150">
        <f>SUMIFS(Collection!$O:$O, Collection!$B:$B, 'Summary-info'!$A45, Collection!$A:$A, "&lt;"&amp;'Summary-info'!H$27)</f>
        <v>300875</v>
      </c>
      <c r="I45" s="150">
        <f>SUMIFS(Collection!$O:$O, Collection!$B:$B, 'Summary-info'!$A45, Collection!$A:$A, "&lt;"&amp;'Summary-info'!I$27)</f>
        <v>310875</v>
      </c>
      <c r="J45" s="150">
        <f>SUMIFS(Collection!$O:$O, Collection!$B:$B, 'Summary-info'!$A45, Collection!$A:$A, "&lt;"&amp;'Summary-info'!J$27)</f>
        <v>310875</v>
      </c>
      <c r="K45" s="150">
        <f>SUMIFS(Collection!$O:$O, Collection!$B:$B, 'Summary-info'!$A45, Collection!$A:$A, "&lt;"&amp;'Summary-info'!K$27)</f>
        <v>310875</v>
      </c>
      <c r="L45" s="150">
        <f>SUMIFS(Collection!$O:$O, Collection!$B:$B, 'Summary-info'!$A45, Collection!$A:$A, "&lt;"&amp;'Summary-info'!L$27)</f>
        <v>310875</v>
      </c>
    </row>
    <row r="46" spans="1:12" x14ac:dyDescent="0.2">
      <c r="A46" s="14" t="s">
        <v>118</v>
      </c>
      <c r="C46" s="150">
        <f>SUMIFS(Collection!$O:$O, Collection!$B:$B, 'Summary-info'!$A46, Collection!$A:$A, "&lt;"&amp;'Summary-info'!C$27)</f>
        <v>0</v>
      </c>
      <c r="D46" s="150">
        <f>SUMIFS(Collection!$O:$O, Collection!$B:$B, 'Summary-info'!$A46, Collection!$A:$A, "&lt;"&amp;'Summary-info'!D$27)</f>
        <v>0</v>
      </c>
      <c r="E46" s="150">
        <f>SUMIFS(Collection!$O:$O, Collection!$B:$B, 'Summary-info'!$A46, Collection!$A:$A, "&lt;"&amp;'Summary-info'!E$27)</f>
        <v>0</v>
      </c>
      <c r="F46" s="150">
        <f>SUMIFS(Collection!$O:$O, Collection!$B:$B, 'Summary-info'!$A46, Collection!$A:$A, "&lt;"&amp;'Summary-info'!F$27)</f>
        <v>65666.666666666672</v>
      </c>
      <c r="G46" s="150">
        <f>SUMIFS(Collection!$O:$O, Collection!$B:$B, 'Summary-info'!$A46, Collection!$A:$A, "&lt;"&amp;'Summary-info'!G$27)</f>
        <v>65666.666666666672</v>
      </c>
      <c r="H46" s="150">
        <f>SUMIFS(Collection!$O:$O, Collection!$B:$B, 'Summary-info'!$A46, Collection!$A:$A, "&lt;"&amp;'Summary-info'!H$27)</f>
        <v>65666.666666666672</v>
      </c>
      <c r="I46" s="150">
        <f>SUMIFS(Collection!$O:$O, Collection!$B:$B, 'Summary-info'!$A46, Collection!$A:$A, "&lt;"&amp;'Summary-info'!I$27)</f>
        <v>65666.666666666672</v>
      </c>
      <c r="J46" s="150">
        <f>SUMIFS(Collection!$O:$O, Collection!$B:$B, 'Summary-info'!$A46, Collection!$A:$A, "&lt;"&amp;'Summary-info'!J$27)</f>
        <v>65666.666666666672</v>
      </c>
      <c r="K46" s="150">
        <f>SUMIFS(Collection!$O:$O, Collection!$B:$B, 'Summary-info'!$A46, Collection!$A:$A, "&lt;"&amp;'Summary-info'!K$27)</f>
        <v>65666.666666666672</v>
      </c>
      <c r="L46" s="150">
        <f>SUMIFS(Collection!$O:$O, Collection!$B:$B, 'Summary-info'!$A46, Collection!$A:$A, "&lt;"&amp;'Summary-info'!L$27)</f>
        <v>65666.666666666672</v>
      </c>
    </row>
    <row r="47" spans="1:12" x14ac:dyDescent="0.2">
      <c r="A47" s="7" t="s">
        <v>21</v>
      </c>
      <c r="C47" s="150">
        <f>SUMIFS(Collection!$O:$O, Collection!$B:$B, 'Summary-info'!$A47, Collection!$A:$A, "&lt;"&amp;'Summary-info'!C$27)</f>
        <v>0</v>
      </c>
      <c r="D47" s="150">
        <f>SUMIFS(Collection!$O:$O, Collection!$B:$B, 'Summary-info'!$A47, Collection!$A:$A, "&lt;"&amp;'Summary-info'!D$27)</f>
        <v>92558.333333333343</v>
      </c>
      <c r="E47" s="150">
        <f>SUMIFS(Collection!$O:$O, Collection!$B:$B, 'Summary-info'!$A47, Collection!$A:$A, "&lt;"&amp;'Summary-info'!E$27)</f>
        <v>92558.333333333343</v>
      </c>
      <c r="F47" s="150">
        <f>SUMIFS(Collection!$O:$O, Collection!$B:$B, 'Summary-info'!$A47, Collection!$A:$A, "&lt;"&amp;'Summary-info'!F$27)</f>
        <v>92558.333333333343</v>
      </c>
      <c r="G47" s="150">
        <f>SUMIFS(Collection!$O:$O, Collection!$B:$B, 'Summary-info'!$A47, Collection!$A:$A, "&lt;"&amp;'Summary-info'!G$27)</f>
        <v>204375</v>
      </c>
      <c r="H47" s="150">
        <f>SUMIFS(Collection!$O:$O, Collection!$B:$B, 'Summary-info'!$A47, Collection!$A:$A, "&lt;"&amp;'Summary-info'!H$27)</f>
        <v>254375</v>
      </c>
      <c r="I47" s="150">
        <f>SUMIFS(Collection!$O:$O, Collection!$B:$B, 'Summary-info'!$A47, Collection!$A:$A, "&lt;"&amp;'Summary-info'!I$27)</f>
        <v>255370.55555555556</v>
      </c>
      <c r="J47" s="150">
        <f>SUMIFS(Collection!$O:$O, Collection!$B:$B, 'Summary-info'!$A47, Collection!$A:$A, "&lt;"&amp;'Summary-info'!J$27)</f>
        <v>255370.55555555556</v>
      </c>
      <c r="K47" s="150">
        <f>SUMIFS(Collection!$O:$O, Collection!$B:$B, 'Summary-info'!$A47, Collection!$A:$A, "&lt;"&amp;'Summary-info'!K$27)</f>
        <v>255370.55555555556</v>
      </c>
      <c r="L47" s="150">
        <f>SUMIFS(Collection!$O:$O, Collection!$B:$B, 'Summary-info'!$A47, Collection!$A:$A, "&lt;"&amp;'Summary-info'!L$27)</f>
        <v>255370.55555555556</v>
      </c>
    </row>
    <row r="48" spans="1:12" x14ac:dyDescent="0.2">
      <c r="A48" s="14" t="s">
        <v>17</v>
      </c>
      <c r="C48" s="150">
        <f>SUMIFS(Collection!$O:$O, Collection!$B:$B, 'Summary-info'!$A48, Collection!$A:$A, "&lt;"&amp;'Summary-info'!C$27)</f>
        <v>268031.66666666669</v>
      </c>
      <c r="D48" s="150">
        <f>SUMIFS(Collection!$O:$O, Collection!$B:$B, 'Summary-info'!$A48, Collection!$A:$A, "&lt;"&amp;'Summary-info'!D$27)</f>
        <v>293198.33333333337</v>
      </c>
      <c r="E48" s="150">
        <f>SUMIFS(Collection!$O:$O, Collection!$B:$B, 'Summary-info'!$A48, Collection!$A:$A, "&lt;"&amp;'Summary-info'!E$27)</f>
        <v>293198.33333333337</v>
      </c>
      <c r="F48" s="150">
        <f>SUMIFS(Collection!$O:$O, Collection!$B:$B, 'Summary-info'!$A48, Collection!$A:$A, "&lt;"&amp;'Summary-info'!F$27)</f>
        <v>293198.33333333337</v>
      </c>
      <c r="G48" s="150">
        <f>SUMIFS(Collection!$O:$O, Collection!$B:$B, 'Summary-info'!$A48, Collection!$A:$A, "&lt;"&amp;'Summary-info'!G$27)</f>
        <v>324165.00000000006</v>
      </c>
      <c r="H48" s="150">
        <f>SUMIFS(Collection!$O:$O, Collection!$B:$B, 'Summary-info'!$A48, Collection!$A:$A, "&lt;"&amp;'Summary-info'!H$27)</f>
        <v>324165.00000000006</v>
      </c>
      <c r="I48" s="150">
        <f>SUMIFS(Collection!$O:$O, Collection!$B:$B, 'Summary-info'!$A48, Collection!$A:$A, "&lt;"&amp;'Summary-info'!I$27)</f>
        <v>324165.00000000006</v>
      </c>
      <c r="J48" s="150">
        <f>SUMIFS(Collection!$O:$O, Collection!$B:$B, 'Summary-info'!$A48, Collection!$A:$A, "&lt;"&amp;'Summary-info'!J$27)</f>
        <v>324165.00000000006</v>
      </c>
      <c r="K48" s="150">
        <f>SUMIFS(Collection!$O:$O, Collection!$B:$B, 'Summary-info'!$A48, Collection!$A:$A, "&lt;"&amp;'Summary-info'!K$27)</f>
        <v>324165.00000000006</v>
      </c>
      <c r="L48" s="150">
        <f>SUMIFS(Collection!$O:$O, Collection!$B:$B, 'Summary-info'!$A48, Collection!$A:$A, "&lt;"&amp;'Summary-info'!L$27)</f>
        <v>324165.00000000006</v>
      </c>
    </row>
    <row r="49" spans="1:12" x14ac:dyDescent="0.2">
      <c r="A49" s="7" t="s">
        <v>20</v>
      </c>
      <c r="C49" s="150">
        <f>SUMIFS(Collection!$O:$O, Collection!$B:$B, 'Summary-info'!$A49, Collection!$A:$A, "&lt;"&amp;'Summary-info'!C$27)</f>
        <v>195566.66666666666</v>
      </c>
      <c r="D49" s="150">
        <f>SUMIFS(Collection!$O:$O, Collection!$B:$B, 'Summary-info'!$A49, Collection!$A:$A, "&lt;"&amp;'Summary-info'!D$27)</f>
        <v>212873.33333333331</v>
      </c>
      <c r="E49" s="150">
        <f>SUMIFS(Collection!$O:$O, Collection!$B:$B, 'Summary-info'!$A49, Collection!$A:$A, "&lt;"&amp;'Summary-info'!E$27)</f>
        <v>212873.33333333331</v>
      </c>
      <c r="F49" s="150">
        <f>SUMIFS(Collection!$O:$O, Collection!$B:$B, 'Summary-info'!$A49, Collection!$A:$A, "&lt;"&amp;'Summary-info'!F$27)</f>
        <v>212873.33333333331</v>
      </c>
      <c r="G49" s="150">
        <f>SUMIFS(Collection!$O:$O, Collection!$B:$B, 'Summary-info'!$A49, Collection!$A:$A, "&lt;"&amp;'Summary-info'!G$27)</f>
        <v>212873.33333333331</v>
      </c>
      <c r="H49" s="150">
        <f>SUMIFS(Collection!$O:$O, Collection!$B:$B, 'Summary-info'!$A49, Collection!$A:$A, "&lt;"&amp;'Summary-info'!H$27)</f>
        <v>225873.33333333331</v>
      </c>
      <c r="I49" s="150">
        <f>SUMIFS(Collection!$O:$O, Collection!$B:$B, 'Summary-info'!$A49, Collection!$A:$A, "&lt;"&amp;'Summary-info'!I$27)</f>
        <v>225873.33333333331</v>
      </c>
      <c r="J49" s="150">
        <f>SUMIFS(Collection!$O:$O, Collection!$B:$B, 'Summary-info'!$A49, Collection!$A:$A, "&lt;"&amp;'Summary-info'!J$27)</f>
        <v>225873.33333333331</v>
      </c>
      <c r="K49" s="150">
        <f>SUMIFS(Collection!$O:$O, Collection!$B:$B, 'Summary-info'!$A49, Collection!$A:$A, "&lt;"&amp;'Summary-info'!K$27)</f>
        <v>225873.33333333331</v>
      </c>
      <c r="L49" s="150">
        <f>SUMIFS(Collection!$O:$O, Collection!$B:$B, 'Summary-info'!$A49, Collection!$A:$A, "&lt;"&amp;'Summary-info'!L$27)</f>
        <v>225873.33333333331</v>
      </c>
    </row>
    <row r="50" spans="1:12" x14ac:dyDescent="0.2">
      <c r="A50" s="7" t="s">
        <v>38</v>
      </c>
      <c r="C50" s="150">
        <f>SUMIFS(Collection!$O:$O, Collection!$B:$B, 'Summary-info'!$A50, Collection!$A:$A, "&lt;"&amp;'Summary-info'!C$27)</f>
        <v>194225</v>
      </c>
      <c r="D50" s="150">
        <f>SUMIFS(Collection!$O:$O, Collection!$B:$B, 'Summary-info'!$A50, Collection!$A:$A, "&lt;"&amp;'Summary-info'!D$27)</f>
        <v>194225</v>
      </c>
      <c r="E50" s="150">
        <f>SUMIFS(Collection!$O:$O, Collection!$B:$B, 'Summary-info'!$A50, Collection!$A:$A, "&lt;"&amp;'Summary-info'!E$27)</f>
        <v>245691.66666666666</v>
      </c>
      <c r="F50" s="150">
        <f>SUMIFS(Collection!$O:$O, Collection!$B:$B, 'Summary-info'!$A50, Collection!$A:$A, "&lt;"&amp;'Summary-info'!F$27)</f>
        <v>249891.66666666666</v>
      </c>
      <c r="G50" s="150">
        <f>SUMIFS(Collection!$O:$O, Collection!$B:$B, 'Summary-info'!$A50, Collection!$A:$A, "&lt;"&amp;'Summary-info'!G$27)</f>
        <v>249891.66666666666</v>
      </c>
      <c r="H50" s="150">
        <f>SUMIFS(Collection!$O:$O, Collection!$B:$B, 'Summary-info'!$A50, Collection!$A:$A, "&lt;"&amp;'Summary-info'!H$27)</f>
        <v>353574.99999999994</v>
      </c>
      <c r="I50" s="150">
        <f>SUMIFS(Collection!$O:$O, Collection!$B:$B, 'Summary-info'!$A50, Collection!$A:$A, "&lt;"&amp;'Summary-info'!I$27)</f>
        <v>353768.33333333326</v>
      </c>
      <c r="J50" s="150">
        <f>SUMIFS(Collection!$O:$O, Collection!$B:$B, 'Summary-info'!$A50, Collection!$A:$A, "&lt;"&amp;'Summary-info'!J$27)</f>
        <v>353768.33333333326</v>
      </c>
      <c r="K50" s="150">
        <f>SUMIFS(Collection!$O:$O, Collection!$B:$B, 'Summary-info'!$A50, Collection!$A:$A, "&lt;"&amp;'Summary-info'!K$27)</f>
        <v>353768.33333333326</v>
      </c>
      <c r="L50" s="150">
        <f>SUMIFS(Collection!$O:$O, Collection!$B:$B, 'Summary-info'!$A50, Collection!$A:$A, "&lt;"&amp;'Summary-info'!L$27)</f>
        <v>353768.33333333326</v>
      </c>
    </row>
    <row r="51" spans="1:12" s="208" customFormat="1" ht="17" thickBot="1" x14ac:dyDescent="0.25">
      <c r="A51" s="209" t="s">
        <v>46</v>
      </c>
      <c r="B51" s="210"/>
      <c r="C51" s="150">
        <f>SUMIFS(Collection!$O:$O, Collection!$B:$B, 'Summary-info'!$A51, Collection!$A:$A, "&lt;"&amp;'Summary-info'!C$27)</f>
        <v>131900</v>
      </c>
      <c r="D51" s="150">
        <f>SUMIFS(Collection!$O:$O, Collection!$B:$B, 'Summary-info'!$A51, Collection!$A:$A, "&lt;"&amp;'Summary-info'!D$27)</f>
        <v>179716.66666666666</v>
      </c>
      <c r="E51" s="150">
        <f>SUMIFS(Collection!$O:$O, Collection!$B:$B, 'Summary-info'!$A51, Collection!$A:$A, "&lt;"&amp;'Summary-info'!E$27)</f>
        <v>179716.66666666666</v>
      </c>
      <c r="F51" s="150">
        <f>SUMIFS(Collection!$O:$O, Collection!$B:$B, 'Summary-info'!$A51, Collection!$A:$A, "&lt;"&amp;'Summary-info'!F$27)</f>
        <v>179716.66666666666</v>
      </c>
      <c r="G51" s="150">
        <f>SUMIFS(Collection!$O:$O, Collection!$B:$B, 'Summary-info'!$A51, Collection!$A:$A, "&lt;"&amp;'Summary-info'!G$27)</f>
        <v>179716.66666666666</v>
      </c>
      <c r="H51" s="150">
        <f>SUMIFS(Collection!$O:$O, Collection!$B:$B, 'Summary-info'!$A51, Collection!$A:$A, "&lt;"&amp;'Summary-info'!H$27)</f>
        <v>179716.66666666666</v>
      </c>
      <c r="I51" s="150">
        <f>SUMIFS(Collection!$O:$O, Collection!$B:$B, 'Summary-info'!$A51, Collection!$A:$A, "&lt;"&amp;'Summary-info'!I$27)</f>
        <v>179716.66666666666</v>
      </c>
      <c r="J51" s="150">
        <f>SUMIFS(Collection!$O:$O, Collection!$B:$B, 'Summary-info'!$A51, Collection!$A:$A, "&lt;"&amp;'Summary-info'!J$27)</f>
        <v>179716.66666666666</v>
      </c>
      <c r="K51" s="150">
        <f>SUMIFS(Collection!$O:$O, Collection!$B:$B, 'Summary-info'!$A51, Collection!$A:$A, "&lt;"&amp;'Summary-info'!K$27)</f>
        <v>179716.66666666666</v>
      </c>
      <c r="L51" s="296">
        <f>SUMIFS(Collection!$O:$O, Collection!$B:$B, 'Summary-info'!$A51, Collection!$A:$A, "&lt;"&amp;'Summary-info'!L$27)</f>
        <v>179716.66666666666</v>
      </c>
    </row>
    <row r="52" spans="1:12" s="23" customFormat="1" ht="22" thickTop="1" x14ac:dyDescent="0.25">
      <c r="A52" s="7"/>
      <c r="B52" s="116"/>
      <c r="C52" s="463" t="s">
        <v>217</v>
      </c>
      <c r="D52" s="463"/>
      <c r="E52" s="463"/>
      <c r="F52" s="463"/>
      <c r="G52" s="463"/>
      <c r="H52" s="463"/>
      <c r="I52" s="463"/>
      <c r="J52" s="463"/>
      <c r="K52" s="463"/>
    </row>
    <row r="53" spans="1:12" ht="19" x14ac:dyDescent="0.25">
      <c r="A53" s="197" t="s">
        <v>136</v>
      </c>
      <c r="B53" s="116"/>
      <c r="C53" s="213">
        <f t="shared" ref="C53:L53" si="10">C27</f>
        <v>42891</v>
      </c>
      <c r="D53" s="213">
        <f t="shared" si="10"/>
        <v>42895</v>
      </c>
      <c r="E53" s="213">
        <f t="shared" si="10"/>
        <v>42898</v>
      </c>
      <c r="F53" s="213">
        <f t="shared" si="10"/>
        <v>42901</v>
      </c>
      <c r="G53" s="213">
        <f t="shared" si="10"/>
        <v>42905</v>
      </c>
      <c r="H53" s="213">
        <f t="shared" si="10"/>
        <v>42908</v>
      </c>
      <c r="I53" s="213">
        <f t="shared" si="10"/>
        <v>42912</v>
      </c>
      <c r="J53" s="213">
        <f t="shared" si="10"/>
        <v>42915</v>
      </c>
      <c r="K53" s="213">
        <f t="shared" si="10"/>
        <v>42919</v>
      </c>
      <c r="L53" s="213">
        <f t="shared" si="10"/>
        <v>42922</v>
      </c>
    </row>
    <row r="54" spans="1:12" x14ac:dyDescent="0.2">
      <c r="A54" s="24" t="s">
        <v>84</v>
      </c>
      <c r="B54" s="116"/>
      <c r="C54" s="116">
        <f>(SUMIFS('Bucket Counts'!$P:$P, 'Bucket Counts'!$D:$D, 'Summary-info'!$A54, 'Bucket Counts'!$A:$A, "="&amp;C$27))</f>
        <v>58806.666666666672</v>
      </c>
      <c r="D54" s="116">
        <f>(SUMIFS('Bucket Counts'!$P:$P, 'Bucket Counts'!$D:$D, 'Summary-info'!$A54, 'Bucket Counts'!$A:$A, "="&amp;D$27))</f>
        <v>87303.333333333343</v>
      </c>
      <c r="E54" s="116">
        <f>(SUMIFS('Bucket Counts'!$P:$P, 'Bucket Counts'!$D:$D, 'Summary-info'!$A54, 'Bucket Counts'!$A:$A, "="&amp;E$27))</f>
        <v>83783.333333333328</v>
      </c>
      <c r="F54" s="116">
        <f>(SUMIFS('Bucket Counts'!$P:$P, 'Bucket Counts'!$D:$D, 'Summary-info'!$A54, 'Bucket Counts'!$A:$A, "="&amp;F$27))</f>
        <v>94250</v>
      </c>
      <c r="G54" s="116">
        <f>(SUMIFS('Bucket Counts'!$P:$P, 'Bucket Counts'!$D:$D, 'Summary-info'!$A54, 'Bucket Counts'!$A:$A, "="&amp;G$27))</f>
        <v>74000</v>
      </c>
      <c r="H54" s="116">
        <f>(SUMIFS('Bucket Counts'!$P:$P, 'Bucket Counts'!$D:$D, 'Summary-info'!$A54, 'Bucket Counts'!$A:$A, "="&amp;H$27))</f>
        <v>24358.333333333336</v>
      </c>
      <c r="I54" s="116">
        <f>(SUMIFS('Bucket Counts'!$P:$P, 'Bucket Counts'!$D:$D, 'Summary-info'!$A54, 'Bucket Counts'!$A:$A, "="&amp;I$27))</f>
        <v>10166.666666666666</v>
      </c>
      <c r="J54" s="116">
        <f>(SUMIFS('Bucket Counts'!$P:$P, 'Bucket Counts'!$D:$D, 'Summary-info'!$A54, 'Bucket Counts'!$A:$A, "="&amp;J$27))</f>
        <v>3084.9999999999995</v>
      </c>
      <c r="K54" s="116">
        <f>(SUMIFS('Bucket Counts'!$P:$P, 'Bucket Counts'!$D:$D, 'Summary-info'!$A54, 'Bucket Counts'!$A:$A, "="&amp;K$27))</f>
        <v>1210</v>
      </c>
      <c r="L54" s="116">
        <f>(SUMIFS('Bucket Counts'!$P:$P, 'Bucket Counts'!$D:$D, 'Summary-info'!$A54, 'Bucket Counts'!$A:$A, "="&amp;L$27))</f>
        <v>466</v>
      </c>
    </row>
    <row r="55" spans="1:12" x14ac:dyDescent="0.2">
      <c r="A55" s="24" t="s">
        <v>76</v>
      </c>
      <c r="B55" s="116"/>
      <c r="C55" s="116">
        <f>(SUMIFS('Bucket Counts'!$P:$P, 'Bucket Counts'!$D:$D, 'Summary-info'!$A55, 'Bucket Counts'!$A:$A, "="&amp;C$27))</f>
        <v>0</v>
      </c>
      <c r="D55" s="116">
        <f>(SUMIFS('Bucket Counts'!$P:$P, 'Bucket Counts'!$D:$D, 'Summary-info'!$A55, 'Bucket Counts'!$A:$A, "="&amp;D$27))</f>
        <v>0</v>
      </c>
      <c r="E55" s="116">
        <f>(SUMIFS('Bucket Counts'!$P:$P, 'Bucket Counts'!$D:$D, 'Summary-info'!$A55, 'Bucket Counts'!$A:$A, "="&amp;E$27))</f>
        <v>0</v>
      </c>
      <c r="F55" s="116">
        <f>(SUMIFS('Bucket Counts'!$P:$P, 'Bucket Counts'!$D:$D, 'Summary-info'!$A55, 'Bucket Counts'!$A:$A, "="&amp;F$27))</f>
        <v>0</v>
      </c>
      <c r="G55" s="116">
        <f>(SUMIFS('Bucket Counts'!$P:$P, 'Bucket Counts'!$D:$D, 'Summary-info'!$A55, 'Bucket Counts'!$A:$A, "="&amp;G$27))</f>
        <v>0</v>
      </c>
      <c r="H55" s="116">
        <f>(SUMIFS('Bucket Counts'!$P:$P, 'Bucket Counts'!$D:$D, 'Summary-info'!$A55, 'Bucket Counts'!$A:$A, "="&amp;H$27))</f>
        <v>0</v>
      </c>
      <c r="I55" s="116">
        <f>(SUMIFS('Bucket Counts'!$P:$P, 'Bucket Counts'!$D:$D, 'Summary-info'!$A55, 'Bucket Counts'!$A:$A, "="&amp;I$27))</f>
        <v>0</v>
      </c>
      <c r="J55" s="116">
        <f>(SUMIFS('Bucket Counts'!$P:$P, 'Bucket Counts'!$D:$D, 'Summary-info'!$A55, 'Bucket Counts'!$A:$A, "="&amp;J$27))</f>
        <v>0</v>
      </c>
      <c r="K55" s="116">
        <f>(SUMIFS('Bucket Counts'!$P:$P, 'Bucket Counts'!$D:$D, 'Summary-info'!$A55, 'Bucket Counts'!$A:$A, "="&amp;K$27))</f>
        <v>0</v>
      </c>
      <c r="L55" s="116">
        <f>(SUMIFS('Bucket Counts'!$P:$P, 'Bucket Counts'!$D:$D, 'Summary-info'!$A55, 'Bucket Counts'!$A:$A, "="&amp;L$27))</f>
        <v>0</v>
      </c>
    </row>
    <row r="56" spans="1:12" x14ac:dyDescent="0.2">
      <c r="A56" s="24" t="s">
        <v>85</v>
      </c>
      <c r="B56" s="116"/>
      <c r="C56" s="116">
        <f>(SUMIFS('Bucket Counts'!$P:$P, 'Bucket Counts'!$D:$D, 'Summary-info'!$A56, 'Bucket Counts'!$A:$A, "="&amp;C$27))</f>
        <v>53308.333333333336</v>
      </c>
      <c r="D56" s="116">
        <f>(SUMIFS('Bucket Counts'!$P:$P, 'Bucket Counts'!$D:$D, 'Summary-info'!$A56, 'Bucket Counts'!$A:$A, "="&amp;D$27))</f>
        <v>50126.666666666664</v>
      </c>
      <c r="E56" s="116">
        <f>(SUMIFS('Bucket Counts'!$P:$P, 'Bucket Counts'!$D:$D, 'Summary-info'!$A56, 'Bucket Counts'!$A:$A, "="&amp;E$27))</f>
        <v>46103.333333333336</v>
      </c>
      <c r="F56" s="116">
        <f>(SUMIFS('Bucket Counts'!$P:$P, 'Bucket Counts'!$D:$D, 'Summary-info'!$A56, 'Bucket Counts'!$A:$A, "="&amp;F$27))</f>
        <v>25116.666666666664</v>
      </c>
      <c r="G56" s="116">
        <f>(SUMIFS('Bucket Counts'!$P:$P, 'Bucket Counts'!$D:$D, 'Summary-info'!$A56, 'Bucket Counts'!$A:$A, "="&amp;G$27))</f>
        <v>20360</v>
      </c>
      <c r="H56" s="116">
        <f>(SUMIFS('Bucket Counts'!$P:$P, 'Bucket Counts'!$D:$D, 'Summary-info'!$A56, 'Bucket Counts'!$A:$A, "="&amp;H$27))</f>
        <v>9720</v>
      </c>
      <c r="I56" s="116">
        <f>(SUMIFS('Bucket Counts'!$P:$P, 'Bucket Counts'!$D:$D, 'Summary-info'!$A56, 'Bucket Counts'!$A:$A, "="&amp;I$27))</f>
        <v>4570</v>
      </c>
      <c r="J56" s="116">
        <f>(SUMIFS('Bucket Counts'!$P:$P, 'Bucket Counts'!$D:$D, 'Summary-info'!$A56, 'Bucket Counts'!$A:$A, "="&amp;J$27))</f>
        <v>2250</v>
      </c>
      <c r="K56" s="116">
        <f>(SUMIFS('Bucket Counts'!$P:$P, 'Bucket Counts'!$D:$D, 'Summary-info'!$A56, 'Bucket Counts'!$A:$A, "="&amp;K$27))</f>
        <v>917.77777777777794</v>
      </c>
      <c r="L56" s="116">
        <f>(SUMIFS('Bucket Counts'!$P:$P, 'Bucket Counts'!$D:$D, 'Summary-info'!$A56, 'Bucket Counts'!$A:$A, "="&amp;L$27))</f>
        <v>200</v>
      </c>
    </row>
    <row r="57" spans="1:12" x14ac:dyDescent="0.2">
      <c r="A57" s="24" t="s">
        <v>104</v>
      </c>
      <c r="B57" s="116"/>
      <c r="C57" s="116">
        <f>(SUMIFS('Bucket Counts'!$P:$P, 'Bucket Counts'!$D:$D, 'Summary-info'!$A57, 'Bucket Counts'!$A:$A, "="&amp;C$27))</f>
        <v>7908.8888888888887</v>
      </c>
      <c r="D57" s="116">
        <f>(SUMIFS('Bucket Counts'!$P:$P, 'Bucket Counts'!$D:$D, 'Summary-info'!$A57, 'Bucket Counts'!$A:$A, "="&amp;D$27))</f>
        <v>39116.666666666664</v>
      </c>
      <c r="E57" s="116">
        <f>(SUMIFS('Bucket Counts'!$P:$P, 'Bucket Counts'!$D:$D, 'Summary-info'!$A57, 'Bucket Counts'!$A:$A, "="&amp;E$27))</f>
        <v>70011.111111111109</v>
      </c>
      <c r="F57" s="116">
        <f>(SUMIFS('Bucket Counts'!$P:$P, 'Bucket Counts'!$D:$D, 'Summary-info'!$A57, 'Bucket Counts'!$A:$A, "="&amp;F$27))</f>
        <v>69823.333333333328</v>
      </c>
      <c r="G57" s="116">
        <f>(SUMIFS('Bucket Counts'!$P:$P, 'Bucket Counts'!$D:$D, 'Summary-info'!$A57, 'Bucket Counts'!$A:$A, "="&amp;G$27))</f>
        <v>65113.333333333336</v>
      </c>
      <c r="H57" s="116">
        <f>(SUMIFS('Bucket Counts'!$P:$P, 'Bucket Counts'!$D:$D, 'Summary-info'!$A57, 'Bucket Counts'!$A:$A, "="&amp;H$27))</f>
        <v>64806.666666666657</v>
      </c>
      <c r="I57" s="116">
        <f>(SUMIFS('Bucket Counts'!$P:$P, 'Bucket Counts'!$D:$D, 'Summary-info'!$A57, 'Bucket Counts'!$A:$A, "="&amp;I$27))</f>
        <v>48846.666666666672</v>
      </c>
      <c r="J57" s="116">
        <f>(SUMIFS('Bucket Counts'!$P:$P, 'Bucket Counts'!$D:$D, 'Summary-info'!$A57, 'Bucket Counts'!$A:$A, "="&amp;J$27))</f>
        <v>32100</v>
      </c>
      <c r="K57" s="116">
        <f>(SUMIFS('Bucket Counts'!$P:$P, 'Bucket Counts'!$D:$D, 'Summary-info'!$A57, 'Bucket Counts'!$A:$A, "="&amp;K$27))</f>
        <v>27896.666666666668</v>
      </c>
      <c r="L57" s="116">
        <f>(SUMIFS('Bucket Counts'!$P:$P, 'Bucket Counts'!$D:$D, 'Summary-info'!$A57, 'Bucket Counts'!$A:$A, "="&amp;L$27))</f>
        <v>20583.333333333336</v>
      </c>
    </row>
    <row r="58" spans="1:12" x14ac:dyDescent="0.2">
      <c r="A58" s="24" t="s">
        <v>86</v>
      </c>
      <c r="B58" s="116"/>
      <c r="C58" s="116">
        <f>(SUMIFS('Bucket Counts'!$P:$P, 'Bucket Counts'!$D:$D, 'Summary-info'!$A58, 'Bucket Counts'!$A:$A, "="&amp;C$27))</f>
        <v>138919.99999999997</v>
      </c>
      <c r="D58" s="116">
        <f>(SUMIFS('Bucket Counts'!$P:$P, 'Bucket Counts'!$D:$D, 'Summary-info'!$A58, 'Bucket Counts'!$A:$A, "="&amp;D$27))</f>
        <v>147516.66666666669</v>
      </c>
      <c r="E58" s="116">
        <f>(SUMIFS('Bucket Counts'!$P:$P, 'Bucket Counts'!$D:$D, 'Summary-info'!$A58, 'Bucket Counts'!$A:$A, "="&amp;E$27))</f>
        <v>111925</v>
      </c>
      <c r="F58" s="116">
        <f>(SUMIFS('Bucket Counts'!$P:$P, 'Bucket Counts'!$D:$D, 'Summary-info'!$A58, 'Bucket Counts'!$A:$A, "="&amp;F$27))</f>
        <v>129910</v>
      </c>
      <c r="G58" s="116">
        <f>(SUMIFS('Bucket Counts'!$P:$P, 'Bucket Counts'!$D:$D, 'Summary-info'!$A58, 'Bucket Counts'!$A:$A, "="&amp;G$27))</f>
        <v>103206.66666666666</v>
      </c>
      <c r="H58" s="116">
        <f>(SUMIFS('Bucket Counts'!$P:$P, 'Bucket Counts'!$D:$D, 'Summary-info'!$A58, 'Bucket Counts'!$A:$A, "="&amp;H$27))</f>
        <v>26591.666666666664</v>
      </c>
      <c r="I58" s="116">
        <f>(SUMIFS('Bucket Counts'!$P:$P, 'Bucket Counts'!$D:$D, 'Summary-info'!$A58, 'Bucket Counts'!$A:$A, "="&amp;I$27))</f>
        <v>450</v>
      </c>
      <c r="J58" s="116">
        <f>(SUMIFS('Bucket Counts'!$P:$P, 'Bucket Counts'!$D:$D, 'Summary-info'!$A58, 'Bucket Counts'!$A:$A, "="&amp;J$27))</f>
        <v>1886.6666666666667</v>
      </c>
      <c r="K58" s="116">
        <f>(SUMIFS('Bucket Counts'!$P:$P, 'Bucket Counts'!$D:$D, 'Summary-info'!$A58, 'Bucket Counts'!$A:$A, "="&amp;K$27))</f>
        <v>322.99999999999994</v>
      </c>
      <c r="L58" s="116">
        <f>(SUMIFS('Bucket Counts'!$P:$P, 'Bucket Counts'!$D:$D, 'Summary-info'!$A58, 'Bucket Counts'!$A:$A, "="&amp;L$27))</f>
        <v>35.777777777777771</v>
      </c>
    </row>
    <row r="59" spans="1:12" x14ac:dyDescent="0.2">
      <c r="A59" s="24" t="s">
        <v>134</v>
      </c>
      <c r="B59" s="116"/>
      <c r="C59" s="116">
        <f>(SUMIFS('Bucket Counts'!$P:$P, 'Bucket Counts'!$D:$D, 'Summary-info'!$A59, 'Bucket Counts'!$A:$A, "="&amp;C$27))</f>
        <v>46304.722222222219</v>
      </c>
      <c r="D59" s="116">
        <f>(SUMIFS('Bucket Counts'!$P:$P, 'Bucket Counts'!$D:$D, 'Summary-info'!$A59, 'Bucket Counts'!$A:$A, "="&amp;D$27))</f>
        <v>0</v>
      </c>
      <c r="E59" s="116">
        <f>(SUMIFS('Bucket Counts'!$P:$P, 'Bucket Counts'!$D:$D, 'Summary-info'!$A59, 'Bucket Counts'!$A:$A, "="&amp;E$27))</f>
        <v>0</v>
      </c>
      <c r="F59" s="116">
        <f>(SUMIFS('Bucket Counts'!$P:$P, 'Bucket Counts'!$D:$D, 'Summary-info'!$A59, 'Bucket Counts'!$A:$A, "="&amp;F$27))</f>
        <v>0</v>
      </c>
      <c r="G59" s="116">
        <f>(SUMIFS('Bucket Counts'!$P:$P, 'Bucket Counts'!$D:$D, 'Summary-info'!$A59, 'Bucket Counts'!$A:$A, "="&amp;G$27))</f>
        <v>0</v>
      </c>
      <c r="H59" s="116">
        <f>(SUMIFS('Bucket Counts'!$P:$P, 'Bucket Counts'!$D:$D, 'Summary-info'!$A59, 'Bucket Counts'!$A:$A, "="&amp;H$27))</f>
        <v>0</v>
      </c>
      <c r="I59" s="116">
        <f>(SUMIFS('Bucket Counts'!$P:$P, 'Bucket Counts'!$D:$D, 'Summary-info'!$A59, 'Bucket Counts'!$A:$A, "="&amp;I$27))</f>
        <v>0</v>
      </c>
      <c r="J59" s="116">
        <f>(SUMIFS('Bucket Counts'!$P:$P, 'Bucket Counts'!$D:$D, 'Summary-info'!$A59, 'Bucket Counts'!$A:$A, "="&amp;J$27))</f>
        <v>0</v>
      </c>
      <c r="K59" s="116">
        <f>(SUMIFS('Bucket Counts'!$P:$P, 'Bucket Counts'!$D:$D, 'Summary-info'!$A59, 'Bucket Counts'!$A:$A, "="&amp;K$27))</f>
        <v>0</v>
      </c>
      <c r="L59" s="116">
        <f>(SUMIFS('Bucket Counts'!$P:$P, 'Bucket Counts'!$D:$D, 'Summary-info'!$A59, 'Bucket Counts'!$A:$A, "="&amp;L$27))</f>
        <v>0</v>
      </c>
    </row>
    <row r="60" spans="1:12" x14ac:dyDescent="0.2">
      <c r="A60" s="24" t="s">
        <v>87</v>
      </c>
      <c r="B60" s="116"/>
      <c r="C60" s="116">
        <f>(SUMIFS('Bucket Counts'!$P:$P, 'Bucket Counts'!$D:$D, 'Summary-info'!$A60, 'Bucket Counts'!$A:$A, "="&amp;C$27))</f>
        <v>39096.666666666664</v>
      </c>
      <c r="D60" s="116">
        <f>(SUMIFS('Bucket Counts'!$P:$P, 'Bucket Counts'!$D:$D, 'Summary-info'!$A60, 'Bucket Counts'!$A:$A, "="&amp;D$27))</f>
        <v>32666.666666666668</v>
      </c>
      <c r="E60" s="116">
        <f>(SUMIFS('Bucket Counts'!$P:$P, 'Bucket Counts'!$D:$D, 'Summary-info'!$A60, 'Bucket Counts'!$A:$A, "="&amp;E$27))</f>
        <v>38150</v>
      </c>
      <c r="F60" s="116">
        <f>(SUMIFS('Bucket Counts'!$P:$P, 'Bucket Counts'!$D:$D, 'Summary-info'!$A60, 'Bucket Counts'!$A:$A, "="&amp;F$27))</f>
        <v>21824.999999999996</v>
      </c>
      <c r="G60" s="116">
        <f>(SUMIFS('Bucket Counts'!$P:$P, 'Bucket Counts'!$D:$D, 'Summary-info'!$A60, 'Bucket Counts'!$A:$A, "="&amp;G$27))</f>
        <v>55603.333333333336</v>
      </c>
      <c r="H60" s="116">
        <f>(SUMIFS('Bucket Counts'!$P:$P, 'Bucket Counts'!$D:$D, 'Summary-info'!$A60, 'Bucket Counts'!$A:$A, "="&amp;H$27))</f>
        <v>86901.666666666657</v>
      </c>
      <c r="I60" s="116">
        <f>(SUMIFS('Bucket Counts'!$P:$P, 'Bucket Counts'!$D:$D, 'Summary-info'!$A60, 'Bucket Counts'!$A:$A, "="&amp;I$27))</f>
        <v>42900</v>
      </c>
      <c r="J60" s="116">
        <f>(SUMIFS('Bucket Counts'!$P:$P, 'Bucket Counts'!$D:$D, 'Summary-info'!$A60, 'Bucket Counts'!$A:$A, "="&amp;J$27))</f>
        <v>19673.333333333332</v>
      </c>
      <c r="K60" s="116">
        <f>(SUMIFS('Bucket Counts'!$P:$P, 'Bucket Counts'!$D:$D, 'Summary-info'!$A60, 'Bucket Counts'!$A:$A, "="&amp;K$27))</f>
        <v>2714.4444444444443</v>
      </c>
      <c r="L60" s="116">
        <f>(SUMIFS('Bucket Counts'!$P:$P, 'Bucket Counts'!$D:$D, 'Summary-info'!$A60, 'Bucket Counts'!$A:$A, "="&amp;L$27))</f>
        <v>1245.1111111111111</v>
      </c>
    </row>
    <row r="61" spans="1:12" x14ac:dyDescent="0.2">
      <c r="A61" s="24" t="s">
        <v>77</v>
      </c>
      <c r="B61" s="116"/>
      <c r="C61" s="116">
        <f>(SUMIFS('Bucket Counts'!$P:$P, 'Bucket Counts'!$D:$D, 'Summary-info'!$A61, 'Bucket Counts'!$A:$A, "="&amp;C$27))</f>
        <v>95347.222222222219</v>
      </c>
      <c r="D61" s="116">
        <f>(SUMIFS('Bucket Counts'!$P:$P, 'Bucket Counts'!$D:$D, 'Summary-info'!$A61, 'Bucket Counts'!$A:$A, "="&amp;D$27))</f>
        <v>42716.666666666672</v>
      </c>
      <c r="E61" s="116">
        <f>(SUMIFS('Bucket Counts'!$P:$P, 'Bucket Counts'!$D:$D, 'Summary-info'!$A61, 'Bucket Counts'!$A:$A, "="&amp;E$27))</f>
        <v>54606.666666666664</v>
      </c>
      <c r="F61" s="116">
        <f>(SUMIFS('Bucket Counts'!$P:$P, 'Bucket Counts'!$D:$D, 'Summary-info'!$A61, 'Bucket Counts'!$A:$A, "="&amp;F$27))</f>
        <v>98686.666666666672</v>
      </c>
      <c r="G61" s="116">
        <f>(SUMIFS('Bucket Counts'!$P:$P, 'Bucket Counts'!$D:$D, 'Summary-info'!$A61, 'Bucket Counts'!$A:$A, "="&amp;G$27))</f>
        <v>47473.333333333343</v>
      </c>
      <c r="H61" s="116">
        <f>(SUMIFS('Bucket Counts'!$P:$P, 'Bucket Counts'!$D:$D, 'Summary-info'!$A61, 'Bucket Counts'!$A:$A, "="&amp;H$27))</f>
        <v>23826.666666666668</v>
      </c>
      <c r="I61" s="116">
        <f>(SUMIFS('Bucket Counts'!$P:$P, 'Bucket Counts'!$D:$D, 'Summary-info'!$A61, 'Bucket Counts'!$A:$A, "="&amp;I$27))</f>
        <v>6210</v>
      </c>
      <c r="J61" s="116">
        <f>(SUMIFS('Bucket Counts'!$P:$P, 'Bucket Counts'!$D:$D, 'Summary-info'!$A61, 'Bucket Counts'!$A:$A, "="&amp;J$27))</f>
        <v>2668.3333333333335</v>
      </c>
      <c r="K61" s="116">
        <f>(SUMIFS('Bucket Counts'!$P:$P, 'Bucket Counts'!$D:$D, 'Summary-info'!$A61, 'Bucket Counts'!$A:$A, "="&amp;K$27))</f>
        <v>1193.8888888888889</v>
      </c>
      <c r="L61" s="116">
        <f>(SUMIFS('Bucket Counts'!$P:$P, 'Bucket Counts'!$D:$D, 'Summary-info'!$A61, 'Bucket Counts'!$A:$A, "="&amp;L$27))</f>
        <v>396</v>
      </c>
    </row>
    <row r="62" spans="1:12" x14ac:dyDescent="0.2">
      <c r="A62" s="24" t="s">
        <v>88</v>
      </c>
      <c r="B62" s="116"/>
      <c r="C62" s="116">
        <f>(SUMIFS('Bucket Counts'!$P:$P, 'Bucket Counts'!$D:$D, 'Summary-info'!$A62, 'Bucket Counts'!$A:$A, "="&amp;C$27))</f>
        <v>88226.666666666672</v>
      </c>
      <c r="D62" s="116">
        <f>(SUMIFS('Bucket Counts'!$P:$P, 'Bucket Counts'!$D:$D, 'Summary-info'!$A62, 'Bucket Counts'!$A:$A, "="&amp;D$27))</f>
        <v>93497.222222222219</v>
      </c>
      <c r="E62" s="116">
        <f>(SUMIFS('Bucket Counts'!$P:$P, 'Bucket Counts'!$D:$D, 'Summary-info'!$A62, 'Bucket Counts'!$A:$A, "="&amp;E$27))</f>
        <v>77303.333333333328</v>
      </c>
      <c r="F62" s="116">
        <f>(SUMIFS('Bucket Counts'!$P:$P, 'Bucket Counts'!$D:$D, 'Summary-info'!$A62, 'Bucket Counts'!$A:$A, "="&amp;F$27))</f>
        <v>52096.666666666664</v>
      </c>
      <c r="G62" s="116">
        <f>(SUMIFS('Bucket Counts'!$P:$P, 'Bucket Counts'!$D:$D, 'Summary-info'!$A62, 'Bucket Counts'!$A:$A, "="&amp;G$27))</f>
        <v>26033.333333333328</v>
      </c>
      <c r="H62" s="116">
        <f>(SUMIFS('Bucket Counts'!$P:$P, 'Bucket Counts'!$D:$D, 'Summary-info'!$A62, 'Bucket Counts'!$A:$A, "="&amp;H$27))</f>
        <v>42553.333333333336</v>
      </c>
      <c r="I62" s="116">
        <f>(SUMIFS('Bucket Counts'!$P:$P, 'Bucket Counts'!$D:$D, 'Summary-info'!$A62, 'Bucket Counts'!$A:$A, "="&amp;I$27))</f>
        <v>28913.333333333336</v>
      </c>
      <c r="J62" s="116">
        <f>(SUMIFS('Bucket Counts'!$P:$P, 'Bucket Counts'!$D:$D, 'Summary-info'!$A62, 'Bucket Counts'!$A:$A, "="&amp;J$27))</f>
        <v>12166.666666666668</v>
      </c>
      <c r="K62" s="116">
        <f>(SUMIFS('Bucket Counts'!$P:$P, 'Bucket Counts'!$D:$D, 'Summary-info'!$A62, 'Bucket Counts'!$A:$A, "="&amp;K$27))</f>
        <v>73835</v>
      </c>
      <c r="L62" s="116">
        <f>(SUMIFS('Bucket Counts'!$P:$P, 'Bucket Counts'!$D:$D, 'Summary-info'!$A62, 'Bucket Counts'!$A:$A, "="&amp;L$27))</f>
        <v>77396.666666666672</v>
      </c>
    </row>
    <row r="63" spans="1:12" x14ac:dyDescent="0.2">
      <c r="A63" s="24" t="s">
        <v>133</v>
      </c>
      <c r="B63" s="116"/>
      <c r="C63" s="116">
        <f>(SUMIFS('Bucket Counts'!$P:$P, 'Bucket Counts'!$D:$D, 'Summary-info'!$A63, 'Bucket Counts'!$A:$A, "="&amp;C$27))</f>
        <v>70563.333333333328</v>
      </c>
      <c r="D63" s="116">
        <f>(SUMIFS('Bucket Counts'!$P:$P, 'Bucket Counts'!$D:$D, 'Summary-info'!$A63, 'Bucket Counts'!$A:$A, "="&amp;D$27))</f>
        <v>0</v>
      </c>
      <c r="E63" s="116">
        <f>(SUMIFS('Bucket Counts'!$P:$P, 'Bucket Counts'!$D:$D, 'Summary-info'!$A63, 'Bucket Counts'!$A:$A, "="&amp;E$27))</f>
        <v>0</v>
      </c>
      <c r="F63" s="116">
        <f>(SUMIFS('Bucket Counts'!$P:$P, 'Bucket Counts'!$D:$D, 'Summary-info'!$A63, 'Bucket Counts'!$A:$A, "="&amp;F$27))</f>
        <v>0</v>
      </c>
      <c r="G63" s="116">
        <f>(SUMIFS('Bucket Counts'!$P:$P, 'Bucket Counts'!$D:$D, 'Summary-info'!$A63, 'Bucket Counts'!$A:$A, "="&amp;G$27))</f>
        <v>0</v>
      </c>
      <c r="H63" s="116">
        <f>(SUMIFS('Bucket Counts'!$P:$P, 'Bucket Counts'!$D:$D, 'Summary-info'!$A63, 'Bucket Counts'!$A:$A, "="&amp;H$27))</f>
        <v>0</v>
      </c>
      <c r="I63" s="116">
        <f>(SUMIFS('Bucket Counts'!$P:$P, 'Bucket Counts'!$D:$D, 'Summary-info'!$A63, 'Bucket Counts'!$A:$A, "="&amp;I$27))</f>
        <v>0</v>
      </c>
      <c r="J63" s="116">
        <f>(SUMIFS('Bucket Counts'!$P:$P, 'Bucket Counts'!$D:$D, 'Summary-info'!$A63, 'Bucket Counts'!$A:$A, "="&amp;J$27))</f>
        <v>0</v>
      </c>
      <c r="K63" s="116">
        <f>(SUMIFS('Bucket Counts'!$P:$P, 'Bucket Counts'!$D:$D, 'Summary-info'!$A63, 'Bucket Counts'!$A:$A, "="&amp;K$27))</f>
        <v>0</v>
      </c>
      <c r="L63" s="116">
        <f>(SUMIFS('Bucket Counts'!$P:$P, 'Bucket Counts'!$D:$D, 'Summary-info'!$A63, 'Bucket Counts'!$A:$A, "="&amp;L$27))</f>
        <v>0</v>
      </c>
    </row>
    <row r="64" spans="1:12" x14ac:dyDescent="0.2">
      <c r="A64" s="24" t="s">
        <v>118</v>
      </c>
      <c r="B64" s="116"/>
      <c r="C64" s="116">
        <f>(SUMIFS('Bucket Counts'!$P:$P, 'Bucket Counts'!$D:$D, 'Summary-info'!$A64, 'Bucket Counts'!$A:$A, "="&amp;C$27))</f>
        <v>0</v>
      </c>
      <c r="D64" s="116">
        <f>(SUMIFS('Bucket Counts'!$P:$P, 'Bucket Counts'!$D:$D, 'Summary-info'!$A64, 'Bucket Counts'!$A:$A, "="&amp;D$27))</f>
        <v>0</v>
      </c>
      <c r="E64" s="116">
        <f>(SUMIFS('Bucket Counts'!$P:$P, 'Bucket Counts'!$D:$D, 'Summary-info'!$A64, 'Bucket Counts'!$A:$A, "="&amp;E$27))</f>
        <v>0</v>
      </c>
      <c r="F64" s="116">
        <f>(SUMIFS('Bucket Counts'!$P:$P, 'Bucket Counts'!$D:$D, 'Summary-info'!$A64, 'Bucket Counts'!$A:$A, "="&amp;F$27))</f>
        <v>64266.666666666672</v>
      </c>
      <c r="G64" s="116">
        <f>(SUMIFS('Bucket Counts'!$P:$P, 'Bucket Counts'!$D:$D, 'Summary-info'!$A64, 'Bucket Counts'!$A:$A, "="&amp;G$27))</f>
        <v>37566.666666666672</v>
      </c>
      <c r="H64" s="116">
        <f>(SUMIFS('Bucket Counts'!$P:$P, 'Bucket Counts'!$D:$D, 'Summary-info'!$A64, 'Bucket Counts'!$A:$A, "="&amp;H$27))</f>
        <v>28180</v>
      </c>
      <c r="I64" s="116">
        <f>(SUMIFS('Bucket Counts'!$P:$P, 'Bucket Counts'!$D:$D, 'Summary-info'!$A64, 'Bucket Counts'!$A:$A, "="&amp;I$27))</f>
        <v>27800</v>
      </c>
      <c r="J64" s="116">
        <f>(SUMIFS('Bucket Counts'!$P:$P, 'Bucket Counts'!$D:$D, 'Summary-info'!$A64, 'Bucket Counts'!$A:$A, "="&amp;J$27))</f>
        <v>19116.666666666668</v>
      </c>
      <c r="K64" s="116">
        <f>(SUMIFS('Bucket Counts'!$P:$P, 'Bucket Counts'!$D:$D, 'Summary-info'!$A64, 'Bucket Counts'!$A:$A, "="&amp;K$27))</f>
        <v>5666.666666666667</v>
      </c>
      <c r="L64" s="116">
        <f>(SUMIFS('Bucket Counts'!$P:$P, 'Bucket Counts'!$D:$D, 'Summary-info'!$A64, 'Bucket Counts'!$A:$A, "="&amp;L$27))</f>
        <v>3669.4444444444443</v>
      </c>
    </row>
    <row r="65" spans="1:19" x14ac:dyDescent="0.2">
      <c r="A65" s="24" t="s">
        <v>21</v>
      </c>
      <c r="B65" s="116"/>
      <c r="C65" s="116">
        <f>(SUMIFS('Bucket Counts'!$P:$P, 'Bucket Counts'!$D:$D, 'Summary-info'!$A65, 'Bucket Counts'!$A:$A, "="&amp;C$27))</f>
        <v>0</v>
      </c>
      <c r="D65" s="116">
        <f>(SUMIFS('Bucket Counts'!$P:$P, 'Bucket Counts'!$D:$D, 'Summary-info'!$A65, 'Bucket Counts'!$A:$A, "="&amp;D$27))</f>
        <v>64533.333333333336</v>
      </c>
      <c r="E65" s="116">
        <f>(SUMIFS('Bucket Counts'!$P:$P, 'Bucket Counts'!$D:$D, 'Summary-info'!$A65, 'Bucket Counts'!$A:$A, "="&amp;E$27))</f>
        <v>71136.666666666657</v>
      </c>
      <c r="F65" s="116">
        <f>(SUMIFS('Bucket Counts'!$P:$P, 'Bucket Counts'!$D:$D, 'Summary-info'!$A65, 'Bucket Counts'!$A:$A, "="&amp;F$27))</f>
        <v>28333.333333333332</v>
      </c>
      <c r="G65" s="116">
        <f>(SUMIFS('Bucket Counts'!$P:$P, 'Bucket Counts'!$D:$D, 'Summary-info'!$A65, 'Bucket Counts'!$A:$A, "="&amp;G$27))</f>
        <v>102833.33333333334</v>
      </c>
      <c r="H65" s="116">
        <f>(SUMIFS('Bucket Counts'!$P:$P, 'Bucket Counts'!$D:$D, 'Summary-info'!$A65, 'Bucket Counts'!$A:$A, "="&amp;H$27))</f>
        <v>88626.666666666672</v>
      </c>
      <c r="I65" s="116">
        <f>(SUMIFS('Bucket Counts'!$P:$P, 'Bucket Counts'!$D:$D, 'Summary-info'!$A65, 'Bucket Counts'!$A:$A, "="&amp;I$27))</f>
        <v>27298.333333333332</v>
      </c>
      <c r="J65" s="116">
        <f>(SUMIFS('Bucket Counts'!$P:$P, 'Bucket Counts'!$D:$D, 'Summary-info'!$A65, 'Bucket Counts'!$A:$A, "="&amp;J$27))</f>
        <v>44716.666666666672</v>
      </c>
      <c r="K65" s="116">
        <f>(SUMIFS('Bucket Counts'!$P:$P, 'Bucket Counts'!$D:$D, 'Summary-info'!$A65, 'Bucket Counts'!$A:$A, "="&amp;K$27))</f>
        <v>21683.333333333328</v>
      </c>
      <c r="L65" s="116">
        <f>(SUMIFS('Bucket Counts'!$P:$P, 'Bucket Counts'!$D:$D, 'Summary-info'!$A65, 'Bucket Counts'!$A:$A, "="&amp;L$27))</f>
        <v>20135</v>
      </c>
    </row>
    <row r="66" spans="1:19" x14ac:dyDescent="0.2">
      <c r="A66" s="24" t="s">
        <v>17</v>
      </c>
      <c r="B66" s="116"/>
      <c r="C66" s="116">
        <f>(SUMIFS('Bucket Counts'!$P:$P, 'Bucket Counts'!$D:$D, 'Summary-info'!$A66, 'Bucket Counts'!$A:$A, "="&amp;C$27))</f>
        <v>130033.33333333333</v>
      </c>
      <c r="D66" s="116">
        <f>(SUMIFS('Bucket Counts'!$P:$P, 'Bucket Counts'!$D:$D, 'Summary-info'!$A66, 'Bucket Counts'!$A:$A, "="&amp;D$27))</f>
        <v>89683.333333333328</v>
      </c>
      <c r="E66" s="116">
        <f>(SUMIFS('Bucket Counts'!$P:$P, 'Bucket Counts'!$D:$D, 'Summary-info'!$A66, 'Bucket Counts'!$A:$A, "="&amp;E$27))</f>
        <v>67206.666666666672</v>
      </c>
      <c r="F66" s="116">
        <f>(SUMIFS('Bucket Counts'!$P:$P, 'Bucket Counts'!$D:$D, 'Summary-info'!$A66, 'Bucket Counts'!$A:$A, "="&amp;F$27))</f>
        <v>54416.666666666664</v>
      </c>
      <c r="G66" s="116">
        <f>(SUMIFS('Bucket Counts'!$P:$P, 'Bucket Counts'!$D:$D, 'Summary-info'!$A66, 'Bucket Counts'!$A:$A, "="&amp;G$27))</f>
        <v>35666.666666666664</v>
      </c>
      <c r="H66" s="116">
        <f>(SUMIFS('Bucket Counts'!$P:$P, 'Bucket Counts'!$D:$D, 'Summary-info'!$A66, 'Bucket Counts'!$A:$A, "="&amp;H$27))</f>
        <v>27966.666666666664</v>
      </c>
      <c r="I66" s="116">
        <f>(SUMIFS('Bucket Counts'!$P:$P, 'Bucket Counts'!$D:$D, 'Summary-info'!$A66, 'Bucket Counts'!$A:$A, "="&amp;I$27))</f>
        <v>12756.666666666666</v>
      </c>
      <c r="J66" s="116">
        <f>(SUMIFS('Bucket Counts'!$P:$P, 'Bucket Counts'!$D:$D, 'Summary-info'!$A66, 'Bucket Counts'!$A:$A, "="&amp;J$27))</f>
        <v>7686.6666666666661</v>
      </c>
      <c r="K66" s="116">
        <f>(SUMIFS('Bucket Counts'!$P:$P, 'Bucket Counts'!$D:$D, 'Summary-info'!$A66, 'Bucket Counts'!$A:$A, "="&amp;K$27))</f>
        <v>5635.8333333333339</v>
      </c>
      <c r="L66" s="116">
        <f>(SUMIFS('Bucket Counts'!$P:$P, 'Bucket Counts'!$D:$D, 'Summary-info'!$A66, 'Bucket Counts'!$A:$A, "="&amp;L$27))</f>
        <v>3557.5000000000005</v>
      </c>
    </row>
    <row r="67" spans="1:19" x14ac:dyDescent="0.2">
      <c r="A67" s="24" t="s">
        <v>37</v>
      </c>
      <c r="B67" s="116"/>
      <c r="C67" s="116">
        <f>(SUMIFS('Bucket Counts'!$P:$P, 'Bucket Counts'!$D:$D, 'Summary-info'!$A67, 'Bucket Counts'!$A:$A, "="&amp;C$27))</f>
        <v>96953.333333333314</v>
      </c>
      <c r="D67" s="116">
        <f>(SUMIFS('Bucket Counts'!$P:$P, 'Bucket Counts'!$D:$D, 'Summary-info'!$A67, 'Bucket Counts'!$A:$A, "="&amp;D$27))</f>
        <v>0</v>
      </c>
      <c r="E67" s="116">
        <f>(SUMIFS('Bucket Counts'!$P:$P, 'Bucket Counts'!$D:$D, 'Summary-info'!$A67, 'Bucket Counts'!$A:$A, "="&amp;E$27))</f>
        <v>0</v>
      </c>
      <c r="F67" s="116">
        <f>(SUMIFS('Bucket Counts'!$P:$P, 'Bucket Counts'!$D:$D, 'Summary-info'!$A67, 'Bucket Counts'!$A:$A, "="&amp;F$27))</f>
        <v>0</v>
      </c>
      <c r="G67" s="116">
        <f>(SUMIFS('Bucket Counts'!$P:$P, 'Bucket Counts'!$D:$D, 'Summary-info'!$A67, 'Bucket Counts'!$A:$A, "="&amp;G$27))</f>
        <v>0</v>
      </c>
      <c r="H67" s="116">
        <f>(SUMIFS('Bucket Counts'!$P:$P, 'Bucket Counts'!$D:$D, 'Summary-info'!$A67, 'Bucket Counts'!$A:$A, "="&amp;H$27))</f>
        <v>0</v>
      </c>
      <c r="I67" s="116">
        <f>(SUMIFS('Bucket Counts'!$P:$P, 'Bucket Counts'!$D:$D, 'Summary-info'!$A67, 'Bucket Counts'!$A:$A, "="&amp;I$27))</f>
        <v>0</v>
      </c>
      <c r="J67" s="116">
        <f>(SUMIFS('Bucket Counts'!$P:$P, 'Bucket Counts'!$D:$D, 'Summary-info'!$A67, 'Bucket Counts'!$A:$A, "="&amp;J$27))</f>
        <v>0</v>
      </c>
      <c r="K67" s="116">
        <f>(SUMIFS('Bucket Counts'!$P:$P, 'Bucket Counts'!$D:$D, 'Summary-info'!$A67, 'Bucket Counts'!$A:$A, "="&amp;K$27))</f>
        <v>0</v>
      </c>
      <c r="L67" s="116">
        <f>(SUMIFS('Bucket Counts'!$P:$P, 'Bucket Counts'!$D:$D, 'Summary-info'!$A67, 'Bucket Counts'!$A:$A, "="&amp;L$27))</f>
        <v>0</v>
      </c>
    </row>
    <row r="68" spans="1:19" x14ac:dyDescent="0.2">
      <c r="A68" s="24" t="s">
        <v>38</v>
      </c>
      <c r="B68" s="116"/>
      <c r="C68" s="116">
        <f>(SUMIFS('Bucket Counts'!$P:$P, 'Bucket Counts'!$D:$D, 'Summary-info'!$A68, 'Bucket Counts'!$A:$A, "="&amp;C$27))</f>
        <v>64275.555555555562</v>
      </c>
      <c r="D68" s="116">
        <f>(SUMIFS('Bucket Counts'!$P:$P, 'Bucket Counts'!$D:$D, 'Summary-info'!$A68, 'Bucket Counts'!$A:$A, "="&amp;D$27))</f>
        <v>47496.666666666664</v>
      </c>
      <c r="E68" s="116">
        <f>(SUMIFS('Bucket Counts'!$P:$P, 'Bucket Counts'!$D:$D, 'Summary-info'!$A68, 'Bucket Counts'!$A:$A, "="&amp;E$27))</f>
        <v>92913.333333333343</v>
      </c>
      <c r="F68" s="116">
        <f>(SUMIFS('Bucket Counts'!$P:$P, 'Bucket Counts'!$D:$D, 'Summary-info'!$A68, 'Bucket Counts'!$A:$A, "="&amp;F$27))</f>
        <v>74338.333333333328</v>
      </c>
      <c r="G68" s="116">
        <f>(SUMIFS('Bucket Counts'!$P:$P, 'Bucket Counts'!$D:$D, 'Summary-info'!$A68, 'Bucket Counts'!$A:$A, "="&amp;G$27))</f>
        <v>40340</v>
      </c>
      <c r="H68" s="116">
        <f>(SUMIFS('Bucket Counts'!$P:$P, 'Bucket Counts'!$D:$D, 'Summary-info'!$A68, 'Bucket Counts'!$A:$A, "="&amp;H$27))</f>
        <v>75920</v>
      </c>
      <c r="I68" s="116">
        <f>(SUMIFS('Bucket Counts'!$P:$P, 'Bucket Counts'!$D:$D, 'Summary-info'!$A68, 'Bucket Counts'!$A:$A, "="&amp;I$27))</f>
        <v>45250</v>
      </c>
      <c r="J68" s="116">
        <f>(SUMIFS('Bucket Counts'!$P:$P, 'Bucket Counts'!$D:$D, 'Summary-info'!$A68, 'Bucket Counts'!$A:$A, "="&amp;J$27))</f>
        <v>49946.666666666664</v>
      </c>
      <c r="K68" s="116">
        <f>(SUMIFS('Bucket Counts'!$P:$P, 'Bucket Counts'!$D:$D, 'Summary-info'!$A68, 'Bucket Counts'!$A:$A, "="&amp;K$27))</f>
        <v>28153.333333333336</v>
      </c>
      <c r="L68" s="116">
        <f>(SUMIFS('Bucket Counts'!$P:$P, 'Bucket Counts'!$D:$D, 'Summary-info'!$A68, 'Bucket Counts'!$A:$A, "="&amp;L$27))</f>
        <v>17280</v>
      </c>
    </row>
    <row r="69" spans="1:19" s="208" customFormat="1" ht="17" thickBot="1" x14ac:dyDescent="0.25">
      <c r="A69" s="211" t="s">
        <v>46</v>
      </c>
      <c r="B69" s="210"/>
      <c r="C69" s="210">
        <f>(SUMIFS('Bucket Counts'!$P:$P, 'Bucket Counts'!$D:$D, 'Summary-info'!$A69, 'Bucket Counts'!$A:$A, "="&amp;C$27))</f>
        <v>2175</v>
      </c>
      <c r="D69" s="210">
        <f>(SUMIFS('Bucket Counts'!$P:$P, 'Bucket Counts'!$D:$D, 'Summary-info'!$A69, 'Bucket Counts'!$A:$A, "="&amp;D$27))</f>
        <v>56316.666666666672</v>
      </c>
      <c r="E69" s="210">
        <f>(SUMIFS('Bucket Counts'!$P:$P, 'Bucket Counts'!$D:$D, 'Summary-info'!$A69, 'Bucket Counts'!$A:$A, "="&amp;E$27))</f>
        <v>49492.5</v>
      </c>
      <c r="F69" s="210">
        <f>(SUMIFS('Bucket Counts'!$P:$P, 'Bucket Counts'!$D:$D, 'Summary-info'!$A69, 'Bucket Counts'!$A:$A, "="&amp;F$27))</f>
        <v>33256.666666666672</v>
      </c>
      <c r="G69" s="210">
        <f>(SUMIFS('Bucket Counts'!$P:$P, 'Bucket Counts'!$D:$D, 'Summary-info'!$A69, 'Bucket Counts'!$A:$A, "="&amp;G$27))</f>
        <v>35316.666666666664</v>
      </c>
      <c r="H69" s="210">
        <f>(SUMIFS('Bucket Counts'!$P:$P, 'Bucket Counts'!$D:$D, 'Summary-info'!$A69, 'Bucket Counts'!$A:$A, "="&amp;H$27))</f>
        <v>29233.333333333336</v>
      </c>
      <c r="I69" s="210">
        <f>(SUMIFS('Bucket Counts'!$P:$P, 'Bucket Counts'!$D:$D, 'Summary-info'!$A69, 'Bucket Counts'!$A:$A, "="&amp;I$27))</f>
        <v>20500</v>
      </c>
      <c r="J69" s="210">
        <f>(SUMIFS('Bucket Counts'!$P:$P, 'Bucket Counts'!$D:$D, 'Summary-info'!$A69, 'Bucket Counts'!$A:$A, "="&amp;J$27))</f>
        <v>23533.333333333332</v>
      </c>
      <c r="K69" s="210">
        <f>(SUMIFS('Bucket Counts'!$P:$P, 'Bucket Counts'!$D:$D, 'Summary-info'!$A69, 'Bucket Counts'!$A:$A, "="&amp;K$27))</f>
        <v>16425</v>
      </c>
      <c r="L69" s="210">
        <f>(SUMIFS('Bucket Counts'!$P:$P, 'Bucket Counts'!$D:$D, 'Summary-info'!$A69, 'Bucket Counts'!$A:$A, "="&amp;L$27))</f>
        <v>7193.3333333333339</v>
      </c>
    </row>
    <row r="70" spans="1:19" s="23" customFormat="1" ht="22" thickTop="1" x14ac:dyDescent="0.25">
      <c r="A70" s="116"/>
      <c r="B70" s="116"/>
      <c r="C70" s="465" t="s">
        <v>218</v>
      </c>
      <c r="D70" s="465"/>
      <c r="E70" s="465"/>
      <c r="F70" s="465"/>
      <c r="G70" s="465"/>
      <c r="H70" s="465"/>
      <c r="I70" s="465"/>
      <c r="J70" s="465"/>
      <c r="K70" s="465"/>
      <c r="Q70" s="23" t="s">
        <v>389</v>
      </c>
      <c r="S70" s="303"/>
    </row>
    <row r="71" spans="1:19" s="206" customFormat="1" ht="19" x14ac:dyDescent="0.25">
      <c r="A71" s="207"/>
      <c r="B71" s="207"/>
      <c r="C71" s="212">
        <f>C27-1</f>
        <v>42890</v>
      </c>
      <c r="D71" s="212">
        <f t="shared" ref="D71:L71" si="11">D27-1</f>
        <v>42894</v>
      </c>
      <c r="E71" s="212">
        <f t="shared" si="11"/>
        <v>42897</v>
      </c>
      <c r="F71" s="212">
        <f t="shared" si="11"/>
        <v>42900</v>
      </c>
      <c r="G71" s="212">
        <f t="shared" si="11"/>
        <v>42904</v>
      </c>
      <c r="H71" s="212">
        <f t="shared" si="11"/>
        <v>42907</v>
      </c>
      <c r="I71" s="212">
        <f t="shared" si="11"/>
        <v>42911</v>
      </c>
      <c r="J71" s="212">
        <f t="shared" si="11"/>
        <v>42914</v>
      </c>
      <c r="K71" s="212">
        <f t="shared" si="11"/>
        <v>42918</v>
      </c>
      <c r="L71" s="212">
        <f t="shared" si="11"/>
        <v>42921</v>
      </c>
      <c r="M71" s="212">
        <v>42925</v>
      </c>
      <c r="N71" s="212">
        <v>42928</v>
      </c>
      <c r="O71" s="212">
        <v>42932</v>
      </c>
      <c r="P71" s="212">
        <v>42935</v>
      </c>
      <c r="Q71" s="212">
        <v>42937</v>
      </c>
    </row>
    <row r="72" spans="1:19" s="17" customFormat="1" x14ac:dyDescent="0.2">
      <c r="A72" s="92" t="s">
        <v>84</v>
      </c>
      <c r="B72" s="116"/>
      <c r="C72" s="116">
        <f>SUMIFS('Bucket Counts'!$P:$P, 'Bucket Counts'!$F:$F, "224", 'Bucket Counts'!$D:$D, 'Summary-info'!$A72, 'Bucket Counts'!$A:$A, "&lt;="&amp;'Summary-info'!C$71)</f>
        <v>0</v>
      </c>
      <c r="D72" s="116">
        <f>SUMIFS('Bucket Counts'!$P:$P, 'Bucket Counts'!$F:$F, "224", 'Bucket Counts'!$D:$D, 'Summary-info'!$A72, 'Bucket Counts'!$A:$A, "&lt;="&amp;'Summary-info'!D$71)</f>
        <v>0</v>
      </c>
      <c r="E72" s="116">
        <f>SUMIFS('Bucket Counts'!$P:$P, 'Bucket Counts'!$F:$F, "224", 'Bucket Counts'!$D:$D, 'Summary-info'!$A72, 'Bucket Counts'!$A:$A, "&lt;="&amp;'Summary-info'!E$71)</f>
        <v>156.66666666666666</v>
      </c>
      <c r="F72" s="116">
        <f>SUMIFS('Bucket Counts'!$P:$P, 'Bucket Counts'!$F:$F, "224", 'Bucket Counts'!$D:$D, 'Summary-info'!$A72, 'Bucket Counts'!$A:$A, "&lt;="&amp;'Summary-info'!F$71)</f>
        <v>756.66666666666663</v>
      </c>
      <c r="G72" s="116">
        <f>SUMIFS('Bucket Counts'!$P:$P, 'Bucket Counts'!$F:$F, "224", 'Bucket Counts'!$D:$D, 'Summary-info'!$A72, 'Bucket Counts'!$A:$A, "&lt;="&amp;'Summary-info'!G$71)</f>
        <v>1223.3333333333333</v>
      </c>
      <c r="H72" s="116">
        <f>SUMIFS('Bucket Counts'!$P:$P, 'Bucket Counts'!$F:$F, "224", 'Bucket Counts'!$D:$D, 'Summary-info'!$A72, 'Bucket Counts'!$A:$A, "&lt;="&amp;'Summary-info'!H$71)</f>
        <v>2103.333333333333</v>
      </c>
      <c r="I72" s="116">
        <f>SUMIFS('Bucket Counts'!$P:$P, 'Bucket Counts'!$F:$F, "224", 'Bucket Counts'!$D:$D, 'Summary-info'!$A72, 'Bucket Counts'!$A:$A, "&lt;="&amp;'Summary-info'!I$71)</f>
        <v>2861.6666666666665</v>
      </c>
      <c r="J72" s="116">
        <f>SUMIFS('Bucket Counts'!$P:$P, 'Bucket Counts'!$F:$F, "224", 'Bucket Counts'!$D:$D, 'Summary-info'!$A72, 'Bucket Counts'!$A:$A, "&lt;="&amp;'Summary-info'!J$71)</f>
        <v>3511.6666666666665</v>
      </c>
      <c r="K72" s="116">
        <f>SUMIFS('Bucket Counts'!$P:$P, 'Bucket Counts'!$F:$F, "224", 'Bucket Counts'!$D:$D, 'Summary-info'!$A72, 'Bucket Counts'!$A:$A, "&lt;="&amp;'Summary-info'!K$71)</f>
        <v>3626.6666666666665</v>
      </c>
      <c r="L72" s="116">
        <f>SUMIFS('Bucket Counts'!$P:$P, 'Bucket Counts'!$F:$F, "224", 'Bucket Counts'!$D:$D, 'Summary-info'!$A72, 'Bucket Counts'!$A:$A, "&lt;="&amp;'Summary-info'!L$71)</f>
        <v>3626.6666666666665</v>
      </c>
      <c r="M72" s="116">
        <f>SUMIFS('Bucket Counts'!$P:$P, 'Bucket Counts'!$F:$F, "224", 'Bucket Counts'!$D:$D, 'Summary-info'!$A72, 'Bucket Counts'!$A:$A, "&lt;="&amp;'Summary-info'!M$71)</f>
        <v>3667.6666666666665</v>
      </c>
      <c r="N72" s="116">
        <f>SUMIFS('Bucket Counts'!$P:$P, 'Bucket Counts'!$F:$F, "224", 'Bucket Counts'!$D:$D, 'Summary-info'!$A72, 'Bucket Counts'!$A:$A, "&lt;="&amp;'Summary-info'!N$71)</f>
        <v>3695.4444444444443</v>
      </c>
      <c r="O72" s="116">
        <f>SUMIFS('Bucket Counts'!$P:$P, 'Bucket Counts'!$F:$F, "224", 'Bucket Counts'!$D:$D, 'Summary-info'!$A72, 'Bucket Counts'!$A:$A, "&lt;="&amp;'Summary-info'!O$71)</f>
        <v>3696.4444444444443</v>
      </c>
      <c r="P72" s="116">
        <f>SUMIFS('Bucket Counts'!$P:$P, 'Bucket Counts'!$F:$F, "224", 'Bucket Counts'!$D:$D, 'Summary-info'!$A72, 'Bucket Counts'!$A:$A, "&lt;="&amp;'Summary-info'!P$71)</f>
        <v>3724.2222222222222</v>
      </c>
      <c r="Q72" s="116">
        <f>SUMIFS('Bucket Counts'!$P:$P, 'Bucket Counts'!$F:$F, "224", 'Bucket Counts'!$D:$D, 'Summary-info'!$A72, 'Bucket Counts'!$A:$A, "&lt;="&amp;'Summary-info'!Q$71)</f>
        <v>3736.2222222222222</v>
      </c>
    </row>
    <row r="73" spans="1:19" x14ac:dyDescent="0.2">
      <c r="A73" s="24" t="s">
        <v>83</v>
      </c>
      <c r="C73" s="116">
        <f>SUMIFS('Bucket Counts'!$P:$P, 'Bucket Counts'!$F:$F, "224", 'Bucket Counts'!$D:$D, 'Summary-info'!$A73, 'Bucket Counts'!$A:$A, "&lt;="&amp;'Summary-info'!C$71)</f>
        <v>0</v>
      </c>
      <c r="D73" s="116">
        <f>SUMIFS('Bucket Counts'!$P:$P, 'Bucket Counts'!$F:$F, "224", 'Bucket Counts'!$D:$D, 'Summary-info'!$A73, 'Bucket Counts'!$A:$A, "&lt;="&amp;'Summary-info'!D$71)</f>
        <v>90</v>
      </c>
      <c r="E73" s="116">
        <f>SUMIFS('Bucket Counts'!$P:$P, 'Bucket Counts'!$F:$F, "224", 'Bucket Counts'!$D:$D, 'Summary-info'!$A73, 'Bucket Counts'!$A:$A, "&lt;="&amp;'Summary-info'!E$71)</f>
        <v>233.33333333333331</v>
      </c>
      <c r="F73" s="116">
        <f>SUMIFS('Bucket Counts'!$P:$P, 'Bucket Counts'!$F:$F, "224", 'Bucket Counts'!$D:$D, 'Summary-info'!$A73, 'Bucket Counts'!$A:$A, "&lt;="&amp;'Summary-info'!F$71)</f>
        <v>533.33333333333326</v>
      </c>
      <c r="G73" s="116">
        <f>SUMIFS('Bucket Counts'!$P:$P, 'Bucket Counts'!$F:$F, "224", 'Bucket Counts'!$D:$D, 'Summary-info'!$A73, 'Bucket Counts'!$A:$A, "&lt;="&amp;'Summary-info'!G$71)</f>
        <v>2400</v>
      </c>
      <c r="H73" s="116">
        <f>SUMIFS('Bucket Counts'!$P:$P, 'Bucket Counts'!$F:$F, "224", 'Bucket Counts'!$D:$D, 'Summary-info'!$A73, 'Bucket Counts'!$A:$A, "&lt;="&amp;'Summary-info'!H$71)</f>
        <v>2570</v>
      </c>
      <c r="I73" s="116">
        <f>SUMIFS('Bucket Counts'!$P:$P, 'Bucket Counts'!$F:$F, "224", 'Bucket Counts'!$D:$D, 'Summary-info'!$A73, 'Bucket Counts'!$A:$A, "&lt;="&amp;'Summary-info'!I$71)</f>
        <v>2786.6666666666665</v>
      </c>
      <c r="J73" s="116">
        <f>SUMIFS('Bucket Counts'!$P:$P, 'Bucket Counts'!$F:$F, "224", 'Bucket Counts'!$D:$D, 'Summary-info'!$A73, 'Bucket Counts'!$A:$A, "&lt;="&amp;'Summary-info'!J$71)</f>
        <v>2786.6666666666665</v>
      </c>
      <c r="K73" s="116">
        <f>SUMIFS('Bucket Counts'!$P:$P, 'Bucket Counts'!$F:$F, "224", 'Bucket Counts'!$D:$D, 'Summary-info'!$A73, 'Bucket Counts'!$A:$A, "&lt;="&amp;'Summary-info'!K$71)</f>
        <v>2786.6666666666665</v>
      </c>
      <c r="L73" s="116">
        <f>SUMIFS('Bucket Counts'!$P:$P, 'Bucket Counts'!$F:$F, "224", 'Bucket Counts'!$D:$D, 'Summary-info'!$A73, 'Bucket Counts'!$A:$A, "&lt;="&amp;'Summary-info'!L$71)</f>
        <v>2788.6666666666665</v>
      </c>
      <c r="M73" s="116">
        <f>SUMIFS('Bucket Counts'!$P:$P, 'Bucket Counts'!$F:$F, "224", 'Bucket Counts'!$D:$D, 'Summary-info'!$A73, 'Bucket Counts'!$A:$A, "&lt;="&amp;'Summary-info'!M$71)</f>
        <v>2801.6666666666665</v>
      </c>
      <c r="N73" s="116">
        <f>SUMIFS('Bucket Counts'!$P:$P, 'Bucket Counts'!$F:$F, "224", 'Bucket Counts'!$D:$D, 'Summary-info'!$A73, 'Bucket Counts'!$A:$A, "&lt;="&amp;'Summary-info'!N$71)</f>
        <v>2810.6666666666665</v>
      </c>
      <c r="O73" s="116">
        <f>SUMIFS('Bucket Counts'!$P:$P, 'Bucket Counts'!$F:$F, "224", 'Bucket Counts'!$D:$D, 'Summary-info'!$A73, 'Bucket Counts'!$A:$A, "&lt;="&amp;'Summary-info'!O$71)</f>
        <v>2810.6666666666665</v>
      </c>
      <c r="P73" s="116">
        <f>SUMIFS('Bucket Counts'!$P:$P, 'Bucket Counts'!$F:$F, "224", 'Bucket Counts'!$D:$D, 'Summary-info'!$A73, 'Bucket Counts'!$A:$A, "&lt;="&amp;'Summary-info'!P$71)</f>
        <v>2810.6666666666665</v>
      </c>
      <c r="Q73" s="116">
        <f>SUMIFS('Bucket Counts'!$P:$P, 'Bucket Counts'!$F:$F, "224", 'Bucket Counts'!$D:$D, 'Summary-info'!$A73, 'Bucket Counts'!$A:$A, "&lt;="&amp;'Summary-info'!Q$71)</f>
        <v>2977.333333333333</v>
      </c>
      <c r="R73" s="17"/>
    </row>
    <row r="74" spans="1:19" x14ac:dyDescent="0.2">
      <c r="A74" s="24" t="s">
        <v>85</v>
      </c>
      <c r="C74" s="116">
        <f>SUMIFS('Bucket Counts'!$P:$P, 'Bucket Counts'!$F:$F, "224", 'Bucket Counts'!$D:$D, 'Summary-info'!$A74, 'Bucket Counts'!$A:$A, "&lt;="&amp;'Summary-info'!C$71)</f>
        <v>0</v>
      </c>
      <c r="D74" s="116">
        <f>SUMIFS('Bucket Counts'!$P:$P, 'Bucket Counts'!$F:$F, "224", 'Bucket Counts'!$D:$D, 'Summary-info'!$A74, 'Bucket Counts'!$A:$A, "&lt;="&amp;'Summary-info'!D$71)</f>
        <v>90</v>
      </c>
      <c r="E74" s="116">
        <f>SUMIFS('Bucket Counts'!$P:$P, 'Bucket Counts'!$F:$F, "224", 'Bucket Counts'!$D:$D, 'Summary-info'!$A74, 'Bucket Counts'!$A:$A, "&lt;="&amp;'Summary-info'!E$71)</f>
        <v>703.33333333333326</v>
      </c>
      <c r="F74" s="116">
        <f>SUMIFS('Bucket Counts'!$P:$P, 'Bucket Counts'!$F:$F, "224", 'Bucket Counts'!$D:$D, 'Summary-info'!$A74, 'Bucket Counts'!$A:$A, "&lt;="&amp;'Summary-info'!F$71)</f>
        <v>2713.333333333333</v>
      </c>
      <c r="G74" s="116">
        <f>SUMIFS('Bucket Counts'!$P:$P, 'Bucket Counts'!$F:$F, "224", 'Bucket Counts'!$D:$D, 'Summary-info'!$A74, 'Bucket Counts'!$A:$A, "&lt;="&amp;'Summary-info'!G$71)</f>
        <v>3913.333333333333</v>
      </c>
      <c r="H74" s="116">
        <f>SUMIFS('Bucket Counts'!$P:$P, 'Bucket Counts'!$F:$F, "224", 'Bucket Counts'!$D:$D, 'Summary-info'!$A74, 'Bucket Counts'!$A:$A, "&lt;="&amp;'Summary-info'!H$71)</f>
        <v>6080</v>
      </c>
      <c r="I74" s="116">
        <f>SUMIFS('Bucket Counts'!$P:$P, 'Bucket Counts'!$F:$F, "224", 'Bucket Counts'!$D:$D, 'Summary-info'!$A74, 'Bucket Counts'!$A:$A, "&lt;="&amp;'Summary-info'!I$71)</f>
        <v>9500</v>
      </c>
      <c r="J74" s="116">
        <f>SUMIFS('Bucket Counts'!$P:$P, 'Bucket Counts'!$F:$F, "224", 'Bucket Counts'!$D:$D, 'Summary-info'!$A74, 'Bucket Counts'!$A:$A, "&lt;="&amp;'Summary-info'!J$71)</f>
        <v>10666.666666666666</v>
      </c>
      <c r="K74" s="116">
        <f>SUMIFS('Bucket Counts'!$P:$P, 'Bucket Counts'!$F:$F, "224", 'Bucket Counts'!$D:$D, 'Summary-info'!$A74, 'Bucket Counts'!$A:$A, "&lt;="&amp;'Summary-info'!K$71)</f>
        <v>11016.666666666666</v>
      </c>
      <c r="L74" s="116">
        <f>SUMIFS('Bucket Counts'!$P:$P, 'Bucket Counts'!$F:$F, "224", 'Bucket Counts'!$D:$D, 'Summary-info'!$A74, 'Bucket Counts'!$A:$A, "&lt;="&amp;'Summary-info'!L$71)</f>
        <v>11074.444444444443</v>
      </c>
      <c r="M74" s="116">
        <f>SUMIFS('Bucket Counts'!$P:$P, 'Bucket Counts'!$F:$F, "224", 'Bucket Counts'!$D:$D, 'Summary-info'!$A74, 'Bucket Counts'!$A:$A, "&lt;="&amp;'Summary-info'!M$71)</f>
        <v>11099.444444444443</v>
      </c>
      <c r="N74" s="116">
        <f>SUMIFS('Bucket Counts'!$P:$P, 'Bucket Counts'!$F:$F, "224", 'Bucket Counts'!$D:$D, 'Summary-info'!$A74, 'Bucket Counts'!$A:$A, "&lt;="&amp;'Summary-info'!N$71)</f>
        <v>11106.444444444443</v>
      </c>
      <c r="O74" s="116">
        <f>SUMIFS('Bucket Counts'!$P:$P, 'Bucket Counts'!$F:$F, "224", 'Bucket Counts'!$D:$D, 'Summary-info'!$A74, 'Bucket Counts'!$A:$A, "&lt;="&amp;'Summary-info'!O$71)</f>
        <v>11106.444444444443</v>
      </c>
      <c r="P74" s="116">
        <f>SUMIFS('Bucket Counts'!$P:$P, 'Bucket Counts'!$F:$F, "224", 'Bucket Counts'!$D:$D, 'Summary-info'!$A74, 'Bucket Counts'!$A:$A, "&lt;="&amp;'Summary-info'!P$71)</f>
        <v>11106.444444444443</v>
      </c>
      <c r="Q74" s="116">
        <f>SUMIFS('Bucket Counts'!$P:$P, 'Bucket Counts'!$F:$F, "224", 'Bucket Counts'!$D:$D, 'Summary-info'!$A74, 'Bucket Counts'!$A:$A, "&lt;="&amp;'Summary-info'!Q$71)</f>
        <v>11106.444444444443</v>
      </c>
      <c r="R74" s="17"/>
    </row>
    <row r="75" spans="1:19" x14ac:dyDescent="0.2">
      <c r="A75" s="24" t="s">
        <v>104</v>
      </c>
      <c r="C75" s="116">
        <f>SUMIFS('Bucket Counts'!$P:$P, 'Bucket Counts'!$F:$F, "224", 'Bucket Counts'!$D:$D, 'Summary-info'!$A75, 'Bucket Counts'!$A:$A, "&lt;="&amp;'Summary-info'!C$71)</f>
        <v>0</v>
      </c>
      <c r="D75" s="116">
        <f>SUMIFS('Bucket Counts'!$P:$P, 'Bucket Counts'!$F:$F, "224", 'Bucket Counts'!$D:$D, 'Summary-info'!$A75, 'Bucket Counts'!$A:$A, "&lt;="&amp;'Summary-info'!D$71)</f>
        <v>38.888888888888886</v>
      </c>
      <c r="E75" s="116">
        <f>SUMIFS('Bucket Counts'!$P:$P, 'Bucket Counts'!$F:$F, "224", 'Bucket Counts'!$D:$D, 'Summary-info'!$A75, 'Bucket Counts'!$A:$A, "&lt;="&amp;'Summary-info'!E$71)</f>
        <v>38.888888888888886</v>
      </c>
      <c r="F75" s="116">
        <f>SUMIFS('Bucket Counts'!$P:$P, 'Bucket Counts'!$F:$F, "224", 'Bucket Counts'!$D:$D, 'Summary-info'!$A75, 'Bucket Counts'!$A:$A, "&lt;="&amp;'Summary-info'!F$71)</f>
        <v>188.88888888888889</v>
      </c>
      <c r="G75" s="116">
        <f>SUMIFS('Bucket Counts'!$P:$P, 'Bucket Counts'!$F:$F, "224", 'Bucket Counts'!$D:$D, 'Summary-info'!$A75, 'Bucket Counts'!$A:$A, "&lt;="&amp;'Summary-info'!G$71)</f>
        <v>522.22222222222217</v>
      </c>
      <c r="H75" s="116">
        <f>SUMIFS('Bucket Counts'!$P:$P, 'Bucket Counts'!$F:$F, "224", 'Bucket Counts'!$D:$D, 'Summary-info'!$A75, 'Bucket Counts'!$A:$A, "&lt;="&amp;'Summary-info'!H$71)</f>
        <v>702.22222222222217</v>
      </c>
      <c r="I75" s="116">
        <f>SUMIFS('Bucket Counts'!$P:$P, 'Bucket Counts'!$F:$F, "224", 'Bucket Counts'!$D:$D, 'Summary-info'!$A75, 'Bucket Counts'!$A:$A, "&lt;="&amp;'Summary-info'!I$71)</f>
        <v>1128.8888888888887</v>
      </c>
      <c r="J75" s="116">
        <f>SUMIFS('Bucket Counts'!$P:$P, 'Bucket Counts'!$F:$F, "224", 'Bucket Counts'!$D:$D, 'Summary-info'!$A75, 'Bucket Counts'!$A:$A, "&lt;="&amp;'Summary-info'!J$71)</f>
        <v>3158.8888888888887</v>
      </c>
      <c r="K75" s="116">
        <f>SUMIFS('Bucket Counts'!$P:$P, 'Bucket Counts'!$F:$F, "224", 'Bucket Counts'!$D:$D, 'Summary-info'!$A75, 'Bucket Counts'!$A:$A, "&lt;="&amp;'Summary-info'!K$71)</f>
        <v>4258.8888888888887</v>
      </c>
      <c r="L75" s="116">
        <f>SUMIFS('Bucket Counts'!$P:$P, 'Bucket Counts'!$F:$F, "224", 'Bucket Counts'!$D:$D, 'Summary-info'!$A75, 'Bucket Counts'!$A:$A, "&lt;="&amp;'Summary-info'!L$71)</f>
        <v>5775.5555555555557</v>
      </c>
      <c r="M75" s="116">
        <f>SUMIFS('Bucket Counts'!$P:$P, 'Bucket Counts'!$F:$F, "224", 'Bucket Counts'!$D:$D, 'Summary-info'!$A75, 'Bucket Counts'!$A:$A, "&lt;="&amp;'Summary-info'!M$71)</f>
        <v>8675.5555555555547</v>
      </c>
      <c r="N75" s="116">
        <f>SUMIFS('Bucket Counts'!$P:$P, 'Bucket Counts'!$F:$F, "224", 'Bucket Counts'!$D:$D, 'Summary-info'!$A75, 'Bucket Counts'!$A:$A, "&lt;="&amp;'Summary-info'!N$71)</f>
        <v>11196.388888888887</v>
      </c>
      <c r="O75" s="116">
        <f>SUMIFS('Bucket Counts'!$P:$P, 'Bucket Counts'!$F:$F, "224", 'Bucket Counts'!$D:$D, 'Summary-info'!$A75, 'Bucket Counts'!$A:$A, "&lt;="&amp;'Summary-info'!O$71)</f>
        <v>11289.722222222221</v>
      </c>
      <c r="P75" s="116">
        <f>SUMIFS('Bucket Counts'!$P:$P, 'Bucket Counts'!$F:$F, "224", 'Bucket Counts'!$D:$D, 'Summary-info'!$A75, 'Bucket Counts'!$A:$A, "&lt;="&amp;'Summary-info'!P$71)</f>
        <v>11400.833333333332</v>
      </c>
      <c r="Q75" s="116">
        <f>SUMIFS('Bucket Counts'!$P:$P, 'Bucket Counts'!$F:$F, "224", 'Bucket Counts'!$D:$D, 'Summary-info'!$A75, 'Bucket Counts'!$A:$A, "&lt;="&amp;'Summary-info'!Q$71)</f>
        <v>11400.833333333332</v>
      </c>
      <c r="R75" s="17"/>
    </row>
    <row r="76" spans="1:19" x14ac:dyDescent="0.2">
      <c r="A76" s="24" t="s">
        <v>86</v>
      </c>
      <c r="C76" s="116">
        <f>SUMIFS('Bucket Counts'!$P:$P, 'Bucket Counts'!$F:$F, "224", 'Bucket Counts'!$D:$D, 'Summary-info'!$A76, 'Bucket Counts'!$A:$A, "&lt;="&amp;'Summary-info'!C$71)</f>
        <v>0</v>
      </c>
      <c r="D76" s="116">
        <f>SUMIFS('Bucket Counts'!$P:$P, 'Bucket Counts'!$F:$F, "224", 'Bucket Counts'!$D:$D, 'Summary-info'!$A76, 'Bucket Counts'!$A:$A, "&lt;="&amp;'Summary-info'!D$71)</f>
        <v>0</v>
      </c>
      <c r="E76" s="116">
        <f>SUMIFS('Bucket Counts'!$P:$P, 'Bucket Counts'!$F:$F, "224", 'Bucket Counts'!$D:$D, 'Summary-info'!$A76, 'Bucket Counts'!$A:$A, "&lt;="&amp;'Summary-info'!E$71)</f>
        <v>150</v>
      </c>
      <c r="F76" s="116">
        <f>SUMIFS('Bucket Counts'!$P:$P, 'Bucket Counts'!$F:$F, "224", 'Bucket Counts'!$D:$D, 'Summary-info'!$A76, 'Bucket Counts'!$A:$A, "&lt;="&amp;'Summary-info'!F$71)</f>
        <v>1141.6666666666667</v>
      </c>
      <c r="G76" s="226">
        <f>SUMIFS('Bucket Counts'!$P:$P, 'Bucket Counts'!$F:$F, "224", 'Bucket Counts'!$D:$D, 'Summary-info'!$A76, 'Bucket Counts'!$A:$A, "&lt;="&amp;'Summary-info'!G$71)-'Bucket Counts'!$P$257</f>
        <v>1141.6666666666679</v>
      </c>
      <c r="H76" s="226">
        <f>SUMIFS('Bucket Counts'!$P:$P, 'Bucket Counts'!$F:$F, "224", 'Bucket Counts'!$D:$D, 'Summary-info'!$A76, 'Bucket Counts'!$A:$A, "&lt;="&amp;'Summary-info'!H$71)-'Bucket Counts'!$P$257</f>
        <v>20608.333333333332</v>
      </c>
      <c r="I76" s="226">
        <f>SUMIFS('Bucket Counts'!$P:$P, 'Bucket Counts'!$F:$F, "224", 'Bucket Counts'!$D:$D, 'Summary-info'!$A76, 'Bucket Counts'!$A:$A, "&lt;="&amp;'Summary-info'!I$71)-'Bucket Counts'!$P$257</f>
        <v>21608.333333333332</v>
      </c>
      <c r="J76" s="226">
        <f>SUMIFS('Bucket Counts'!$P:$P, 'Bucket Counts'!$F:$F, "224", 'Bucket Counts'!$D:$D, 'Summary-info'!$A76, 'Bucket Counts'!$A:$A, "&lt;="&amp;'Summary-info'!J$71)-'Bucket Counts'!$P$257</f>
        <v>21608.333333333332</v>
      </c>
      <c r="K76" s="226">
        <f>SUMIFS('Bucket Counts'!$P:$P, 'Bucket Counts'!$F:$F, "224", 'Bucket Counts'!$D:$D, 'Summary-info'!$A76, 'Bucket Counts'!$A:$A, "&lt;="&amp;'Summary-info'!K$71)-'Bucket Counts'!$P$257</f>
        <v>21608.333333333332</v>
      </c>
      <c r="L76" s="226">
        <f>SUMIFS('Bucket Counts'!$P:$P, 'Bucket Counts'!$F:$F, "224", 'Bucket Counts'!$D:$D, 'Summary-info'!$A76, 'Bucket Counts'!$A:$A, "&lt;="&amp;'Summary-info'!L$71)-'Bucket Counts'!$P$257</f>
        <v>21611.333333333332</v>
      </c>
      <c r="M76" s="226">
        <f>SUMIFS('Bucket Counts'!$P:$P, 'Bucket Counts'!$F:$F, "224", 'Bucket Counts'!$D:$D, 'Summary-info'!$A76, 'Bucket Counts'!$A:$A, "&lt;="&amp;'Summary-info'!M$71)-'Bucket Counts'!$P$257</f>
        <v>21619.333333333332</v>
      </c>
      <c r="N76" s="226">
        <f>SUMIFS('Bucket Counts'!$P:$P, 'Bucket Counts'!$F:$F, "224", 'Bucket Counts'!$D:$D, 'Summary-info'!$A76, 'Bucket Counts'!$A:$A, "&lt;="&amp;'Summary-info'!N$71)-'Bucket Counts'!$P$257</f>
        <v>21630.333333333332</v>
      </c>
      <c r="O76" s="226">
        <f>SUMIFS('Bucket Counts'!$P:$P, 'Bucket Counts'!$F:$F, "224", 'Bucket Counts'!$D:$D, 'Summary-info'!$A76, 'Bucket Counts'!$A:$A, "&lt;="&amp;'Summary-info'!O$71)-'Bucket Counts'!$P$257</f>
        <v>21630.333333333332</v>
      </c>
      <c r="P76" s="226">
        <f>SUMIFS('Bucket Counts'!$P:$P, 'Bucket Counts'!$F:$F, "224", 'Bucket Counts'!$D:$D, 'Summary-info'!$A76, 'Bucket Counts'!$A:$A, "&lt;="&amp;'Summary-info'!P$71)-'Bucket Counts'!$P$257</f>
        <v>21640.333333333332</v>
      </c>
      <c r="Q76" s="226">
        <f>SUMIFS('Bucket Counts'!$P:$P, 'Bucket Counts'!$F:$F, "224", 'Bucket Counts'!$D:$D, 'Summary-info'!$A76, 'Bucket Counts'!$A:$A, "&lt;="&amp;'Summary-info'!Q$71)-'Bucket Counts'!$P$257</f>
        <v>29595.333333333332</v>
      </c>
      <c r="R76" s="17"/>
    </row>
    <row r="77" spans="1:19" x14ac:dyDescent="0.2">
      <c r="A77" s="24" t="s">
        <v>74</v>
      </c>
      <c r="C77" s="116" t="s">
        <v>75</v>
      </c>
      <c r="D77" s="116" t="s">
        <v>75</v>
      </c>
      <c r="E77" s="116" t="s">
        <v>75</v>
      </c>
      <c r="F77" s="116" t="s">
        <v>75</v>
      </c>
      <c r="G77" s="116">
        <f>SUMIFS('Bucket Counts'!$P:$P, 'Bucket Counts'!$F:$F, "224", 'Bucket Counts'!$D:$D, 'Summary-info'!$A77, 'Bucket Counts'!$A:$A, "&lt;="&amp;'Summary-info'!G$71, 'Bucket Counts'!$A:$A, "&gt;"&amp;"6/16/2017")</f>
        <v>0</v>
      </c>
      <c r="H77" s="116">
        <f>SUMIFS('Bucket Counts'!$P:$P, 'Bucket Counts'!$F:$F, "224", 'Bucket Counts'!$D:$D, 'Summary-info'!$A77, 'Bucket Counts'!$A:$A, "&lt;="&amp;'Summary-info'!H$71, 'Bucket Counts'!$A:$A, "&gt;"&amp;"6/16/2017")</f>
        <v>166.66666666666666</v>
      </c>
      <c r="I77" s="116">
        <f>SUMIFS('Bucket Counts'!$P:$P, 'Bucket Counts'!$F:$F, "224", 'Bucket Counts'!$D:$D, 'Summary-info'!$A77, 'Bucket Counts'!$A:$A, "&lt;="&amp;'Summary-info'!I$71, 'Bucket Counts'!$A:$A, "&gt;"&amp;"6/16/2017")</f>
        <v>366.66666666666663</v>
      </c>
      <c r="J77" s="116">
        <f>SUMIFS('Bucket Counts'!$P:$P, 'Bucket Counts'!$F:$F, "224", 'Bucket Counts'!$D:$D, 'Summary-info'!$A77, 'Bucket Counts'!$A:$A, "&lt;="&amp;'Summary-info'!J$71, 'Bucket Counts'!$A:$A, "&gt;"&amp;"6/16/2017")</f>
        <v>4426.666666666667</v>
      </c>
      <c r="K77" s="116">
        <f>SUMIFS('Bucket Counts'!$P:$P, 'Bucket Counts'!$F:$F, "224", 'Bucket Counts'!$D:$D, 'Summary-info'!$A77, 'Bucket Counts'!$A:$A, "&lt;="&amp;'Summary-info'!K$71, 'Bucket Counts'!$A:$A, "&gt;"&amp;"6/16/2017")</f>
        <v>4539.166666666667</v>
      </c>
      <c r="L77" s="116">
        <f>SUMIFS('Bucket Counts'!$P:$P, 'Bucket Counts'!$F:$F, "224", 'Bucket Counts'!$D:$D, 'Summary-info'!$A77, 'Bucket Counts'!$A:$A, "&lt;="&amp;'Summary-info'!L$71, 'Bucket Counts'!$A:$A, "&gt;"&amp;"6/16/2017")</f>
        <v>4590.2777777777783</v>
      </c>
      <c r="M77" s="116">
        <f>SUMIFS('Bucket Counts'!$P:$P, 'Bucket Counts'!$F:$F, "224", 'Bucket Counts'!$D:$D, 'Summary-info'!$A77, 'Bucket Counts'!$A:$A, "&lt;="&amp;'Summary-info'!M$71, 'Bucket Counts'!$A:$A, "&gt;"&amp;"6/16/2017")</f>
        <v>4649.2777777777783</v>
      </c>
      <c r="N77" s="116">
        <f>SUMIFS('Bucket Counts'!$P:$P, 'Bucket Counts'!$F:$F, "224", 'Bucket Counts'!$D:$D, 'Summary-info'!$A77, 'Bucket Counts'!$A:$A, "&lt;="&amp;'Summary-info'!N$71, 'Bucket Counts'!$A:$A, "&gt;"&amp;"6/16/2017")</f>
        <v>4710.2777777777783</v>
      </c>
      <c r="O77" s="116">
        <f>SUMIFS('Bucket Counts'!$P:$P, 'Bucket Counts'!$F:$F, "224", 'Bucket Counts'!$D:$D, 'Summary-info'!$A77, 'Bucket Counts'!$A:$A, "&lt;="&amp;'Summary-info'!O$71, 'Bucket Counts'!$A:$A, "&gt;"&amp;"6/16/2017")</f>
        <v>4719.2777777777783</v>
      </c>
      <c r="P77" s="116">
        <f>SUMIFS('Bucket Counts'!$P:$P, 'Bucket Counts'!$F:$F, "224", 'Bucket Counts'!$D:$D, 'Summary-info'!$A77, 'Bucket Counts'!$A:$A, "&lt;="&amp;'Summary-info'!P$71, 'Bucket Counts'!$A:$A, "&gt;"&amp;"6/16/2017")</f>
        <v>4720.2777777777783</v>
      </c>
      <c r="Q77" s="116">
        <f>SUMIFS('Bucket Counts'!$P:$P, 'Bucket Counts'!$F:$F, "224", 'Bucket Counts'!$D:$D, 'Summary-info'!$A77, 'Bucket Counts'!$A:$A, "&lt;="&amp;'Summary-info'!Q$71, 'Bucket Counts'!$A:$A, "&gt;"&amp;"6/16/2017")</f>
        <v>4720.2777777777783</v>
      </c>
      <c r="R77" s="17"/>
    </row>
    <row r="78" spans="1:19" x14ac:dyDescent="0.2">
      <c r="A78" s="24" t="s">
        <v>87</v>
      </c>
      <c r="C78" s="116">
        <f>SUMIFS('Bucket Counts'!$P:$P, 'Bucket Counts'!$F:$F, "224", 'Bucket Counts'!$D:$D, 'Summary-info'!$A78, 'Bucket Counts'!$A:$A, "&lt;="&amp;'Summary-info'!C$71)</f>
        <v>0</v>
      </c>
      <c r="D78" s="116">
        <f>SUMIFS('Bucket Counts'!$P:$P, 'Bucket Counts'!$F:$F, "224", 'Bucket Counts'!$D:$D, 'Summary-info'!$A78, 'Bucket Counts'!$A:$A, "&lt;="&amp;'Summary-info'!D$71)</f>
        <v>123.33333333333333</v>
      </c>
      <c r="E78" s="116">
        <f>SUMIFS('Bucket Counts'!$P:$P, 'Bucket Counts'!$F:$F, "224", 'Bucket Counts'!$D:$D, 'Summary-info'!$A78, 'Bucket Counts'!$A:$A, "&lt;="&amp;'Summary-info'!E$71)</f>
        <v>123.33333333333333</v>
      </c>
      <c r="F78" s="116">
        <f>SUMIFS('Bucket Counts'!$P:$P, 'Bucket Counts'!$F:$F, "224", 'Bucket Counts'!$D:$D, 'Summary-info'!$A78, 'Bucket Counts'!$A:$A, "&lt;="&amp;'Summary-info'!F$71)</f>
        <v>123.33333333333333</v>
      </c>
      <c r="G78" s="116">
        <f>SUMIFS('Bucket Counts'!$P:$P, 'Bucket Counts'!$F:$F, "224", 'Bucket Counts'!$D:$D, 'Summary-info'!$A78, 'Bucket Counts'!$A:$A, "&lt;="&amp;'Summary-info'!G$71)</f>
        <v>473.33333333333331</v>
      </c>
      <c r="H78" s="116">
        <f>SUMIFS('Bucket Counts'!$P:$P, 'Bucket Counts'!$F:$F, "224", 'Bucket Counts'!$D:$D, 'Summary-info'!$A78, 'Bucket Counts'!$A:$A, "&lt;="&amp;'Summary-info'!H$71)</f>
        <v>5640</v>
      </c>
      <c r="I78" s="116">
        <f>SUMIFS('Bucket Counts'!$P:$P, 'Bucket Counts'!$F:$F, "224", 'Bucket Counts'!$D:$D, 'Summary-info'!$A78, 'Bucket Counts'!$A:$A, "&lt;="&amp;'Summary-info'!I$71)</f>
        <v>10140</v>
      </c>
      <c r="J78" s="116">
        <f>SUMIFS('Bucket Counts'!$P:$P, 'Bucket Counts'!$F:$F, "224", 'Bucket Counts'!$D:$D, 'Summary-info'!$A78, 'Bucket Counts'!$A:$A, "&lt;="&amp;'Summary-info'!J$71)</f>
        <v>11700</v>
      </c>
      <c r="K78" s="116">
        <f>SUMIFS('Bucket Counts'!$P:$P, 'Bucket Counts'!$F:$F, "224", 'Bucket Counts'!$D:$D, 'Summary-info'!$A78, 'Bucket Counts'!$A:$A, "&lt;="&amp;'Summary-info'!K$71)</f>
        <v>11740</v>
      </c>
      <c r="L78" s="116">
        <f>SUMIFS('Bucket Counts'!$P:$P, 'Bucket Counts'!$F:$F, "224", 'Bucket Counts'!$D:$D, 'Summary-info'!$A78, 'Bucket Counts'!$A:$A, "&lt;="&amp;'Summary-info'!L$71)</f>
        <v>11740</v>
      </c>
      <c r="M78" s="116">
        <f>SUMIFS('Bucket Counts'!$P:$P, 'Bucket Counts'!$F:$F, "224", 'Bucket Counts'!$D:$D, 'Summary-info'!$A78, 'Bucket Counts'!$A:$A, "&lt;="&amp;'Summary-info'!M$71)</f>
        <v>11769</v>
      </c>
      <c r="N78" s="116">
        <f>SUMIFS('Bucket Counts'!$P:$P, 'Bucket Counts'!$F:$F, "224", 'Bucket Counts'!$D:$D, 'Summary-info'!$A78, 'Bucket Counts'!$A:$A, "&lt;="&amp;'Summary-info'!N$71)</f>
        <v>11854</v>
      </c>
      <c r="O78" s="116">
        <f>SUMIFS('Bucket Counts'!$P:$P, 'Bucket Counts'!$F:$F, "224", 'Bucket Counts'!$D:$D, 'Summary-info'!$A78, 'Bucket Counts'!$A:$A, "&lt;="&amp;'Summary-info'!O$71)</f>
        <v>11902.888888888889</v>
      </c>
      <c r="P78" s="116">
        <f>SUMIFS('Bucket Counts'!$P:$P, 'Bucket Counts'!$F:$F, "224", 'Bucket Counts'!$D:$D, 'Summary-info'!$A78, 'Bucket Counts'!$A:$A, "&lt;="&amp;'Summary-info'!P$71)</f>
        <v>11930.666666666666</v>
      </c>
      <c r="Q78" s="116">
        <f>SUMIFS('Bucket Counts'!$P:$P, 'Bucket Counts'!$F:$F, "224", 'Bucket Counts'!$D:$D, 'Summary-info'!$A78, 'Bucket Counts'!$A:$A, "&lt;="&amp;'Summary-info'!Q$71)</f>
        <v>11930.666666666666</v>
      </c>
      <c r="R78" s="17"/>
    </row>
    <row r="79" spans="1:19" x14ac:dyDescent="0.2">
      <c r="A79" s="24" t="s">
        <v>77</v>
      </c>
      <c r="C79" s="116">
        <f>SUMIFS('Bucket Counts'!$P:$P, 'Bucket Counts'!$F:$F, "224", 'Bucket Counts'!$D:$D, 'Summary-info'!$A79, 'Bucket Counts'!$A:$A, "&lt;="&amp;'Summary-info'!C$71)</f>
        <v>0</v>
      </c>
      <c r="D79" s="116">
        <f>SUMIFS('Bucket Counts'!$P:$P, 'Bucket Counts'!$F:$F, "224", 'Bucket Counts'!$D:$D, 'Summary-info'!$A79, 'Bucket Counts'!$A:$A, "&lt;="&amp;'Summary-info'!D$71)</f>
        <v>27.222222222222221</v>
      </c>
      <c r="E79" s="116">
        <f>SUMIFS('Bucket Counts'!$P:$P, 'Bucket Counts'!$F:$F, "224", 'Bucket Counts'!$D:$D, 'Summary-info'!$A79, 'Bucket Counts'!$A:$A, "&lt;="&amp;'Summary-info'!E$71)</f>
        <v>527.22222222222217</v>
      </c>
      <c r="F79" s="116">
        <f>SUMIFS('Bucket Counts'!$P:$P, 'Bucket Counts'!$F:$F, "224", 'Bucket Counts'!$D:$D, 'Summary-info'!$A79, 'Bucket Counts'!$A:$A, "&lt;="&amp;'Summary-info'!F$71)</f>
        <v>787.22222222222217</v>
      </c>
      <c r="G79" s="226">
        <f>SUMIFS('Bucket Counts'!$P:$P, 'Bucket Counts'!$F:$F, "224", 'Bucket Counts'!$D:$D, 'Summary-info'!$A79, 'Bucket Counts'!$A:$A, "&lt;="&amp;'Summary-info'!G$71)</f>
        <v>2787.2222222222222</v>
      </c>
      <c r="H79" s="226">
        <f>SUMIFS('Bucket Counts'!$P:$P, 'Bucket Counts'!$F:$F, "224", 'Bucket Counts'!$D:$D, 'Summary-info'!$A79, 'Bucket Counts'!$A:$A, "&lt;="&amp;'Summary-info'!H$71)</f>
        <v>5040.5555555555547</v>
      </c>
      <c r="I79" s="226">
        <f>SUMIFS('Bucket Counts'!$P:$P, 'Bucket Counts'!$F:$F, "224", 'Bucket Counts'!$D:$D, 'Summary-info'!$A79, 'Bucket Counts'!$A:$A, "&lt;="&amp;'Summary-info'!I$71)</f>
        <v>5440.5555555555547</v>
      </c>
      <c r="J79" s="226">
        <f>SUMIFS('Bucket Counts'!$P:$P, 'Bucket Counts'!$F:$F, "224", 'Bucket Counts'!$D:$D, 'Summary-info'!$A79, 'Bucket Counts'!$A:$A, "&lt;="&amp;'Summary-info'!J$71)</f>
        <v>5590.5555555555547</v>
      </c>
      <c r="K79" s="226">
        <f>SUMIFS('Bucket Counts'!$P:$P, 'Bucket Counts'!$F:$F, "224", 'Bucket Counts'!$D:$D, 'Summary-info'!$A79, 'Bucket Counts'!$A:$A, "&lt;="&amp;'Summary-info'!K$71)</f>
        <v>5632.2222222222217</v>
      </c>
      <c r="L79" s="226">
        <f>SUMIFS('Bucket Counts'!$P:$P, 'Bucket Counts'!$F:$F, "224", 'Bucket Counts'!$D:$D, 'Summary-info'!$A79, 'Bucket Counts'!$A:$A, "&lt;="&amp;'Summary-info'!L$71)</f>
        <v>5954.4444444444443</v>
      </c>
      <c r="M79" s="226">
        <f>SUMIFS('Bucket Counts'!$P:$P, 'Bucket Counts'!$F:$F, "224", 'Bucket Counts'!$D:$D, 'Summary-info'!$A79, 'Bucket Counts'!$A:$A, "&lt;="&amp;'Summary-info'!M$71)</f>
        <v>5990.4444444444443</v>
      </c>
      <c r="N79" s="226">
        <f>SUMIFS('Bucket Counts'!$P:$P, 'Bucket Counts'!$F:$F, "224", 'Bucket Counts'!$D:$D, 'Summary-info'!$A79, 'Bucket Counts'!$A:$A, "&lt;="&amp;'Summary-info'!N$71)</f>
        <v>6002.4444444444443</v>
      </c>
      <c r="O79" s="226">
        <f>SUMIFS('Bucket Counts'!$P:$P, 'Bucket Counts'!$F:$F, "224", 'Bucket Counts'!$D:$D, 'Summary-info'!$A79, 'Bucket Counts'!$A:$A, "&lt;="&amp;'Summary-info'!O$71)</f>
        <v>6002.4444444444443</v>
      </c>
      <c r="P79" s="226">
        <f>SUMIFS('Bucket Counts'!$P:$P, 'Bucket Counts'!$F:$F, "224", 'Bucket Counts'!$D:$D, 'Summary-info'!$A79, 'Bucket Counts'!$A:$A, "&lt;="&amp;'Summary-info'!P$71)</f>
        <v>6002.4444444444443</v>
      </c>
      <c r="Q79" s="226">
        <f>SUMIFS('Bucket Counts'!$P:$P, 'Bucket Counts'!$F:$F, "224", 'Bucket Counts'!$D:$D, 'Summary-info'!$A79, 'Bucket Counts'!$A:$A, "&lt;="&amp;'Summary-info'!Q$71)</f>
        <v>6002.4444444444443</v>
      </c>
      <c r="R79" s="17"/>
    </row>
    <row r="80" spans="1:19" x14ac:dyDescent="0.2">
      <c r="A80" s="24" t="s">
        <v>88</v>
      </c>
      <c r="C80" s="116">
        <f>SUMIFS('Bucket Counts'!$P:$P, 'Bucket Counts'!$F:$F, "224", 'Bucket Counts'!$D:$D, 'Summary-info'!$A80, 'Bucket Counts'!$A:$A, "&lt;="&amp;'Summary-info'!C$71)</f>
        <v>0</v>
      </c>
      <c r="D80" s="116">
        <f>SUMIFS('Bucket Counts'!$P:$P, 'Bucket Counts'!$F:$F, "224", 'Bucket Counts'!$D:$D, 'Summary-info'!$A80, 'Bucket Counts'!$A:$A, "&lt;="&amp;'Summary-info'!D$71)</f>
        <v>0</v>
      </c>
      <c r="E80" s="116">
        <f>SUMIFS('Bucket Counts'!$P:$P, 'Bucket Counts'!$F:$F, "224", 'Bucket Counts'!$D:$D, 'Summary-info'!$A80, 'Bucket Counts'!$A:$A, "&lt;="&amp;'Summary-info'!E$71)</f>
        <v>30.555555555555554</v>
      </c>
      <c r="F80" s="116">
        <f>SUMIFS('Bucket Counts'!$P:$P, 'Bucket Counts'!$F:$F, "224", 'Bucket Counts'!$D:$D, 'Summary-info'!$A80, 'Bucket Counts'!$A:$A, "&lt;="&amp;'Summary-info'!F$71)</f>
        <v>1680.5555555555557</v>
      </c>
      <c r="G80" s="116">
        <f>SUMIFS('Bucket Counts'!$P:$P, 'Bucket Counts'!$F:$F, "224", 'Bucket Counts'!$D:$D, 'Summary-info'!$A80, 'Bucket Counts'!$A:$A, "&lt;="&amp;'Summary-info'!G$71)</f>
        <v>3197.2222222222226</v>
      </c>
      <c r="H80" s="116">
        <f>SUMIFS('Bucket Counts'!$P:$P, 'Bucket Counts'!$F:$F, "224", 'Bucket Counts'!$D:$D, 'Summary-info'!$A80, 'Bucket Counts'!$A:$A, "&lt;="&amp;'Summary-info'!H$71)</f>
        <v>6530.5555555555566</v>
      </c>
      <c r="I80" s="116">
        <f>SUMIFS('Bucket Counts'!$P:$P, 'Bucket Counts'!$F:$F, "224", 'Bucket Counts'!$D:$D, 'Summary-info'!$A80, 'Bucket Counts'!$A:$A, "&lt;="&amp;'Summary-info'!I$71)</f>
        <v>9527.2222222222226</v>
      </c>
      <c r="J80" s="116">
        <f>SUMIFS('Bucket Counts'!$P:$P, 'Bucket Counts'!$F:$F, "224", 'Bucket Counts'!$D:$D, 'Summary-info'!$A80, 'Bucket Counts'!$A:$A, "&lt;="&amp;'Summary-info'!J$71)</f>
        <v>11527.222222222223</v>
      </c>
      <c r="K80" s="116">
        <f>SUMIFS('Bucket Counts'!$P:$P, 'Bucket Counts'!$F:$F, "224", 'Bucket Counts'!$D:$D, 'Summary-info'!$A80, 'Bucket Counts'!$A:$A, "&lt;="&amp;'Summary-info'!K$71)</f>
        <v>11877.222222222223</v>
      </c>
      <c r="L80" s="116">
        <f>SUMIFS('Bucket Counts'!$P:$P, 'Bucket Counts'!$F:$F, "224", 'Bucket Counts'!$D:$D, 'Summary-info'!$A80, 'Bucket Counts'!$A:$A, "&lt;="&amp;'Summary-info'!L$71)</f>
        <v>12118.888888888889</v>
      </c>
      <c r="M80" s="116">
        <f>SUMIFS('Bucket Counts'!$P:$P, 'Bucket Counts'!$F:$F, "224", 'Bucket Counts'!$D:$D, 'Summary-info'!$A80, 'Bucket Counts'!$A:$A, "&lt;="&amp;'Summary-info'!M$71)</f>
        <v>12743.888888888889</v>
      </c>
      <c r="N80" s="116">
        <f>SUMIFS('Bucket Counts'!$P:$P, 'Bucket Counts'!$F:$F, "224", 'Bucket Counts'!$D:$D, 'Summary-info'!$A80, 'Bucket Counts'!$A:$A, "&lt;="&amp;'Summary-info'!N$71)</f>
        <v>13677.222222222223</v>
      </c>
      <c r="O80" s="116">
        <f>SUMIFS('Bucket Counts'!$P:$P, 'Bucket Counts'!$F:$F, "224", 'Bucket Counts'!$D:$D, 'Summary-info'!$A80, 'Bucket Counts'!$A:$A, "&lt;="&amp;'Summary-info'!O$71)</f>
        <v>13752.222222222223</v>
      </c>
      <c r="P80" s="116">
        <f>SUMIFS('Bucket Counts'!$P:$P, 'Bucket Counts'!$F:$F, "224", 'Bucket Counts'!$D:$D, 'Summary-info'!$A80, 'Bucket Counts'!$A:$A, "&lt;="&amp;'Summary-info'!P$71)</f>
        <v>13813.333333333334</v>
      </c>
      <c r="Q80" s="116">
        <f>SUMIFS('Bucket Counts'!$P:$P, 'Bucket Counts'!$F:$F, "224", 'Bucket Counts'!$D:$D, 'Summary-info'!$A80, 'Bucket Counts'!$A:$A, "&lt;="&amp;'Summary-info'!Q$71)</f>
        <v>13833.333333333334</v>
      </c>
      <c r="R80" s="17"/>
    </row>
    <row r="81" spans="1:18" x14ac:dyDescent="0.2">
      <c r="A81" s="24" t="s">
        <v>108</v>
      </c>
      <c r="C81" s="116">
        <f>SUMIFS('Bucket Counts'!$P:$P, 'Bucket Counts'!$F:$F, "224", 'Bucket Counts'!$D:$D, 'Summary-info'!$A81, 'Bucket Counts'!$A:$A, "&lt;="&amp;'Summary-info'!C$71)</f>
        <v>0</v>
      </c>
      <c r="D81" s="116">
        <f>SUMIFS('Bucket Counts'!$P:$P, 'Bucket Counts'!$F:$F, "224", 'Bucket Counts'!$D:$D, 'Summary-info'!$A81, 'Bucket Counts'!$A:$A, "&lt;="&amp;'Summary-info'!D$71)</f>
        <v>0</v>
      </c>
      <c r="E81" s="116">
        <f>SUMIFS('Bucket Counts'!$P:$P, 'Bucket Counts'!$F:$F, "224", 'Bucket Counts'!$D:$D, 'Summary-info'!$A81, 'Bucket Counts'!$A:$A, "&lt;="&amp;'Summary-info'!E$71)</f>
        <v>87.5</v>
      </c>
      <c r="F81" s="116">
        <f>SUMIFS('Bucket Counts'!$P:$P, 'Bucket Counts'!$F:$F, "224", 'Bucket Counts'!$D:$D, 'Summary-info'!$A81, 'Bucket Counts'!$A:$A, "&lt;="&amp;'Summary-info'!F$71)</f>
        <v>3497.5</v>
      </c>
      <c r="G81" s="116">
        <f>SUMIFS('Bucket Counts'!$P:$P, 'Bucket Counts'!$F:$F, "224", 'Bucket Counts'!$D:$D, 'Summary-info'!$A81, 'Bucket Counts'!$A:$A, "&lt;="&amp;'Summary-info'!G$71)</f>
        <v>9097.5</v>
      </c>
      <c r="H81" s="116">
        <f>SUMIFS('Bucket Counts'!$P:$P, 'Bucket Counts'!$F:$F, "224", 'Bucket Counts'!$D:$D, 'Summary-info'!$A81, 'Bucket Counts'!$A:$A, "&lt;="&amp;'Summary-info'!H$71)</f>
        <v>9930.8333333333339</v>
      </c>
      <c r="I81" s="116">
        <f>SUMIFS('Bucket Counts'!$P:$P, 'Bucket Counts'!$F:$F, "224", 'Bucket Counts'!$D:$D, 'Summary-info'!$A81, 'Bucket Counts'!$A:$A, "&lt;="&amp;'Summary-info'!I$71)</f>
        <v>10905.833333333334</v>
      </c>
      <c r="J81" s="116">
        <f>SUMIFS('Bucket Counts'!$P:$P, 'Bucket Counts'!$F:$F, "224", 'Bucket Counts'!$D:$D, 'Summary-info'!$A81, 'Bucket Counts'!$A:$A, "&lt;="&amp;'Summary-info'!J$71)</f>
        <v>11559.166666666668</v>
      </c>
      <c r="K81" s="116">
        <f>SUMIFS('Bucket Counts'!$P:$P, 'Bucket Counts'!$F:$F, "224", 'Bucket Counts'!$D:$D, 'Summary-info'!$A81, 'Bucket Counts'!$A:$A, "&lt;="&amp;'Summary-info'!K$71)</f>
        <v>11779.166666666668</v>
      </c>
      <c r="L81" s="116">
        <f>SUMIFS('Bucket Counts'!$P:$P, 'Bucket Counts'!$F:$F, "224", 'Bucket Counts'!$D:$D, 'Summary-info'!$A81, 'Bucket Counts'!$A:$A, "&lt;="&amp;'Summary-info'!L$71)</f>
        <v>12549.166666666668</v>
      </c>
      <c r="M81" s="116">
        <f>SUMIFS('Bucket Counts'!$P:$P, 'Bucket Counts'!$F:$F, "224", 'Bucket Counts'!$D:$D, 'Summary-info'!$A81, 'Bucket Counts'!$A:$A, "&lt;="&amp;'Summary-info'!M$71)</f>
        <v>14632.500000000002</v>
      </c>
      <c r="N81" s="116">
        <f>SUMIFS('Bucket Counts'!$P:$P, 'Bucket Counts'!$F:$F, "224", 'Bucket Counts'!$D:$D, 'Summary-info'!$A81, 'Bucket Counts'!$A:$A, "&lt;="&amp;'Summary-info'!N$71)</f>
        <v>18287.5</v>
      </c>
      <c r="O81" s="116">
        <f>SUMIFS('Bucket Counts'!$P:$P, 'Bucket Counts'!$F:$F, "224", 'Bucket Counts'!$D:$D, 'Summary-info'!$A81, 'Bucket Counts'!$A:$A, "&lt;="&amp;'Summary-info'!O$71)</f>
        <v>18620.833333333332</v>
      </c>
      <c r="P81" s="116">
        <f>SUMIFS('Bucket Counts'!$P:$P, 'Bucket Counts'!$F:$F, "224", 'Bucket Counts'!$D:$D, 'Summary-info'!$A81, 'Bucket Counts'!$A:$A, "&lt;="&amp;'Summary-info'!P$71)</f>
        <v>19140.833333333332</v>
      </c>
      <c r="Q81" s="116">
        <f>SUMIFS('Bucket Counts'!$P:$P, 'Bucket Counts'!$F:$F, "224", 'Bucket Counts'!$D:$D, 'Summary-info'!$A81, 'Bucket Counts'!$A:$A, "&lt;="&amp;'Summary-info'!Q$71)</f>
        <v>19690.833333333332</v>
      </c>
      <c r="R81" s="17"/>
    </row>
    <row r="82" spans="1:18" x14ac:dyDescent="0.2">
      <c r="A82" s="24" t="s">
        <v>118</v>
      </c>
      <c r="C82" s="116">
        <f>SUMIFS('Bucket Counts'!$P:$P, 'Bucket Counts'!$F:$F, "224", 'Bucket Counts'!$D:$D, 'Summary-info'!$A82, 'Bucket Counts'!$A:$A, "&lt;="&amp;'Summary-info'!C$71)</f>
        <v>0</v>
      </c>
      <c r="D82" s="116">
        <f>SUMIFS('Bucket Counts'!$P:$P, 'Bucket Counts'!$F:$F, "224", 'Bucket Counts'!$D:$D, 'Summary-info'!$A82, 'Bucket Counts'!$A:$A, "&lt;="&amp;'Summary-info'!D$71)</f>
        <v>0</v>
      </c>
      <c r="E82" s="116">
        <f>SUMIFS('Bucket Counts'!$P:$P, 'Bucket Counts'!$F:$F, "224", 'Bucket Counts'!$D:$D, 'Summary-info'!$A82, 'Bucket Counts'!$A:$A, "&lt;="&amp;'Summary-info'!E$71)</f>
        <v>0</v>
      </c>
      <c r="F82" s="116">
        <f>SUMIFS('Bucket Counts'!$P:$P, 'Bucket Counts'!$F:$F, "224", 'Bucket Counts'!$D:$D, 'Summary-info'!$A82, 'Bucket Counts'!$A:$A, "&lt;="&amp;'Summary-info'!F$71)</f>
        <v>0</v>
      </c>
      <c r="G82" s="116">
        <f>SUMIFS('Bucket Counts'!$P:$P, 'Bucket Counts'!$F:$F, "224", 'Bucket Counts'!$D:$D, 'Summary-info'!$A82, 'Bucket Counts'!$A:$A, "&lt;="&amp;'Summary-info'!G$71)</f>
        <v>0</v>
      </c>
      <c r="H82" s="116">
        <f>SUMIFS('Bucket Counts'!$P:$P, 'Bucket Counts'!$F:$F, "224", 'Bucket Counts'!$D:$D, 'Summary-info'!$A82, 'Bucket Counts'!$A:$A, "&lt;="&amp;'Summary-info'!H$71)</f>
        <v>0</v>
      </c>
      <c r="I82" s="116">
        <f>SUMIFS('Bucket Counts'!$P:$P, 'Bucket Counts'!$F:$F, "224", 'Bucket Counts'!$D:$D, 'Summary-info'!$A82, 'Bucket Counts'!$A:$A, "&lt;="&amp;'Summary-info'!I$71)</f>
        <v>0</v>
      </c>
      <c r="J82" s="116">
        <f>SUMIFS('Bucket Counts'!$P:$P, 'Bucket Counts'!$F:$F, "224", 'Bucket Counts'!$D:$D, 'Summary-info'!$A82, 'Bucket Counts'!$A:$A, "&lt;="&amp;'Summary-info'!J$71)</f>
        <v>0</v>
      </c>
      <c r="K82" s="116">
        <f>SUMIFS('Bucket Counts'!$P:$P, 'Bucket Counts'!$F:$F, "224", 'Bucket Counts'!$D:$D, 'Summary-info'!$A82, 'Bucket Counts'!$A:$A, "&lt;="&amp;'Summary-info'!K$71)</f>
        <v>0</v>
      </c>
      <c r="L82" s="116">
        <f>SUMIFS('Bucket Counts'!$P:$P, 'Bucket Counts'!$F:$F, "224", 'Bucket Counts'!$D:$D, 'Summary-info'!$A82, 'Bucket Counts'!$A:$A, "&lt;="&amp;'Summary-info'!L$71)</f>
        <v>333.33333333333331</v>
      </c>
      <c r="M82" s="116">
        <f>SUMIFS('Bucket Counts'!$P:$P, 'Bucket Counts'!$F:$F, "224", 'Bucket Counts'!$D:$D, 'Summary-info'!$A82, 'Bucket Counts'!$A:$A, "&lt;="&amp;'Summary-info'!M$71)</f>
        <v>883.33333333333326</v>
      </c>
      <c r="N82" s="116">
        <f>SUMIFS('Bucket Counts'!$P:$P, 'Bucket Counts'!$F:$F, "224", 'Bucket Counts'!$D:$D, 'Summary-info'!$A82, 'Bucket Counts'!$A:$A, "&lt;="&amp;'Summary-info'!N$71)</f>
        <v>2033.3333333333333</v>
      </c>
      <c r="O82" s="116">
        <f>SUMIFS('Bucket Counts'!$P:$P, 'Bucket Counts'!$F:$F, "224", 'Bucket Counts'!$D:$D, 'Summary-info'!$A82, 'Bucket Counts'!$A:$A, "&lt;="&amp;'Summary-info'!O$71)</f>
        <v>2145.833333333333</v>
      </c>
      <c r="P82" s="116">
        <f>SUMIFS('Bucket Counts'!$P:$P, 'Bucket Counts'!$F:$F, "224", 'Bucket Counts'!$D:$D, 'Summary-info'!$A82, 'Bucket Counts'!$A:$A, "&lt;="&amp;'Summary-info'!P$71)</f>
        <v>2245.833333333333</v>
      </c>
      <c r="Q82" s="116">
        <f>SUMIFS('Bucket Counts'!$P:$P, 'Bucket Counts'!$F:$F, "224", 'Bucket Counts'!$D:$D, 'Summary-info'!$A82, 'Bucket Counts'!$A:$A, "&lt;="&amp;'Summary-info'!Q$71)</f>
        <v>2245.833333333333</v>
      </c>
      <c r="R82" s="17"/>
    </row>
    <row r="83" spans="1:18" x14ac:dyDescent="0.2">
      <c r="A83" s="24" t="s">
        <v>21</v>
      </c>
      <c r="C83" s="116">
        <f>SUMIFS('Bucket Counts'!$P:$P, 'Bucket Counts'!$F:$F, "224", 'Bucket Counts'!$D:$D, 'Summary-info'!$A83, 'Bucket Counts'!$A:$A, "&lt;="&amp;'Summary-info'!C$71)</f>
        <v>0</v>
      </c>
      <c r="D83" s="116">
        <f>SUMIFS('Bucket Counts'!$P:$P, 'Bucket Counts'!$F:$F, "224", 'Bucket Counts'!$D:$D, 'Summary-info'!$A83, 'Bucket Counts'!$A:$A, "&lt;="&amp;'Summary-info'!D$71)</f>
        <v>0</v>
      </c>
      <c r="E83" s="116">
        <f>SUMIFS('Bucket Counts'!$P:$P, 'Bucket Counts'!$F:$F, "224", 'Bucket Counts'!$D:$D, 'Summary-info'!$A83, 'Bucket Counts'!$A:$A, "&lt;="&amp;'Summary-info'!E$71)</f>
        <v>0</v>
      </c>
      <c r="F83" s="116">
        <f>SUMIFS('Bucket Counts'!$P:$P, 'Bucket Counts'!$F:$F, "224", 'Bucket Counts'!$D:$D, 'Summary-info'!$A83, 'Bucket Counts'!$A:$A, "&lt;="&amp;'Summary-info'!F$71)</f>
        <v>0</v>
      </c>
      <c r="G83" s="116">
        <f>SUMIFS('Bucket Counts'!$P:$P, 'Bucket Counts'!$F:$F, "224", 'Bucket Counts'!$D:$D, 'Summary-info'!$A83, 'Bucket Counts'!$A:$A, "&lt;="&amp;'Summary-info'!G$71)</f>
        <v>0</v>
      </c>
      <c r="H83" s="116">
        <f>SUMIFS('Bucket Counts'!$P:$P, 'Bucket Counts'!$F:$F, "224", 'Bucket Counts'!$D:$D, 'Summary-info'!$A83, 'Bucket Counts'!$A:$A, "&lt;="&amp;'Summary-info'!H$71)</f>
        <v>0</v>
      </c>
      <c r="I83" s="116">
        <f>SUMIFS('Bucket Counts'!$P:$P, 'Bucket Counts'!$F:$F, "224", 'Bucket Counts'!$D:$D, 'Summary-info'!$A83, 'Bucket Counts'!$A:$A, "&lt;="&amp;'Summary-info'!I$71)</f>
        <v>0</v>
      </c>
      <c r="J83" s="116">
        <f>SUMIFS('Bucket Counts'!$P:$P, 'Bucket Counts'!$F:$F, "224", 'Bucket Counts'!$D:$D, 'Summary-info'!$A83, 'Bucket Counts'!$A:$A, "&lt;="&amp;'Summary-info'!J$71)</f>
        <v>680</v>
      </c>
      <c r="K83" s="116">
        <f>SUMIFS('Bucket Counts'!$P:$P, 'Bucket Counts'!$F:$F, "224", 'Bucket Counts'!$D:$D, 'Summary-info'!$A83, 'Bucket Counts'!$A:$A, "&lt;="&amp;'Summary-info'!K$71)</f>
        <v>930</v>
      </c>
      <c r="L83" s="116">
        <f>SUMIFS('Bucket Counts'!$P:$P, 'Bucket Counts'!$F:$F, "224", 'Bucket Counts'!$D:$D, 'Summary-info'!$A83, 'Bucket Counts'!$A:$A, "&lt;="&amp;'Summary-info'!L$71)</f>
        <v>7220</v>
      </c>
      <c r="M83" s="116">
        <f>SUMIFS('Bucket Counts'!$P:$P, 'Bucket Counts'!$F:$F, "224", 'Bucket Counts'!$D:$D, 'Summary-info'!$A83, 'Bucket Counts'!$A:$A, "&lt;="&amp;'Summary-info'!M$71)</f>
        <v>8455</v>
      </c>
      <c r="N83" s="116">
        <f>SUMIFS('Bucket Counts'!$P:$P, 'Bucket Counts'!$F:$F, "224", 'Bucket Counts'!$D:$D, 'Summary-info'!$A83, 'Bucket Counts'!$A:$A, "&lt;="&amp;'Summary-info'!N$71)</f>
        <v>10188.333333333334</v>
      </c>
      <c r="O83" s="116">
        <f>SUMIFS('Bucket Counts'!$P:$P, 'Bucket Counts'!$F:$F, "224", 'Bucket Counts'!$D:$D, 'Summary-info'!$A83, 'Bucket Counts'!$A:$A, "&lt;="&amp;'Summary-info'!O$71)</f>
        <v>10408.333333333334</v>
      </c>
      <c r="P83" s="116">
        <f>SUMIFS('Bucket Counts'!$P:$P, 'Bucket Counts'!$F:$F, "224", 'Bucket Counts'!$D:$D, 'Summary-info'!$A83, 'Bucket Counts'!$A:$A, "&lt;="&amp;'Summary-info'!P$71)</f>
        <v>10486.111111111111</v>
      </c>
      <c r="Q83" s="116">
        <f>SUMIFS('Bucket Counts'!$P:$P, 'Bucket Counts'!$F:$F, "224", 'Bucket Counts'!$D:$D, 'Summary-info'!$A83, 'Bucket Counts'!$A:$A, "&lt;="&amp;'Summary-info'!Q$71)</f>
        <v>10552.777777777777</v>
      </c>
      <c r="R83" s="17"/>
    </row>
    <row r="84" spans="1:18" x14ac:dyDescent="0.2">
      <c r="A84" s="24" t="s">
        <v>17</v>
      </c>
      <c r="C84" s="116">
        <f>SUMIFS('Bucket Counts'!$P:$P, 'Bucket Counts'!$F:$F, "224", 'Bucket Counts'!$D:$D, 'Summary-info'!$A84, 'Bucket Counts'!$A:$A, "&lt;="&amp;'Summary-info'!C$71)</f>
        <v>0</v>
      </c>
      <c r="D84" s="116">
        <f>SUMIFS('Bucket Counts'!$P:$P, 'Bucket Counts'!$F:$F, "224", 'Bucket Counts'!$D:$D, 'Summary-info'!$A84, 'Bucket Counts'!$A:$A, "&lt;="&amp;'Summary-info'!D$71)</f>
        <v>200</v>
      </c>
      <c r="E84" s="116">
        <f>SUMIFS('Bucket Counts'!$P:$P, 'Bucket Counts'!$F:$F, "224", 'Bucket Counts'!$D:$D, 'Summary-info'!$A84, 'Bucket Counts'!$A:$A, "&lt;="&amp;'Summary-info'!E$71)</f>
        <v>2800</v>
      </c>
      <c r="F84" s="116">
        <f>SUMIFS('Bucket Counts'!$P:$P, 'Bucket Counts'!$F:$F, "224", 'Bucket Counts'!$D:$D, 'Summary-info'!$A84, 'Bucket Counts'!$A:$A, "&lt;="&amp;'Summary-info'!F$71)</f>
        <v>6416.666666666667</v>
      </c>
      <c r="G84" s="116">
        <f>SUMIFS('Bucket Counts'!$P:$P, 'Bucket Counts'!$F:$F, "224", 'Bucket Counts'!$D:$D, 'Summary-info'!$A84, 'Bucket Counts'!$A:$A, "&lt;="&amp;'Summary-info'!G$71)</f>
        <v>8666.6666666666679</v>
      </c>
      <c r="H84" s="116">
        <f>SUMIFS('Bucket Counts'!$P:$P, 'Bucket Counts'!$F:$F, "224", 'Bucket Counts'!$D:$D, 'Summary-info'!$A84, 'Bucket Counts'!$A:$A, "&lt;="&amp;'Summary-info'!H$71)</f>
        <v>10833.333333333334</v>
      </c>
      <c r="I84" s="116">
        <f>SUMIFS('Bucket Counts'!$P:$P, 'Bucket Counts'!$F:$F, "224", 'Bucket Counts'!$D:$D, 'Summary-info'!$A84, 'Bucket Counts'!$A:$A, "&lt;="&amp;'Summary-info'!I$71)</f>
        <v>11500</v>
      </c>
      <c r="J84" s="116">
        <f>SUMIFS('Bucket Counts'!$P:$P, 'Bucket Counts'!$F:$F, "224", 'Bucket Counts'!$D:$D, 'Summary-info'!$A84, 'Bucket Counts'!$A:$A, "&lt;="&amp;'Summary-info'!J$71)</f>
        <v>12100</v>
      </c>
      <c r="K84" s="116">
        <f>SUMIFS('Bucket Counts'!$P:$P, 'Bucket Counts'!$F:$F, "224", 'Bucket Counts'!$D:$D, 'Summary-info'!$A84, 'Bucket Counts'!$A:$A, "&lt;="&amp;'Summary-info'!K$71)</f>
        <v>12253.333333333334</v>
      </c>
      <c r="L84" s="116">
        <f>SUMIFS('Bucket Counts'!$P:$P, 'Bucket Counts'!$F:$F, "224", 'Bucket Counts'!$D:$D, 'Summary-info'!$A84, 'Bucket Counts'!$A:$A, "&lt;="&amp;'Summary-info'!L$71)</f>
        <v>12940.833333333334</v>
      </c>
      <c r="M84" s="116">
        <f>SUMIFS('Bucket Counts'!$P:$P, 'Bucket Counts'!$F:$F, "224", 'Bucket Counts'!$D:$D, 'Summary-info'!$A84, 'Bucket Counts'!$A:$A, "&lt;="&amp;'Summary-info'!M$71)</f>
        <v>13274.166666666668</v>
      </c>
      <c r="N84" s="116">
        <f>SUMIFS('Bucket Counts'!$P:$P, 'Bucket Counts'!$F:$F, "224", 'Bucket Counts'!$D:$D, 'Summary-info'!$A84, 'Bucket Counts'!$A:$A, "&lt;="&amp;'Summary-info'!N$71)</f>
        <v>13799.166666666668</v>
      </c>
      <c r="O84" s="116">
        <f>SUMIFS('Bucket Counts'!$P:$P, 'Bucket Counts'!$F:$F, "224", 'Bucket Counts'!$D:$D, 'Summary-info'!$A84, 'Bucket Counts'!$A:$A, "&lt;="&amp;'Summary-info'!O$71)</f>
        <v>13824.166666666668</v>
      </c>
      <c r="P84" s="116">
        <f>SUMIFS('Bucket Counts'!$P:$P, 'Bucket Counts'!$F:$F, "224", 'Bucket Counts'!$D:$D, 'Summary-info'!$A84, 'Bucket Counts'!$A:$A, "&lt;="&amp;'Summary-info'!P$71)</f>
        <v>13827.166666666668</v>
      </c>
      <c r="Q84" s="116">
        <f>SUMIFS('Bucket Counts'!$P:$P, 'Bucket Counts'!$F:$F, "224", 'Bucket Counts'!$D:$D, 'Summary-info'!$A84, 'Bucket Counts'!$A:$A, "&lt;="&amp;'Summary-info'!Q$71)</f>
        <v>13827.166666666668</v>
      </c>
      <c r="R84" s="17"/>
    </row>
    <row r="85" spans="1:18" x14ac:dyDescent="0.2">
      <c r="A85" s="24" t="s">
        <v>20</v>
      </c>
      <c r="C85" s="116">
        <f>SUMIFS('Bucket Counts'!$P:$P, 'Bucket Counts'!$F:$F, "224", 'Bucket Counts'!$D:$D, 'Summary-info'!$A85, 'Bucket Counts'!$A:$A, "&lt;="&amp;'Summary-info'!C$71)</f>
        <v>0</v>
      </c>
      <c r="D85" s="116">
        <f>SUMIFS('Bucket Counts'!$P:$P, 'Bucket Counts'!$F:$F, "224", 'Bucket Counts'!$D:$D, 'Summary-info'!$A85, 'Bucket Counts'!$A:$A, "&lt;="&amp;'Summary-info'!D$71)</f>
        <v>0</v>
      </c>
      <c r="E85" s="116">
        <f>SUMIFS('Bucket Counts'!$P:$P, 'Bucket Counts'!$F:$F, "224", 'Bucket Counts'!$D:$D, 'Summary-info'!$A85, 'Bucket Counts'!$A:$A, "&lt;="&amp;'Summary-info'!E$71)</f>
        <v>1400</v>
      </c>
      <c r="F85" s="116">
        <f>SUMIFS('Bucket Counts'!$P:$P, 'Bucket Counts'!$F:$F, "224", 'Bucket Counts'!$D:$D, 'Summary-info'!$A85, 'Bucket Counts'!$A:$A, "&lt;="&amp;'Summary-info'!F$71)</f>
        <v>1400</v>
      </c>
      <c r="G85" s="116">
        <f>SUMIFS('Bucket Counts'!$P:$P, 'Bucket Counts'!$F:$F, "224", 'Bucket Counts'!$D:$D, 'Summary-info'!$A85, 'Bucket Counts'!$A:$A, "&lt;="&amp;'Summary-info'!G$71)</f>
        <v>1400</v>
      </c>
      <c r="H85" s="116">
        <f>SUMIFS('Bucket Counts'!$P:$P, 'Bucket Counts'!$F:$F, "224", 'Bucket Counts'!$D:$D, 'Summary-info'!$A85, 'Bucket Counts'!$A:$A, "&lt;="&amp;'Summary-info'!H$71)</f>
        <v>1500</v>
      </c>
      <c r="I85" s="116">
        <f>SUMIFS('Bucket Counts'!$P:$P, 'Bucket Counts'!$F:$F, "224", 'Bucket Counts'!$D:$D, 'Summary-info'!$A85, 'Bucket Counts'!$A:$A, "&lt;="&amp;'Summary-info'!I$71)</f>
        <v>1500</v>
      </c>
      <c r="J85" s="116">
        <f>SUMIFS('Bucket Counts'!$P:$P, 'Bucket Counts'!$F:$F, "224", 'Bucket Counts'!$D:$D, 'Summary-info'!$A85, 'Bucket Counts'!$A:$A, "&lt;="&amp;'Summary-info'!J$71)</f>
        <v>1625</v>
      </c>
      <c r="K85" s="116">
        <f>SUMIFS('Bucket Counts'!$P:$P, 'Bucket Counts'!$F:$F, "224", 'Bucket Counts'!$D:$D, 'Summary-info'!$A85, 'Bucket Counts'!$A:$A, "&lt;="&amp;'Summary-info'!K$71)</f>
        <v>1625</v>
      </c>
      <c r="L85" s="116">
        <f>SUMIFS('Bucket Counts'!$P:$P, 'Bucket Counts'!$F:$F, "224", 'Bucket Counts'!$D:$D, 'Summary-info'!$A85, 'Bucket Counts'!$A:$A, "&lt;="&amp;'Summary-info'!L$71)</f>
        <v>1686.1111111111111</v>
      </c>
      <c r="M85" s="116">
        <f>SUMIFS('Bucket Counts'!$P:$P, 'Bucket Counts'!$F:$F, "224", 'Bucket Counts'!$D:$D, 'Summary-info'!$A85, 'Bucket Counts'!$A:$A, "&lt;="&amp;'Summary-info'!M$71)</f>
        <v>1819.4444444444443</v>
      </c>
      <c r="N85" s="116">
        <f>SUMIFS('Bucket Counts'!$P:$P, 'Bucket Counts'!$F:$F, "224", 'Bucket Counts'!$D:$D, 'Summary-info'!$A85, 'Bucket Counts'!$A:$A, "&lt;="&amp;'Summary-info'!N$71)</f>
        <v>1912.7777777777776</v>
      </c>
      <c r="O85" s="116">
        <f>SUMIFS('Bucket Counts'!$P:$P, 'Bucket Counts'!$F:$F, "224", 'Bucket Counts'!$D:$D, 'Summary-info'!$A85, 'Bucket Counts'!$A:$A, "&lt;="&amp;'Summary-info'!O$71)</f>
        <v>1936.7777777777776</v>
      </c>
      <c r="P85" s="116">
        <f>SUMIFS('Bucket Counts'!$P:$P, 'Bucket Counts'!$F:$F, "224", 'Bucket Counts'!$D:$D, 'Summary-info'!$A85, 'Bucket Counts'!$A:$A, "&lt;="&amp;'Summary-info'!P$71)</f>
        <v>1942.7777777777776</v>
      </c>
      <c r="Q85" s="116">
        <f>SUMIFS('Bucket Counts'!$P:$P, 'Bucket Counts'!$F:$F, "224", 'Bucket Counts'!$D:$D, 'Summary-info'!$A85, 'Bucket Counts'!$A:$A, "&lt;="&amp;'Summary-info'!Q$71)</f>
        <v>1970.5555555555554</v>
      </c>
      <c r="R85" s="17"/>
    </row>
    <row r="86" spans="1:18" x14ac:dyDescent="0.2">
      <c r="A86" s="24" t="s">
        <v>38</v>
      </c>
      <c r="C86" s="116">
        <f>SUMIFS('Bucket Counts'!$P:$P, 'Bucket Counts'!$F:$F, "224", 'Bucket Counts'!$D:$D, 'Summary-info'!$A86, 'Bucket Counts'!$A:$A, "&lt;="&amp;'Summary-info'!C$71)</f>
        <v>0</v>
      </c>
      <c r="D86" s="116">
        <f>SUMIFS('Bucket Counts'!$P:$P, 'Bucket Counts'!$F:$F, "224", 'Bucket Counts'!$D:$D, 'Summary-info'!$A86, 'Bucket Counts'!$A:$A, "&lt;="&amp;'Summary-info'!D$71)</f>
        <v>55.55555555555555</v>
      </c>
      <c r="E86" s="116">
        <f>SUMIFS('Bucket Counts'!$P:$P, 'Bucket Counts'!$F:$F, "224", 'Bucket Counts'!$D:$D, 'Summary-info'!$A86, 'Bucket Counts'!$A:$A, "&lt;="&amp;'Summary-info'!E$71)</f>
        <v>1105.5555555555557</v>
      </c>
      <c r="F86" s="116">
        <f>SUMIFS('Bucket Counts'!$P:$P, 'Bucket Counts'!$F:$F, "224", 'Bucket Counts'!$D:$D, 'Summary-info'!$A86, 'Bucket Counts'!$A:$A, "&lt;="&amp;'Summary-info'!F$71)</f>
        <v>3238.8888888888887</v>
      </c>
      <c r="G86" s="116">
        <f>SUMIFS('Bucket Counts'!$P:$P, 'Bucket Counts'!$F:$F, "224", 'Bucket Counts'!$D:$D, 'Summary-info'!$A86, 'Bucket Counts'!$A:$A, "&lt;="&amp;'Summary-info'!G$71)</f>
        <v>7263.8888888888887</v>
      </c>
      <c r="H86" s="116">
        <f>SUMIFS('Bucket Counts'!$P:$P, 'Bucket Counts'!$F:$F, "224", 'Bucket Counts'!$D:$D, 'Summary-info'!$A86, 'Bucket Counts'!$A:$A, "&lt;="&amp;'Summary-info'!H$71)</f>
        <v>13513.888888888889</v>
      </c>
      <c r="I86" s="116">
        <f>SUMIFS('Bucket Counts'!$P:$P, 'Bucket Counts'!$F:$F, "224", 'Bucket Counts'!$D:$D, 'Summary-info'!$A86, 'Bucket Counts'!$A:$A, "&lt;="&amp;'Summary-info'!I$71)</f>
        <v>15413.888888888889</v>
      </c>
      <c r="J86" s="116">
        <f>SUMIFS('Bucket Counts'!$P:$P, 'Bucket Counts'!$F:$F, "224", 'Bucket Counts'!$D:$D, 'Summary-info'!$A86, 'Bucket Counts'!$A:$A, "&lt;="&amp;'Summary-info'!J$71)</f>
        <v>17263.888888888891</v>
      </c>
      <c r="K86" s="116">
        <f>SUMIFS('Bucket Counts'!$P:$P, 'Bucket Counts'!$F:$F, "224", 'Bucket Counts'!$D:$D, 'Summary-info'!$A86, 'Bucket Counts'!$A:$A, "&lt;="&amp;'Summary-info'!K$71)</f>
        <v>17903.888888888891</v>
      </c>
      <c r="L86" s="116">
        <f>SUMIFS('Bucket Counts'!$P:$P, 'Bucket Counts'!$F:$F, "224", 'Bucket Counts'!$D:$D, 'Summary-info'!$A86, 'Bucket Counts'!$A:$A, "&lt;="&amp;'Summary-info'!L$71)</f>
        <v>21063.888888888891</v>
      </c>
      <c r="M86" s="116">
        <f>SUMIFS('Bucket Counts'!$P:$P, 'Bucket Counts'!$F:$F, "224", 'Bucket Counts'!$D:$D, 'Summary-info'!$A86, 'Bucket Counts'!$A:$A, "&lt;="&amp;'Summary-info'!M$71)</f>
        <v>21713.888888888891</v>
      </c>
      <c r="N86" s="116">
        <f>SUMIFS('Bucket Counts'!$P:$P, 'Bucket Counts'!$F:$F, "224", 'Bucket Counts'!$D:$D, 'Summary-info'!$A86, 'Bucket Counts'!$A:$A, "&lt;="&amp;'Summary-info'!N$71)</f>
        <v>21908.333333333336</v>
      </c>
      <c r="O86" s="116">
        <f>SUMIFS('Bucket Counts'!$P:$P, 'Bucket Counts'!$F:$F, "224", 'Bucket Counts'!$D:$D, 'Summary-info'!$A86, 'Bucket Counts'!$A:$A, "&lt;="&amp;'Summary-info'!O$71)</f>
        <v>21958.333333333336</v>
      </c>
      <c r="P86" s="116">
        <f>SUMIFS('Bucket Counts'!$P:$P, 'Bucket Counts'!$F:$F, "224", 'Bucket Counts'!$D:$D, 'Summary-info'!$A86, 'Bucket Counts'!$A:$A, "&lt;="&amp;'Summary-info'!P$71)</f>
        <v>22119.444444444445</v>
      </c>
      <c r="Q86" s="116">
        <f>SUMIFS('Bucket Counts'!$P:$P, 'Bucket Counts'!$F:$F, "224", 'Bucket Counts'!$D:$D, 'Summary-info'!$A86, 'Bucket Counts'!$A:$A, "&lt;="&amp;'Summary-info'!Q$71)</f>
        <v>22186.111111111113</v>
      </c>
      <c r="R86" s="17"/>
    </row>
    <row r="87" spans="1:18" s="23" customFormat="1" x14ac:dyDescent="0.2">
      <c r="A87" s="24" t="s">
        <v>46</v>
      </c>
      <c r="B87" s="116"/>
      <c r="C87" s="116">
        <f>SUMIFS('Bucket Counts'!$P:$P, 'Bucket Counts'!$F:$F, "224", 'Bucket Counts'!$D:$D, 'Summary-info'!$A87, 'Bucket Counts'!$A:$A, "&lt;="&amp;'Summary-info'!C$71)</f>
        <v>0</v>
      </c>
      <c r="D87" s="116">
        <f>SUMIFS('Bucket Counts'!$P:$P, 'Bucket Counts'!$F:$F, "224", 'Bucket Counts'!$D:$D, 'Summary-info'!$A87, 'Bucket Counts'!$A:$A, "&lt;="&amp;'Summary-info'!D$71)</f>
        <v>0</v>
      </c>
      <c r="E87" s="116">
        <f>SUMIFS('Bucket Counts'!$P:$P, 'Bucket Counts'!$F:$F, "224", 'Bucket Counts'!$D:$D, 'Summary-info'!$A87, 'Bucket Counts'!$A:$A, "&lt;="&amp;'Summary-info'!E$71)</f>
        <v>183.33333333333331</v>
      </c>
      <c r="F87" s="116">
        <f>SUMIFS('Bucket Counts'!$P:$P, 'Bucket Counts'!$F:$F, "224", 'Bucket Counts'!$D:$D, 'Summary-info'!$A87, 'Bucket Counts'!$A:$A, "&lt;="&amp;'Summary-info'!F$71)</f>
        <v>995.83333333333326</v>
      </c>
      <c r="G87" s="116">
        <f>SUMIFS('Bucket Counts'!$P:$P, 'Bucket Counts'!$F:$F, "224", 'Bucket Counts'!$D:$D, 'Summary-info'!$A87, 'Bucket Counts'!$A:$A, "&lt;="&amp;'Summary-info'!G$71)</f>
        <v>1395.8333333333333</v>
      </c>
      <c r="H87" s="116">
        <f>SUMIFS('Bucket Counts'!$P:$P, 'Bucket Counts'!$F:$F, "224", 'Bucket Counts'!$D:$D, 'Summary-info'!$A87, 'Bucket Counts'!$A:$A, "&lt;="&amp;'Summary-info'!H$71)</f>
        <v>1395.8333333333333</v>
      </c>
      <c r="I87" s="116">
        <f>SUMIFS('Bucket Counts'!$P:$P, 'Bucket Counts'!$F:$F, "224", 'Bucket Counts'!$D:$D, 'Summary-info'!$A87, 'Bucket Counts'!$A:$A, "&lt;="&amp;'Summary-info'!I$71)</f>
        <v>2162.5</v>
      </c>
      <c r="J87" s="116">
        <f>SUMIFS('Bucket Counts'!$P:$P, 'Bucket Counts'!$F:$F, "224", 'Bucket Counts'!$D:$D, 'Summary-info'!$A87, 'Bucket Counts'!$A:$A, "&lt;="&amp;'Summary-info'!J$71)</f>
        <v>4162.5</v>
      </c>
      <c r="K87" s="116">
        <f>SUMIFS('Bucket Counts'!$P:$P, 'Bucket Counts'!$F:$F, "224", 'Bucket Counts'!$D:$D, 'Summary-info'!$A87, 'Bucket Counts'!$A:$A, "&lt;="&amp;'Summary-info'!K$71)</f>
        <v>6162.5</v>
      </c>
      <c r="L87" s="116">
        <f>SUMIFS('Bucket Counts'!$P:$P, 'Bucket Counts'!$F:$F, "224", 'Bucket Counts'!$D:$D, 'Summary-info'!$A87, 'Bucket Counts'!$A:$A, "&lt;="&amp;'Summary-info'!L$71)</f>
        <v>7562.5</v>
      </c>
      <c r="M87" s="116">
        <f>SUMIFS('Bucket Counts'!$P:$P, 'Bucket Counts'!$F:$F, "224", 'Bucket Counts'!$D:$D, 'Summary-info'!$A87, 'Bucket Counts'!$A:$A, "&lt;="&amp;'Summary-info'!M$71)</f>
        <v>8689.1666666666661</v>
      </c>
      <c r="N87" s="116">
        <f>SUMIFS('Bucket Counts'!$P:$P, 'Bucket Counts'!$F:$F, "224", 'Bucket Counts'!$D:$D, 'Summary-info'!$A87, 'Bucket Counts'!$A:$A, "&lt;="&amp;'Summary-info'!N$71)</f>
        <v>9689.1666666666661</v>
      </c>
      <c r="O87" s="116">
        <f>SUMIFS('Bucket Counts'!$P:$P, 'Bucket Counts'!$F:$F, "224", 'Bucket Counts'!$D:$D, 'Summary-info'!$A87, 'Bucket Counts'!$A:$A, "&lt;="&amp;'Summary-info'!O$71)</f>
        <v>9716.9444444444434</v>
      </c>
      <c r="P87" s="116">
        <f>SUMIFS('Bucket Counts'!$P:$P, 'Bucket Counts'!$F:$F, "224", 'Bucket Counts'!$D:$D, 'Summary-info'!$A87, 'Bucket Counts'!$A:$A, "&lt;="&amp;'Summary-info'!P$71)</f>
        <v>9734.9444444444434</v>
      </c>
      <c r="Q87" s="116">
        <f>SUMIFS('Bucket Counts'!$P:$P, 'Bucket Counts'!$F:$F, "224", 'Bucket Counts'!$D:$D, 'Summary-info'!$A87, 'Bucket Counts'!$A:$A, "&lt;="&amp;'Summary-info'!Q$71)</f>
        <v>9734.9444444444434</v>
      </c>
      <c r="R87" s="17"/>
    </row>
    <row r="88" spans="1:18" s="23" customFormat="1" x14ac:dyDescent="0.2">
      <c r="A88" s="227" t="s">
        <v>247</v>
      </c>
      <c r="B88" s="228"/>
      <c r="C88" s="228">
        <f>SUMIFS('Bucket Counts'!$P:$P, 'Bucket Counts'!$F:$F, "224", 'Bucket Counts'!$D:$D, 'Summary-info'!$A88, 'Bucket Counts'!$A:$A, "&lt;="&amp;'Summary-info'!C$71)</f>
        <v>0</v>
      </c>
      <c r="D88" s="228">
        <f>'Bucket Counts'!P82</f>
        <v>115.83333333333333</v>
      </c>
      <c r="E88" s="228">
        <f>D88+'Bucket Counts'!P147</f>
        <v>442.49999999999994</v>
      </c>
      <c r="F88" s="228">
        <f>E88+'Bucket Counts'!P205</f>
        <v>4192.5</v>
      </c>
      <c r="G88" s="228"/>
      <c r="H88" s="116"/>
      <c r="I88" s="116"/>
      <c r="J88" s="116"/>
      <c r="K88" s="116"/>
    </row>
    <row r="89" spans="1:18" s="208" customFormat="1" ht="17" thickBot="1" x14ac:dyDescent="0.25">
      <c r="A89" s="229" t="s">
        <v>246</v>
      </c>
      <c r="B89" s="230"/>
      <c r="C89" s="230">
        <f>SUMIFS('Bucket Counts'!$P:$P, 'Bucket Counts'!$F:$F, "224", 'Bucket Counts'!$D:$D, 'Summary-info'!$A89, 'Bucket Counts'!$A:$A, "&lt;="&amp;'Summary-info'!C$71)</f>
        <v>0</v>
      </c>
      <c r="D89" s="230">
        <f>SUMIFS('Bucket Counts'!$P:$P, 'Bucket Counts'!$F:$F, "224", 'Bucket Counts'!$D:$D, 'Summary-info'!$A89, 'Bucket Counts'!$A:$A, "&lt;="&amp;'Summary-info'!D$71)</f>
        <v>0</v>
      </c>
      <c r="E89" s="230">
        <f>SUMIFS('Bucket Counts'!$P:$P, 'Bucket Counts'!$F:$F, "224", 'Bucket Counts'!$D:$D, 'Summary-info'!$A89, 'Bucket Counts'!$A:$A, "&lt;="&amp;'Summary-info'!E$71)</f>
        <v>0</v>
      </c>
      <c r="F89" s="230">
        <f>SUMIFS('Bucket Counts'!$P:$P, 'Bucket Counts'!$F:$F, "224", 'Bucket Counts'!$D:$D, 'Summary-info'!$A89, 'Bucket Counts'!$A:$A, "&lt;="&amp;'Summary-info'!F$71)</f>
        <v>0</v>
      </c>
      <c r="G89" s="230">
        <f>'Bucket Counts'!P257</f>
        <v>30333.333333333332</v>
      </c>
      <c r="H89" s="210">
        <f>SUMIFS('Bucket Counts'!$P:$P, 'Bucket Counts'!$F:$F, "224", 'Bucket Counts'!$D:$D, 'Summary-info'!$A89, 'Bucket Counts'!$A:$A, "&lt;="&amp;'Summary-info'!H$71)</f>
        <v>0</v>
      </c>
      <c r="I89" s="210"/>
      <c r="J89" s="210"/>
      <c r="K89" s="210"/>
    </row>
    <row r="90" spans="1:18" s="23" customFormat="1" ht="22" thickTop="1" x14ac:dyDescent="0.25">
      <c r="A90" s="24"/>
      <c r="B90" s="116"/>
      <c r="C90" s="465" t="s">
        <v>219</v>
      </c>
      <c r="D90" s="465"/>
      <c r="E90" s="465"/>
      <c r="F90" s="465"/>
      <c r="G90" s="465"/>
      <c r="H90" s="465"/>
      <c r="I90" s="465"/>
      <c r="J90" s="465"/>
      <c r="K90" s="465"/>
      <c r="L90" s="465"/>
    </row>
    <row r="91" spans="1:18" s="203" customFormat="1" ht="19" x14ac:dyDescent="0.25">
      <c r="B91" s="204"/>
      <c r="C91" s="205">
        <f>C27</f>
        <v>42891</v>
      </c>
      <c r="D91" s="205">
        <f t="shared" ref="D91:L91" si="12">D27</f>
        <v>42895</v>
      </c>
      <c r="E91" s="205">
        <f t="shared" si="12"/>
        <v>42898</v>
      </c>
      <c r="F91" s="205">
        <f t="shared" si="12"/>
        <v>42901</v>
      </c>
      <c r="G91" s="205">
        <f t="shared" si="12"/>
        <v>42905</v>
      </c>
      <c r="H91" s="205">
        <f t="shared" si="12"/>
        <v>42908</v>
      </c>
      <c r="I91" s="205">
        <f t="shared" si="12"/>
        <v>42912</v>
      </c>
      <c r="J91" s="205">
        <f t="shared" si="12"/>
        <v>42915</v>
      </c>
      <c r="K91" s="205">
        <f t="shared" si="12"/>
        <v>42919</v>
      </c>
      <c r="L91" s="205">
        <f t="shared" si="12"/>
        <v>42922</v>
      </c>
      <c r="M91" s="205">
        <v>42926</v>
      </c>
      <c r="N91" s="205">
        <v>42929</v>
      </c>
      <c r="O91" s="205"/>
      <c r="P91" s="205"/>
    </row>
    <row r="92" spans="1:18" x14ac:dyDescent="0.2">
      <c r="A92" s="24" t="s">
        <v>84</v>
      </c>
      <c r="C92" s="103">
        <f t="shared" ref="C92:K92" si="13">(C72+C54)/(C28+C29)</f>
        <v>0.43136583696024255</v>
      </c>
      <c r="D92" s="103">
        <f t="shared" si="13"/>
        <v>0.40889575820024043</v>
      </c>
      <c r="E92" s="103">
        <f t="shared" si="13"/>
        <v>0.39314317830546575</v>
      </c>
      <c r="F92" s="103">
        <f t="shared" si="13"/>
        <v>0.35009150872710748</v>
      </c>
      <c r="G92" s="103">
        <f t="shared" si="13"/>
        <v>0.2356054832277126</v>
      </c>
      <c r="H92" s="103">
        <f t="shared" si="13"/>
        <v>8.2880051783719447E-2</v>
      </c>
      <c r="I92" s="103">
        <f t="shared" si="13"/>
        <v>4.0805779731267547E-2</v>
      </c>
      <c r="J92" s="103">
        <f t="shared" si="13"/>
        <v>2.0661286449578733E-2</v>
      </c>
      <c r="K92" s="103">
        <f t="shared" si="13"/>
        <v>1.5148825992086275E-2</v>
      </c>
      <c r="L92" s="103">
        <f>(L72+L54)/(L28+L29)</f>
        <v>1.2818558616873556E-2</v>
      </c>
    </row>
    <row r="93" spans="1:18" x14ac:dyDescent="0.2">
      <c r="A93" s="24" t="s">
        <v>76</v>
      </c>
      <c r="C93" s="103">
        <f t="shared" ref="C93:L93" si="14">(C73+C55)/(C30+C31)</f>
        <v>0</v>
      </c>
      <c r="D93" s="103">
        <f t="shared" si="14"/>
        <v>5.3110400786820751E-4</v>
      </c>
      <c r="E93" s="103">
        <f t="shared" si="14"/>
        <v>1.3769363166953527E-3</v>
      </c>
      <c r="F93" s="103">
        <f t="shared" si="14"/>
        <v>3.1472830095893773E-3</v>
      </c>
      <c r="G93" s="103">
        <f t="shared" si="14"/>
        <v>1.41627735431522E-2</v>
      </c>
      <c r="H93" s="103">
        <f t="shared" si="14"/>
        <v>1.5165970002458814E-2</v>
      </c>
      <c r="I93" s="103">
        <f t="shared" si="14"/>
        <v>1.6444553725104498E-2</v>
      </c>
      <c r="J93" s="103">
        <f t="shared" si="14"/>
        <v>1.6444553725104498E-2</v>
      </c>
      <c r="K93" s="103">
        <f t="shared" si="14"/>
        <v>1.6444553725104498E-2</v>
      </c>
      <c r="L93" s="103">
        <f t="shared" si="14"/>
        <v>1.3190382341348049E-2</v>
      </c>
    </row>
    <row r="94" spans="1:18" x14ac:dyDescent="0.2">
      <c r="A94" s="24" t="s">
        <v>85</v>
      </c>
      <c r="C94" s="103">
        <f t="shared" ref="C94:L94" si="15">(C74+C56)/(C32+C33)</f>
        <v>0.40495030702032025</v>
      </c>
      <c r="D94" s="103">
        <f t="shared" si="15"/>
        <v>0.38146483509527118</v>
      </c>
      <c r="E94" s="103">
        <f t="shared" si="15"/>
        <v>0.35556118250300689</v>
      </c>
      <c r="F94" s="103">
        <f t="shared" si="15"/>
        <v>0.21140722922073807</v>
      </c>
      <c r="G94" s="103">
        <f t="shared" si="15"/>
        <v>0.1843894410331075</v>
      </c>
      <c r="H94" s="103">
        <f t="shared" si="15"/>
        <v>0.12002278913717793</v>
      </c>
      <c r="I94" s="103">
        <f t="shared" si="15"/>
        <v>0.10685399658249478</v>
      </c>
      <c r="J94" s="103">
        <f t="shared" si="15"/>
        <v>9.8095057274856012E-2</v>
      </c>
      <c r="K94" s="103">
        <f t="shared" si="15"/>
        <v>9.0635613779718571E-2</v>
      </c>
      <c r="L94" s="103">
        <f t="shared" si="15"/>
        <v>8.5623272788642055E-2</v>
      </c>
    </row>
    <row r="95" spans="1:18" x14ac:dyDescent="0.2">
      <c r="A95" s="24" t="s">
        <v>104</v>
      </c>
      <c r="C95" s="103">
        <f t="shared" ref="C95:L95" si="16">(C75+C57)/(C35+C34)</f>
        <v>6.5543278084714551E-2</v>
      </c>
      <c r="D95" s="103">
        <f t="shared" si="16"/>
        <v>0.15056740497675689</v>
      </c>
      <c r="E95" s="103">
        <f t="shared" si="16"/>
        <v>0.21769080964614235</v>
      </c>
      <c r="F95" s="103">
        <f t="shared" si="16"/>
        <v>0.21139807023900584</v>
      </c>
      <c r="G95" s="103">
        <f t="shared" si="16"/>
        <v>0.19818296496101562</v>
      </c>
      <c r="H95" s="103">
        <f t="shared" si="16"/>
        <v>0.16761622088791844</v>
      </c>
      <c r="I95" s="103">
        <f t="shared" si="16"/>
        <v>0.12758123808659347</v>
      </c>
      <c r="J95" s="103">
        <f t="shared" si="16"/>
        <v>9.0011459562494331E-2</v>
      </c>
      <c r="K95" s="103">
        <f t="shared" si="16"/>
        <v>8.2089044204411363E-2</v>
      </c>
      <c r="L95" s="103">
        <f t="shared" si="16"/>
        <v>6.7290891349732235E-2</v>
      </c>
    </row>
    <row r="96" spans="1:18" x14ac:dyDescent="0.2">
      <c r="A96" s="24" t="s">
        <v>86</v>
      </c>
      <c r="C96" s="103">
        <f t="shared" ref="C96:L96" si="17">(C76+C58)/(C36+C37)</f>
        <v>0.20986162305879505</v>
      </c>
      <c r="D96" s="103">
        <f t="shared" si="17"/>
        <v>0.20946534391033531</v>
      </c>
      <c r="E96" s="103">
        <f t="shared" si="17"/>
        <v>0.15914017683030726</v>
      </c>
      <c r="F96" s="103">
        <f t="shared" si="17"/>
        <v>0.17632166690585532</v>
      </c>
      <c r="G96" s="103">
        <f t="shared" si="17"/>
        <v>0.13157242167732822</v>
      </c>
      <c r="H96" s="103">
        <f t="shared" si="17"/>
        <v>5.9514302766406353E-2</v>
      </c>
      <c r="I96" s="103">
        <f t="shared" si="17"/>
        <v>2.7813269672082912E-2</v>
      </c>
      <c r="J96" s="103">
        <f t="shared" si="17"/>
        <v>2.9624757277472824E-2</v>
      </c>
      <c r="K96" s="103">
        <f t="shared" si="17"/>
        <v>2.7653135848961438E-2</v>
      </c>
      <c r="L96" s="103">
        <f t="shared" si="17"/>
        <v>2.7294761116201393E-2</v>
      </c>
    </row>
    <row r="97" spans="1:12" x14ac:dyDescent="0.2">
      <c r="A97" s="24" t="s">
        <v>134</v>
      </c>
      <c r="C97" s="103" t="e">
        <f t="shared" ref="C97:L97" si="18">(C77+C59)/(C39+C38)</f>
        <v>#VALUE!</v>
      </c>
      <c r="D97" s="103" t="e">
        <f t="shared" si="18"/>
        <v>#VALUE!</v>
      </c>
      <c r="E97" s="103" t="e">
        <f t="shared" si="18"/>
        <v>#VALUE!</v>
      </c>
      <c r="F97" s="103" t="e">
        <f t="shared" si="18"/>
        <v>#VALUE!</v>
      </c>
      <c r="G97" s="103">
        <f t="shared" si="18"/>
        <v>0</v>
      </c>
      <c r="H97" s="103">
        <f t="shared" si="18"/>
        <v>2.8636064259328191E-4</v>
      </c>
      <c r="I97" s="103">
        <f t="shared" si="18"/>
        <v>5.5517702576526103E-4</v>
      </c>
      <c r="J97" s="103">
        <f t="shared" si="18"/>
        <v>6.7025008201478794E-3</v>
      </c>
      <c r="K97" s="103">
        <f t="shared" si="18"/>
        <v>6.8728392257804026E-3</v>
      </c>
      <c r="L97" s="103">
        <f t="shared" si="18"/>
        <v>6.9502275384628331E-3</v>
      </c>
    </row>
    <row r="98" spans="1:12" x14ac:dyDescent="0.2">
      <c r="A98" s="24" t="s">
        <v>87</v>
      </c>
      <c r="C98" s="103">
        <f t="shared" ref="C98:L98" si="19">(C78+C60)/(C40+C41)</f>
        <v>0.2423597479078417</v>
      </c>
      <c r="D98" s="103">
        <f t="shared" si="19"/>
        <v>0.12269410664172123</v>
      </c>
      <c r="E98" s="103">
        <f t="shared" si="19"/>
        <v>0.14321172435297788</v>
      </c>
      <c r="F98" s="103">
        <f t="shared" si="19"/>
        <v>8.2126598066729006E-2</v>
      </c>
      <c r="G98" s="103">
        <f t="shared" si="19"/>
        <v>0.14327811608397567</v>
      </c>
      <c r="H98" s="103">
        <f t="shared" si="19"/>
        <v>0.1938437798926135</v>
      </c>
      <c r="I98" s="103">
        <f t="shared" si="19"/>
        <v>0.11110102568757375</v>
      </c>
      <c r="J98" s="103">
        <f t="shared" si="19"/>
        <v>6.5716619769447218E-2</v>
      </c>
      <c r="K98" s="103">
        <f t="shared" si="19"/>
        <v>3.0277217260969647E-2</v>
      </c>
      <c r="L98" s="103">
        <f t="shared" si="19"/>
        <v>2.7199456318091158E-2</v>
      </c>
    </row>
    <row r="99" spans="1:12" x14ac:dyDescent="0.2">
      <c r="A99" s="24" t="s">
        <v>77</v>
      </c>
      <c r="C99" s="103">
        <f t="shared" ref="C99:L99" si="20">(C79+C61)/(C43+C42)</f>
        <v>0.32767245164862435</v>
      </c>
      <c r="D99" s="103">
        <f t="shared" si="20"/>
        <v>0.14689462932203065</v>
      </c>
      <c r="E99" s="103">
        <f t="shared" si="20"/>
        <v>0.18947438761288346</v>
      </c>
      <c r="F99" s="103">
        <f t="shared" si="20"/>
        <v>0.23285994823976172</v>
      </c>
      <c r="G99" s="103">
        <f t="shared" si="20"/>
        <v>9.4400793029686458E-2</v>
      </c>
      <c r="H99" s="103">
        <f t="shared" si="20"/>
        <v>5.4219230969896177E-2</v>
      </c>
      <c r="I99" s="103">
        <f t="shared" si="20"/>
        <v>2.1882402045181822E-2</v>
      </c>
      <c r="J99" s="103">
        <f t="shared" si="20"/>
        <v>1.5512078050816508E-2</v>
      </c>
      <c r="K99" s="103">
        <f t="shared" si="20"/>
        <v>1.2820994417488392E-2</v>
      </c>
      <c r="L99" s="103">
        <f t="shared" si="20"/>
        <v>1.1927583868106642E-2</v>
      </c>
    </row>
    <row r="100" spans="1:12" x14ac:dyDescent="0.2">
      <c r="A100" s="24" t="s">
        <v>88</v>
      </c>
      <c r="C100" s="103">
        <f t="shared" ref="C100:I106" si="21">(C80+C62)/(C44)</f>
        <v>0.57519123783032</v>
      </c>
      <c r="D100" s="103">
        <f t="shared" si="21"/>
        <v>0.60955247450162264</v>
      </c>
      <c r="E100" s="103">
        <f t="shared" si="21"/>
        <v>0.5041760836810385</v>
      </c>
      <c r="F100" s="103">
        <f t="shared" si="21"/>
        <v>0.35059906699119148</v>
      </c>
      <c r="G100" s="103">
        <f t="shared" si="21"/>
        <v>0.19056777352804818</v>
      </c>
      <c r="H100" s="103">
        <f t="shared" si="21"/>
        <v>0.23729983508721042</v>
      </c>
      <c r="I100" s="103">
        <f t="shared" si="21"/>
        <v>0.18444875697750676</v>
      </c>
      <c r="J100" s="103">
        <f t="shared" ref="J100:J107" si="22">(J80+J62)/(J44)</f>
        <v>0.11369004142519742</v>
      </c>
      <c r="K100" s="103">
        <f t="shared" ref="K100:L107" si="23">(K80+K62)/(K44)</f>
        <v>0.30195481305191962</v>
      </c>
      <c r="L100" s="103">
        <f t="shared" si="23"/>
        <v>0.31535354167971447</v>
      </c>
    </row>
    <row r="101" spans="1:12" x14ac:dyDescent="0.2">
      <c r="A101" s="24" t="s">
        <v>133</v>
      </c>
      <c r="C101" s="103">
        <f t="shared" si="21"/>
        <v>0.43539695598519118</v>
      </c>
      <c r="D101" s="103">
        <f t="shared" si="21"/>
        <v>0</v>
      </c>
      <c r="E101" s="103">
        <f t="shared" si="21"/>
        <v>4.0459309494451288E-4</v>
      </c>
      <c r="F101" s="103">
        <f t="shared" si="21"/>
        <v>1.2972922848664688E-2</v>
      </c>
      <c r="G101" s="103">
        <f t="shared" si="21"/>
        <v>3.0249376558603491E-2</v>
      </c>
      <c r="H101" s="103">
        <f t="shared" si="21"/>
        <v>3.3006508793795873E-2</v>
      </c>
      <c r="I101" s="103">
        <f t="shared" si="21"/>
        <v>3.5081088325961671E-2</v>
      </c>
      <c r="J101" s="103">
        <f t="shared" si="22"/>
        <v>3.7182683286422734E-2</v>
      </c>
      <c r="K101" s="103">
        <f t="shared" si="23"/>
        <v>3.7890363222088198E-2</v>
      </c>
      <c r="L101" s="103">
        <f t="shared" si="23"/>
        <v>4.036724299691731E-2</v>
      </c>
    </row>
    <row r="102" spans="1:12" x14ac:dyDescent="0.2">
      <c r="A102" s="24" t="s">
        <v>118</v>
      </c>
      <c r="C102" s="103" t="e">
        <f t="shared" si="21"/>
        <v>#DIV/0!</v>
      </c>
      <c r="D102" s="103" t="e">
        <f t="shared" si="21"/>
        <v>#DIV/0!</v>
      </c>
      <c r="E102" s="103" t="e">
        <f t="shared" si="21"/>
        <v>#DIV/0!</v>
      </c>
      <c r="F102" s="103">
        <f t="shared" si="21"/>
        <v>0.97868020304568526</v>
      </c>
      <c r="G102" s="103">
        <f t="shared" si="21"/>
        <v>0.57208121827411174</v>
      </c>
      <c r="H102" s="103">
        <f t="shared" si="21"/>
        <v>0.4291370558375634</v>
      </c>
      <c r="I102" s="103">
        <f t="shared" si="21"/>
        <v>0.42335025380710656</v>
      </c>
      <c r="J102" s="103">
        <f t="shared" si="22"/>
        <v>0.29111675126903552</v>
      </c>
      <c r="K102" s="246">
        <f t="shared" si="23"/>
        <v>8.6294416243654817E-2</v>
      </c>
      <c r="L102" s="246">
        <f t="shared" si="23"/>
        <v>6.0956006768189505E-2</v>
      </c>
    </row>
    <row r="103" spans="1:12" x14ac:dyDescent="0.2">
      <c r="A103" s="24" t="s">
        <v>21</v>
      </c>
      <c r="C103" s="103" t="e">
        <f t="shared" si="21"/>
        <v>#DIV/0!</v>
      </c>
      <c r="D103" s="103">
        <f t="shared" si="21"/>
        <v>0.69721797064914015</v>
      </c>
      <c r="E103" s="103">
        <f t="shared" si="21"/>
        <v>0.76856036733591415</v>
      </c>
      <c r="F103" s="103">
        <f t="shared" si="21"/>
        <v>0.30611326190690552</v>
      </c>
      <c r="G103" s="103">
        <f t="shared" si="21"/>
        <v>0.50316004077471976</v>
      </c>
      <c r="H103" s="103">
        <f t="shared" si="21"/>
        <v>0.34840950040950042</v>
      </c>
      <c r="I103" s="103">
        <f t="shared" si="21"/>
        <v>0.10689694931330723</v>
      </c>
      <c r="J103" s="103">
        <f t="shared" si="22"/>
        <v>0.17776781887757878</v>
      </c>
      <c r="K103" s="103">
        <f t="shared" si="23"/>
        <v>8.8551059788934142E-2</v>
      </c>
      <c r="L103" s="103">
        <f t="shared" si="23"/>
        <v>0.10711884907987738</v>
      </c>
    </row>
    <row r="104" spans="1:12" x14ac:dyDescent="0.2">
      <c r="A104" s="24" t="s">
        <v>17</v>
      </c>
      <c r="C104" s="103">
        <f t="shared" si="21"/>
        <v>0.48514168102027738</v>
      </c>
      <c r="D104" s="103">
        <f t="shared" si="21"/>
        <v>0.30656154252809525</v>
      </c>
      <c r="E104" s="103">
        <f t="shared" si="21"/>
        <v>0.23876897890506424</v>
      </c>
      <c r="F104" s="103">
        <f t="shared" si="21"/>
        <v>0.20748185244345405</v>
      </c>
      <c r="G104" s="103">
        <f t="shared" si="21"/>
        <v>0.13676162859449145</v>
      </c>
      <c r="H104" s="103">
        <f t="shared" si="21"/>
        <v>0.1196921320932241</v>
      </c>
      <c r="I104" s="103">
        <f t="shared" si="21"/>
        <v>7.4828148216700321E-2</v>
      </c>
      <c r="J104" s="103">
        <f t="shared" si="22"/>
        <v>6.1038874235857236E-2</v>
      </c>
      <c r="K104" s="103">
        <f t="shared" si="23"/>
        <v>5.5185373703720834E-2</v>
      </c>
      <c r="L104" s="103">
        <f t="shared" si="23"/>
        <v>5.0894863212664329E-2</v>
      </c>
    </row>
    <row r="105" spans="1:12" x14ac:dyDescent="0.2">
      <c r="A105" s="24" t="s">
        <v>37</v>
      </c>
      <c r="C105" s="103">
        <f t="shared" si="21"/>
        <v>0.49575592295892273</v>
      </c>
      <c r="D105" s="103">
        <f t="shared" si="21"/>
        <v>0</v>
      </c>
      <c r="E105" s="103">
        <f t="shared" si="21"/>
        <v>6.5766809683379798E-3</v>
      </c>
      <c r="F105" s="103">
        <f t="shared" si="21"/>
        <v>6.5766809683379798E-3</v>
      </c>
      <c r="G105" s="103">
        <f t="shared" si="21"/>
        <v>6.5766809683379798E-3</v>
      </c>
      <c r="H105" s="103">
        <f t="shared" si="21"/>
        <v>6.6408901744340488E-3</v>
      </c>
      <c r="I105" s="103">
        <f t="shared" si="21"/>
        <v>6.6408901744340488E-3</v>
      </c>
      <c r="J105" s="103">
        <f t="shared" si="22"/>
        <v>7.19429768897022E-3</v>
      </c>
      <c r="K105" s="103">
        <f t="shared" si="23"/>
        <v>7.19429768897022E-3</v>
      </c>
      <c r="L105" s="103">
        <f t="shared" si="23"/>
        <v>7.4648524738545703E-3</v>
      </c>
    </row>
    <row r="106" spans="1:12" x14ac:dyDescent="0.2">
      <c r="A106" s="24" t="s">
        <v>38</v>
      </c>
      <c r="C106" s="103">
        <f t="shared" si="21"/>
        <v>0.33093348207262485</v>
      </c>
      <c r="D106" s="103">
        <f t="shared" si="21"/>
        <v>0.24483059452811029</v>
      </c>
      <c r="E106" s="103">
        <f t="shared" si="21"/>
        <v>0.38267023934696837</v>
      </c>
      <c r="F106" s="103">
        <f t="shared" si="21"/>
        <v>0.31044341436844852</v>
      </c>
      <c r="G106" s="103">
        <f t="shared" si="21"/>
        <v>0.19049810473427375</v>
      </c>
      <c r="H106" s="103">
        <f t="shared" si="21"/>
        <v>0.25294177724355205</v>
      </c>
      <c r="I106" s="103">
        <f t="shared" si="21"/>
        <v>0.17147913810513163</v>
      </c>
      <c r="J106" s="103">
        <f t="shared" si="22"/>
        <v>0.18998465725372699</v>
      </c>
      <c r="K106" s="103">
        <f t="shared" si="23"/>
        <v>0.1301903474181943</v>
      </c>
      <c r="L106" s="103">
        <f t="shared" si="23"/>
        <v>0.10838700153741544</v>
      </c>
    </row>
    <row r="107" spans="1:12" s="208" customFormat="1" ht="17" thickBot="1" x14ac:dyDescent="0.25">
      <c r="A107" s="211" t="s">
        <v>46</v>
      </c>
      <c r="B107" s="210"/>
      <c r="C107" s="214">
        <f>(C89+C69)/(C51)</f>
        <v>1.6489764973464747E-2</v>
      </c>
      <c r="D107" s="214">
        <f>(D89+D69)/(D51)</f>
        <v>0.31336362793285732</v>
      </c>
      <c r="E107" s="214">
        <f>(E89+E69)/(E51)</f>
        <v>0.27539182045812854</v>
      </c>
      <c r="F107" s="214">
        <f>(F87+F69)/(F51)</f>
        <v>0.19059167207641664</v>
      </c>
      <c r="G107" s="214">
        <f>(G87+G69)/(G51)</f>
        <v>0.20427988500417324</v>
      </c>
      <c r="H107" s="214">
        <f>(H87+H69)/(H51)</f>
        <v>0.17043030696466663</v>
      </c>
      <c r="I107" s="214">
        <f>(I87+I69)/(I51)</f>
        <v>0.12610127051840861</v>
      </c>
      <c r="J107" s="214">
        <f t="shared" si="22"/>
        <v>0.15410831864972643</v>
      </c>
      <c r="K107" s="214">
        <f t="shared" si="23"/>
        <v>0.12568394695353799</v>
      </c>
      <c r="L107" s="214">
        <f t="shared" si="23"/>
        <v>8.2106092924047122E-2</v>
      </c>
    </row>
    <row r="108" spans="1:12" ht="18" thickTop="1" thickBot="1" x14ac:dyDescent="0.25"/>
    <row r="109" spans="1:12" ht="29" customHeight="1" x14ac:dyDescent="0.2">
      <c r="C109" s="216" t="s">
        <v>384</v>
      </c>
      <c r="D109" s="216" t="s">
        <v>383</v>
      </c>
      <c r="E109" s="216" t="s">
        <v>385</v>
      </c>
      <c r="G109" s="355" t="s">
        <v>388</v>
      </c>
      <c r="H109" s="275" t="s">
        <v>384</v>
      </c>
      <c r="I109" s="275" t="s">
        <v>386</v>
      </c>
      <c r="J109" s="276" t="s">
        <v>387</v>
      </c>
    </row>
    <row r="110" spans="1:12" x14ac:dyDescent="0.2">
      <c r="A110" s="14" t="s">
        <v>98</v>
      </c>
      <c r="C110">
        <f>COUNTIFS(Collection!P:P,"&lt;&gt;*n/a*",Collection!P:P,"?*",Collection!B:B, 'Summary-info'!A110)</f>
        <v>3</v>
      </c>
      <c r="D110" s="17">
        <f>SUMIFS(Collection!Q:Q,Collection!P:P,"&lt;&gt;*n/a*",Collection!P:P,"?*",Collection!B:B, 'Summary-info'!A110)</f>
        <v>481353.33333333331</v>
      </c>
      <c r="E110" s="17">
        <f>D110/C110</f>
        <v>160451.11111111109</v>
      </c>
      <c r="G110" s="199" t="s">
        <v>84</v>
      </c>
      <c r="H110" s="23">
        <f>SUM(C110:C111)</f>
        <v>5</v>
      </c>
      <c r="I110" s="116">
        <f>SUM(D110:D111)</f>
        <v>550120</v>
      </c>
      <c r="J110" s="356">
        <f>I110/H110</f>
        <v>110024</v>
      </c>
    </row>
    <row r="111" spans="1:12" x14ac:dyDescent="0.2">
      <c r="A111" s="7" t="s">
        <v>31</v>
      </c>
      <c r="C111">
        <f>COUNTIFS(Collection!P:P,"&lt;&gt;*n/a*",Collection!P:P,"?*",Collection!B:B, 'Summary-info'!A111)</f>
        <v>2</v>
      </c>
      <c r="D111" s="17">
        <f>SUMIFS(Collection!Q:Q,Collection!P:P,"&lt;&gt;*n/a*",Collection!P:P,"?*",Collection!B:B, 'Summary-info'!A111)</f>
        <v>68766.666666666657</v>
      </c>
      <c r="E111" s="17">
        <f t="shared" ref="E111:E133" si="24">D111/C111</f>
        <v>34383.333333333328</v>
      </c>
      <c r="G111" s="199" t="s">
        <v>83</v>
      </c>
      <c r="H111" s="23">
        <f>SUM(C112:C113)</f>
        <v>2</v>
      </c>
      <c r="I111" s="116">
        <f>SUM(D112:D113)</f>
        <v>157116.66666666663</v>
      </c>
      <c r="J111" s="356">
        <f t="shared" ref="J111:J125" si="25">I111/H111</f>
        <v>78558.333333333314</v>
      </c>
    </row>
    <row r="112" spans="1:12" x14ac:dyDescent="0.2">
      <c r="A112" s="14" t="s">
        <v>49</v>
      </c>
      <c r="C112">
        <f>COUNTIFS(Collection!P:P,"&lt;&gt;*n/a*",Collection!P:P,"?*",Collection!B:B, 'Summary-info'!A112)</f>
        <v>0</v>
      </c>
      <c r="D112" s="17">
        <f>SUMIFS(Collection!Q:Q,Collection!P:P,"&lt;&gt;*n/a*",Collection!P:P,"?*",Collection!B:B, 'Summary-info'!A112)</f>
        <v>0</v>
      </c>
      <c r="E112" s="17" t="e">
        <f t="shared" si="24"/>
        <v>#DIV/0!</v>
      </c>
      <c r="G112" s="199" t="s">
        <v>85</v>
      </c>
      <c r="H112" s="23">
        <f>SUM(C114:C115)</f>
        <v>2</v>
      </c>
      <c r="I112" s="116">
        <f>SUM(D114:D115)</f>
        <v>146033.33333333331</v>
      </c>
      <c r="J112" s="356">
        <f t="shared" si="25"/>
        <v>73016.666666666657</v>
      </c>
    </row>
    <row r="113" spans="1:10" x14ac:dyDescent="0.2">
      <c r="A113" s="7" t="s">
        <v>47</v>
      </c>
      <c r="C113">
        <f>COUNTIFS(Collection!P:P,"&lt;&gt;*n/a*",Collection!P:P,"?*",Collection!B:B, 'Summary-info'!A113)</f>
        <v>2</v>
      </c>
      <c r="D113" s="17">
        <f>SUMIFS(Collection!Q:Q,Collection!P:P,"&lt;&gt;*n/a*",Collection!P:P,"?*",Collection!B:B, 'Summary-info'!A113)</f>
        <v>157116.66666666663</v>
      </c>
      <c r="E113" s="17">
        <f t="shared" si="24"/>
        <v>78558.333333333314</v>
      </c>
      <c r="G113" s="199" t="s">
        <v>104</v>
      </c>
      <c r="H113" s="23">
        <f>SUM(C116:C117)</f>
        <v>7</v>
      </c>
      <c r="I113" s="116">
        <f>SUM(D116:D117)</f>
        <v>789060</v>
      </c>
      <c r="J113" s="356">
        <f t="shared" si="25"/>
        <v>112722.85714285714</v>
      </c>
    </row>
    <row r="114" spans="1:10" x14ac:dyDescent="0.2">
      <c r="A114" s="7" t="s">
        <v>50</v>
      </c>
      <c r="C114">
        <f>COUNTIFS(Collection!P:P,"&lt;&gt;*n/a*",Collection!P:P,"?*",Collection!B:B, 'Summary-info'!A114)</f>
        <v>1</v>
      </c>
      <c r="D114" s="17">
        <f>SUMIFS(Collection!Q:Q,Collection!P:P,"&lt;&gt;*n/a*",Collection!P:P,"?*",Collection!B:B, 'Summary-info'!A114)</f>
        <v>60599.999999999985</v>
      </c>
      <c r="E114" s="17">
        <f t="shared" si="24"/>
        <v>60599.999999999985</v>
      </c>
      <c r="G114" s="199" t="s">
        <v>86</v>
      </c>
      <c r="H114" s="23">
        <f>SUM(C118:C119)</f>
        <v>13</v>
      </c>
      <c r="I114" s="116">
        <f>SUM(D118:D119)</f>
        <v>1332420</v>
      </c>
      <c r="J114" s="356">
        <f t="shared" si="25"/>
        <v>102493.84615384616</v>
      </c>
    </row>
    <row r="115" spans="1:10" x14ac:dyDescent="0.2">
      <c r="A115" s="14" t="s">
        <v>39</v>
      </c>
      <c r="C115">
        <f>COUNTIFS(Collection!P:P,"&lt;&gt;*n/a*",Collection!P:P,"?*",Collection!B:B, 'Summary-info'!A115)</f>
        <v>1</v>
      </c>
      <c r="D115" s="17">
        <f>SUMIFS(Collection!Q:Q,Collection!P:P,"&lt;&gt;*n/a*",Collection!P:P,"?*",Collection!B:B, 'Summary-info'!A115)</f>
        <v>85433.333333333328</v>
      </c>
      <c r="E115" s="17">
        <f t="shared" si="24"/>
        <v>85433.333333333328</v>
      </c>
      <c r="G115" s="199" t="s">
        <v>74</v>
      </c>
      <c r="H115" s="23">
        <f>SUM(C120:C121)</f>
        <v>8</v>
      </c>
      <c r="I115" s="116">
        <f>SUM(D120:D121)</f>
        <v>725306.66666666674</v>
      </c>
      <c r="J115" s="356">
        <f t="shared" si="25"/>
        <v>90663.333333333343</v>
      </c>
    </row>
    <row r="116" spans="1:10" x14ac:dyDescent="0.2">
      <c r="A116" s="7" t="s">
        <v>120</v>
      </c>
      <c r="C116">
        <f>COUNTIFS(Collection!P:P,"&lt;&gt;*n/a*",Collection!P:P,"?*",Collection!B:B, 'Summary-info'!A116)</f>
        <v>4</v>
      </c>
      <c r="D116" s="17">
        <f>SUMIFS(Collection!Q:Q,Collection!P:P,"&lt;&gt;*n/a*",Collection!P:P,"?*",Collection!B:B, 'Summary-info'!A116)</f>
        <v>372910</v>
      </c>
      <c r="E116" s="17">
        <f t="shared" si="24"/>
        <v>93227.5</v>
      </c>
      <c r="G116" s="199" t="s">
        <v>87</v>
      </c>
      <c r="H116" s="23">
        <f>SUM(C122:C123)</f>
        <v>7</v>
      </c>
      <c r="I116" s="116">
        <f>SUM(D122:D123)</f>
        <v>947383.33333333337</v>
      </c>
      <c r="J116" s="356">
        <f t="shared" si="25"/>
        <v>135340.47619047618</v>
      </c>
    </row>
    <row r="117" spans="1:10" x14ac:dyDescent="0.2">
      <c r="A117" s="14" t="s">
        <v>97</v>
      </c>
      <c r="C117">
        <f>COUNTIFS(Collection!P:P,"&lt;&gt;*n/a*",Collection!P:P,"?*",Collection!B:B, 'Summary-info'!A117)</f>
        <v>3</v>
      </c>
      <c r="D117" s="17">
        <f>SUMIFS(Collection!Q:Q,Collection!P:P,"&lt;&gt;*n/a*",Collection!P:P,"?*",Collection!B:B, 'Summary-info'!A117)</f>
        <v>416150</v>
      </c>
      <c r="E117" s="17">
        <f t="shared" si="24"/>
        <v>138716.66666666666</v>
      </c>
      <c r="G117" s="199" t="s">
        <v>77</v>
      </c>
      <c r="H117" s="23">
        <f>SUM(C124:C125)</f>
        <v>10</v>
      </c>
      <c r="I117" s="116">
        <f>SUM(D124:D125)</f>
        <v>1474860</v>
      </c>
      <c r="J117" s="356">
        <f t="shared" si="25"/>
        <v>147486</v>
      </c>
    </row>
    <row r="118" spans="1:10" x14ac:dyDescent="0.2">
      <c r="A118" s="7" t="s">
        <v>27</v>
      </c>
      <c r="C118">
        <f>COUNTIFS(Collection!P:P,"&lt;&gt;*n/a*",Collection!P:P,"?*",Collection!B:B, 'Summary-info'!A118)</f>
        <v>6</v>
      </c>
      <c r="D118" s="17">
        <f>SUMIFS(Collection!Q:Q,Collection!P:P,"&lt;&gt;*n/a*",Collection!P:P,"?*",Collection!B:B, 'Summary-info'!A118)</f>
        <v>941696.66666666674</v>
      </c>
      <c r="E118" s="17">
        <f t="shared" si="24"/>
        <v>156949.44444444447</v>
      </c>
      <c r="G118" s="199" t="s">
        <v>88</v>
      </c>
      <c r="H118" s="23">
        <f t="shared" ref="H118:I125" si="26">C126</f>
        <v>4</v>
      </c>
      <c r="I118" s="116">
        <f t="shared" si="26"/>
        <v>306610</v>
      </c>
      <c r="J118" s="356">
        <f t="shared" si="25"/>
        <v>76652.5</v>
      </c>
    </row>
    <row r="119" spans="1:10" x14ac:dyDescent="0.2">
      <c r="A119" s="7" t="s">
        <v>23</v>
      </c>
      <c r="C119">
        <f>COUNTIFS(Collection!P:P,"&lt;&gt;*n/a*",Collection!P:P,"?*",Collection!B:B, 'Summary-info'!A119)</f>
        <v>7</v>
      </c>
      <c r="D119" s="17">
        <f>SUMIFS(Collection!Q:Q,Collection!P:P,"&lt;&gt;*n/a*",Collection!P:P,"?*",Collection!B:B, 'Summary-info'!A119)</f>
        <v>390723.33333333331</v>
      </c>
      <c r="E119" s="17">
        <f t="shared" si="24"/>
        <v>55817.619047619046</v>
      </c>
      <c r="G119" s="199" t="s">
        <v>108</v>
      </c>
      <c r="H119" s="23">
        <f t="shared" si="26"/>
        <v>5</v>
      </c>
      <c r="I119" s="116">
        <f t="shared" si="26"/>
        <v>394313.33333333331</v>
      </c>
      <c r="J119" s="356">
        <f t="shared" si="25"/>
        <v>78862.666666666657</v>
      </c>
    </row>
    <row r="120" spans="1:10" x14ac:dyDescent="0.2">
      <c r="A120" s="7" t="s">
        <v>24</v>
      </c>
      <c r="C120">
        <f>COUNTIFS(Collection!P:P,"&lt;&gt;*n/a*",Collection!P:P,"?*",Collection!B:B, 'Summary-info'!A120)</f>
        <v>2</v>
      </c>
      <c r="D120" s="17">
        <f>SUMIFS(Collection!Q:Q,Collection!P:P,"&lt;&gt;*n/a*",Collection!P:P,"?*",Collection!B:B, 'Summary-info'!A120)</f>
        <v>32900</v>
      </c>
      <c r="E120" s="17">
        <f t="shared" si="24"/>
        <v>16450</v>
      </c>
      <c r="G120" s="199" t="s">
        <v>118</v>
      </c>
      <c r="H120" s="23">
        <f t="shared" si="26"/>
        <v>1</v>
      </c>
      <c r="I120" s="116">
        <f t="shared" si="26"/>
        <v>39400</v>
      </c>
      <c r="J120" s="356">
        <f t="shared" si="25"/>
        <v>39400</v>
      </c>
    </row>
    <row r="121" spans="1:10" x14ac:dyDescent="0.2">
      <c r="A121" s="14" t="s">
        <v>34</v>
      </c>
      <c r="C121">
        <f>COUNTIFS(Collection!P:P,"&lt;&gt;*n/a*",Collection!P:P,"?*",Collection!B:B, 'Summary-info'!A121)</f>
        <v>6</v>
      </c>
      <c r="D121" s="17">
        <f>SUMIFS(Collection!Q:Q,Collection!P:P,"&lt;&gt;*n/a*",Collection!P:P,"?*",Collection!B:B, 'Summary-info'!A121)</f>
        <v>692406.66666666674</v>
      </c>
      <c r="E121" s="17">
        <f t="shared" si="24"/>
        <v>115401.11111111112</v>
      </c>
      <c r="G121" s="199" t="s">
        <v>21</v>
      </c>
      <c r="H121" s="23">
        <f t="shared" si="26"/>
        <v>3</v>
      </c>
      <c r="I121" s="116">
        <f t="shared" si="26"/>
        <v>553900</v>
      </c>
      <c r="J121" s="356">
        <f t="shared" si="25"/>
        <v>184633.33333333334</v>
      </c>
    </row>
    <row r="122" spans="1:10" x14ac:dyDescent="0.2">
      <c r="A122" s="14" t="s">
        <v>25</v>
      </c>
      <c r="C122">
        <f>COUNTIFS(Collection!P:P,"&lt;&gt;*n/a*",Collection!P:P,"?*",Collection!B:B, 'Summary-info'!A122)</f>
        <v>1</v>
      </c>
      <c r="D122" s="17">
        <f>SUMIFS(Collection!Q:Q,Collection!P:P,"&lt;&gt;*n/a*",Collection!P:P,"?*",Collection!B:B, 'Summary-info'!A122)</f>
        <v>107100</v>
      </c>
      <c r="E122" s="17">
        <f t="shared" si="24"/>
        <v>107100</v>
      </c>
      <c r="G122" s="199" t="s">
        <v>17</v>
      </c>
      <c r="H122" s="23">
        <f t="shared" si="26"/>
        <v>3</v>
      </c>
      <c r="I122" s="116">
        <f t="shared" si="26"/>
        <v>27843.333333333328</v>
      </c>
      <c r="J122" s="356">
        <f t="shared" si="25"/>
        <v>9281.1111111111095</v>
      </c>
    </row>
    <row r="123" spans="1:10" x14ac:dyDescent="0.2">
      <c r="A123" s="7" t="s">
        <v>36</v>
      </c>
      <c r="C123">
        <f>COUNTIFS(Collection!P:P,"&lt;&gt;*n/a*",Collection!P:P,"?*",Collection!B:B, 'Summary-info'!A123)</f>
        <v>6</v>
      </c>
      <c r="D123" s="17">
        <f>SUMIFS(Collection!Q:Q,Collection!P:P,"&lt;&gt;*n/a*",Collection!P:P,"?*",Collection!B:B, 'Summary-info'!A123)</f>
        <v>840283.33333333337</v>
      </c>
      <c r="E123" s="17">
        <f t="shared" si="24"/>
        <v>140047.22222222222</v>
      </c>
      <c r="G123" s="199" t="s">
        <v>20</v>
      </c>
      <c r="H123" s="23">
        <f t="shared" si="26"/>
        <v>3</v>
      </c>
      <c r="I123" s="116">
        <f t="shared" si="26"/>
        <v>338016.66666666663</v>
      </c>
      <c r="J123" s="356">
        <f t="shared" si="25"/>
        <v>112672.2222222222</v>
      </c>
    </row>
    <row r="124" spans="1:10" x14ac:dyDescent="0.2">
      <c r="A124" s="7" t="s">
        <v>44</v>
      </c>
      <c r="C124">
        <f>COUNTIFS(Collection!P:P,"&lt;&gt;*n/a*",Collection!P:P,"?*",Collection!B:B, 'Summary-info'!A124)</f>
        <v>4</v>
      </c>
      <c r="D124" s="17">
        <f>SUMIFS(Collection!Q:Q,Collection!P:P,"&lt;&gt;*n/a*",Collection!P:P,"?*",Collection!B:B, 'Summary-info'!A124)</f>
        <v>399900.00000000006</v>
      </c>
      <c r="E124" s="17">
        <f t="shared" si="24"/>
        <v>99975.000000000015</v>
      </c>
      <c r="G124" s="199" t="s">
        <v>38</v>
      </c>
      <c r="H124" s="23">
        <f t="shared" si="26"/>
        <v>4</v>
      </c>
      <c r="I124" s="116">
        <f t="shared" si="26"/>
        <v>163776.66666666669</v>
      </c>
      <c r="J124" s="356">
        <f t="shared" si="25"/>
        <v>40944.166666666672</v>
      </c>
    </row>
    <row r="125" spans="1:10" ht="17" thickBot="1" x14ac:dyDescent="0.25">
      <c r="A125" s="7" t="s">
        <v>48</v>
      </c>
      <c r="C125">
        <f>COUNTIFS(Collection!P:P,"&lt;&gt;*n/a*",Collection!P:P,"?*",Collection!B:B, 'Summary-info'!A125)</f>
        <v>6</v>
      </c>
      <c r="D125" s="17">
        <f>SUMIFS(Collection!Q:Q,Collection!P:P,"&lt;&gt;*n/a*",Collection!P:P,"?*",Collection!B:B, 'Summary-info'!A125)</f>
        <v>1074960</v>
      </c>
      <c r="E125" s="17">
        <f t="shared" si="24"/>
        <v>179160</v>
      </c>
      <c r="G125" s="200" t="s">
        <v>46</v>
      </c>
      <c r="H125" s="27">
        <f t="shared" si="26"/>
        <v>5</v>
      </c>
      <c r="I125" s="117">
        <f t="shared" si="26"/>
        <v>190356.66666666666</v>
      </c>
      <c r="J125" s="357">
        <f t="shared" si="25"/>
        <v>38071.333333333328</v>
      </c>
    </row>
    <row r="126" spans="1:10" x14ac:dyDescent="0.2">
      <c r="A126" s="14" t="s">
        <v>88</v>
      </c>
      <c r="C126">
        <f>COUNTIFS(Collection!P:P,"&lt;&gt;*n/a*",Collection!P:P,"?*",Collection!B:B, 'Summary-info'!A126)</f>
        <v>4</v>
      </c>
      <c r="D126" s="17">
        <f>SUMIFS(Collection!Q:Q,Collection!P:P,"&lt;&gt;*n/a*",Collection!P:P,"?*",Collection!B:B, 'Summary-info'!A126)</f>
        <v>306610</v>
      </c>
      <c r="E126" s="17">
        <f t="shared" si="24"/>
        <v>76652.5</v>
      </c>
      <c r="H126" s="254"/>
    </row>
    <row r="127" spans="1:10" x14ac:dyDescent="0.2">
      <c r="A127" s="14" t="s">
        <v>108</v>
      </c>
      <c r="C127">
        <f>COUNTIFS(Collection!P:P,"&lt;&gt;*n/a*",Collection!P:P,"?*",Collection!B:B, 'Summary-info'!A127)</f>
        <v>5</v>
      </c>
      <c r="D127" s="17">
        <f>SUMIFS(Collection!Q:Q,Collection!P:P,"&lt;&gt;*n/a*",Collection!P:P,"?*",Collection!B:B, 'Summary-info'!A127)</f>
        <v>394313.33333333331</v>
      </c>
      <c r="E127" s="17">
        <f t="shared" si="24"/>
        <v>78862.666666666657</v>
      </c>
    </row>
    <row r="128" spans="1:10" x14ac:dyDescent="0.2">
      <c r="A128" s="14" t="s">
        <v>118</v>
      </c>
      <c r="C128">
        <f>COUNTIFS(Collection!P:P,"&lt;&gt;*n/a*",Collection!P:P,"?*",Collection!B:B, 'Summary-info'!A128)</f>
        <v>1</v>
      </c>
      <c r="D128" s="17">
        <f>SUMIFS(Collection!Q:Q,Collection!P:P,"&lt;&gt;*n/a*",Collection!P:P,"?*",Collection!B:B, 'Summary-info'!A128)</f>
        <v>39400</v>
      </c>
      <c r="E128" s="17">
        <f t="shared" si="24"/>
        <v>39400</v>
      </c>
    </row>
    <row r="129" spans="1:5" x14ac:dyDescent="0.2">
      <c r="A129" s="7" t="s">
        <v>21</v>
      </c>
      <c r="C129">
        <f>COUNTIFS(Collection!P:P,"&lt;&gt;*n/a*",Collection!P:P,"?*",Collection!B:B, 'Summary-info'!A129)</f>
        <v>3</v>
      </c>
      <c r="D129" s="17">
        <f>SUMIFS(Collection!Q:Q,Collection!P:P,"&lt;&gt;*n/a*",Collection!P:P,"?*",Collection!B:B, 'Summary-info'!A129)</f>
        <v>553900</v>
      </c>
      <c r="E129" s="17">
        <f t="shared" si="24"/>
        <v>184633.33333333334</v>
      </c>
    </row>
    <row r="130" spans="1:5" x14ac:dyDescent="0.2">
      <c r="A130" s="14" t="s">
        <v>17</v>
      </c>
      <c r="C130">
        <f>COUNTIFS(Collection!P:P,"&lt;&gt;*n/a*",Collection!P:P,"?*",Collection!B:B, 'Summary-info'!A130)</f>
        <v>3</v>
      </c>
      <c r="D130" s="17">
        <f>SUMIFS(Collection!Q:Q,Collection!P:P,"&lt;&gt;*n/a*",Collection!P:P,"?*",Collection!B:B, 'Summary-info'!A130)</f>
        <v>27843.333333333328</v>
      </c>
      <c r="E130" s="17">
        <f t="shared" si="24"/>
        <v>9281.1111111111095</v>
      </c>
    </row>
    <row r="131" spans="1:5" x14ac:dyDescent="0.2">
      <c r="A131" s="7" t="s">
        <v>20</v>
      </c>
      <c r="C131">
        <f>COUNTIFS(Collection!P:P,"&lt;&gt;*n/a*",Collection!P:P,"?*",Collection!B:B, 'Summary-info'!A131)</f>
        <v>3</v>
      </c>
      <c r="D131" s="17">
        <f>SUMIFS(Collection!Q:Q,Collection!P:P,"&lt;&gt;*n/a*",Collection!P:P,"?*",Collection!B:B, 'Summary-info'!A131)</f>
        <v>338016.66666666663</v>
      </c>
      <c r="E131" s="17">
        <f t="shared" si="24"/>
        <v>112672.2222222222</v>
      </c>
    </row>
    <row r="132" spans="1:5" x14ac:dyDescent="0.2">
      <c r="A132" s="7" t="s">
        <v>38</v>
      </c>
      <c r="C132">
        <f>COUNTIFS(Collection!P:P,"&lt;&gt;*n/a*",Collection!P:P,"?*",Collection!B:B, 'Summary-info'!A132)</f>
        <v>4</v>
      </c>
      <c r="D132" s="17">
        <f>SUMIFS(Collection!Q:Q,Collection!P:P,"&lt;&gt;*n/a*",Collection!P:P,"?*",Collection!B:B, 'Summary-info'!A132)</f>
        <v>163776.66666666669</v>
      </c>
      <c r="E132" s="17">
        <f t="shared" si="24"/>
        <v>40944.166666666672</v>
      </c>
    </row>
    <row r="133" spans="1:5" ht="17" thickBot="1" x14ac:dyDescent="0.25">
      <c r="A133" s="209" t="s">
        <v>46</v>
      </c>
      <c r="C133">
        <f>COUNTIFS(Collection!P:P,"&lt;&gt;*n/a*",Collection!P:P,"?*",Collection!B:B, 'Summary-info'!A133)</f>
        <v>5</v>
      </c>
      <c r="D133" s="17">
        <f>SUMIFS(Collection!Q:Q,Collection!P:P,"&lt;&gt;*n/a*",Collection!P:P,"?*",Collection!B:B, 'Summary-info'!A133)</f>
        <v>190356.66666666666</v>
      </c>
      <c r="E133" s="17">
        <f t="shared" si="24"/>
        <v>38071.333333333328</v>
      </c>
    </row>
    <row r="134" spans="1:5" ht="17" thickTop="1" x14ac:dyDescent="0.2"/>
    <row r="152" spans="10:10" x14ac:dyDescent="0.2">
      <c r="J152">
        <v>4</v>
      </c>
    </row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81"/>
  <sheetViews>
    <sheetView showRuler="0" topLeftCell="BH1" zoomScale="80" zoomScaleNormal="80" zoomScalePageLayoutView="80" workbookViewId="0">
      <selection activeCell="J152" sqref="J152"/>
    </sheetView>
  </sheetViews>
  <sheetFormatPr baseColWidth="10" defaultRowHeight="16" x14ac:dyDescent="0.2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1" x14ac:dyDescent="0.25">
      <c r="A1" s="30" t="s">
        <v>122</v>
      </c>
      <c r="AA1" s="285" t="s">
        <v>329</v>
      </c>
      <c r="AJ1" s="284" t="s">
        <v>328</v>
      </c>
      <c r="AK1" s="284"/>
      <c r="BE1" s="293"/>
    </row>
    <row r="2" spans="1:67" s="31" customFormat="1" ht="47" customHeight="1" x14ac:dyDescent="0.25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108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120</v>
      </c>
      <c r="Y2" s="33" t="s">
        <v>118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104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331</v>
      </c>
      <c r="AL2" s="33" t="s">
        <v>118</v>
      </c>
      <c r="AM2" s="288" t="s">
        <v>344</v>
      </c>
      <c r="AN2" s="33" t="s">
        <v>108</v>
      </c>
      <c r="AO2" s="33" t="s">
        <v>345</v>
      </c>
      <c r="AP2" s="33" t="s">
        <v>88</v>
      </c>
      <c r="AQ2" s="33" t="s">
        <v>332</v>
      </c>
      <c r="AR2" s="32" t="s">
        <v>46</v>
      </c>
      <c r="AS2" s="32" t="s">
        <v>333</v>
      </c>
      <c r="AT2" s="32" t="s">
        <v>38</v>
      </c>
      <c r="AU2" s="32" t="s">
        <v>334</v>
      </c>
      <c r="AV2" s="32" t="s">
        <v>20</v>
      </c>
      <c r="AW2" s="32" t="s">
        <v>333</v>
      </c>
      <c r="AX2" s="33" t="s">
        <v>17</v>
      </c>
      <c r="AY2" s="33" t="s">
        <v>335</v>
      </c>
      <c r="AZ2" s="31" t="s">
        <v>77</v>
      </c>
      <c r="BA2" s="31" t="s">
        <v>336</v>
      </c>
      <c r="BB2" s="31" t="s">
        <v>87</v>
      </c>
      <c r="BC2" s="31" t="s">
        <v>337</v>
      </c>
      <c r="BD2" s="31" t="s">
        <v>74</v>
      </c>
      <c r="BE2" s="294" t="s">
        <v>338</v>
      </c>
      <c r="BF2" s="31" t="s">
        <v>86</v>
      </c>
      <c r="BG2" s="31" t="s">
        <v>339</v>
      </c>
      <c r="BH2" s="31" t="s">
        <v>104</v>
      </c>
      <c r="BI2" s="31" t="s">
        <v>340</v>
      </c>
      <c r="BJ2" s="31" t="s">
        <v>85</v>
      </c>
      <c r="BK2" s="31" t="s">
        <v>341</v>
      </c>
      <c r="BL2" s="31" t="s">
        <v>83</v>
      </c>
      <c r="BM2" s="31" t="s">
        <v>342</v>
      </c>
      <c r="BN2" s="31" t="s">
        <v>84</v>
      </c>
      <c r="BO2" s="31" t="s">
        <v>343</v>
      </c>
    </row>
    <row r="3" spans="1:67" s="31" customFormat="1" ht="47" customHeight="1" x14ac:dyDescent="0.25">
      <c r="A3" s="286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3">
        <f>SUM($S3:S$4)</f>
        <v>0</v>
      </c>
      <c r="AK3" s="283">
        <f>AJ3/Resources!$B$10</f>
        <v>0</v>
      </c>
      <c r="AL3" s="283">
        <f>SUM($Y3:Y$4)</f>
        <v>0</v>
      </c>
      <c r="AM3" s="289">
        <f>AL3/Resources!$B$11</f>
        <v>0</v>
      </c>
      <c r="AN3" s="283">
        <f>SUM($L3:L$4)</f>
        <v>0</v>
      </c>
      <c r="AO3" s="283">
        <f>AN3/Resources!$B$12</f>
        <v>0</v>
      </c>
      <c r="AP3" s="283">
        <f>SUM($R3:R$4)</f>
        <v>0</v>
      </c>
      <c r="AQ3" s="283">
        <f>AP3/Resources!$B$13</f>
        <v>0</v>
      </c>
      <c r="AR3" s="283">
        <v>0</v>
      </c>
      <c r="AS3" s="283">
        <f>AR3/Resources!$B$14</f>
        <v>0</v>
      </c>
      <c r="AT3" s="283">
        <v>0</v>
      </c>
      <c r="AU3" s="283">
        <f>AT3/Resources!$B$15</f>
        <v>0</v>
      </c>
      <c r="AV3" s="283">
        <v>0</v>
      </c>
      <c r="AW3" s="283">
        <f>AV3/Resources!$B$16</f>
        <v>0</v>
      </c>
      <c r="AX3" s="283">
        <v>0</v>
      </c>
      <c r="AY3" s="283">
        <f>AX3/Resources!$B$17</f>
        <v>0</v>
      </c>
      <c r="AZ3" s="283">
        <v>0</v>
      </c>
      <c r="BA3" s="283">
        <f>AZ3/Resources!$B$6</f>
        <v>0</v>
      </c>
      <c r="BB3" s="283">
        <v>0</v>
      </c>
      <c r="BC3" s="283">
        <f>BB3/Resources!$B$7</f>
        <v>0</v>
      </c>
      <c r="BD3" s="283">
        <v>0</v>
      </c>
      <c r="BE3" s="295">
        <f>BD3/Resources!$B$8</f>
        <v>0</v>
      </c>
      <c r="BF3" s="283">
        <v>0</v>
      </c>
      <c r="BG3" s="283">
        <f>BF3/Resources!$B$9</f>
        <v>0</v>
      </c>
      <c r="BH3" s="283">
        <v>0</v>
      </c>
      <c r="BI3" s="283">
        <f>BH3/Resources!$B$2</f>
        <v>0</v>
      </c>
      <c r="BJ3" s="283">
        <v>0</v>
      </c>
      <c r="BK3" s="283">
        <f>BJ3/Resources!$B$3</f>
        <v>0</v>
      </c>
      <c r="BL3" s="283">
        <v>0</v>
      </c>
      <c r="BM3" s="283">
        <f>BL3/Resources!$B$4</f>
        <v>0</v>
      </c>
      <c r="BN3" s="283">
        <v>0</v>
      </c>
      <c r="BO3" s="291">
        <f>BN3/Resources!$B$5</f>
        <v>0</v>
      </c>
    </row>
    <row r="4" spans="1:67" ht="19" x14ac:dyDescent="0.25">
      <c r="A4" s="34">
        <v>42866</v>
      </c>
      <c r="B4" s="47">
        <f>SUMIFS(Collection!$J:$J, Collection!$A:$A, $A4, Collection!$B:$B, B$2)</f>
        <v>0</v>
      </c>
      <c r="C4" s="47">
        <f>SUMIFS(Collection!$J:$J, Collection!$A:$A, $A4, Collection!$B:$B, C$2)</f>
        <v>0</v>
      </c>
      <c r="D4" s="47">
        <f>SUMIFS(Collection!$J:$J, Collection!$A:$A, $A4, Collection!$B:$B, D$2)</f>
        <v>0</v>
      </c>
      <c r="E4" s="47">
        <f>SUMIFS(Collection!$J:$J, Collection!$A:$A, $A4, Collection!$B:$B, E$2)</f>
        <v>0</v>
      </c>
      <c r="F4" s="47">
        <f>SUMIFS(Collection!$J:$J, Collection!$A:$A, $A4, Collection!$B:$B, F$2)</f>
        <v>0</v>
      </c>
      <c r="G4" s="47">
        <f>SUMIFS(Collection!$J:$J, Collection!$A:$A, $A4, Collection!$B:$B, G$2)</f>
        <v>0</v>
      </c>
      <c r="H4" s="47">
        <f>SUMIFS(Collection!$J:$J, Collection!$A:$A, $A4, Collection!$B:$B, H$2)</f>
        <v>0</v>
      </c>
      <c r="I4" s="47">
        <f>SUMIFS(Collection!$J:$J, Collection!$A:$A, $A4, Collection!$B:$B, I$2)</f>
        <v>0</v>
      </c>
      <c r="J4" s="47">
        <f>SUMIFS(Collection!$J:$J, Collection!$A:$A, $A4, Collection!$B:$B, J$2)</f>
        <v>37200</v>
      </c>
      <c r="K4" s="47">
        <f>SUMIFS(Collection!$J:$J, Collection!$A:$A, $A4, Collection!$B:$B, K$2)</f>
        <v>0</v>
      </c>
      <c r="L4" s="47">
        <f>SUMIFS(Collection!$J:$J, Collection!$A:$A, $A4, Collection!$B:$B, L$2)</f>
        <v>0</v>
      </c>
      <c r="M4" s="47">
        <f>SUMIFS(Collection!$J:$J, Collection!$A:$A, $A4, Collection!$B:$B, M$2)</f>
        <v>0</v>
      </c>
      <c r="N4" s="47">
        <f>SUMIFS(Collection!$J:$J, Collection!$A:$A, $A4, Collection!$B:$B, N$2)</f>
        <v>0</v>
      </c>
      <c r="O4" s="47">
        <f>SUMIFS(Collection!$J:$J, Collection!$A:$A, $A4, Collection!$B:$B, O$2)</f>
        <v>47400</v>
      </c>
      <c r="P4" s="47">
        <f>SUMIFS(Collection!$J:$J, Collection!$A:$A, $A4, Collection!$B:$B, P$2)</f>
        <v>0</v>
      </c>
      <c r="Q4" s="47">
        <f>SUMIFS(Collection!$J:$J, Collection!$A:$A, $A4, Collection!$B:$B, Q$2)</f>
        <v>0</v>
      </c>
      <c r="R4" s="47">
        <f>SUMIFS(Collection!$J:$J, Collection!$A:$A, $A4, Collection!$B:$B, R$2)</f>
        <v>0</v>
      </c>
      <c r="S4" s="47">
        <f>SUMIFS(Collection!$J:$J, Collection!$A:$A, $A4, Collection!$B:$B, S$2)</f>
        <v>0</v>
      </c>
      <c r="T4" s="47">
        <f>SUMIFS(Collection!$J:$J, Collection!$A:$A, $A4, Collection!$B:$B, T$2)</f>
        <v>0</v>
      </c>
      <c r="U4" s="47">
        <f>SUMIFS(Collection!$J:$J, Collection!$A:$A, $A4, Collection!$B:$B, U$2)</f>
        <v>0</v>
      </c>
      <c r="V4" s="47">
        <f>SUMIFS(Collection!$J:$J, Collection!$A:$A, $A4, Collection!$B:$B, V$2)</f>
        <v>0</v>
      </c>
      <c r="W4" s="47">
        <f>SUMIFS(Collection!$J:$J, Collection!$A:$A, $A4, Collection!$B:$B, W$2)</f>
        <v>0</v>
      </c>
      <c r="X4" s="47">
        <f>SUMIFS(Collection!$J:$J, Collection!$A:$A, $A4, Collection!$B:$B, X$2)</f>
        <v>0</v>
      </c>
      <c r="Y4" s="47">
        <f>SUMIFS(Collection!$J:$J, Collection!$A:$A, $A4, Collection!$B:$B, Y$2)</f>
        <v>0</v>
      </c>
      <c r="Z4" s="47"/>
      <c r="AA4" s="47">
        <f>SUM(I4,K4)</f>
        <v>0</v>
      </c>
      <c r="AB4" s="47">
        <f>SUM(D4,G4)</f>
        <v>0</v>
      </c>
      <c r="AC4" s="47">
        <f>SUM(C4,H4)</f>
        <v>0</v>
      </c>
      <c r="AD4" s="47">
        <f>SUM(F4,B4)</f>
        <v>0</v>
      </c>
      <c r="AE4" s="47">
        <f>SUM(E4,X4)</f>
        <v>0</v>
      </c>
      <c r="AF4" s="47">
        <f>SUM(V4,T4)</f>
        <v>0</v>
      </c>
      <c r="AG4" s="47">
        <f>SUM(W4,M4)</f>
        <v>0</v>
      </c>
      <c r="AH4" s="283">
        <f>SUM(Q4,P4)</f>
        <v>0</v>
      </c>
      <c r="AJ4" s="283">
        <f>SUM($S$4:S4)</f>
        <v>0</v>
      </c>
      <c r="AK4" s="283">
        <f>AJ4/Resources!$B$10</f>
        <v>0</v>
      </c>
      <c r="AL4" s="283">
        <f>SUM($Y$4:Y4)</f>
        <v>0</v>
      </c>
      <c r="AM4" s="290">
        <f>AL4/Resources!$B$11</f>
        <v>0</v>
      </c>
      <c r="AN4" s="283">
        <f>SUM($L$4:L4)</f>
        <v>0</v>
      </c>
      <c r="AO4" s="283">
        <f>AN4/Resources!$B$12</f>
        <v>0</v>
      </c>
      <c r="AP4" s="283">
        <f>SUM($R$4:R4)</f>
        <v>0</v>
      </c>
      <c r="AQ4" s="283">
        <f>AP4/Resources!$B$13</f>
        <v>0</v>
      </c>
      <c r="AR4" s="283">
        <f>SUM($N$4:N4)</f>
        <v>0</v>
      </c>
      <c r="AS4" s="283">
        <f>AR4/Resources!$B$14</f>
        <v>0</v>
      </c>
      <c r="AT4" s="283">
        <f>SUM($U$4:U4)</f>
        <v>0</v>
      </c>
      <c r="AU4" s="283">
        <f>AT4/Resources!$B$15</f>
        <v>0</v>
      </c>
      <c r="AV4" s="283">
        <f>SUM($J$4:J4)</f>
        <v>37200</v>
      </c>
      <c r="AW4" s="283">
        <f>AV4/Resources!$B$16</f>
        <v>379.59183673469386</v>
      </c>
      <c r="AX4" s="283">
        <f>SUM($O$4:O4)</f>
        <v>47400</v>
      </c>
      <c r="AY4" s="283">
        <f>AX4/Resources!$B$17</f>
        <v>451.42857142857144</v>
      </c>
      <c r="AZ4" s="283">
        <f>SUM($I$4:I4,$K$4:K4)</f>
        <v>0</v>
      </c>
      <c r="BA4" s="283">
        <f>AZ4/Resources!$B$6</f>
        <v>0</v>
      </c>
      <c r="BB4" s="283">
        <f>SUM($D$4:D4,$G$4:G4)</f>
        <v>0</v>
      </c>
      <c r="BC4" s="283">
        <f>BB4/Resources!$B$7</f>
        <v>0</v>
      </c>
      <c r="BD4" s="283">
        <f>SUM($C$4:C4,$H$4:H4)</f>
        <v>0</v>
      </c>
      <c r="BE4" s="295">
        <f>BD4/Resources!$B$8</f>
        <v>0</v>
      </c>
      <c r="BF4" s="283">
        <f>SUM($B$4:B4,$F$4:F4)</f>
        <v>0</v>
      </c>
      <c r="BG4" s="283">
        <f>BF4/Resources!$B$9</f>
        <v>0</v>
      </c>
      <c r="BH4" s="283">
        <f>SUM($X$4:X4,$E$4:E4)</f>
        <v>0</v>
      </c>
      <c r="BI4" s="283">
        <f>BH4/Resources!$B$2</f>
        <v>0</v>
      </c>
      <c r="BJ4" s="283">
        <f>SUM($V$4:V4,$T$4:T4)</f>
        <v>0</v>
      </c>
      <c r="BK4" s="283">
        <f>BJ4/Resources!$B$3</f>
        <v>0</v>
      </c>
      <c r="BL4" s="283">
        <f>SUM($W$4:W4, $M$4:M4)</f>
        <v>0</v>
      </c>
      <c r="BM4" s="283">
        <f>BL4/Resources!$B$4</f>
        <v>0</v>
      </c>
      <c r="BN4" s="283">
        <f>SUM($P$4:P4,$Q$4:Q4)</f>
        <v>0</v>
      </c>
      <c r="BO4" s="292">
        <f>BN4/Resources!$B$5</f>
        <v>0</v>
      </c>
    </row>
    <row r="5" spans="1:67" ht="19" x14ac:dyDescent="0.25">
      <c r="A5" s="34">
        <f>1+A4</f>
        <v>42867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Z5" s="47"/>
      <c r="AA5" s="47">
        <f t="shared" ref="AA5:AA64" si="0">SUM(I5,K5)</f>
        <v>0</v>
      </c>
      <c r="AB5" s="47">
        <f t="shared" ref="AB5:AB64" si="1">SUM(D5,G5)</f>
        <v>0</v>
      </c>
      <c r="AC5" s="47">
        <f t="shared" ref="AC5:AC64" si="2">SUM(C5,H5)</f>
        <v>0</v>
      </c>
      <c r="AD5" s="47">
        <f t="shared" ref="AD5:AD64" si="3">SUM(F5,B5)</f>
        <v>0</v>
      </c>
      <c r="AE5" s="47">
        <f t="shared" ref="AE5:AE64" si="4">SUM(E5,X5)</f>
        <v>0</v>
      </c>
      <c r="AF5" s="47">
        <f t="shared" ref="AF5:AF64" si="5">SUM(V5,T5)</f>
        <v>0</v>
      </c>
      <c r="AG5" s="47">
        <f t="shared" ref="AG5:AG64" si="6">SUM(W5,M5)</f>
        <v>0</v>
      </c>
      <c r="AH5" s="283">
        <f t="shared" ref="AH5:AH64" si="7">SUM(Q5,P5)</f>
        <v>0</v>
      </c>
      <c r="AJ5" s="283">
        <f>SUM($S$4:S5)</f>
        <v>0</v>
      </c>
      <c r="AK5" s="283">
        <f>AJ5/Resources!$B$10</f>
        <v>0</v>
      </c>
      <c r="AL5" s="283">
        <f>SUM($Y$4:Y5)</f>
        <v>0</v>
      </c>
      <c r="AM5" s="290">
        <f>AL5/Resources!$B$11</f>
        <v>0</v>
      </c>
      <c r="AN5" s="283">
        <f>SUM($L$4:L5)</f>
        <v>0</v>
      </c>
      <c r="AO5" s="283">
        <f>AN5/Resources!$B$12</f>
        <v>0</v>
      </c>
      <c r="AP5" s="283">
        <f>SUM($R$4:R5)</f>
        <v>0</v>
      </c>
      <c r="AQ5" s="283">
        <f>AP5/Resources!$B$13</f>
        <v>0</v>
      </c>
      <c r="AR5" s="283">
        <f>SUM($N$4:N5)</f>
        <v>0</v>
      </c>
      <c r="AS5" s="283">
        <f>AR5/Resources!$B$14</f>
        <v>0</v>
      </c>
      <c r="AT5" s="283">
        <f>SUM($U$4:U5)</f>
        <v>0</v>
      </c>
      <c r="AU5" s="283">
        <f>AT5/Resources!$B$15</f>
        <v>0</v>
      </c>
      <c r="AV5" s="283">
        <f>SUM($J$4:J5)</f>
        <v>37200</v>
      </c>
      <c r="AW5" s="283">
        <f>AV5/Resources!$B$16</f>
        <v>379.59183673469386</v>
      </c>
      <c r="AX5" s="283">
        <f>SUM($O$4:O5)</f>
        <v>47400</v>
      </c>
      <c r="AY5" s="283">
        <f>AX5/Resources!$B$17</f>
        <v>451.42857142857144</v>
      </c>
      <c r="AZ5" s="283">
        <f>SUM($I$4:I5,$K$4:K5)</f>
        <v>0</v>
      </c>
      <c r="BA5" s="283">
        <f>AZ5/Resources!$B$6</f>
        <v>0</v>
      </c>
      <c r="BB5" s="283">
        <f>SUM($D$4:D5,$G$4:G5)</f>
        <v>0</v>
      </c>
      <c r="BC5" s="283">
        <f>BB5/Resources!$B$7</f>
        <v>0</v>
      </c>
      <c r="BD5" s="283">
        <f>SUM($C$4:C5,$H$4:H5)</f>
        <v>0</v>
      </c>
      <c r="BE5" s="295">
        <f>BD5/Resources!$B$8</f>
        <v>0</v>
      </c>
      <c r="BF5" s="283">
        <f>SUM($B$4:B5,$F$4:F5)</f>
        <v>0</v>
      </c>
      <c r="BG5" s="283">
        <f>BF5/Resources!$B$9</f>
        <v>0</v>
      </c>
      <c r="BH5" s="283">
        <f>SUM($X$4:X5,$E$4:E5)</f>
        <v>0</v>
      </c>
      <c r="BI5" s="283">
        <f>BH5/Resources!$B$2</f>
        <v>0</v>
      </c>
      <c r="BJ5" s="283">
        <f>SUM($V$4:V5,$T$4:T5)</f>
        <v>0</v>
      </c>
      <c r="BK5" s="283">
        <f>BJ5/Resources!$B$3</f>
        <v>0</v>
      </c>
      <c r="BL5" s="283">
        <f>SUM($W$4:W5, $M$4:M5)</f>
        <v>0</v>
      </c>
      <c r="BM5" s="283">
        <f>BL5/Resources!$B$4</f>
        <v>0</v>
      </c>
      <c r="BN5" s="283">
        <f>SUM($P$4:P5,$Q$4:Q5)</f>
        <v>0</v>
      </c>
      <c r="BO5" s="292">
        <f>BN5/Resources!$B$5</f>
        <v>0</v>
      </c>
    </row>
    <row r="6" spans="1:67" ht="19" x14ac:dyDescent="0.25">
      <c r="A6" s="34">
        <f t="shared" ref="A6:A66" si="8">1+A5</f>
        <v>42868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3483.3333333333335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Z6" s="47"/>
      <c r="AA6" s="47">
        <f t="shared" si="0"/>
        <v>0</v>
      </c>
      <c r="AB6" s="47">
        <f t="shared" si="1"/>
        <v>0</v>
      </c>
      <c r="AC6" s="47">
        <f t="shared" si="2"/>
        <v>0</v>
      </c>
      <c r="AD6" s="47">
        <f t="shared" si="3"/>
        <v>0</v>
      </c>
      <c r="AE6" s="47">
        <f t="shared" si="4"/>
        <v>0</v>
      </c>
      <c r="AF6" s="47">
        <f t="shared" si="5"/>
        <v>0</v>
      </c>
      <c r="AG6" s="47">
        <f t="shared" si="6"/>
        <v>0</v>
      </c>
      <c r="AH6" s="283">
        <f t="shared" si="7"/>
        <v>0</v>
      </c>
      <c r="AJ6" s="283">
        <f>SUM($S$4:S6)</f>
        <v>3483.3333333333335</v>
      </c>
      <c r="AK6" s="283">
        <f>AJ6/Resources!$B$10</f>
        <v>290.27777777777777</v>
      </c>
      <c r="AL6" s="283">
        <f>SUM($Y$4:Y6)</f>
        <v>0</v>
      </c>
      <c r="AM6" s="290">
        <f>AL6/Resources!$B$11</f>
        <v>0</v>
      </c>
      <c r="AN6" s="283">
        <f>SUM($L$4:L6)</f>
        <v>0</v>
      </c>
      <c r="AO6" s="283">
        <f>AN6/Resources!$B$12</f>
        <v>0</v>
      </c>
      <c r="AP6" s="283">
        <f>SUM($R$4:R6)</f>
        <v>0</v>
      </c>
      <c r="AQ6" s="283">
        <f>AP6/Resources!$B$13</f>
        <v>0</v>
      </c>
      <c r="AR6" s="283">
        <f>SUM($N$4:N6)</f>
        <v>0</v>
      </c>
      <c r="AS6" s="283">
        <f>AR6/Resources!$B$14</f>
        <v>0</v>
      </c>
      <c r="AT6" s="283">
        <f>SUM($U$4:U6)</f>
        <v>0</v>
      </c>
      <c r="AU6" s="283">
        <f>AT6/Resources!$B$15</f>
        <v>0</v>
      </c>
      <c r="AV6" s="283">
        <f>SUM($J$4:J6)</f>
        <v>37200</v>
      </c>
      <c r="AW6" s="283">
        <f>AV6/Resources!$B$16</f>
        <v>379.59183673469386</v>
      </c>
      <c r="AX6" s="283">
        <f>SUM($O$4:O6)</f>
        <v>47400</v>
      </c>
      <c r="AY6" s="283">
        <f>AX6/Resources!$B$17</f>
        <v>451.42857142857144</v>
      </c>
      <c r="AZ6" s="283">
        <f>SUM($I$4:I6,$K$4:K6)</f>
        <v>0</v>
      </c>
      <c r="BA6" s="283">
        <f>AZ6/Resources!$B$6</f>
        <v>0</v>
      </c>
      <c r="BB6" s="283">
        <f>SUM($D$4:D6,$G$4:G6)</f>
        <v>0</v>
      </c>
      <c r="BC6" s="283">
        <f>BB6/Resources!$B$7</f>
        <v>0</v>
      </c>
      <c r="BD6" s="283">
        <f>SUM($C$4:C6,$H$4:H6)</f>
        <v>0</v>
      </c>
      <c r="BE6" s="295">
        <f>BD6/Resources!$B$8</f>
        <v>0</v>
      </c>
      <c r="BF6" s="283">
        <f>SUM($B$4:B6,$F$4:F6)</f>
        <v>0</v>
      </c>
      <c r="BG6" s="283">
        <f>BF6/Resources!$B$9</f>
        <v>0</v>
      </c>
      <c r="BH6" s="283">
        <f>SUM($X$4:X6,$E$4:E6)</f>
        <v>0</v>
      </c>
      <c r="BI6" s="283">
        <f>BH6/Resources!$B$2</f>
        <v>0</v>
      </c>
      <c r="BJ6" s="283">
        <f>SUM($V$4:V6,$T$4:T6)</f>
        <v>0</v>
      </c>
      <c r="BK6" s="283">
        <f>BJ6/Resources!$B$3</f>
        <v>0</v>
      </c>
      <c r="BL6" s="283">
        <f>SUM($W$4:W6, $M$4:M6)</f>
        <v>0</v>
      </c>
      <c r="BM6" s="283">
        <f>BL6/Resources!$B$4</f>
        <v>0</v>
      </c>
      <c r="BN6" s="283">
        <f>SUM($P$4:P6,$Q$4:Q6)</f>
        <v>0</v>
      </c>
      <c r="BO6" s="292">
        <f>BN6/Resources!$B$5</f>
        <v>0</v>
      </c>
    </row>
    <row r="7" spans="1:67" ht="19" x14ac:dyDescent="0.25">
      <c r="A7" s="34">
        <f t="shared" si="8"/>
        <v>42869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69066.666666666657</v>
      </c>
      <c r="E7" s="47">
        <f>SUMIFS(Collection!$J:$J, Collection!$A:$A, $A7, Collection!$B:$B, E$2)</f>
        <v>0</v>
      </c>
      <c r="F7" s="47">
        <f>SUMIFS(Collection!$J:$J, Collection!$A:$A, $A7, Collection!$B:$B, F$2)</f>
        <v>80666.666666666657</v>
      </c>
      <c r="G7" s="47">
        <f>SUMIFS(Collection!$J:$J, Collection!$A:$A, $A7, Collection!$B:$B, G$2)</f>
        <v>0</v>
      </c>
      <c r="H7" s="47">
        <f>SUMIFS(Collection!$J:$J, Collection!$A:$A, $A7, Collection!$B:$B, H$2)</f>
        <v>98000</v>
      </c>
      <c r="I7" s="47">
        <f>SUMIFS(Collection!$J:$J, Collection!$A:$A, $A7, Collection!$B:$B, I$2)</f>
        <v>0</v>
      </c>
      <c r="J7" s="47">
        <f>SUMIFS(Collection!$J:$J, Collection!$A:$A, $A7, Collection!$B:$B, J$2)</f>
        <v>52266.666666666657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66800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3844.4444444444443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Z7" s="47"/>
      <c r="AA7" s="47">
        <f t="shared" si="0"/>
        <v>0</v>
      </c>
      <c r="AB7" s="47">
        <f t="shared" si="1"/>
        <v>69066.666666666657</v>
      </c>
      <c r="AC7" s="47">
        <f t="shared" si="2"/>
        <v>98000</v>
      </c>
      <c r="AD7" s="47">
        <f t="shared" si="3"/>
        <v>80666.666666666657</v>
      </c>
      <c r="AE7" s="47">
        <f t="shared" si="4"/>
        <v>0</v>
      </c>
      <c r="AF7" s="47">
        <f t="shared" si="5"/>
        <v>0</v>
      </c>
      <c r="AG7" s="47">
        <f t="shared" si="6"/>
        <v>0</v>
      </c>
      <c r="AH7" s="283">
        <f t="shared" si="7"/>
        <v>0</v>
      </c>
      <c r="AJ7" s="283">
        <f>SUM($S$4:S7)</f>
        <v>7327.7777777777774</v>
      </c>
      <c r="AK7" s="283">
        <f>AJ7/Resources!$B$10</f>
        <v>610.64814814814815</v>
      </c>
      <c r="AL7" s="283">
        <f>SUM($Y$4:Y7)</f>
        <v>0</v>
      </c>
      <c r="AM7" s="290">
        <f>AL7/Resources!$B$11</f>
        <v>0</v>
      </c>
      <c r="AN7" s="283">
        <f>SUM($L$4:L7)</f>
        <v>0</v>
      </c>
      <c r="AO7" s="283">
        <f>AN7/Resources!$B$12</f>
        <v>0</v>
      </c>
      <c r="AP7" s="283">
        <f>SUM($R$4:R7)</f>
        <v>0</v>
      </c>
      <c r="AQ7" s="283">
        <f>AP7/Resources!$B$13</f>
        <v>0</v>
      </c>
      <c r="AR7" s="283">
        <f>SUM($N$4:N7)</f>
        <v>0</v>
      </c>
      <c r="AS7" s="283">
        <f>AR7/Resources!$B$14</f>
        <v>0</v>
      </c>
      <c r="AT7" s="283">
        <f>SUM($U$4:U7)</f>
        <v>0</v>
      </c>
      <c r="AU7" s="283">
        <f>AT7/Resources!$B$15</f>
        <v>0</v>
      </c>
      <c r="AV7" s="283">
        <f>SUM($J$4:J7)</f>
        <v>89466.666666666657</v>
      </c>
      <c r="AW7" s="283">
        <f>AV7/Resources!$B$16</f>
        <v>912.92517006802711</v>
      </c>
      <c r="AX7" s="283">
        <f>SUM($O$4:O7)</f>
        <v>114200</v>
      </c>
      <c r="AY7" s="283">
        <f>AX7/Resources!$B$17</f>
        <v>1087.6190476190477</v>
      </c>
      <c r="AZ7" s="283">
        <f>SUM($I$4:I7,$K$4:K7)</f>
        <v>0</v>
      </c>
      <c r="BA7" s="283">
        <f>AZ7/Resources!$B$6</f>
        <v>0</v>
      </c>
      <c r="BB7" s="283">
        <f>SUM($D$4:D7,$G$4:G7)</f>
        <v>69066.666666666657</v>
      </c>
      <c r="BC7" s="283">
        <f>BB7/Resources!$B$7</f>
        <v>2302.2222222222217</v>
      </c>
      <c r="BD7" s="283">
        <f>SUM($C$4:C7,$H$4:H7)</f>
        <v>98000</v>
      </c>
      <c r="BE7" s="295">
        <f>BD7/Resources!$B$8</f>
        <v>3769.2307692307691</v>
      </c>
      <c r="BF7" s="283">
        <f>SUM($B$4:B7,$F$4:F7)</f>
        <v>80666.666666666657</v>
      </c>
      <c r="BG7" s="283">
        <f>BF7/Resources!$B$9</f>
        <v>2602.1505376344085</v>
      </c>
      <c r="BH7" s="283">
        <f>SUM($X$4:X7,$E$4:E7)</f>
        <v>0</v>
      </c>
      <c r="BI7" s="283">
        <f>BH7/Resources!$B$2</f>
        <v>0</v>
      </c>
      <c r="BJ7" s="283">
        <f>SUM($V$4:V7,$T$4:T7)</f>
        <v>0</v>
      </c>
      <c r="BK7" s="283">
        <f>BJ7/Resources!$B$3</f>
        <v>0</v>
      </c>
      <c r="BL7" s="283">
        <f>SUM($W$4:W7, $M$4:M7)</f>
        <v>0</v>
      </c>
      <c r="BM7" s="283">
        <f>BL7/Resources!$B$4</f>
        <v>0</v>
      </c>
      <c r="BN7" s="283">
        <f>SUM($P$4:P7,$Q$4:Q7)</f>
        <v>0</v>
      </c>
      <c r="BO7" s="292">
        <f>BN7/Resources!$B$5</f>
        <v>0</v>
      </c>
    </row>
    <row r="8" spans="1:67" ht="19" x14ac:dyDescent="0.25">
      <c r="A8" s="34">
        <f t="shared" si="8"/>
        <v>42870</v>
      </c>
      <c r="B8" s="47">
        <f>SUMIFS(Collection!$J:$J, Collection!$A:$A, $A8, Collection!$B:$B, B$2)</f>
        <v>554500</v>
      </c>
      <c r="C8" s="47">
        <f>SUMIFS(Collection!$J:$J, Collection!$A:$A, $A8, Collection!$B:$B, C$2)</f>
        <v>0</v>
      </c>
      <c r="D8" s="47">
        <f>SUMIFS(Collection!$J:$J, Collection!$A:$A, $A8, Collection!$B:$B, D$2)</f>
        <v>461500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77250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Z8" s="47"/>
      <c r="AA8" s="47">
        <f t="shared" si="0"/>
        <v>0</v>
      </c>
      <c r="AB8" s="47">
        <f t="shared" si="1"/>
        <v>461500</v>
      </c>
      <c r="AC8" s="47">
        <f t="shared" si="2"/>
        <v>77250</v>
      </c>
      <c r="AD8" s="47">
        <f t="shared" si="3"/>
        <v>554500</v>
      </c>
      <c r="AE8" s="47">
        <f t="shared" si="4"/>
        <v>0</v>
      </c>
      <c r="AF8" s="47">
        <f t="shared" si="5"/>
        <v>0</v>
      </c>
      <c r="AG8" s="47">
        <f t="shared" si="6"/>
        <v>0</v>
      </c>
      <c r="AH8" s="283">
        <f t="shared" si="7"/>
        <v>0</v>
      </c>
      <c r="AJ8" s="283">
        <f>SUM($S$4:S8)</f>
        <v>7327.7777777777774</v>
      </c>
      <c r="AK8" s="283">
        <f>AJ8/Resources!$B$10</f>
        <v>610.64814814814815</v>
      </c>
      <c r="AL8" s="283">
        <f>SUM($Y$4:Y8)</f>
        <v>0</v>
      </c>
      <c r="AM8" s="290">
        <f>AL8/Resources!$B$11</f>
        <v>0</v>
      </c>
      <c r="AN8" s="283">
        <f>SUM($L$4:L8)</f>
        <v>0</v>
      </c>
      <c r="AO8" s="283">
        <f>AN8/Resources!$B$12</f>
        <v>0</v>
      </c>
      <c r="AP8" s="283">
        <f>SUM($R$4:R8)</f>
        <v>0</v>
      </c>
      <c r="AQ8" s="283">
        <f>AP8/Resources!$B$13</f>
        <v>0</v>
      </c>
      <c r="AR8" s="283">
        <f>SUM($N$4:N8)</f>
        <v>0</v>
      </c>
      <c r="AS8" s="283">
        <f>AR8/Resources!$B$14</f>
        <v>0</v>
      </c>
      <c r="AT8" s="283">
        <f>SUM($U$4:U8)</f>
        <v>0</v>
      </c>
      <c r="AU8" s="283">
        <f>AT8/Resources!$B$15</f>
        <v>0</v>
      </c>
      <c r="AV8" s="283">
        <f>SUM($J$4:J8)</f>
        <v>89466.666666666657</v>
      </c>
      <c r="AW8" s="283">
        <f>AV8/Resources!$B$16</f>
        <v>912.92517006802711</v>
      </c>
      <c r="AX8" s="283">
        <f>SUM($O$4:O8)</f>
        <v>114200</v>
      </c>
      <c r="AY8" s="283">
        <f>AX8/Resources!$B$17</f>
        <v>1087.6190476190477</v>
      </c>
      <c r="AZ8" s="283">
        <f>SUM($I$4:I8,$K$4:K8)</f>
        <v>0</v>
      </c>
      <c r="BA8" s="283">
        <f>AZ8/Resources!$B$6</f>
        <v>0</v>
      </c>
      <c r="BB8" s="283">
        <f>SUM($D$4:D8,$G$4:G8)</f>
        <v>530566.66666666663</v>
      </c>
      <c r="BC8" s="283">
        <f>BB8/Resources!$B$7</f>
        <v>17685.555555555555</v>
      </c>
      <c r="BD8" s="283">
        <f>SUM($C$4:C8,$H$4:H8)</f>
        <v>175250</v>
      </c>
      <c r="BE8" s="295">
        <f>BD8/Resources!$B$8</f>
        <v>6740.3846153846152</v>
      </c>
      <c r="BF8" s="283">
        <f>SUM($B$4:B8,$F$4:F8)</f>
        <v>635166.66666666663</v>
      </c>
      <c r="BG8" s="283">
        <f>BF8/Resources!$B$9</f>
        <v>20489.247311827956</v>
      </c>
      <c r="BH8" s="283">
        <f>SUM($X$4:X8,$E$4:E8)</f>
        <v>0</v>
      </c>
      <c r="BI8" s="283">
        <f>BH8/Resources!$B$2</f>
        <v>0</v>
      </c>
      <c r="BJ8" s="283">
        <f>SUM($V$4:V8,$T$4:T8)</f>
        <v>0</v>
      </c>
      <c r="BK8" s="283">
        <f>BJ8/Resources!$B$3</f>
        <v>0</v>
      </c>
      <c r="BL8" s="283">
        <f>SUM($W$4:W8, $M$4:M8)</f>
        <v>0</v>
      </c>
      <c r="BM8" s="283">
        <f>BL8/Resources!$B$4</f>
        <v>0</v>
      </c>
      <c r="BN8" s="283">
        <f>SUM($P$4:P8,$Q$4:Q8)</f>
        <v>0</v>
      </c>
      <c r="BO8" s="292">
        <f>BN8/Resources!$B$5</f>
        <v>0</v>
      </c>
    </row>
    <row r="9" spans="1:67" ht="19" x14ac:dyDescent="0.25">
      <c r="A9" s="34">
        <f t="shared" si="8"/>
        <v>42871</v>
      </c>
      <c r="B9" s="47">
        <f>SUMIFS(Collection!$J:$J, Collection!$A:$A, $A9, Collection!$B:$B, B$2)</f>
        <v>0</v>
      </c>
      <c r="C9" s="47">
        <f>SUMIFS(Collection!$J:$J, Collection!$A:$A, $A9, Collection!$B:$B, C$2)</f>
        <v>0</v>
      </c>
      <c r="D9" s="47">
        <f>SUMIFS(Collection!$J:$J, Collection!$A:$A, $A9, Collection!$B:$B, D$2)</f>
        <v>0</v>
      </c>
      <c r="E9" s="47">
        <f>SUMIFS(Collection!$J:$J, Collection!$A:$A, $A9, Collection!$B:$B, E$2)</f>
        <v>0</v>
      </c>
      <c r="F9" s="47">
        <f>SUMIFS(Collection!$J:$J, Collection!$A:$A, $A9, Collection!$B:$B, F$2)</f>
        <v>0</v>
      </c>
      <c r="G9" s="47">
        <f>SUMIFS(Collection!$J:$J, Collection!$A:$A, $A9, Collection!$B:$B, G$2)</f>
        <v>0</v>
      </c>
      <c r="H9" s="47">
        <f>SUMIFS(Collection!$J:$J, Collection!$A:$A, $A9, Collection!$B:$B, H$2)</f>
        <v>0</v>
      </c>
      <c r="I9" s="47">
        <f>SUMIFS(Collection!$J:$J, Collection!$A:$A, $A9, Collection!$B:$B, I$2)</f>
        <v>0</v>
      </c>
      <c r="J9" s="47">
        <f>SUMIFS(Collection!$J:$J, Collection!$A:$A, $A9, Collection!$B:$B, J$2)</f>
        <v>0</v>
      </c>
      <c r="K9" s="47">
        <f>SUMIFS(Collection!$J:$J, Collection!$A:$A, $A9, Collection!$B:$B, K$2)</f>
        <v>0</v>
      </c>
      <c r="L9" s="47">
        <f>SUMIFS(Collection!$J:$J, Collection!$A:$A, $A9, Collection!$B:$B, L$2)</f>
        <v>0</v>
      </c>
      <c r="M9" s="47">
        <f>SUMIFS(Collection!$J:$J, Collection!$A:$A, $A9, Collection!$B:$B, M$2)</f>
        <v>0</v>
      </c>
      <c r="N9" s="47">
        <f>SUMIFS(Collection!$J:$J, Collection!$A:$A, $A9, Collection!$B:$B, N$2)</f>
        <v>0</v>
      </c>
      <c r="O9" s="47">
        <f>SUMIFS(Collection!$J:$J, Collection!$A:$A, $A9, Collection!$B:$B, O$2)</f>
        <v>0</v>
      </c>
      <c r="P9" s="47">
        <f>SUMIFS(Collection!$J:$J, Collection!$A:$A, $A9, Collection!$B:$B, P$2)</f>
        <v>0</v>
      </c>
      <c r="Q9" s="47">
        <f>SUMIFS(Collection!$J:$J, Collection!$A:$A, $A9, Collection!$B:$B, Q$2)</f>
        <v>0</v>
      </c>
      <c r="R9" s="47">
        <f>SUMIFS(Collection!$J:$J, Collection!$A:$A, $A9, Collection!$B:$B, R$2)</f>
        <v>0</v>
      </c>
      <c r="S9" s="47">
        <f>SUMIFS(Collection!$J:$J, Collection!$A:$A, $A9, Collection!$B:$B, S$2)</f>
        <v>0</v>
      </c>
      <c r="T9" s="47">
        <f>SUMIFS(Collection!$J:$J, Collection!$A:$A, $A9, Collection!$B:$B, T$2)</f>
        <v>0</v>
      </c>
      <c r="U9" s="47">
        <f>SUMIFS(Collection!$J:$J, Collection!$A:$A, $A9, Collection!$B:$B, U$2)</f>
        <v>0</v>
      </c>
      <c r="V9" s="47">
        <f>SUMIFS(Collection!$J:$J, Collection!$A:$A, $A9, Collection!$B:$B, V$2)</f>
        <v>0</v>
      </c>
      <c r="W9" s="47">
        <f>SUMIFS(Collection!$J:$J, Collection!$A:$A, $A9, Collection!$B:$B, W$2)</f>
        <v>0</v>
      </c>
      <c r="X9" s="47">
        <f>SUMIFS(Collection!$J:$J, Collection!$A:$A, $A9, Collection!$B:$B, X$2)</f>
        <v>0</v>
      </c>
      <c r="Y9" s="47">
        <f>SUMIFS(Collection!$J:$J, Collection!$A:$A, $A9, Collection!$B:$B, Y$2)</f>
        <v>0</v>
      </c>
      <c r="Z9" s="47"/>
      <c r="AA9" s="47">
        <f t="shared" si="0"/>
        <v>0</v>
      </c>
      <c r="AB9" s="47">
        <f t="shared" si="1"/>
        <v>0</v>
      </c>
      <c r="AC9" s="47">
        <f t="shared" si="2"/>
        <v>0</v>
      </c>
      <c r="AD9" s="47">
        <f t="shared" si="3"/>
        <v>0</v>
      </c>
      <c r="AE9" s="47">
        <f t="shared" si="4"/>
        <v>0</v>
      </c>
      <c r="AF9" s="47">
        <f t="shared" si="5"/>
        <v>0</v>
      </c>
      <c r="AG9" s="47">
        <f t="shared" si="6"/>
        <v>0</v>
      </c>
      <c r="AH9" s="283">
        <f t="shared" si="7"/>
        <v>0</v>
      </c>
      <c r="AJ9" s="283">
        <f>SUM($S$4:S9)</f>
        <v>7327.7777777777774</v>
      </c>
      <c r="AK9" s="283">
        <f>AJ9/Resources!$B$10</f>
        <v>610.64814814814815</v>
      </c>
      <c r="AL9" s="283">
        <f>SUM($Y$4:Y9)</f>
        <v>0</v>
      </c>
      <c r="AM9" s="290">
        <f>AL9/Resources!$B$11</f>
        <v>0</v>
      </c>
      <c r="AN9" s="283">
        <f>SUM($L$4:L9)</f>
        <v>0</v>
      </c>
      <c r="AO9" s="283">
        <f>AN9/Resources!$B$12</f>
        <v>0</v>
      </c>
      <c r="AP9" s="283">
        <f>SUM($R$4:R9)</f>
        <v>0</v>
      </c>
      <c r="AQ9" s="283">
        <f>AP9/Resources!$B$13</f>
        <v>0</v>
      </c>
      <c r="AR9" s="283">
        <f>SUM($N$4:N9)</f>
        <v>0</v>
      </c>
      <c r="AS9" s="283">
        <f>AR9/Resources!$B$14</f>
        <v>0</v>
      </c>
      <c r="AT9" s="283">
        <f>SUM($U$4:U9)</f>
        <v>0</v>
      </c>
      <c r="AU9" s="283">
        <f>AT9/Resources!$B$15</f>
        <v>0</v>
      </c>
      <c r="AV9" s="283">
        <f>SUM($J$4:J9)</f>
        <v>89466.666666666657</v>
      </c>
      <c r="AW9" s="283">
        <f>AV9/Resources!$B$16</f>
        <v>912.92517006802711</v>
      </c>
      <c r="AX9" s="283">
        <f>SUM($O$4:O9)</f>
        <v>114200</v>
      </c>
      <c r="AY9" s="283">
        <f>AX9/Resources!$B$17</f>
        <v>1087.6190476190477</v>
      </c>
      <c r="AZ9" s="283">
        <f>SUM($I$4:I9,$K$4:K9)</f>
        <v>0</v>
      </c>
      <c r="BA9" s="283">
        <f>AZ9/Resources!$B$6</f>
        <v>0</v>
      </c>
      <c r="BB9" s="283">
        <f>SUM($D$4:D9,$G$4:G9)</f>
        <v>530566.66666666663</v>
      </c>
      <c r="BC9" s="283">
        <f>BB9/Resources!$B$7</f>
        <v>17685.555555555555</v>
      </c>
      <c r="BD9" s="283">
        <f>SUM($C$4:C9,$H$4:H9)</f>
        <v>175250</v>
      </c>
      <c r="BE9" s="295">
        <f>BD9/Resources!$B$8</f>
        <v>6740.3846153846152</v>
      </c>
      <c r="BF9" s="283">
        <f>SUM($B$4:B9,$F$4:F9)</f>
        <v>635166.66666666663</v>
      </c>
      <c r="BG9" s="283">
        <f>BF9/Resources!$B$9</f>
        <v>20489.247311827956</v>
      </c>
      <c r="BH9" s="283">
        <f>SUM($X$4:X9,$E$4:E9)</f>
        <v>0</v>
      </c>
      <c r="BI9" s="283">
        <f>BH9/Resources!$B$2</f>
        <v>0</v>
      </c>
      <c r="BJ9" s="283">
        <f>SUM($V$4:V9,$T$4:T9)</f>
        <v>0</v>
      </c>
      <c r="BK9" s="283">
        <f>BJ9/Resources!$B$3</f>
        <v>0</v>
      </c>
      <c r="BL9" s="283">
        <f>SUM($W$4:W9, $M$4:M9)</f>
        <v>0</v>
      </c>
      <c r="BM9" s="283">
        <f>BL9/Resources!$B$4</f>
        <v>0</v>
      </c>
      <c r="BN9" s="283">
        <f>SUM($P$4:P9,$Q$4:Q9)</f>
        <v>0</v>
      </c>
      <c r="BO9" s="292">
        <f>BN9/Resources!$B$5</f>
        <v>0</v>
      </c>
    </row>
    <row r="10" spans="1:67" ht="19" x14ac:dyDescent="0.25">
      <c r="A10" s="34">
        <f t="shared" si="8"/>
        <v>42872</v>
      </c>
      <c r="B10" s="47">
        <f>SUMIFS(Collection!$J:$J, Collection!$A:$A, $A10, Collection!$B:$B, B$2)</f>
        <v>53000</v>
      </c>
      <c r="C10" s="47">
        <f>SUMIFS(Collection!$J:$J, Collection!$A:$A, $A10, Collection!$B:$B, C$2)</f>
        <v>404466.66666666669</v>
      </c>
      <c r="D10" s="47">
        <f>SUMIFS(Collection!$J:$J, Collection!$A:$A, $A10, Collection!$B:$B, D$2)</f>
        <v>1416.6666666666667</v>
      </c>
      <c r="E10" s="47">
        <f>SUMIFS(Collection!$J:$J, Collection!$A:$A, $A10, Collection!$B:$B, E$2)</f>
        <v>0</v>
      </c>
      <c r="F10" s="47">
        <f>SUMIFS(Collection!$J:$J, Collection!$A:$A, $A10, Collection!$B:$B, F$2)</f>
        <v>9400</v>
      </c>
      <c r="G10" s="47">
        <f>SUMIFS(Collection!$J:$J, Collection!$A:$A, $A10, Collection!$B:$B, G$2)</f>
        <v>218033.33333333331</v>
      </c>
      <c r="H10" s="47">
        <f>SUMIFS(Collection!$J:$J, Collection!$A:$A, $A10, Collection!$B:$B, H$2)</f>
        <v>2666.6666666666665</v>
      </c>
      <c r="I10" s="47">
        <f>SUMIFS(Collection!$J:$J, Collection!$A:$A, $A10, Collection!$B:$B, I$2)</f>
        <v>0</v>
      </c>
      <c r="J10" s="47">
        <f>SUMIFS(Collection!$J:$J, Collection!$A:$A, $A10, Collection!$B:$B, J$2)</f>
        <v>0</v>
      </c>
      <c r="K10" s="47">
        <f>SUMIFS(Collection!$J:$J, Collection!$A:$A, $A10, Collection!$B:$B, K$2)</f>
        <v>0</v>
      </c>
      <c r="L10" s="47">
        <f>SUMIFS(Collection!$J:$J, Collection!$A:$A, $A10, Collection!$B:$B, L$2)</f>
        <v>0</v>
      </c>
      <c r="M10" s="47">
        <f>SUMIFS(Collection!$J:$J, Collection!$A:$A, $A10, Collection!$B:$B, M$2)</f>
        <v>0</v>
      </c>
      <c r="N10" s="47">
        <f>SUMIFS(Collection!$J:$J, Collection!$A:$A, $A10, Collection!$B:$B, N$2)</f>
        <v>0</v>
      </c>
      <c r="O10" s="47">
        <f>SUMIFS(Collection!$J:$J, Collection!$A:$A, $A10, Collection!$B:$B, O$2)</f>
        <v>0</v>
      </c>
      <c r="P10" s="47">
        <f>SUMIFS(Collection!$J:$J, Collection!$A:$A, $A10, Collection!$B:$B, P$2)</f>
        <v>0</v>
      </c>
      <c r="Q10" s="47">
        <f>SUMIFS(Collection!$J:$J, Collection!$A:$A, $A10, Collection!$B:$B, Q$2)</f>
        <v>245666.66666666666</v>
      </c>
      <c r="R10" s="47">
        <f>SUMIFS(Collection!$J:$J, Collection!$A:$A, $A10, Collection!$B:$B, R$2)</f>
        <v>0</v>
      </c>
      <c r="S10" s="47">
        <f>SUMIFS(Collection!$J:$J, Collection!$A:$A, $A10, Collection!$B:$B, S$2)</f>
        <v>142666.66666666666</v>
      </c>
      <c r="T10" s="47">
        <f>SUMIFS(Collection!$J:$J, Collection!$A:$A, $A10, Collection!$B:$B, T$2)</f>
        <v>0</v>
      </c>
      <c r="U10" s="47">
        <f>SUMIFS(Collection!$J:$J, Collection!$A:$A, $A10, Collection!$B:$B, U$2)</f>
        <v>0</v>
      </c>
      <c r="V10" s="47">
        <f>SUMIFS(Collection!$J:$J, Collection!$A:$A, $A10, Collection!$B:$B, V$2)</f>
        <v>0</v>
      </c>
      <c r="W10" s="47">
        <f>SUMIFS(Collection!$J:$J, Collection!$A:$A, $A10, Collection!$B:$B, W$2)</f>
        <v>0</v>
      </c>
      <c r="X10" s="47">
        <f>SUMIFS(Collection!$J:$J, Collection!$A:$A, $A10, Collection!$B:$B, X$2)</f>
        <v>0</v>
      </c>
      <c r="Y10" s="47">
        <f>SUMIFS(Collection!$J:$J, Collection!$A:$A, $A10, Collection!$B:$B, Y$2)</f>
        <v>0</v>
      </c>
      <c r="Z10" s="47"/>
      <c r="AA10" s="47">
        <f t="shared" si="0"/>
        <v>0</v>
      </c>
      <c r="AB10" s="47">
        <f t="shared" si="1"/>
        <v>219449.99999999997</v>
      </c>
      <c r="AC10" s="47">
        <f t="shared" si="2"/>
        <v>407133.33333333337</v>
      </c>
      <c r="AD10" s="47">
        <f t="shared" si="3"/>
        <v>62400</v>
      </c>
      <c r="AE10" s="47">
        <f t="shared" si="4"/>
        <v>0</v>
      </c>
      <c r="AF10" s="47">
        <f t="shared" si="5"/>
        <v>0</v>
      </c>
      <c r="AG10" s="47">
        <f t="shared" si="6"/>
        <v>0</v>
      </c>
      <c r="AH10" s="283">
        <f t="shared" si="7"/>
        <v>245666.66666666666</v>
      </c>
      <c r="AJ10" s="283">
        <f>SUM($S$4:S10)</f>
        <v>149994.44444444444</v>
      </c>
      <c r="AK10" s="283">
        <f>AJ10/Resources!$B$10</f>
        <v>12499.537037037036</v>
      </c>
      <c r="AL10" s="283">
        <f>SUM($Y$4:Y10)</f>
        <v>0</v>
      </c>
      <c r="AM10" s="290">
        <f>AL10/Resources!$B$11</f>
        <v>0</v>
      </c>
      <c r="AN10" s="283">
        <f>SUM($L$4:L10)</f>
        <v>0</v>
      </c>
      <c r="AO10" s="283">
        <f>AN10/Resources!$B$12</f>
        <v>0</v>
      </c>
      <c r="AP10" s="283">
        <f>SUM($R$4:R10)</f>
        <v>0</v>
      </c>
      <c r="AQ10" s="283">
        <f>AP10/Resources!$B$13</f>
        <v>0</v>
      </c>
      <c r="AR10" s="283">
        <f>SUM($N$4:N10)</f>
        <v>0</v>
      </c>
      <c r="AS10" s="283">
        <f>AR10/Resources!$B$14</f>
        <v>0</v>
      </c>
      <c r="AT10" s="283">
        <f>SUM($U$4:U10)</f>
        <v>0</v>
      </c>
      <c r="AU10" s="283">
        <f>AT10/Resources!$B$15</f>
        <v>0</v>
      </c>
      <c r="AV10" s="283">
        <f>SUM($J$4:J10)</f>
        <v>89466.666666666657</v>
      </c>
      <c r="AW10" s="283">
        <f>AV10/Resources!$B$16</f>
        <v>912.92517006802711</v>
      </c>
      <c r="AX10" s="283">
        <f>SUM($O$4:O10)</f>
        <v>114200</v>
      </c>
      <c r="AY10" s="283">
        <f>AX10/Resources!$B$17</f>
        <v>1087.6190476190477</v>
      </c>
      <c r="AZ10" s="283">
        <f>SUM($I$4:I10,$K$4:K10)</f>
        <v>0</v>
      </c>
      <c r="BA10" s="283">
        <f>AZ10/Resources!$B$6</f>
        <v>0</v>
      </c>
      <c r="BB10" s="283">
        <f>SUM($D$4:D10,$G$4:G10)</f>
        <v>750016.66666666651</v>
      </c>
      <c r="BC10" s="283">
        <f>BB10/Resources!$B$7</f>
        <v>25000.555555555551</v>
      </c>
      <c r="BD10" s="283">
        <f>SUM($C$4:C10,$H$4:H10)</f>
        <v>582383.33333333337</v>
      </c>
      <c r="BE10" s="295">
        <f>BD10/Resources!$B$8</f>
        <v>22399.358974358976</v>
      </c>
      <c r="BF10" s="283">
        <f>SUM($B$4:B10,$F$4:F10)</f>
        <v>697566.66666666663</v>
      </c>
      <c r="BG10" s="283">
        <f>BF10/Resources!$B$9</f>
        <v>22502.150537634407</v>
      </c>
      <c r="BH10" s="283">
        <f>SUM($X$4:X10,$E$4:E10)</f>
        <v>0</v>
      </c>
      <c r="BI10" s="283">
        <f>BH10/Resources!$B$2</f>
        <v>0</v>
      </c>
      <c r="BJ10" s="283">
        <f>SUM($V$4:V10,$T$4:T10)</f>
        <v>0</v>
      </c>
      <c r="BK10" s="283">
        <f>BJ10/Resources!$B$3</f>
        <v>0</v>
      </c>
      <c r="BL10" s="283">
        <f>SUM($W$4:W10, $M$4:M10)</f>
        <v>0</v>
      </c>
      <c r="BM10" s="283">
        <f>BL10/Resources!$B$4</f>
        <v>0</v>
      </c>
      <c r="BN10" s="283">
        <f>SUM($P$4:P10,$Q$4:Q10)</f>
        <v>245666.66666666666</v>
      </c>
      <c r="BO10" s="292">
        <f>BN10/Resources!$B$5</f>
        <v>9098.7654320987658</v>
      </c>
    </row>
    <row r="11" spans="1:67" s="50" customFormat="1" ht="20" thickBot="1" x14ac:dyDescent="0.3">
      <c r="A11" s="48">
        <f t="shared" si="8"/>
        <v>42873</v>
      </c>
      <c r="B11" s="49">
        <f>SUMIFS(Collection!$J:$J, Collection!$A:$A, $A11, Collection!$B:$B, B$2)</f>
        <v>250</v>
      </c>
      <c r="C11" s="49">
        <f>SUMIFS(Collection!$J:$J, Collection!$A:$A, $A11, Collection!$B:$B, C$2)</f>
        <v>11200</v>
      </c>
      <c r="D11" s="49">
        <f>SUMIFS(Collection!$J:$J, Collection!$A:$A, $A11, Collection!$B:$B, D$2)</f>
        <v>0</v>
      </c>
      <c r="E11" s="49">
        <f>SUMIFS(Collection!$J:$J, Collection!$A:$A, $A11, Collection!$B:$B, E$2)</f>
        <v>0</v>
      </c>
      <c r="F11" s="49">
        <f>SUMIFS(Collection!$J:$J, Collection!$A:$A, $A11, Collection!$B:$B, F$2)</f>
        <v>5750</v>
      </c>
      <c r="G11" s="49">
        <f>SUMIFS(Collection!$J:$J, Collection!$A:$A, $A11, Collection!$B:$B, G$2)</f>
        <v>3583.3333333333335</v>
      </c>
      <c r="H11" s="49">
        <f>SUMIFS(Collection!$J:$J, Collection!$A:$A, $A11, Collection!$B:$B, H$2)</f>
        <v>200</v>
      </c>
      <c r="I11" s="49">
        <f>SUMIFS(Collection!$J:$J, Collection!$A:$A, $A11, Collection!$B:$B, I$2)</f>
        <v>0</v>
      </c>
      <c r="J11" s="49">
        <f>SUMIFS(Collection!$J:$J, Collection!$A:$A, $A11, Collection!$B:$B, J$2)</f>
        <v>0</v>
      </c>
      <c r="K11" s="49">
        <f>SUMIFS(Collection!$J:$J, Collection!$A:$A, $A11, Collection!$B:$B, K$2)</f>
        <v>0</v>
      </c>
      <c r="L11" s="49">
        <f>SUMIFS(Collection!$J:$J, Collection!$A:$A, $A11, Collection!$B:$B, L$2)</f>
        <v>0</v>
      </c>
      <c r="M11" s="49">
        <f>SUMIFS(Collection!$J:$J, Collection!$A:$A, $A11, Collection!$B:$B, M$2)</f>
        <v>0</v>
      </c>
      <c r="N11" s="49">
        <f>SUMIFS(Collection!$J:$J, Collection!$A:$A, $A11, Collection!$B:$B, N$2)</f>
        <v>0</v>
      </c>
      <c r="O11" s="49">
        <f>SUMIFS(Collection!$J:$J, Collection!$A:$A, $A11, Collection!$B:$B, O$2)</f>
        <v>0</v>
      </c>
      <c r="P11" s="49">
        <f>SUMIFS(Collection!$J:$J, Collection!$A:$A, $A11, Collection!$B:$B, P$2)</f>
        <v>0</v>
      </c>
      <c r="Q11" s="49">
        <f>SUMIFS(Collection!$J:$J, Collection!$A:$A, $A11, Collection!$B:$B, Q$2)</f>
        <v>1000</v>
      </c>
      <c r="R11" s="49">
        <f>SUMIFS(Collection!$J:$J, Collection!$A:$A, $A11, Collection!$B:$B, R$2)</f>
        <v>0</v>
      </c>
      <c r="S11" s="49">
        <f>SUMIFS(Collection!$J:$J, Collection!$A:$A, $A11, Collection!$B:$B, S$2)</f>
        <v>0</v>
      </c>
      <c r="T11" s="49">
        <f>SUMIFS(Collection!$J:$J, Collection!$A:$A, $A11, Collection!$B:$B, T$2)</f>
        <v>0</v>
      </c>
      <c r="U11" s="49">
        <f>SUMIFS(Collection!$J:$J, Collection!$A:$A, $A11, Collection!$B:$B, U$2)</f>
        <v>0</v>
      </c>
      <c r="V11" s="49">
        <f>SUMIFS(Collection!$J:$J, Collection!$A:$A, $A11, Collection!$B:$B, V$2)</f>
        <v>0</v>
      </c>
      <c r="W11" s="49">
        <f>SUMIFS(Collection!$J:$J, Collection!$A:$A, $A11, Collection!$B:$B, W$2)</f>
        <v>0</v>
      </c>
      <c r="X11" s="49">
        <f>SUMIFS(Collection!$J:$J, Collection!$A:$A, $A11, Collection!$B:$B, X$2)</f>
        <v>0</v>
      </c>
      <c r="Y11" s="49">
        <f>SUMIFS(Collection!$J:$J, Collection!$A:$A, $A11, Collection!$B:$B, Y$2)</f>
        <v>0</v>
      </c>
      <c r="Z11" s="49"/>
      <c r="AA11" s="47">
        <f t="shared" si="0"/>
        <v>0</v>
      </c>
      <c r="AB11" s="47">
        <f t="shared" si="1"/>
        <v>3583.3333333333335</v>
      </c>
      <c r="AC11" s="47">
        <f t="shared" si="2"/>
        <v>11400</v>
      </c>
      <c r="AD11" s="47">
        <f t="shared" si="3"/>
        <v>6000</v>
      </c>
      <c r="AE11" s="47">
        <f t="shared" si="4"/>
        <v>0</v>
      </c>
      <c r="AF11" s="47">
        <f t="shared" si="5"/>
        <v>0</v>
      </c>
      <c r="AG11" s="47">
        <f t="shared" si="6"/>
        <v>0</v>
      </c>
      <c r="AH11" s="283">
        <f t="shared" si="7"/>
        <v>1000</v>
      </c>
      <c r="AI11" s="55"/>
      <c r="AJ11" s="283">
        <f>SUM($S$4:S11)</f>
        <v>149994.44444444444</v>
      </c>
      <c r="AK11" s="283">
        <f>AJ11/Resources!$B$10</f>
        <v>12499.537037037036</v>
      </c>
      <c r="AL11" s="283">
        <f>SUM($Y$4:Y11)</f>
        <v>0</v>
      </c>
      <c r="AM11" s="290">
        <f>AL11/Resources!$B$11</f>
        <v>0</v>
      </c>
      <c r="AN11" s="283">
        <f>SUM($L$4:L11)</f>
        <v>0</v>
      </c>
      <c r="AO11" s="283">
        <f>AN11/Resources!$B$12</f>
        <v>0</v>
      </c>
      <c r="AP11" s="283">
        <f>SUM($R$4:R11)</f>
        <v>0</v>
      </c>
      <c r="AQ11" s="283">
        <f>AP11/Resources!$B$13</f>
        <v>0</v>
      </c>
      <c r="AR11" s="283">
        <f>SUM($N$4:N11)</f>
        <v>0</v>
      </c>
      <c r="AS11" s="283">
        <f>AR11/Resources!$B$14</f>
        <v>0</v>
      </c>
      <c r="AT11" s="283">
        <f>SUM($U$4:U11)</f>
        <v>0</v>
      </c>
      <c r="AU11" s="283">
        <f>AT11/Resources!$B$15</f>
        <v>0</v>
      </c>
      <c r="AV11" s="283">
        <f>SUM($J$4:J11)</f>
        <v>89466.666666666657</v>
      </c>
      <c r="AW11" s="283">
        <f>AV11/Resources!$B$16</f>
        <v>912.92517006802711</v>
      </c>
      <c r="AX11" s="283">
        <f>SUM($O$4:O11)</f>
        <v>114200</v>
      </c>
      <c r="AY11" s="283">
        <f>AX11/Resources!$B$17</f>
        <v>1087.6190476190477</v>
      </c>
      <c r="AZ11" s="283">
        <f>SUM($I$4:I11,$K$4:K11)</f>
        <v>0</v>
      </c>
      <c r="BA11" s="283">
        <f>AZ11/Resources!$B$6</f>
        <v>0</v>
      </c>
      <c r="BB11" s="283">
        <f>SUM($D$4:D11,$G$4:G11)</f>
        <v>753599.99999999988</v>
      </c>
      <c r="BC11" s="283">
        <f>BB11/Resources!$B$7</f>
        <v>25119.999999999996</v>
      </c>
      <c r="BD11" s="283">
        <f>SUM($C$4:C11,$H$4:H11)</f>
        <v>593783.33333333337</v>
      </c>
      <c r="BE11" s="295">
        <f>BD11/Resources!$B$8</f>
        <v>22837.820512820515</v>
      </c>
      <c r="BF11" s="283">
        <f>SUM($B$4:B11,$F$4:F11)</f>
        <v>703566.66666666663</v>
      </c>
      <c r="BG11" s="283">
        <f>BF11/Resources!$B$9</f>
        <v>22695.698924731183</v>
      </c>
      <c r="BH11" s="283">
        <f>SUM($X$4:X11,$E$4:E11)</f>
        <v>0</v>
      </c>
      <c r="BI11" s="283">
        <f>BH11/Resources!$B$2</f>
        <v>0</v>
      </c>
      <c r="BJ11" s="283">
        <f>SUM($V$4:V11,$T$4:T11)</f>
        <v>0</v>
      </c>
      <c r="BK11" s="283">
        <f>BJ11/Resources!$B$3</f>
        <v>0</v>
      </c>
      <c r="BL11" s="283">
        <f>SUM($W$4:W11, $M$4:M11)</f>
        <v>0</v>
      </c>
      <c r="BM11" s="283">
        <f>BL11/Resources!$B$4</f>
        <v>0</v>
      </c>
      <c r="BN11" s="283">
        <f>SUM($P$4:P11,$Q$4:Q11)</f>
        <v>246666.66666666666</v>
      </c>
      <c r="BO11" s="292">
        <f>BN11/Resources!$B$5</f>
        <v>9135.8024691358023</v>
      </c>
    </row>
    <row r="12" spans="1:67" ht="20" thickTop="1" x14ac:dyDescent="0.25">
      <c r="A12" s="34">
        <f t="shared" si="8"/>
        <v>42874</v>
      </c>
      <c r="B12" s="47">
        <f>SUMIFS(Collection!$J:$J, Collection!$A:$A, $A12, Collection!$B:$B, B$2)</f>
        <v>0</v>
      </c>
      <c r="C12" s="47">
        <f>SUMIFS(Collection!$J:$J, Collection!$A:$A, $A12, Collection!$B:$B, C$2)</f>
        <v>0</v>
      </c>
      <c r="D12" s="47">
        <f>SUMIFS(Collection!$J:$J, Collection!$A:$A, $A12, Collection!$B:$B, D$2)</f>
        <v>0</v>
      </c>
      <c r="E12" s="47">
        <f>SUMIFS(Collection!$J:$J, Collection!$A:$A, $A12, Collection!$B:$B, E$2)</f>
        <v>0</v>
      </c>
      <c r="F12" s="47">
        <f>SUMIFS(Collection!$J:$J, Collection!$A:$A, $A12, Collection!$B:$B, F$2)</f>
        <v>201600</v>
      </c>
      <c r="G12" s="47">
        <f>SUMIFS(Collection!$J:$J, Collection!$A:$A, $A12, Collection!$B:$B, G$2)</f>
        <v>0</v>
      </c>
      <c r="H12" s="47">
        <f>SUMIFS(Collection!$J:$J, Collection!$A:$A, $A12, Collection!$B:$B, H$2)</f>
        <v>0</v>
      </c>
      <c r="I12" s="47">
        <f>SUMIFS(Collection!$J:$J, Collection!$A:$A, $A12, Collection!$B:$B, I$2)</f>
        <v>0</v>
      </c>
      <c r="J12" s="47">
        <f>SUMIFS(Collection!$J:$J, Collection!$A:$A, $A12, Collection!$B:$B, J$2)</f>
        <v>0</v>
      </c>
      <c r="K12" s="47">
        <f>SUMIFS(Collection!$J:$J, Collection!$A:$A, $A12, Collection!$B:$B, K$2)</f>
        <v>0</v>
      </c>
      <c r="L12" s="47">
        <f>SUMIFS(Collection!$J:$J, Collection!$A:$A, $A12, Collection!$B:$B, L$2)</f>
        <v>0</v>
      </c>
      <c r="M12" s="47">
        <f>SUMIFS(Collection!$J:$J, Collection!$A:$A, $A12, Collection!$B:$B, M$2)</f>
        <v>0</v>
      </c>
      <c r="N12" s="47">
        <f>SUMIFS(Collection!$J:$J, Collection!$A:$A, $A12, Collection!$B:$B, N$2)</f>
        <v>0</v>
      </c>
      <c r="O12" s="47">
        <f>SUMIFS(Collection!$J:$J, Collection!$A:$A, $A12, Collection!$B:$B, O$2)</f>
        <v>0</v>
      </c>
      <c r="P12" s="47">
        <f>SUMIFS(Collection!$J:$J, Collection!$A:$A, $A12, Collection!$B:$B, P$2)</f>
        <v>0</v>
      </c>
      <c r="Q12" s="47">
        <f>SUMIFS(Collection!$J:$J, Collection!$A:$A, $A12, Collection!$B:$B, Q$2)</f>
        <v>0</v>
      </c>
      <c r="R12" s="47">
        <f>SUMIFS(Collection!$J:$J, Collection!$A:$A, $A12, Collection!$B:$B, R$2)</f>
        <v>0</v>
      </c>
      <c r="S12" s="47">
        <f>SUMIFS(Collection!$J:$J, Collection!$A:$A, $A12, Collection!$B:$B, S$2)</f>
        <v>0</v>
      </c>
      <c r="T12" s="47">
        <f>SUMIFS(Collection!$J:$J, Collection!$A:$A, $A12, Collection!$B:$B, T$2)</f>
        <v>350</v>
      </c>
      <c r="U12" s="47">
        <f>SUMIFS(Collection!$J:$J, Collection!$A:$A, $A12, Collection!$B:$B, U$2)</f>
        <v>2041.6666666666665</v>
      </c>
      <c r="V12" s="47">
        <f>SUMIFS(Collection!$J:$J, Collection!$A:$A, $A12, Collection!$B:$B, V$2)</f>
        <v>0</v>
      </c>
      <c r="W12" s="47">
        <f>SUMIFS(Collection!$J:$J, Collection!$A:$A, $A12, Collection!$B:$B, W$2)</f>
        <v>0</v>
      </c>
      <c r="X12" s="47">
        <f>SUMIFS(Collection!$J:$J, Collection!$A:$A, $A12, Collection!$B:$B, X$2)</f>
        <v>0</v>
      </c>
      <c r="Y12" s="47">
        <f>SUMIFS(Collection!$J:$J, Collection!$A:$A, $A12, Collection!$B:$B, Y$2)</f>
        <v>0</v>
      </c>
      <c r="Z12" s="47"/>
      <c r="AA12" s="47">
        <f t="shared" si="0"/>
        <v>0</v>
      </c>
      <c r="AB12" s="47">
        <f t="shared" si="1"/>
        <v>0</v>
      </c>
      <c r="AC12" s="47">
        <f t="shared" si="2"/>
        <v>0</v>
      </c>
      <c r="AD12" s="47">
        <f t="shared" si="3"/>
        <v>201600</v>
      </c>
      <c r="AE12" s="47">
        <f t="shared" si="4"/>
        <v>0</v>
      </c>
      <c r="AF12" s="47">
        <f t="shared" si="5"/>
        <v>350</v>
      </c>
      <c r="AG12" s="47">
        <f t="shared" si="6"/>
        <v>0</v>
      </c>
      <c r="AH12" s="283">
        <f t="shared" si="7"/>
        <v>0</v>
      </c>
      <c r="AJ12" s="283">
        <f>SUM($S$4:S12)</f>
        <v>149994.44444444444</v>
      </c>
      <c r="AK12" s="283">
        <f>AJ12/Resources!$B$10</f>
        <v>12499.537037037036</v>
      </c>
      <c r="AL12" s="283">
        <f>SUM($Y$4:Y12)</f>
        <v>0</v>
      </c>
      <c r="AM12" s="290">
        <f>AL12/Resources!$B$11</f>
        <v>0</v>
      </c>
      <c r="AN12" s="283">
        <f>SUM($L$4:L12)</f>
        <v>0</v>
      </c>
      <c r="AO12" s="283">
        <f>AN12/Resources!$B$12</f>
        <v>0</v>
      </c>
      <c r="AP12" s="283">
        <f>SUM($R$4:R12)</f>
        <v>0</v>
      </c>
      <c r="AQ12" s="283">
        <f>AP12/Resources!$B$13</f>
        <v>0</v>
      </c>
      <c r="AR12" s="283">
        <f>SUM($N$4:N12)</f>
        <v>0</v>
      </c>
      <c r="AS12" s="283">
        <f>AR12/Resources!$B$14</f>
        <v>0</v>
      </c>
      <c r="AT12" s="283">
        <f>SUM($U$4:U12)</f>
        <v>2041.6666666666665</v>
      </c>
      <c r="AU12" s="283">
        <f>AT12/Resources!$B$15</f>
        <v>20.214521452145213</v>
      </c>
      <c r="AV12" s="283">
        <f>SUM($J$4:J12)</f>
        <v>89466.666666666657</v>
      </c>
      <c r="AW12" s="283">
        <f>AV12/Resources!$B$16</f>
        <v>912.92517006802711</v>
      </c>
      <c r="AX12" s="283">
        <f>SUM($O$4:O12)</f>
        <v>114200</v>
      </c>
      <c r="AY12" s="283">
        <f>AX12/Resources!$B$17</f>
        <v>1087.6190476190477</v>
      </c>
      <c r="AZ12" s="283">
        <f>SUM($I$4:I12,$K$4:K12)</f>
        <v>0</v>
      </c>
      <c r="BA12" s="283">
        <f>AZ12/Resources!$B$6</f>
        <v>0</v>
      </c>
      <c r="BB12" s="283">
        <f>SUM($D$4:D12,$G$4:G12)</f>
        <v>753599.99999999988</v>
      </c>
      <c r="BC12" s="283">
        <f>BB12/Resources!$B$7</f>
        <v>25119.999999999996</v>
      </c>
      <c r="BD12" s="283">
        <f>SUM($C$4:C12,$H$4:H12)</f>
        <v>593783.33333333337</v>
      </c>
      <c r="BE12" s="295">
        <f>BD12/Resources!$B$8</f>
        <v>22837.820512820515</v>
      </c>
      <c r="BF12" s="283">
        <f>SUM($B$4:B12,$F$4:F12)</f>
        <v>905166.66666666663</v>
      </c>
      <c r="BG12" s="283">
        <f>BF12/Resources!$B$9</f>
        <v>29198.924731182793</v>
      </c>
      <c r="BH12" s="283">
        <f>SUM($X$4:X12,$E$4:E12)</f>
        <v>0</v>
      </c>
      <c r="BI12" s="283">
        <f>BH12/Resources!$B$2</f>
        <v>0</v>
      </c>
      <c r="BJ12" s="283">
        <f>SUM($V$4:V12,$T$4:T12)</f>
        <v>350</v>
      </c>
      <c r="BK12" s="283">
        <f>BJ12/Resources!$B$3</f>
        <v>13.461538461538462</v>
      </c>
      <c r="BL12" s="283">
        <f>SUM($W$4:W12, $M$4:M12)</f>
        <v>0</v>
      </c>
      <c r="BM12" s="283">
        <f>BL12/Resources!$B$4</f>
        <v>0</v>
      </c>
      <c r="BN12" s="283">
        <f>SUM($P$4:P12,$Q$4:Q12)</f>
        <v>246666.66666666666</v>
      </c>
      <c r="BO12" s="292">
        <f>BN12/Resources!$B$5</f>
        <v>9135.8024691358023</v>
      </c>
    </row>
    <row r="13" spans="1:67" ht="19" x14ac:dyDescent="0.25">
      <c r="A13" s="34">
        <f t="shared" si="8"/>
        <v>42875</v>
      </c>
      <c r="B13" s="47">
        <f>SUMIFS(Collection!$J:$J, Collection!$A:$A, $A13, Collection!$B:$B, B$2)</f>
        <v>309333.33333333337</v>
      </c>
      <c r="C13" s="47">
        <f>SUMIFS(Collection!$J:$J, Collection!$A:$A, $A13, Collection!$B:$B, C$2)</f>
        <v>0</v>
      </c>
      <c r="D13" s="47">
        <f>SUMIFS(Collection!$J:$J, Collection!$A:$A, $A13, Collection!$B:$B, D$2)</f>
        <v>0</v>
      </c>
      <c r="E13" s="47">
        <f>SUMIFS(Collection!$J:$J, Collection!$A:$A, $A13, Collection!$B:$B, E$2)</f>
        <v>0</v>
      </c>
      <c r="F13" s="47">
        <f>SUMIFS(Collection!$J:$J, Collection!$A:$A, $A13, Collection!$B:$B, F$2)</f>
        <v>8960</v>
      </c>
      <c r="G13" s="47">
        <f>SUMIFS(Collection!$J:$J, Collection!$A:$A, $A13, Collection!$B:$B, G$2)</f>
        <v>0</v>
      </c>
      <c r="H13" s="47">
        <f>SUMIFS(Collection!$J:$J, Collection!$A:$A, $A13, Collection!$B:$B, H$2)</f>
        <v>281000</v>
      </c>
      <c r="I13" s="47">
        <f>SUMIFS(Collection!$J:$J, Collection!$A:$A, $A13, Collection!$B:$B, I$2)</f>
        <v>0</v>
      </c>
      <c r="J13" s="47">
        <f>SUMIFS(Collection!$J:$J, Collection!$A:$A, $A13, Collection!$B:$B, J$2)</f>
        <v>0</v>
      </c>
      <c r="K13" s="47">
        <f>SUMIFS(Collection!$J:$J, Collection!$A:$A, $A13, Collection!$B:$B, K$2)</f>
        <v>11866.666666666668</v>
      </c>
      <c r="L13" s="47">
        <f>SUMIFS(Collection!$J:$J, Collection!$A:$A, $A13, Collection!$B:$B, L$2)</f>
        <v>0</v>
      </c>
      <c r="M13" s="47">
        <f>SUMIFS(Collection!$J:$J, Collection!$A:$A, $A13, Collection!$B:$B, M$2)</f>
        <v>0</v>
      </c>
      <c r="N13" s="47">
        <f>SUMIFS(Collection!$J:$J, Collection!$A:$A, $A13, Collection!$B:$B, N$2)</f>
        <v>0</v>
      </c>
      <c r="O13" s="47">
        <f>SUMIFS(Collection!$J:$J, Collection!$A:$A, $A13, Collection!$B:$B, O$2)</f>
        <v>108000</v>
      </c>
      <c r="P13" s="47">
        <f>SUMIFS(Collection!$J:$J, Collection!$A:$A, $A13, Collection!$B:$B, P$2)</f>
        <v>0</v>
      </c>
      <c r="Q13" s="47">
        <f>SUMIFS(Collection!$J:$J, Collection!$A:$A, $A13, Collection!$B:$B, Q$2)</f>
        <v>0</v>
      </c>
      <c r="R13" s="47">
        <f>SUMIFS(Collection!$J:$J, Collection!$A:$A, $A13, Collection!$B:$B, R$2)</f>
        <v>0</v>
      </c>
      <c r="S13" s="47">
        <f>SUMIFS(Collection!$J:$J, Collection!$A:$A, $A13, Collection!$B:$B, S$2)</f>
        <v>0</v>
      </c>
      <c r="T13" s="47">
        <f>SUMIFS(Collection!$J:$J, Collection!$A:$A, $A13, Collection!$B:$B, T$2)</f>
        <v>0</v>
      </c>
      <c r="U13" s="47">
        <f>SUMIFS(Collection!$J:$J, Collection!$A:$A, $A13, Collection!$B:$B, U$2)</f>
        <v>89666.666666666672</v>
      </c>
      <c r="V13" s="47">
        <f>SUMIFS(Collection!$J:$J, Collection!$A:$A, $A13, Collection!$B:$B, V$2)</f>
        <v>0</v>
      </c>
      <c r="W13" s="47">
        <f>SUMIFS(Collection!$J:$J, Collection!$A:$A, $A13, Collection!$B:$B, W$2)</f>
        <v>0</v>
      </c>
      <c r="X13" s="47">
        <f>SUMIFS(Collection!$J:$J, Collection!$A:$A, $A13, Collection!$B:$B, X$2)</f>
        <v>0</v>
      </c>
      <c r="Y13" s="47">
        <f>SUMIFS(Collection!$J:$J, Collection!$A:$A, $A13, Collection!$B:$B, Y$2)</f>
        <v>0</v>
      </c>
      <c r="Z13" s="47"/>
      <c r="AA13" s="47">
        <f t="shared" si="0"/>
        <v>11866.666666666668</v>
      </c>
      <c r="AB13" s="47">
        <f t="shared" si="1"/>
        <v>0</v>
      </c>
      <c r="AC13" s="47">
        <f t="shared" si="2"/>
        <v>281000</v>
      </c>
      <c r="AD13" s="47">
        <f t="shared" si="3"/>
        <v>318293.33333333337</v>
      </c>
      <c r="AE13" s="47">
        <f t="shared" si="4"/>
        <v>0</v>
      </c>
      <c r="AF13" s="47">
        <f t="shared" si="5"/>
        <v>0</v>
      </c>
      <c r="AG13" s="47">
        <f t="shared" si="6"/>
        <v>0</v>
      </c>
      <c r="AH13" s="283">
        <f t="shared" si="7"/>
        <v>0</v>
      </c>
      <c r="AJ13" s="283">
        <f>SUM($S$4:S13)</f>
        <v>149994.44444444444</v>
      </c>
      <c r="AK13" s="283">
        <f>AJ13/Resources!$B$10</f>
        <v>12499.537037037036</v>
      </c>
      <c r="AL13" s="283">
        <f>SUM($Y$4:Y13)</f>
        <v>0</v>
      </c>
      <c r="AM13" s="290">
        <f>AL13/Resources!$B$11</f>
        <v>0</v>
      </c>
      <c r="AN13" s="283">
        <f>SUM($L$4:L13)</f>
        <v>0</v>
      </c>
      <c r="AO13" s="283">
        <f>AN13/Resources!$B$12</f>
        <v>0</v>
      </c>
      <c r="AP13" s="283">
        <f>SUM($R$4:R13)</f>
        <v>0</v>
      </c>
      <c r="AQ13" s="283">
        <f>AP13/Resources!$B$13</f>
        <v>0</v>
      </c>
      <c r="AR13" s="283">
        <f>SUM($N$4:N13)</f>
        <v>0</v>
      </c>
      <c r="AS13" s="283">
        <f>AR13/Resources!$B$14</f>
        <v>0</v>
      </c>
      <c r="AT13" s="283">
        <f>SUM($U$4:U13)</f>
        <v>91708.333333333343</v>
      </c>
      <c r="AU13" s="283">
        <f>AT13/Resources!$B$15</f>
        <v>908.00330033003308</v>
      </c>
      <c r="AV13" s="283">
        <f>SUM($J$4:J13)</f>
        <v>89466.666666666657</v>
      </c>
      <c r="AW13" s="283">
        <f>AV13/Resources!$B$16</f>
        <v>912.92517006802711</v>
      </c>
      <c r="AX13" s="283">
        <f>SUM($O$4:O13)</f>
        <v>222200</v>
      </c>
      <c r="AY13" s="283">
        <f>AX13/Resources!$B$17</f>
        <v>2116.1904761904761</v>
      </c>
      <c r="AZ13" s="283">
        <f>SUM($I$4:I13,$K$4:K13)</f>
        <v>11866.666666666668</v>
      </c>
      <c r="BA13" s="283">
        <f>AZ13/Resources!$B$6</f>
        <v>370.83333333333337</v>
      </c>
      <c r="BB13" s="283">
        <f>SUM($D$4:D13,$G$4:G13)</f>
        <v>753599.99999999988</v>
      </c>
      <c r="BC13" s="283">
        <f>BB13/Resources!$B$7</f>
        <v>25119.999999999996</v>
      </c>
      <c r="BD13" s="283">
        <f>SUM($C$4:C13,$H$4:H13)</f>
        <v>874783.33333333337</v>
      </c>
      <c r="BE13" s="295">
        <f>BD13/Resources!$B$8</f>
        <v>33645.51282051282</v>
      </c>
      <c r="BF13" s="283">
        <f>SUM($B$4:B13,$F$4:F13)</f>
        <v>1223460</v>
      </c>
      <c r="BG13" s="283">
        <f>BF13/Resources!$B$9</f>
        <v>39466.451612903227</v>
      </c>
      <c r="BH13" s="283">
        <f>SUM($X$4:X13,$E$4:E13)</f>
        <v>0</v>
      </c>
      <c r="BI13" s="283">
        <f>BH13/Resources!$B$2</f>
        <v>0</v>
      </c>
      <c r="BJ13" s="283">
        <f>SUM($V$4:V13,$T$4:T13)</f>
        <v>350</v>
      </c>
      <c r="BK13" s="283">
        <f>BJ13/Resources!$B$3</f>
        <v>13.461538461538462</v>
      </c>
      <c r="BL13" s="283">
        <f>SUM($W$4:W13, $M$4:M13)</f>
        <v>0</v>
      </c>
      <c r="BM13" s="283">
        <f>BL13/Resources!$B$4</f>
        <v>0</v>
      </c>
      <c r="BN13" s="283">
        <f>SUM($P$4:P13,$Q$4:Q13)</f>
        <v>246666.66666666666</v>
      </c>
      <c r="BO13" s="292">
        <f>BN13/Resources!$B$5</f>
        <v>9135.8024691358023</v>
      </c>
    </row>
    <row r="14" spans="1:67" ht="19" x14ac:dyDescent="0.25">
      <c r="A14" s="34">
        <f t="shared" si="8"/>
        <v>42876</v>
      </c>
      <c r="B14" s="47">
        <f>SUMIFS(Collection!$J:$J, Collection!$A:$A, $A14, Collection!$B:$B, B$2)</f>
        <v>447466.66666666669</v>
      </c>
      <c r="C14" s="47">
        <f>SUMIFS(Collection!$J:$J, Collection!$A:$A, $A14, Collection!$B:$B, C$2)</f>
        <v>172266.66666666669</v>
      </c>
      <c r="D14" s="47">
        <f>SUMIFS(Collection!$J:$J, Collection!$A:$A, $A14, Collection!$B:$B, D$2)</f>
        <v>0</v>
      </c>
      <c r="E14" s="47">
        <f>SUMIFS(Collection!$J:$J, Collection!$A:$A, $A14, Collection!$B:$B, E$2)</f>
        <v>0</v>
      </c>
      <c r="F14" s="47">
        <f>SUMIFS(Collection!$J:$J, Collection!$A:$A, $A14, Collection!$B:$B, F$2)</f>
        <v>194666.66666666669</v>
      </c>
      <c r="G14" s="47">
        <f>SUMIFS(Collection!$J:$J, Collection!$A:$A, $A14, Collection!$B:$B, G$2)</f>
        <v>8166.6666666666661</v>
      </c>
      <c r="H14" s="47">
        <f>SUMIFS(Collection!$J:$J, Collection!$A:$A, $A14, Collection!$B:$B, H$2)</f>
        <v>0</v>
      </c>
      <c r="I14" s="47">
        <f>SUMIFS(Collection!$J:$J, Collection!$A:$A, $A14, Collection!$B:$B, I$2)</f>
        <v>210133.33333333334</v>
      </c>
      <c r="J14" s="47">
        <f>SUMIFS(Collection!$J:$J, Collection!$A:$A, $A14, Collection!$B:$B, J$2)</f>
        <v>0</v>
      </c>
      <c r="K14" s="47">
        <f>SUMIFS(Collection!$J:$J, Collection!$A:$A, $A14, Collection!$B:$B, K$2)</f>
        <v>250133.33333333334</v>
      </c>
      <c r="L14" s="47">
        <f>SUMIFS(Collection!$J:$J, Collection!$A:$A, $A14, Collection!$B:$B, L$2)</f>
        <v>0</v>
      </c>
      <c r="M14" s="47">
        <f>SUMIFS(Collection!$J:$J, Collection!$A:$A, $A14, Collection!$B:$B, M$2)</f>
        <v>126400</v>
      </c>
      <c r="N14" s="47">
        <f>SUMIFS(Collection!$J:$J, Collection!$A:$A, $A14, Collection!$B:$B, N$2)</f>
        <v>123200</v>
      </c>
      <c r="O14" s="47">
        <f>SUMIFS(Collection!$J:$J, Collection!$A:$A, $A14, Collection!$B:$B, O$2)</f>
        <v>13250</v>
      </c>
      <c r="P14" s="47">
        <f>SUMIFS(Collection!$J:$J, Collection!$A:$A, $A14, Collection!$B:$B, P$2)</f>
        <v>0</v>
      </c>
      <c r="Q14" s="47">
        <f>SUMIFS(Collection!$J:$J, Collection!$A:$A, $A14, Collection!$B:$B, Q$2)</f>
        <v>0</v>
      </c>
      <c r="R14" s="47">
        <f>SUMIFS(Collection!$J:$J, Collection!$A:$A, $A14, Collection!$B:$B, R$2)</f>
        <v>0</v>
      </c>
      <c r="S14" s="47">
        <f>SUMIFS(Collection!$J:$J, Collection!$A:$A, $A14, Collection!$B:$B, S$2)</f>
        <v>0</v>
      </c>
      <c r="T14" s="47">
        <f>SUMIFS(Collection!$J:$J, Collection!$A:$A, $A14, Collection!$B:$B, T$2)</f>
        <v>0</v>
      </c>
      <c r="U14" s="47">
        <f>SUMIFS(Collection!$J:$J, Collection!$A:$A, $A14, Collection!$B:$B, U$2)</f>
        <v>0</v>
      </c>
      <c r="V14" s="47">
        <f>SUMIFS(Collection!$J:$J, Collection!$A:$A, $A14, Collection!$B:$B, V$2)</f>
        <v>0</v>
      </c>
      <c r="W14" s="47">
        <f>SUMIFS(Collection!$J:$J, Collection!$A:$A, $A14, Collection!$B:$B, W$2)</f>
        <v>0</v>
      </c>
      <c r="X14" s="47">
        <f>SUMIFS(Collection!$J:$J, Collection!$A:$A, $A14, Collection!$B:$B, X$2)</f>
        <v>0</v>
      </c>
      <c r="Y14" s="47">
        <f>SUMIFS(Collection!$J:$J, Collection!$A:$A, $A14, Collection!$B:$B, Y$2)</f>
        <v>0</v>
      </c>
      <c r="Z14" s="47"/>
      <c r="AA14" s="47">
        <f t="shared" si="0"/>
        <v>460266.66666666669</v>
      </c>
      <c r="AB14" s="47">
        <f t="shared" si="1"/>
        <v>8166.6666666666661</v>
      </c>
      <c r="AC14" s="47">
        <f t="shared" si="2"/>
        <v>172266.66666666669</v>
      </c>
      <c r="AD14" s="47">
        <f t="shared" si="3"/>
        <v>642133.33333333337</v>
      </c>
      <c r="AE14" s="47">
        <f t="shared" si="4"/>
        <v>0</v>
      </c>
      <c r="AF14" s="47">
        <f t="shared" si="5"/>
        <v>0</v>
      </c>
      <c r="AG14" s="47">
        <f t="shared" si="6"/>
        <v>126400</v>
      </c>
      <c r="AH14" s="283">
        <f t="shared" si="7"/>
        <v>0</v>
      </c>
      <c r="AJ14" s="283">
        <f>SUM($S$4:S14)</f>
        <v>149994.44444444444</v>
      </c>
      <c r="AK14" s="283">
        <f>AJ14/Resources!$B$10</f>
        <v>12499.537037037036</v>
      </c>
      <c r="AL14" s="283">
        <f>SUM($Y$4:Y14)</f>
        <v>0</v>
      </c>
      <c r="AM14" s="290">
        <f>AL14/Resources!$B$11</f>
        <v>0</v>
      </c>
      <c r="AN14" s="283">
        <f>SUM($L$4:L14)</f>
        <v>0</v>
      </c>
      <c r="AO14" s="283">
        <f>AN14/Resources!$B$12</f>
        <v>0</v>
      </c>
      <c r="AP14" s="283">
        <f>SUM($R$4:R14)</f>
        <v>0</v>
      </c>
      <c r="AQ14" s="283">
        <f>AP14/Resources!$B$13</f>
        <v>0</v>
      </c>
      <c r="AR14" s="283">
        <f>SUM($N$4:N14)</f>
        <v>123200</v>
      </c>
      <c r="AS14" s="283">
        <f>AR14/Resources!$B$14</f>
        <v>1109.9099099099099</v>
      </c>
      <c r="AT14" s="283">
        <f>SUM($U$4:U14)</f>
        <v>91708.333333333343</v>
      </c>
      <c r="AU14" s="283">
        <f>AT14/Resources!$B$15</f>
        <v>908.00330033003308</v>
      </c>
      <c r="AV14" s="283">
        <f>SUM($J$4:J14)</f>
        <v>89466.666666666657</v>
      </c>
      <c r="AW14" s="283">
        <f>AV14/Resources!$B$16</f>
        <v>912.92517006802711</v>
      </c>
      <c r="AX14" s="283">
        <f>SUM($O$4:O14)</f>
        <v>235450</v>
      </c>
      <c r="AY14" s="283">
        <f>AX14/Resources!$B$17</f>
        <v>2242.3809523809523</v>
      </c>
      <c r="AZ14" s="283">
        <f>SUM($I$4:I14,$K$4:K14)</f>
        <v>472133.33333333337</v>
      </c>
      <c r="BA14" s="283">
        <f>AZ14/Resources!$B$6</f>
        <v>14754.166666666668</v>
      </c>
      <c r="BB14" s="283">
        <f>SUM($D$4:D14,$G$4:G14)</f>
        <v>761766.66666666651</v>
      </c>
      <c r="BC14" s="283">
        <f>BB14/Resources!$B$7</f>
        <v>25392.222222222215</v>
      </c>
      <c r="BD14" s="283">
        <f>SUM($C$4:C14,$H$4:H14)</f>
        <v>1047050</v>
      </c>
      <c r="BE14" s="295">
        <f>BD14/Resources!$B$8</f>
        <v>40271.153846153844</v>
      </c>
      <c r="BF14" s="283">
        <f>SUM($B$4:B14,$F$4:F14)</f>
        <v>1865593.3333333335</v>
      </c>
      <c r="BG14" s="283">
        <f>BF14/Resources!$B$9</f>
        <v>60180.430107526889</v>
      </c>
      <c r="BH14" s="283">
        <f>SUM($X$4:X14,$E$4:E14)</f>
        <v>0</v>
      </c>
      <c r="BI14" s="283">
        <f>BH14/Resources!$B$2</f>
        <v>0</v>
      </c>
      <c r="BJ14" s="283">
        <f>SUM($V$4:V14,$T$4:T14)</f>
        <v>350</v>
      </c>
      <c r="BK14" s="283">
        <f>BJ14/Resources!$B$3</f>
        <v>13.461538461538462</v>
      </c>
      <c r="BL14" s="283">
        <f>SUM($W$4:W14, $M$4:M14)</f>
        <v>126400</v>
      </c>
      <c r="BM14" s="283">
        <f>BL14/Resources!$B$4</f>
        <v>4514.2857142857147</v>
      </c>
      <c r="BN14" s="283">
        <f>SUM($P$4:P14,$Q$4:Q14)</f>
        <v>246666.66666666666</v>
      </c>
      <c r="BO14" s="292">
        <f>BN14/Resources!$B$5</f>
        <v>9135.8024691358023</v>
      </c>
    </row>
    <row r="15" spans="1:67" ht="19" x14ac:dyDescent="0.25">
      <c r="A15" s="34">
        <f t="shared" si="8"/>
        <v>42877</v>
      </c>
      <c r="B15" s="47">
        <f>SUMIFS(Collection!$J:$J, Collection!$A:$A, $A15, Collection!$B:$B, B$2)</f>
        <v>0</v>
      </c>
      <c r="C15" s="47">
        <f>SUMIFS(Collection!$J:$J, Collection!$A:$A, $A15, Collection!$B:$B, C$2)</f>
        <v>0</v>
      </c>
      <c r="D15" s="47">
        <f>SUMIFS(Collection!$J:$J, Collection!$A:$A, $A15, Collection!$B:$B, D$2)</f>
        <v>0</v>
      </c>
      <c r="E15" s="47">
        <f>SUMIFS(Collection!$J:$J, Collection!$A:$A, $A15, Collection!$B:$B, E$2)</f>
        <v>0</v>
      </c>
      <c r="F15" s="47">
        <f>SUMIFS(Collection!$J:$J, Collection!$A:$A, $A15, Collection!$B:$B, F$2)</f>
        <v>3400</v>
      </c>
      <c r="G15" s="47">
        <f>SUMIFS(Collection!$J:$J, Collection!$A:$A, $A15, Collection!$B:$B, G$2)</f>
        <v>24500</v>
      </c>
      <c r="H15" s="47">
        <f>SUMIFS(Collection!$J:$J, Collection!$A:$A, $A15, Collection!$B:$B, H$2)</f>
        <v>0</v>
      </c>
      <c r="I15" s="47">
        <f>SUMIFS(Collection!$J:$J, Collection!$A:$A, $A15, Collection!$B:$B, I$2)</f>
        <v>0</v>
      </c>
      <c r="J15" s="47">
        <f>SUMIFS(Collection!$J:$J, Collection!$A:$A, $A15, Collection!$B:$B, J$2)</f>
        <v>0</v>
      </c>
      <c r="K15" s="47">
        <f>SUMIFS(Collection!$J:$J, Collection!$A:$A, $A15, Collection!$B:$B, K$2)</f>
        <v>136000</v>
      </c>
      <c r="L15" s="47">
        <f>SUMIFS(Collection!$J:$J, Collection!$A:$A, $A15, Collection!$B:$B, L$2)</f>
        <v>0</v>
      </c>
      <c r="M15" s="47">
        <f>SUMIFS(Collection!$J:$J, Collection!$A:$A, $A15, Collection!$B:$B, M$2)</f>
        <v>0</v>
      </c>
      <c r="N15" s="47">
        <f>SUMIFS(Collection!$J:$J, Collection!$A:$A, $A15, Collection!$B:$B, N$2)</f>
        <v>1800</v>
      </c>
      <c r="O15" s="47">
        <f>SUMIFS(Collection!$J:$J, Collection!$A:$A, $A15, Collection!$B:$B, O$2)</f>
        <v>625</v>
      </c>
      <c r="P15" s="47">
        <f>SUMIFS(Collection!$J:$J, Collection!$A:$A, $A15, Collection!$B:$B, P$2)</f>
        <v>0</v>
      </c>
      <c r="Q15" s="47">
        <f>SUMIFS(Collection!$J:$J, Collection!$A:$A, $A15, Collection!$B:$B, Q$2)</f>
        <v>0</v>
      </c>
      <c r="R15" s="47">
        <f>SUMIFS(Collection!$J:$J, Collection!$A:$A, $A15, Collection!$B:$B, R$2)</f>
        <v>0</v>
      </c>
      <c r="S15" s="47">
        <f>SUMIFS(Collection!$J:$J, Collection!$A:$A, $A15, Collection!$B:$B, S$2)</f>
        <v>0</v>
      </c>
      <c r="T15" s="47">
        <f>SUMIFS(Collection!$J:$J, Collection!$A:$A, $A15, Collection!$B:$B, T$2)</f>
        <v>0</v>
      </c>
      <c r="U15" s="47">
        <f>SUMIFS(Collection!$J:$J, Collection!$A:$A, $A15, Collection!$B:$B, U$2)</f>
        <v>0</v>
      </c>
      <c r="V15" s="47">
        <f>SUMIFS(Collection!$J:$J, Collection!$A:$A, $A15, Collection!$B:$B, V$2)</f>
        <v>466.66666666666663</v>
      </c>
      <c r="W15" s="47">
        <f>SUMIFS(Collection!$J:$J, Collection!$A:$A, $A15, Collection!$B:$B, W$2)</f>
        <v>583.33333333333337</v>
      </c>
      <c r="X15" s="47">
        <f>SUMIFS(Collection!$J:$J, Collection!$A:$A, $A15, Collection!$B:$B, X$2)</f>
        <v>0</v>
      </c>
      <c r="Y15" s="47">
        <f>SUMIFS(Collection!$J:$J, Collection!$A:$A, $A15, Collection!$B:$B, Y$2)</f>
        <v>0</v>
      </c>
      <c r="Z15" s="47"/>
      <c r="AA15" s="47">
        <f t="shared" si="0"/>
        <v>136000</v>
      </c>
      <c r="AB15" s="47">
        <f t="shared" si="1"/>
        <v>24500</v>
      </c>
      <c r="AC15" s="47">
        <f t="shared" si="2"/>
        <v>0</v>
      </c>
      <c r="AD15" s="47">
        <f t="shared" si="3"/>
        <v>3400</v>
      </c>
      <c r="AE15" s="47">
        <f t="shared" si="4"/>
        <v>0</v>
      </c>
      <c r="AF15" s="47">
        <f t="shared" si="5"/>
        <v>466.66666666666663</v>
      </c>
      <c r="AG15" s="47">
        <f t="shared" si="6"/>
        <v>583.33333333333337</v>
      </c>
      <c r="AH15" s="283">
        <f t="shared" si="7"/>
        <v>0</v>
      </c>
      <c r="AJ15" s="283">
        <f>SUM($S$4:S15)</f>
        <v>149994.44444444444</v>
      </c>
      <c r="AK15" s="283">
        <f>AJ15/Resources!$B$10</f>
        <v>12499.537037037036</v>
      </c>
      <c r="AL15" s="283">
        <f>SUM($Y$4:Y15)</f>
        <v>0</v>
      </c>
      <c r="AM15" s="290">
        <f>AL15/Resources!$B$11</f>
        <v>0</v>
      </c>
      <c r="AN15" s="283">
        <f>SUM($L$4:L15)</f>
        <v>0</v>
      </c>
      <c r="AO15" s="283">
        <f>AN15/Resources!$B$12</f>
        <v>0</v>
      </c>
      <c r="AP15" s="283">
        <f>SUM($R$4:R15)</f>
        <v>0</v>
      </c>
      <c r="AQ15" s="283">
        <f>AP15/Resources!$B$13</f>
        <v>0</v>
      </c>
      <c r="AR15" s="283">
        <f>SUM($N$4:N15)</f>
        <v>125000</v>
      </c>
      <c r="AS15" s="283">
        <f>AR15/Resources!$B$14</f>
        <v>1126.1261261261261</v>
      </c>
      <c r="AT15" s="283">
        <f>SUM($U$4:U15)</f>
        <v>91708.333333333343</v>
      </c>
      <c r="AU15" s="283">
        <f>AT15/Resources!$B$15</f>
        <v>908.00330033003308</v>
      </c>
      <c r="AV15" s="283">
        <f>SUM($J$4:J15)</f>
        <v>89466.666666666657</v>
      </c>
      <c r="AW15" s="283">
        <f>AV15/Resources!$B$16</f>
        <v>912.92517006802711</v>
      </c>
      <c r="AX15" s="283">
        <f>SUM($O$4:O15)</f>
        <v>236075</v>
      </c>
      <c r="AY15" s="283">
        <f>AX15/Resources!$B$17</f>
        <v>2248.3333333333335</v>
      </c>
      <c r="AZ15" s="283">
        <f>SUM($I$4:I15,$K$4:K15)</f>
        <v>608133.33333333337</v>
      </c>
      <c r="BA15" s="283">
        <f>AZ15/Resources!$B$6</f>
        <v>19004.166666666668</v>
      </c>
      <c r="BB15" s="283">
        <f>SUM($D$4:D15,$G$4:G15)</f>
        <v>786266.66666666651</v>
      </c>
      <c r="BC15" s="283">
        <f>BB15/Resources!$B$7</f>
        <v>26208.888888888883</v>
      </c>
      <c r="BD15" s="283">
        <f>SUM($C$4:C15,$H$4:H15)</f>
        <v>1047050</v>
      </c>
      <c r="BE15" s="295">
        <f>BD15/Resources!$B$8</f>
        <v>40271.153846153844</v>
      </c>
      <c r="BF15" s="283">
        <f>SUM($B$4:B15,$F$4:F15)</f>
        <v>1868993.3333333335</v>
      </c>
      <c r="BG15" s="283">
        <f>BF15/Resources!$B$9</f>
        <v>60290.107526881722</v>
      </c>
      <c r="BH15" s="283">
        <f>SUM($X$4:X15,$E$4:E15)</f>
        <v>0</v>
      </c>
      <c r="BI15" s="283">
        <f>BH15/Resources!$B$2</f>
        <v>0</v>
      </c>
      <c r="BJ15" s="283">
        <f>SUM($V$4:V15,$T$4:T15)</f>
        <v>816.66666666666663</v>
      </c>
      <c r="BK15" s="283">
        <f>BJ15/Resources!$B$3</f>
        <v>31.410256410256409</v>
      </c>
      <c r="BL15" s="283">
        <f>SUM($W$4:W15, $M$4:M15)</f>
        <v>126983.33333333333</v>
      </c>
      <c r="BM15" s="283">
        <f>BL15/Resources!$B$4</f>
        <v>4535.1190476190477</v>
      </c>
      <c r="BN15" s="283">
        <f>SUM($P$4:P15,$Q$4:Q15)</f>
        <v>246666.66666666666</v>
      </c>
      <c r="BO15" s="292">
        <f>BN15/Resources!$B$5</f>
        <v>9135.8024691358023</v>
      </c>
    </row>
    <row r="16" spans="1:67" ht="19" x14ac:dyDescent="0.25">
      <c r="A16" s="34">
        <f t="shared" si="8"/>
        <v>42878</v>
      </c>
      <c r="B16" s="47">
        <f>SUMIFS(Collection!$J:$J, Collection!$A:$A, $A16, Collection!$B:$B, B$2)</f>
        <v>38266.666666666664</v>
      </c>
      <c r="C16" s="47">
        <f>SUMIFS(Collection!$J:$J, Collection!$A:$A, $A16, Collection!$B:$B, C$2)</f>
        <v>67600</v>
      </c>
      <c r="D16" s="47">
        <f>SUMIFS(Collection!$J:$J, Collection!$A:$A, $A16, Collection!$B:$B, D$2)</f>
        <v>0</v>
      </c>
      <c r="E16" s="47">
        <f>SUMIFS(Collection!$J:$J, Collection!$A:$A, $A16, Collection!$B:$B, E$2)</f>
        <v>0</v>
      </c>
      <c r="F16" s="47">
        <f>SUMIFS(Collection!$J:$J, Collection!$A:$A, $A16, Collection!$B:$B, F$2)</f>
        <v>0</v>
      </c>
      <c r="G16" s="47">
        <f>SUMIFS(Collection!$J:$J, Collection!$A:$A, $A16, Collection!$B:$B, G$2)</f>
        <v>209066.66666666669</v>
      </c>
      <c r="H16" s="47">
        <f>SUMIFS(Collection!$J:$J, Collection!$A:$A, $A16, Collection!$B:$B, H$2)</f>
        <v>0</v>
      </c>
      <c r="I16" s="47">
        <f>SUMIFS(Collection!$J:$J, Collection!$A:$A, $A16, Collection!$B:$B, I$2)</f>
        <v>0</v>
      </c>
      <c r="J16" s="47">
        <f>SUMIFS(Collection!$J:$J, Collection!$A:$A, $A16, Collection!$B:$B, J$2)</f>
        <v>241066.66666666666</v>
      </c>
      <c r="K16" s="47">
        <f>SUMIFS(Collection!$J:$J, Collection!$A:$A, $A16, Collection!$B:$B, K$2)</f>
        <v>1000</v>
      </c>
      <c r="L16" s="47">
        <f>SUMIFS(Collection!$J:$J, Collection!$A:$A, $A16, Collection!$B:$B, L$2)</f>
        <v>0</v>
      </c>
      <c r="M16" s="47">
        <f>SUMIFS(Collection!$J:$J, Collection!$A:$A, $A16, Collection!$B:$B, M$2)</f>
        <v>0</v>
      </c>
      <c r="N16" s="47">
        <f>SUMIFS(Collection!$J:$J, Collection!$A:$A, $A16, Collection!$B:$B, N$2)</f>
        <v>130933.33333333333</v>
      </c>
      <c r="O16" s="47">
        <f>SUMIFS(Collection!$J:$J, Collection!$A:$A, $A16, Collection!$B:$B, O$2)</f>
        <v>0</v>
      </c>
      <c r="P16" s="47">
        <f>SUMIFS(Collection!$J:$J, Collection!$A:$A, $A16, Collection!$B:$B, P$2)</f>
        <v>0</v>
      </c>
      <c r="Q16" s="47">
        <f>SUMIFS(Collection!$J:$J, Collection!$A:$A, $A16, Collection!$B:$B, Q$2)</f>
        <v>0</v>
      </c>
      <c r="R16" s="47">
        <f>SUMIFS(Collection!$J:$J, Collection!$A:$A, $A16, Collection!$B:$B, R$2)</f>
        <v>0</v>
      </c>
      <c r="S16" s="47">
        <f>SUMIFS(Collection!$J:$J, Collection!$A:$A, $A16, Collection!$B:$B, S$2)</f>
        <v>0</v>
      </c>
      <c r="T16" s="47">
        <f>SUMIFS(Collection!$J:$J, Collection!$A:$A, $A16, Collection!$B:$B, T$2)</f>
        <v>0</v>
      </c>
      <c r="U16" s="47">
        <f>SUMIFS(Collection!$J:$J, Collection!$A:$A, $A16, Collection!$B:$B, U$2)</f>
        <v>0</v>
      </c>
      <c r="V16" s="47">
        <f>SUMIFS(Collection!$J:$J, Collection!$A:$A, $A16, Collection!$B:$B, V$2)</f>
        <v>0</v>
      </c>
      <c r="W16" s="47">
        <f>SUMIFS(Collection!$J:$J, Collection!$A:$A, $A16, Collection!$B:$B, W$2)</f>
        <v>2266.666666666667</v>
      </c>
      <c r="X16" s="47">
        <f>SUMIFS(Collection!$J:$J, Collection!$A:$A, $A16, Collection!$B:$B, X$2)</f>
        <v>0</v>
      </c>
      <c r="Y16" s="47">
        <f>SUMIFS(Collection!$J:$J, Collection!$A:$A, $A16, Collection!$B:$B, Y$2)</f>
        <v>0</v>
      </c>
      <c r="Z16" s="47"/>
      <c r="AA16" s="47">
        <f t="shared" si="0"/>
        <v>1000</v>
      </c>
      <c r="AB16" s="47">
        <f t="shared" si="1"/>
        <v>209066.66666666669</v>
      </c>
      <c r="AC16" s="47">
        <f t="shared" si="2"/>
        <v>67600</v>
      </c>
      <c r="AD16" s="47">
        <f t="shared" si="3"/>
        <v>38266.666666666664</v>
      </c>
      <c r="AE16" s="47">
        <f t="shared" si="4"/>
        <v>0</v>
      </c>
      <c r="AF16" s="47">
        <f t="shared" si="5"/>
        <v>0</v>
      </c>
      <c r="AG16" s="47">
        <f t="shared" si="6"/>
        <v>2266.666666666667</v>
      </c>
      <c r="AH16" s="283">
        <f t="shared" si="7"/>
        <v>0</v>
      </c>
      <c r="AJ16" s="283">
        <f>SUM($S$4:S16)</f>
        <v>149994.44444444444</v>
      </c>
      <c r="AK16" s="283">
        <f>AJ16/Resources!$B$10</f>
        <v>12499.537037037036</v>
      </c>
      <c r="AL16" s="283">
        <f>SUM($Y$4:Y16)</f>
        <v>0</v>
      </c>
      <c r="AM16" s="290">
        <f>AL16/Resources!$B$11</f>
        <v>0</v>
      </c>
      <c r="AN16" s="283">
        <f>SUM($L$4:L16)</f>
        <v>0</v>
      </c>
      <c r="AO16" s="283">
        <f>AN16/Resources!$B$12</f>
        <v>0</v>
      </c>
      <c r="AP16" s="283">
        <f>SUM($R$4:R16)</f>
        <v>0</v>
      </c>
      <c r="AQ16" s="283">
        <f>AP16/Resources!$B$13</f>
        <v>0</v>
      </c>
      <c r="AR16" s="283">
        <f>SUM($N$4:N16)</f>
        <v>255933.33333333331</v>
      </c>
      <c r="AS16" s="283">
        <f>AR16/Resources!$B$14</f>
        <v>2305.7057057057054</v>
      </c>
      <c r="AT16" s="283">
        <f>SUM($U$4:U16)</f>
        <v>91708.333333333343</v>
      </c>
      <c r="AU16" s="283">
        <f>AT16/Resources!$B$15</f>
        <v>908.00330033003308</v>
      </c>
      <c r="AV16" s="283">
        <f>SUM($J$4:J16)</f>
        <v>330533.33333333331</v>
      </c>
      <c r="AW16" s="283">
        <f>AV16/Resources!$B$16</f>
        <v>3372.7891156462583</v>
      </c>
      <c r="AX16" s="283">
        <f>SUM($O$4:O16)</f>
        <v>236075</v>
      </c>
      <c r="AY16" s="283">
        <f>AX16/Resources!$B$17</f>
        <v>2248.3333333333335</v>
      </c>
      <c r="AZ16" s="283">
        <f>SUM($I$4:I16,$K$4:K16)</f>
        <v>609133.33333333337</v>
      </c>
      <c r="BA16" s="283">
        <f>AZ16/Resources!$B$6</f>
        <v>19035.416666666668</v>
      </c>
      <c r="BB16" s="283">
        <f>SUM($D$4:D16,$G$4:G16)</f>
        <v>995333.33333333326</v>
      </c>
      <c r="BC16" s="283">
        <f>BB16/Resources!$B$7</f>
        <v>33177.777777777774</v>
      </c>
      <c r="BD16" s="283">
        <f>SUM($C$4:C16,$H$4:H16)</f>
        <v>1114650</v>
      </c>
      <c r="BE16" s="295">
        <f>BD16/Resources!$B$8</f>
        <v>42871.153846153844</v>
      </c>
      <c r="BF16" s="283">
        <f>SUM($B$4:B16,$F$4:F16)</f>
        <v>1907260.0000000002</v>
      </c>
      <c r="BG16" s="283">
        <f>BF16/Resources!$B$9</f>
        <v>61524.516129032265</v>
      </c>
      <c r="BH16" s="283">
        <f>SUM($X$4:X16,$E$4:E16)</f>
        <v>0</v>
      </c>
      <c r="BI16" s="283">
        <f>BH16/Resources!$B$2</f>
        <v>0</v>
      </c>
      <c r="BJ16" s="283">
        <f>SUM($V$4:V16,$T$4:T16)</f>
        <v>816.66666666666663</v>
      </c>
      <c r="BK16" s="283">
        <f>BJ16/Resources!$B$3</f>
        <v>31.410256410256409</v>
      </c>
      <c r="BL16" s="283">
        <f>SUM($W$4:W16, $M$4:M16)</f>
        <v>129250</v>
      </c>
      <c r="BM16" s="283">
        <f>BL16/Resources!$B$4</f>
        <v>4616.0714285714284</v>
      </c>
      <c r="BN16" s="283">
        <f>SUM($P$4:P16,$Q$4:Q16)</f>
        <v>246666.66666666666</v>
      </c>
      <c r="BO16" s="292">
        <f>BN16/Resources!$B$5</f>
        <v>9135.8024691358023</v>
      </c>
    </row>
    <row r="17" spans="1:67" ht="19" x14ac:dyDescent="0.25">
      <c r="A17" s="34">
        <f t="shared" si="8"/>
        <v>42879</v>
      </c>
      <c r="B17" s="47">
        <f>SUMIFS(Collection!$J:$J, Collection!$A:$A, $A17, Collection!$B:$B, B$2)</f>
        <v>0</v>
      </c>
      <c r="C17" s="47">
        <f>SUMIFS(Collection!$J:$J, Collection!$A:$A, $A17, Collection!$B:$B, C$2)</f>
        <v>0</v>
      </c>
      <c r="D17" s="47">
        <f>SUMIFS(Collection!$J:$J, Collection!$A:$A, $A17, Collection!$B:$B, D$2)</f>
        <v>0</v>
      </c>
      <c r="E17" s="47">
        <f>SUMIFS(Collection!$J:$J, Collection!$A:$A, $A17, Collection!$B:$B, E$2)</f>
        <v>0</v>
      </c>
      <c r="F17" s="47">
        <f>SUMIFS(Collection!$J:$J, Collection!$A:$A, $A17, Collection!$B:$B, F$2)</f>
        <v>0</v>
      </c>
      <c r="G17" s="47">
        <f>SUMIFS(Collection!$J:$J, Collection!$A:$A, $A17, Collection!$B:$B, G$2)</f>
        <v>4500</v>
      </c>
      <c r="H17" s="47">
        <f>SUMIFS(Collection!$J:$J, Collection!$A:$A, $A17, Collection!$B:$B, H$2)</f>
        <v>0</v>
      </c>
      <c r="I17" s="47">
        <f>SUMIFS(Collection!$J:$J, Collection!$A:$A, $A17, Collection!$B:$B, I$2)</f>
        <v>0</v>
      </c>
      <c r="J17" s="47">
        <f>SUMIFS(Collection!$J:$J, Collection!$A:$A, $A17, Collection!$B:$B, J$2)</f>
        <v>66666.666666666672</v>
      </c>
      <c r="K17" s="47">
        <f>SUMIFS(Collection!$J:$J, Collection!$A:$A, $A17, Collection!$B:$B, K$2)</f>
        <v>0</v>
      </c>
      <c r="L17" s="47">
        <f>SUMIFS(Collection!$J:$J, Collection!$A:$A, $A17, Collection!$B:$B, L$2)</f>
        <v>0</v>
      </c>
      <c r="M17" s="47">
        <f>SUMIFS(Collection!$J:$J, Collection!$A:$A, $A17, Collection!$B:$B, M$2)</f>
        <v>186133.33333333331</v>
      </c>
      <c r="N17" s="47">
        <f>SUMIFS(Collection!$J:$J, Collection!$A:$A, $A17, Collection!$B:$B, N$2)</f>
        <v>48406.666666666664</v>
      </c>
      <c r="O17" s="47">
        <f>SUMIFS(Collection!$J:$J, Collection!$A:$A, $A17, Collection!$B:$B, O$2)</f>
        <v>37566.666666666664</v>
      </c>
      <c r="P17" s="47">
        <f>SUMIFS(Collection!$J:$J, Collection!$A:$A, $A17, Collection!$B:$B, P$2)</f>
        <v>0</v>
      </c>
      <c r="Q17" s="47">
        <f>SUMIFS(Collection!$J:$J, Collection!$A:$A, $A17, Collection!$B:$B, Q$2)</f>
        <v>0</v>
      </c>
      <c r="R17" s="47">
        <f>SUMIFS(Collection!$J:$J, Collection!$A:$A, $A17, Collection!$B:$B, R$2)</f>
        <v>205866.66666666666</v>
      </c>
      <c r="S17" s="47">
        <f>SUMIFS(Collection!$J:$J, Collection!$A:$A, $A17, Collection!$B:$B, S$2)</f>
        <v>0</v>
      </c>
      <c r="T17" s="47">
        <f>SUMIFS(Collection!$J:$J, Collection!$A:$A, $A17, Collection!$B:$B, T$2)</f>
        <v>0</v>
      </c>
      <c r="U17" s="47">
        <f>SUMIFS(Collection!$J:$J, Collection!$A:$A, $A17, Collection!$B:$B, U$2)</f>
        <v>0</v>
      </c>
      <c r="V17" s="47">
        <f>SUMIFS(Collection!$J:$J, Collection!$A:$A, $A17, Collection!$B:$B, V$2)</f>
        <v>0</v>
      </c>
      <c r="W17" s="47">
        <f>SUMIFS(Collection!$J:$J, Collection!$A:$A, $A17, Collection!$B:$B, W$2)</f>
        <v>0</v>
      </c>
      <c r="X17" s="47">
        <f>SUMIFS(Collection!$J:$J, Collection!$A:$A, $A17, Collection!$B:$B, X$2)</f>
        <v>0</v>
      </c>
      <c r="Y17" s="47">
        <f>SUMIFS(Collection!$J:$J, Collection!$A:$A, $A17, Collection!$B:$B, Y$2)</f>
        <v>0</v>
      </c>
      <c r="Z17" s="47"/>
      <c r="AA17" s="47">
        <f t="shared" si="0"/>
        <v>0</v>
      </c>
      <c r="AB17" s="47">
        <f t="shared" si="1"/>
        <v>4500</v>
      </c>
      <c r="AC17" s="47">
        <f t="shared" si="2"/>
        <v>0</v>
      </c>
      <c r="AD17" s="47">
        <f t="shared" si="3"/>
        <v>0</v>
      </c>
      <c r="AE17" s="47">
        <f t="shared" si="4"/>
        <v>0</v>
      </c>
      <c r="AF17" s="47">
        <f t="shared" si="5"/>
        <v>0</v>
      </c>
      <c r="AG17" s="47">
        <f t="shared" si="6"/>
        <v>186133.33333333331</v>
      </c>
      <c r="AH17" s="283">
        <f t="shared" si="7"/>
        <v>0</v>
      </c>
      <c r="AJ17" s="283">
        <f>SUM($S$4:S17)</f>
        <v>149994.44444444444</v>
      </c>
      <c r="AK17" s="283">
        <f>AJ17/Resources!$B$10</f>
        <v>12499.537037037036</v>
      </c>
      <c r="AL17" s="283">
        <f>SUM($Y$4:Y17)</f>
        <v>0</v>
      </c>
      <c r="AM17" s="290">
        <f>AL17/Resources!$B$11</f>
        <v>0</v>
      </c>
      <c r="AN17" s="283">
        <f>SUM($L$4:L17)</f>
        <v>0</v>
      </c>
      <c r="AO17" s="283">
        <f>AN17/Resources!$B$12</f>
        <v>0</v>
      </c>
      <c r="AP17" s="283">
        <f>SUM($R$4:R17)</f>
        <v>205866.66666666666</v>
      </c>
      <c r="AQ17" s="283">
        <f>AP17/Resources!$B$13</f>
        <v>20586.666666666664</v>
      </c>
      <c r="AR17" s="283">
        <f>SUM($N$4:N17)</f>
        <v>304340</v>
      </c>
      <c r="AS17" s="283">
        <f>AR17/Resources!$B$14</f>
        <v>2741.801801801802</v>
      </c>
      <c r="AT17" s="283">
        <f>SUM($U$4:U17)</f>
        <v>91708.333333333343</v>
      </c>
      <c r="AU17" s="283">
        <f>AT17/Resources!$B$15</f>
        <v>908.00330033003308</v>
      </c>
      <c r="AV17" s="283">
        <f>SUM($J$4:J17)</f>
        <v>397200</v>
      </c>
      <c r="AW17" s="283">
        <f>AV17/Resources!$B$16</f>
        <v>4053.0612244897961</v>
      </c>
      <c r="AX17" s="283">
        <f>SUM($O$4:O17)</f>
        <v>273641.66666666669</v>
      </c>
      <c r="AY17" s="283">
        <f>AX17/Resources!$B$17</f>
        <v>2606.1111111111113</v>
      </c>
      <c r="AZ17" s="283">
        <f>SUM($I$4:I17,$K$4:K17)</f>
        <v>609133.33333333337</v>
      </c>
      <c r="BA17" s="283">
        <f>AZ17/Resources!$B$6</f>
        <v>19035.416666666668</v>
      </c>
      <c r="BB17" s="283">
        <f>SUM($D$4:D17,$G$4:G17)</f>
        <v>999833.33333333326</v>
      </c>
      <c r="BC17" s="283">
        <f>BB17/Resources!$B$7</f>
        <v>33327.777777777774</v>
      </c>
      <c r="BD17" s="283">
        <f>SUM($C$4:C17,$H$4:H17)</f>
        <v>1114650</v>
      </c>
      <c r="BE17" s="295">
        <f>BD17/Resources!$B$8</f>
        <v>42871.153846153844</v>
      </c>
      <c r="BF17" s="283">
        <f>SUM($B$4:B17,$F$4:F17)</f>
        <v>1907260.0000000002</v>
      </c>
      <c r="BG17" s="283">
        <f>BF17/Resources!$B$9</f>
        <v>61524.516129032265</v>
      </c>
      <c r="BH17" s="283">
        <f>SUM($X$4:X17,$E$4:E17)</f>
        <v>0</v>
      </c>
      <c r="BI17" s="283">
        <f>BH17/Resources!$B$2</f>
        <v>0</v>
      </c>
      <c r="BJ17" s="283">
        <f>SUM($V$4:V17,$T$4:T17)</f>
        <v>816.66666666666663</v>
      </c>
      <c r="BK17" s="283">
        <f>BJ17/Resources!$B$3</f>
        <v>31.410256410256409</v>
      </c>
      <c r="BL17" s="283">
        <f>SUM($W$4:W17, $M$4:M17)</f>
        <v>315383.33333333331</v>
      </c>
      <c r="BM17" s="283">
        <f>BL17/Resources!$B$4</f>
        <v>11263.690476190475</v>
      </c>
      <c r="BN17" s="283">
        <f>SUM($P$4:P17,$Q$4:Q17)</f>
        <v>246666.66666666666</v>
      </c>
      <c r="BO17" s="292">
        <f>BN17/Resources!$B$5</f>
        <v>9135.8024691358023</v>
      </c>
    </row>
    <row r="18" spans="1:67" ht="19" x14ac:dyDescent="0.25">
      <c r="A18" s="34">
        <f t="shared" si="8"/>
        <v>42880</v>
      </c>
      <c r="B18" s="47">
        <f>SUMIFS(Collection!$J:$J, Collection!$A:$A, $A18, Collection!$B:$B, B$2)</f>
        <v>0</v>
      </c>
      <c r="C18" s="47">
        <f>SUMIFS(Collection!$J:$J, Collection!$A:$A, $A18, Collection!$B:$B, C$2)</f>
        <v>0</v>
      </c>
      <c r="D18" s="47">
        <f>SUMIFS(Collection!$J:$J, Collection!$A:$A, $A18, Collection!$B:$B, D$2)</f>
        <v>0</v>
      </c>
      <c r="E18" s="47">
        <f>SUMIFS(Collection!$J:$J, Collection!$A:$A, $A18, Collection!$B:$B, E$2)</f>
        <v>307800</v>
      </c>
      <c r="F18" s="47">
        <f>SUMIFS(Collection!$J:$J, Collection!$A:$A, $A18, Collection!$B:$B, F$2)</f>
        <v>0</v>
      </c>
      <c r="G18" s="47">
        <f>SUMIFS(Collection!$J:$J, Collection!$A:$A, $A18, Collection!$B:$B, G$2)</f>
        <v>0</v>
      </c>
      <c r="H18" s="47">
        <f>SUMIFS(Collection!$J:$J, Collection!$A:$A, $A18, Collection!$B:$B, H$2)</f>
        <v>0</v>
      </c>
      <c r="I18" s="47">
        <f>SUMIFS(Collection!$J:$J, Collection!$A:$A, $A18, Collection!$B:$B, I$2)</f>
        <v>0</v>
      </c>
      <c r="J18" s="47">
        <f>SUMIFS(Collection!$J:$J, Collection!$A:$A, $A18, Collection!$B:$B, J$2)</f>
        <v>3400</v>
      </c>
      <c r="K18" s="47">
        <f>SUMIFS(Collection!$J:$J, Collection!$A:$A, $A18, Collection!$B:$B, K$2)</f>
        <v>0</v>
      </c>
      <c r="L18" s="47">
        <f>SUMIFS(Collection!$J:$J, Collection!$A:$A, $A18, Collection!$B:$B, L$2)</f>
        <v>0</v>
      </c>
      <c r="M18" s="47">
        <f>SUMIFS(Collection!$J:$J, Collection!$A:$A, $A18, Collection!$B:$B, M$2)</f>
        <v>0</v>
      </c>
      <c r="N18" s="47">
        <f>SUMIFS(Collection!$J:$J, Collection!$A:$A, $A18, Collection!$B:$B, N$2)</f>
        <v>0</v>
      </c>
      <c r="O18" s="47">
        <f>SUMIFS(Collection!$J:$J, Collection!$A:$A, $A18, Collection!$B:$B, O$2)</f>
        <v>31206.666666666668</v>
      </c>
      <c r="P18" s="47">
        <f>SUMIFS(Collection!$J:$J, Collection!$A:$A, $A18, Collection!$B:$B, P$2)</f>
        <v>248000</v>
      </c>
      <c r="Q18" s="47">
        <f>SUMIFS(Collection!$J:$J, Collection!$A:$A, $A18, Collection!$B:$B, Q$2)</f>
        <v>0</v>
      </c>
      <c r="R18" s="47">
        <f>SUMIFS(Collection!$J:$J, Collection!$A:$A, $A18, Collection!$B:$B, R$2)</f>
        <v>26320</v>
      </c>
      <c r="S18" s="47">
        <f>SUMIFS(Collection!$J:$J, Collection!$A:$A, $A18, Collection!$B:$B, S$2)</f>
        <v>0</v>
      </c>
      <c r="T18" s="47">
        <f>SUMIFS(Collection!$J:$J, Collection!$A:$A, $A18, Collection!$B:$B, T$2)</f>
        <v>0</v>
      </c>
      <c r="U18" s="47">
        <f>SUMIFS(Collection!$J:$J, Collection!$A:$A, $A18, Collection!$B:$B, U$2)</f>
        <v>0</v>
      </c>
      <c r="V18" s="47">
        <f>SUMIFS(Collection!$J:$J, Collection!$A:$A, $A18, Collection!$B:$B, V$2)</f>
        <v>10800</v>
      </c>
      <c r="W18" s="47">
        <f>SUMIFS(Collection!$J:$J, Collection!$A:$A, $A18, Collection!$B:$B, W$2)</f>
        <v>0</v>
      </c>
      <c r="X18" s="47">
        <f>SUMIFS(Collection!$J:$J, Collection!$A:$A, $A18, Collection!$B:$B, X$2)</f>
        <v>0</v>
      </c>
      <c r="Y18" s="47">
        <f>SUMIFS(Collection!$J:$J, Collection!$A:$A, $A18, Collection!$B:$B, Y$2)</f>
        <v>0</v>
      </c>
      <c r="Z18" s="47"/>
      <c r="AA18" s="47">
        <f t="shared" si="0"/>
        <v>0</v>
      </c>
      <c r="AB18" s="47">
        <f t="shared" si="1"/>
        <v>0</v>
      </c>
      <c r="AC18" s="47">
        <f t="shared" si="2"/>
        <v>0</v>
      </c>
      <c r="AD18" s="47">
        <f t="shared" si="3"/>
        <v>0</v>
      </c>
      <c r="AE18" s="47">
        <f t="shared" si="4"/>
        <v>307800</v>
      </c>
      <c r="AF18" s="47">
        <f t="shared" si="5"/>
        <v>10800</v>
      </c>
      <c r="AG18" s="47">
        <f t="shared" si="6"/>
        <v>0</v>
      </c>
      <c r="AH18" s="283">
        <f t="shared" si="7"/>
        <v>248000</v>
      </c>
      <c r="AJ18" s="283">
        <f>SUM($S$4:S18)</f>
        <v>149994.44444444444</v>
      </c>
      <c r="AK18" s="283">
        <f>AJ18/Resources!$B$10</f>
        <v>12499.537037037036</v>
      </c>
      <c r="AL18" s="283">
        <f>SUM($Y$4:Y18)</f>
        <v>0</v>
      </c>
      <c r="AM18" s="290">
        <f>AL18/Resources!$B$11</f>
        <v>0</v>
      </c>
      <c r="AN18" s="283">
        <f>SUM($L$4:L18)</f>
        <v>0</v>
      </c>
      <c r="AO18" s="283">
        <f>AN18/Resources!$B$12</f>
        <v>0</v>
      </c>
      <c r="AP18" s="283">
        <f>SUM($R$4:R18)</f>
        <v>232186.66666666666</v>
      </c>
      <c r="AQ18" s="283">
        <f>AP18/Resources!$B$13</f>
        <v>23218.666666666664</v>
      </c>
      <c r="AR18" s="283">
        <f>SUM($N$4:N18)</f>
        <v>304340</v>
      </c>
      <c r="AS18" s="283">
        <f>AR18/Resources!$B$14</f>
        <v>2741.801801801802</v>
      </c>
      <c r="AT18" s="283">
        <f>SUM($U$4:U18)</f>
        <v>91708.333333333343</v>
      </c>
      <c r="AU18" s="283">
        <f>AT18/Resources!$B$15</f>
        <v>908.00330033003308</v>
      </c>
      <c r="AV18" s="283">
        <f>SUM($J$4:J18)</f>
        <v>400600</v>
      </c>
      <c r="AW18" s="283">
        <f>AV18/Resources!$B$16</f>
        <v>4087.7551020408164</v>
      </c>
      <c r="AX18" s="283">
        <f>SUM($O$4:O18)</f>
        <v>304848.33333333337</v>
      </c>
      <c r="AY18" s="283">
        <f>AX18/Resources!$B$17</f>
        <v>2903.3174603174607</v>
      </c>
      <c r="AZ18" s="283">
        <f>SUM($I$4:I18,$K$4:K18)</f>
        <v>609133.33333333337</v>
      </c>
      <c r="BA18" s="283">
        <f>AZ18/Resources!$B$6</f>
        <v>19035.416666666668</v>
      </c>
      <c r="BB18" s="283">
        <f>SUM($D$4:D18,$G$4:G18)</f>
        <v>999833.33333333326</v>
      </c>
      <c r="BC18" s="283">
        <f>BB18/Resources!$B$7</f>
        <v>33327.777777777774</v>
      </c>
      <c r="BD18" s="283">
        <f>SUM($C$4:C18,$H$4:H18)</f>
        <v>1114650</v>
      </c>
      <c r="BE18" s="295">
        <f>BD18/Resources!$B$8</f>
        <v>42871.153846153844</v>
      </c>
      <c r="BF18" s="283">
        <f>SUM($B$4:B18,$F$4:F18)</f>
        <v>1907260.0000000002</v>
      </c>
      <c r="BG18" s="283">
        <f>BF18/Resources!$B$9</f>
        <v>61524.516129032265</v>
      </c>
      <c r="BH18" s="283">
        <f>SUM($X$4:X18,$E$4:E18)</f>
        <v>307800</v>
      </c>
      <c r="BI18" s="283">
        <f>BH18/Resources!$B$2</f>
        <v>12825</v>
      </c>
      <c r="BJ18" s="283">
        <f>SUM($V$4:V18,$T$4:T18)</f>
        <v>11616.666666666666</v>
      </c>
      <c r="BK18" s="283">
        <f>BJ18/Resources!$B$3</f>
        <v>446.79487179487177</v>
      </c>
      <c r="BL18" s="283">
        <f>SUM($W$4:W18, $M$4:M18)</f>
        <v>315383.33333333331</v>
      </c>
      <c r="BM18" s="283">
        <f>BL18/Resources!$B$4</f>
        <v>11263.690476190475</v>
      </c>
      <c r="BN18" s="283">
        <f>SUM($P$4:P18,$Q$4:Q18)</f>
        <v>494666.66666666663</v>
      </c>
      <c r="BO18" s="292">
        <f>BN18/Resources!$B$5</f>
        <v>18320.987654320987</v>
      </c>
    </row>
    <row r="19" spans="1:67" ht="19" x14ac:dyDescent="0.25">
      <c r="A19" s="34">
        <f t="shared" si="8"/>
        <v>42881</v>
      </c>
      <c r="B19" s="47">
        <f>SUMIFS(Collection!$J:$J, Collection!$A:$A, $A19, Collection!$B:$B, B$2)</f>
        <v>0</v>
      </c>
      <c r="C19" s="47">
        <f>SUMIFS(Collection!$J:$J, Collection!$A:$A, $A19, Collection!$B:$B, C$2)</f>
        <v>115733.33333333333</v>
      </c>
      <c r="D19" s="47">
        <f>SUMIFS(Collection!$J:$J, Collection!$A:$A, $A19, Collection!$B:$B, D$2)</f>
        <v>0</v>
      </c>
      <c r="E19" s="47">
        <f>SUMIFS(Collection!$J:$J, Collection!$A:$A, $A19, Collection!$B:$B, E$2)</f>
        <v>190400</v>
      </c>
      <c r="F19" s="47">
        <f>SUMIFS(Collection!$J:$J, Collection!$A:$A, $A19, Collection!$B:$B, F$2)</f>
        <v>0</v>
      </c>
      <c r="G19" s="47">
        <f>SUMIFS(Collection!$J:$J, Collection!$A:$A, $A19, Collection!$B:$B, G$2)</f>
        <v>0</v>
      </c>
      <c r="H19" s="47">
        <f>SUMIFS(Collection!$J:$J, Collection!$A:$A, $A19, Collection!$B:$B, H$2)</f>
        <v>0</v>
      </c>
      <c r="I19" s="47">
        <f>SUMIFS(Collection!$J:$J, Collection!$A:$A, $A19, Collection!$B:$B, I$2)</f>
        <v>0</v>
      </c>
      <c r="J19" s="47">
        <f>SUMIFS(Collection!$J:$J, Collection!$A:$A, $A19, Collection!$B:$B, J$2)</f>
        <v>10000</v>
      </c>
      <c r="K19" s="47">
        <f>SUMIFS(Collection!$J:$J, Collection!$A:$A, $A19, Collection!$B:$B, K$2)</f>
        <v>0</v>
      </c>
      <c r="L19" s="47">
        <f>SUMIFS(Collection!$J:$J, Collection!$A:$A, $A19, Collection!$B:$B, L$2)</f>
        <v>54400</v>
      </c>
      <c r="M19" s="47">
        <f>SUMIFS(Collection!$J:$J, Collection!$A:$A, $A19, Collection!$B:$B, M$2)</f>
        <v>0</v>
      </c>
      <c r="N19" s="47">
        <f>SUMIFS(Collection!$J:$J, Collection!$A:$A, $A19, Collection!$B:$B, N$2)</f>
        <v>4266.6666666666661</v>
      </c>
      <c r="O19" s="47">
        <f>SUMIFS(Collection!$J:$J, Collection!$A:$A, $A19, Collection!$B:$B, O$2)</f>
        <v>0</v>
      </c>
      <c r="P19" s="47">
        <f>SUMIFS(Collection!$J:$J, Collection!$A:$A, $A19, Collection!$B:$B, P$2)</f>
        <v>0</v>
      </c>
      <c r="Q19" s="47">
        <f>SUMIFS(Collection!$J:$J, Collection!$A:$A, $A19, Collection!$B:$B, Q$2)</f>
        <v>0</v>
      </c>
      <c r="R19" s="47">
        <f>SUMIFS(Collection!$J:$J, Collection!$A:$A, $A19, Collection!$B:$B, R$2)</f>
        <v>2800</v>
      </c>
      <c r="S19" s="47">
        <f>SUMIFS(Collection!$J:$J, Collection!$A:$A, $A19, Collection!$B:$B, S$2)</f>
        <v>0</v>
      </c>
      <c r="T19" s="47">
        <f>SUMIFS(Collection!$J:$J, Collection!$A:$A, $A19, Collection!$B:$B, T$2)</f>
        <v>139800</v>
      </c>
      <c r="U19" s="47">
        <f>SUMIFS(Collection!$J:$J, Collection!$A:$A, $A19, Collection!$B:$B, U$2)</f>
        <v>0</v>
      </c>
      <c r="V19" s="47">
        <f>SUMIFS(Collection!$J:$J, Collection!$A:$A, $A19, Collection!$B:$B, V$2)</f>
        <v>0</v>
      </c>
      <c r="W19" s="47">
        <f>SUMIFS(Collection!$J:$J, Collection!$A:$A, $A19, Collection!$B:$B, W$2)</f>
        <v>0</v>
      </c>
      <c r="X19" s="47">
        <f>SUMIFS(Collection!$J:$J, Collection!$A:$A, $A19, Collection!$B:$B, X$2)</f>
        <v>0</v>
      </c>
      <c r="Y19" s="47">
        <f>SUMIFS(Collection!$J:$J, Collection!$A:$A, $A19, Collection!$B:$B, Y$2)</f>
        <v>0</v>
      </c>
      <c r="Z19" s="47"/>
      <c r="AA19" s="47">
        <f t="shared" si="0"/>
        <v>0</v>
      </c>
      <c r="AB19" s="47">
        <f t="shared" si="1"/>
        <v>0</v>
      </c>
      <c r="AC19" s="47">
        <f t="shared" si="2"/>
        <v>115733.33333333333</v>
      </c>
      <c r="AD19" s="47">
        <f t="shared" si="3"/>
        <v>0</v>
      </c>
      <c r="AE19" s="47">
        <f t="shared" si="4"/>
        <v>190400</v>
      </c>
      <c r="AF19" s="47">
        <f t="shared" si="5"/>
        <v>139800</v>
      </c>
      <c r="AG19" s="47">
        <f t="shared" si="6"/>
        <v>0</v>
      </c>
      <c r="AH19" s="283">
        <f t="shared" si="7"/>
        <v>0</v>
      </c>
      <c r="AJ19" s="283">
        <f>SUM($S$4:S19)</f>
        <v>149994.44444444444</v>
      </c>
      <c r="AK19" s="283">
        <f>AJ19/Resources!$B$10</f>
        <v>12499.537037037036</v>
      </c>
      <c r="AL19" s="283">
        <f>SUM($Y$4:Y19)</f>
        <v>0</v>
      </c>
      <c r="AM19" s="290">
        <f>AL19/Resources!$B$11</f>
        <v>0</v>
      </c>
      <c r="AN19" s="283">
        <f>SUM($L$4:L19)</f>
        <v>54400</v>
      </c>
      <c r="AO19" s="283">
        <f>AN19/Resources!$B$12</f>
        <v>3626.6666666666665</v>
      </c>
      <c r="AP19" s="283">
        <f>SUM($R$4:R19)</f>
        <v>234986.66666666666</v>
      </c>
      <c r="AQ19" s="283">
        <f>AP19/Resources!$B$13</f>
        <v>23498.666666666664</v>
      </c>
      <c r="AR19" s="283">
        <f>SUM($N$4:N19)</f>
        <v>308606.66666666669</v>
      </c>
      <c r="AS19" s="283">
        <f>AR19/Resources!$B$14</f>
        <v>2780.2402402402404</v>
      </c>
      <c r="AT19" s="283">
        <f>SUM($U$4:U19)</f>
        <v>91708.333333333343</v>
      </c>
      <c r="AU19" s="283">
        <f>AT19/Resources!$B$15</f>
        <v>908.00330033003308</v>
      </c>
      <c r="AV19" s="283">
        <f>SUM($J$4:J19)</f>
        <v>410600</v>
      </c>
      <c r="AW19" s="283">
        <f>AV19/Resources!$B$16</f>
        <v>4189.7959183673465</v>
      </c>
      <c r="AX19" s="283">
        <f>SUM($O$4:O19)</f>
        <v>304848.33333333337</v>
      </c>
      <c r="AY19" s="283">
        <f>AX19/Resources!$B$17</f>
        <v>2903.3174603174607</v>
      </c>
      <c r="AZ19" s="283">
        <f>SUM($I$4:I19,$K$4:K19)</f>
        <v>609133.33333333337</v>
      </c>
      <c r="BA19" s="283">
        <f>AZ19/Resources!$B$6</f>
        <v>19035.416666666668</v>
      </c>
      <c r="BB19" s="283">
        <f>SUM($D$4:D19,$G$4:G19)</f>
        <v>999833.33333333326</v>
      </c>
      <c r="BC19" s="283">
        <f>BB19/Resources!$B$7</f>
        <v>33327.777777777774</v>
      </c>
      <c r="BD19" s="283">
        <f>SUM($C$4:C19,$H$4:H19)</f>
        <v>1230383.3333333335</v>
      </c>
      <c r="BE19" s="295">
        <f>BD19/Resources!$B$8</f>
        <v>47322.435897435906</v>
      </c>
      <c r="BF19" s="283">
        <f>SUM($B$4:B19,$F$4:F19)</f>
        <v>1907260.0000000002</v>
      </c>
      <c r="BG19" s="283">
        <f>BF19/Resources!$B$9</f>
        <v>61524.516129032265</v>
      </c>
      <c r="BH19" s="283">
        <f>SUM($X$4:X19,$E$4:E19)</f>
        <v>498200</v>
      </c>
      <c r="BI19" s="283">
        <f>BH19/Resources!$B$2</f>
        <v>20758.333333333332</v>
      </c>
      <c r="BJ19" s="283">
        <f>SUM($V$4:V19,$T$4:T19)</f>
        <v>151416.66666666666</v>
      </c>
      <c r="BK19" s="283">
        <f>BJ19/Resources!$B$3</f>
        <v>5823.7179487179483</v>
      </c>
      <c r="BL19" s="283">
        <f>SUM($W$4:W19, $M$4:M19)</f>
        <v>315383.33333333331</v>
      </c>
      <c r="BM19" s="283">
        <f>BL19/Resources!$B$4</f>
        <v>11263.690476190475</v>
      </c>
      <c r="BN19" s="283">
        <f>SUM($P$4:P19,$Q$4:Q19)</f>
        <v>494666.66666666663</v>
      </c>
      <c r="BO19" s="292">
        <f>BN19/Resources!$B$5</f>
        <v>18320.987654320987</v>
      </c>
    </row>
    <row r="20" spans="1:67" ht="19" x14ac:dyDescent="0.25">
      <c r="A20" s="34">
        <f t="shared" si="8"/>
        <v>42882</v>
      </c>
      <c r="B20" s="47">
        <f>SUMIFS(Collection!$J:$J, Collection!$A:$A, $A20, Collection!$B:$B, B$2)</f>
        <v>0</v>
      </c>
      <c r="C20" s="47">
        <f>SUMIFS(Collection!$J:$J, Collection!$A:$A, $A20, Collection!$B:$B, C$2)</f>
        <v>156750</v>
      </c>
      <c r="D20" s="47">
        <f>SUMIFS(Collection!$J:$J, Collection!$A:$A, $A20, Collection!$B:$B, D$2)</f>
        <v>1400</v>
      </c>
      <c r="E20" s="47">
        <f>SUMIFS(Collection!$J:$J, Collection!$A:$A, $A20, Collection!$B:$B, E$2)</f>
        <v>8016.666666666667</v>
      </c>
      <c r="F20" s="47">
        <f>SUMIFS(Collection!$J:$J, Collection!$A:$A, $A20, Collection!$B:$B, F$2)</f>
        <v>0</v>
      </c>
      <c r="G20" s="47">
        <f>SUMIFS(Collection!$J:$J, Collection!$A:$A, $A20, Collection!$B:$B, G$2)</f>
        <v>0</v>
      </c>
      <c r="H20" s="47">
        <f>SUMIFS(Collection!$J:$J, Collection!$A:$A, $A20, Collection!$B:$B, H$2)</f>
        <v>0</v>
      </c>
      <c r="I20" s="47">
        <f>SUMIFS(Collection!$J:$J, Collection!$A:$A, $A20, Collection!$B:$B, I$2)</f>
        <v>245660</v>
      </c>
      <c r="J20" s="47">
        <f>SUMIFS(Collection!$J:$J, Collection!$A:$A, $A20, Collection!$B:$B, J$2)</f>
        <v>21600</v>
      </c>
      <c r="K20" s="47">
        <f>SUMIFS(Collection!$J:$J, Collection!$A:$A, $A20, Collection!$B:$B, K$2)</f>
        <v>0</v>
      </c>
      <c r="L20" s="47">
        <f>SUMIFS(Collection!$J:$J, Collection!$A:$A, $A20, Collection!$B:$B, L$2)</f>
        <v>268146.66666666669</v>
      </c>
      <c r="M20" s="47">
        <f>SUMIFS(Collection!$J:$J, Collection!$A:$A, $A20, Collection!$B:$B, M$2)</f>
        <v>2625</v>
      </c>
      <c r="N20" s="47">
        <f>SUMIFS(Collection!$J:$J, Collection!$A:$A, $A20, Collection!$B:$B, N$2)</f>
        <v>0</v>
      </c>
      <c r="O20" s="47">
        <f>SUMIFS(Collection!$J:$J, Collection!$A:$A, $A20, Collection!$B:$B, O$2)</f>
        <v>0</v>
      </c>
      <c r="P20" s="47">
        <f>SUMIFS(Collection!$J:$J, Collection!$A:$A, $A20, Collection!$B:$B, P$2)</f>
        <v>4916.666666666667</v>
      </c>
      <c r="Q20" s="47">
        <f>SUMIFS(Collection!$J:$J, Collection!$A:$A, $A20, Collection!$B:$B, Q$2)</f>
        <v>0</v>
      </c>
      <c r="R20" s="47">
        <f>SUMIFS(Collection!$J:$J, Collection!$A:$A, $A20, Collection!$B:$B, R$2)</f>
        <v>0</v>
      </c>
      <c r="S20" s="47">
        <f>SUMIFS(Collection!$J:$J, Collection!$A:$A, $A20, Collection!$B:$B, S$2)</f>
        <v>0</v>
      </c>
      <c r="T20" s="47">
        <f>SUMIFS(Collection!$J:$J, Collection!$A:$A, $A20, Collection!$B:$B, T$2)</f>
        <v>7050</v>
      </c>
      <c r="U20" s="47">
        <f>SUMIFS(Collection!$J:$J, Collection!$A:$A, $A20, Collection!$B:$B, U$2)</f>
        <v>0</v>
      </c>
      <c r="V20" s="47">
        <f>SUMIFS(Collection!$J:$J, Collection!$A:$A, $A20, Collection!$B:$B, V$2)</f>
        <v>3575</v>
      </c>
      <c r="W20" s="47">
        <f>SUMIFS(Collection!$J:$J, Collection!$A:$A, $A20, Collection!$B:$B, W$2)</f>
        <v>2333.333333333333</v>
      </c>
      <c r="X20" s="47">
        <f>SUMIFS(Collection!$J:$J, Collection!$A:$A, $A20, Collection!$B:$B, X$2)</f>
        <v>0</v>
      </c>
      <c r="Y20" s="47">
        <f>SUMIFS(Collection!$J:$J, Collection!$A:$A, $A20, Collection!$B:$B, Y$2)</f>
        <v>0</v>
      </c>
      <c r="Z20" s="47"/>
      <c r="AA20" s="47">
        <f t="shared" si="0"/>
        <v>245660</v>
      </c>
      <c r="AB20" s="47">
        <f t="shared" si="1"/>
        <v>1400</v>
      </c>
      <c r="AC20" s="47">
        <f t="shared" si="2"/>
        <v>156750</v>
      </c>
      <c r="AD20" s="47">
        <f t="shared" si="3"/>
        <v>0</v>
      </c>
      <c r="AE20" s="47">
        <f t="shared" si="4"/>
        <v>8016.666666666667</v>
      </c>
      <c r="AF20" s="47">
        <f t="shared" si="5"/>
        <v>10625</v>
      </c>
      <c r="AG20" s="47">
        <f t="shared" si="6"/>
        <v>4958.333333333333</v>
      </c>
      <c r="AH20" s="283">
        <f t="shared" si="7"/>
        <v>4916.666666666667</v>
      </c>
      <c r="AJ20" s="283">
        <f>SUM($S$4:S20)</f>
        <v>149994.44444444444</v>
      </c>
      <c r="AK20" s="283">
        <f>AJ20/Resources!$B$10</f>
        <v>12499.537037037036</v>
      </c>
      <c r="AL20" s="283">
        <f>SUM($Y$4:Y20)</f>
        <v>0</v>
      </c>
      <c r="AM20" s="290">
        <f>AL20/Resources!$B$11</f>
        <v>0</v>
      </c>
      <c r="AN20" s="283">
        <f>SUM($L$4:L20)</f>
        <v>322546.66666666669</v>
      </c>
      <c r="AO20" s="283">
        <f>AN20/Resources!$B$12</f>
        <v>21503.111111111113</v>
      </c>
      <c r="AP20" s="283">
        <f>SUM($R$4:R20)</f>
        <v>234986.66666666666</v>
      </c>
      <c r="AQ20" s="283">
        <f>AP20/Resources!$B$13</f>
        <v>23498.666666666664</v>
      </c>
      <c r="AR20" s="283">
        <f>SUM($N$4:N20)</f>
        <v>308606.66666666669</v>
      </c>
      <c r="AS20" s="283">
        <f>AR20/Resources!$B$14</f>
        <v>2780.2402402402404</v>
      </c>
      <c r="AT20" s="283">
        <f>SUM($U$4:U20)</f>
        <v>91708.333333333343</v>
      </c>
      <c r="AU20" s="283">
        <f>AT20/Resources!$B$15</f>
        <v>908.00330033003308</v>
      </c>
      <c r="AV20" s="283">
        <f>SUM($J$4:J20)</f>
        <v>432200</v>
      </c>
      <c r="AW20" s="283">
        <f>AV20/Resources!$B$16</f>
        <v>4410.2040816326535</v>
      </c>
      <c r="AX20" s="283">
        <f>SUM($O$4:O20)</f>
        <v>304848.33333333337</v>
      </c>
      <c r="AY20" s="283">
        <f>AX20/Resources!$B$17</f>
        <v>2903.3174603174607</v>
      </c>
      <c r="AZ20" s="283">
        <f>SUM($I$4:I20,$K$4:K20)</f>
        <v>854793.33333333337</v>
      </c>
      <c r="BA20" s="283">
        <f>AZ20/Resources!$B$6</f>
        <v>26712.291666666668</v>
      </c>
      <c r="BB20" s="283">
        <f>SUM($D$4:D20,$G$4:G20)</f>
        <v>1001233.3333333333</v>
      </c>
      <c r="BC20" s="283">
        <f>BB20/Resources!$B$7</f>
        <v>33374.444444444445</v>
      </c>
      <c r="BD20" s="283">
        <f>SUM($C$4:C20,$H$4:H20)</f>
        <v>1387133.3333333335</v>
      </c>
      <c r="BE20" s="295">
        <f>BD20/Resources!$B$8</f>
        <v>53351.282051282054</v>
      </c>
      <c r="BF20" s="283">
        <f>SUM($B$4:B20,$F$4:F20)</f>
        <v>1907260.0000000002</v>
      </c>
      <c r="BG20" s="283">
        <f>BF20/Resources!$B$9</f>
        <v>61524.516129032265</v>
      </c>
      <c r="BH20" s="283">
        <f>SUM($X$4:X20,$E$4:E20)</f>
        <v>506216.66666666669</v>
      </c>
      <c r="BI20" s="283">
        <f>BH20/Resources!$B$2</f>
        <v>21092.361111111113</v>
      </c>
      <c r="BJ20" s="283">
        <f>SUM($V$4:V20,$T$4:T20)</f>
        <v>162041.66666666666</v>
      </c>
      <c r="BK20" s="283">
        <f>BJ20/Resources!$B$3</f>
        <v>6232.3717948717949</v>
      </c>
      <c r="BL20" s="283">
        <f>SUM($W$4:W20, $M$4:M20)</f>
        <v>320341.66666666663</v>
      </c>
      <c r="BM20" s="283">
        <f>BL20/Resources!$B$4</f>
        <v>11440.773809523807</v>
      </c>
      <c r="BN20" s="283">
        <f>SUM($P$4:P20,$Q$4:Q20)</f>
        <v>499583.33333333331</v>
      </c>
      <c r="BO20" s="292">
        <f>BN20/Resources!$B$5</f>
        <v>18503.086419753086</v>
      </c>
    </row>
    <row r="21" spans="1:67" ht="19" x14ac:dyDescent="0.25">
      <c r="A21" s="34">
        <f t="shared" si="8"/>
        <v>42883</v>
      </c>
      <c r="B21" s="47">
        <f>SUMIFS(Collection!$J:$J, Collection!$A:$A, $A21, Collection!$B:$B, B$2)</f>
        <v>0</v>
      </c>
      <c r="C21" s="47">
        <f>SUMIFS(Collection!$J:$J, Collection!$A:$A, $A21, Collection!$B:$B, C$2)</f>
        <v>0</v>
      </c>
      <c r="D21" s="47">
        <f>SUMIFS(Collection!$J:$J, Collection!$A:$A, $A21, Collection!$B:$B, D$2)</f>
        <v>0</v>
      </c>
      <c r="E21" s="47">
        <f>SUMIFS(Collection!$J:$J, Collection!$A:$A, $A21, Collection!$B:$B, E$2)</f>
        <v>0</v>
      </c>
      <c r="F21" s="47">
        <f>SUMIFS(Collection!$J:$J, Collection!$A:$A, $A21, Collection!$B:$B, F$2)</f>
        <v>0</v>
      </c>
      <c r="G21" s="47">
        <f>SUMIFS(Collection!$J:$J, Collection!$A:$A, $A21, Collection!$B:$B, G$2)</f>
        <v>0</v>
      </c>
      <c r="H21" s="47">
        <f>SUMIFS(Collection!$J:$J, Collection!$A:$A, $A21, Collection!$B:$B, H$2)</f>
        <v>0</v>
      </c>
      <c r="I21" s="47">
        <f>SUMIFS(Collection!$J:$J, Collection!$A:$A, $A21, Collection!$B:$B, I$2)</f>
        <v>0</v>
      </c>
      <c r="J21" s="47">
        <f>SUMIFS(Collection!$J:$J, Collection!$A:$A, $A21, Collection!$B:$B, J$2)</f>
        <v>0</v>
      </c>
      <c r="K21" s="47">
        <f>SUMIFS(Collection!$J:$J, Collection!$A:$A, $A21, Collection!$B:$B, K$2)</f>
        <v>0</v>
      </c>
      <c r="L21" s="47">
        <f>SUMIFS(Collection!$J:$J, Collection!$A:$A, $A21, Collection!$B:$B, L$2)</f>
        <v>0</v>
      </c>
      <c r="M21" s="47">
        <f>SUMIFS(Collection!$J:$J, Collection!$A:$A, $A21, Collection!$B:$B, M$2)</f>
        <v>0</v>
      </c>
      <c r="N21" s="47">
        <f>SUMIFS(Collection!$J:$J, Collection!$A:$A, $A21, Collection!$B:$B, N$2)</f>
        <v>0</v>
      </c>
      <c r="O21" s="47">
        <f>SUMIFS(Collection!$J:$J, Collection!$A:$A, $A21, Collection!$B:$B, O$2)</f>
        <v>0</v>
      </c>
      <c r="P21" s="47">
        <f>SUMIFS(Collection!$J:$J, Collection!$A:$A, $A21, Collection!$B:$B, P$2)</f>
        <v>0</v>
      </c>
      <c r="Q21" s="47">
        <f>SUMIFS(Collection!$J:$J, Collection!$A:$A, $A21, Collection!$B:$B, Q$2)</f>
        <v>0</v>
      </c>
      <c r="R21" s="47">
        <f>SUMIFS(Collection!$J:$J, Collection!$A:$A, $A21, Collection!$B:$B, R$2)</f>
        <v>0</v>
      </c>
      <c r="S21" s="47">
        <f>SUMIFS(Collection!$J:$J, Collection!$A:$A, $A21, Collection!$B:$B, S$2)</f>
        <v>0</v>
      </c>
      <c r="T21" s="47">
        <f>SUMIFS(Collection!$J:$J, Collection!$A:$A, $A21, Collection!$B:$B, T$2)</f>
        <v>0</v>
      </c>
      <c r="U21" s="47">
        <f>SUMIFS(Collection!$J:$J, Collection!$A:$A, $A21, Collection!$B:$B, U$2)</f>
        <v>0</v>
      </c>
      <c r="V21" s="47">
        <f>SUMIFS(Collection!$J:$J, Collection!$A:$A, $A21, Collection!$B:$B, V$2)</f>
        <v>0</v>
      </c>
      <c r="W21" s="47">
        <f>SUMIFS(Collection!$J:$J, Collection!$A:$A, $A21, Collection!$B:$B, W$2)</f>
        <v>0</v>
      </c>
      <c r="X21" s="47">
        <f>SUMIFS(Collection!$J:$J, Collection!$A:$A, $A21, Collection!$B:$B, X$2)</f>
        <v>0</v>
      </c>
      <c r="Y21" s="47">
        <f>SUMIFS(Collection!$J:$J, Collection!$A:$A, $A21, Collection!$B:$B, Y$2)</f>
        <v>0</v>
      </c>
      <c r="Z21" s="47"/>
      <c r="AA21" s="47">
        <f t="shared" si="0"/>
        <v>0</v>
      </c>
      <c r="AB21" s="47">
        <f t="shared" si="1"/>
        <v>0</v>
      </c>
      <c r="AC21" s="47">
        <f t="shared" si="2"/>
        <v>0</v>
      </c>
      <c r="AD21" s="47">
        <f t="shared" si="3"/>
        <v>0</v>
      </c>
      <c r="AE21" s="47">
        <f t="shared" si="4"/>
        <v>0</v>
      </c>
      <c r="AF21" s="47">
        <f t="shared" si="5"/>
        <v>0</v>
      </c>
      <c r="AG21" s="47">
        <f t="shared" si="6"/>
        <v>0</v>
      </c>
      <c r="AH21" s="283">
        <f t="shared" si="7"/>
        <v>0</v>
      </c>
      <c r="AJ21" s="283">
        <f>SUM($S$4:S21)</f>
        <v>149994.44444444444</v>
      </c>
      <c r="AK21" s="283">
        <f>AJ21/Resources!$B$10</f>
        <v>12499.537037037036</v>
      </c>
      <c r="AL21" s="283">
        <f>SUM($Y$4:Y21)</f>
        <v>0</v>
      </c>
      <c r="AM21" s="290">
        <f>AL21/Resources!$B$11</f>
        <v>0</v>
      </c>
      <c r="AN21" s="283">
        <f>SUM($L$4:L21)</f>
        <v>322546.66666666669</v>
      </c>
      <c r="AO21" s="283">
        <f>AN21/Resources!$B$12</f>
        <v>21503.111111111113</v>
      </c>
      <c r="AP21" s="283">
        <f>SUM($R$4:R21)</f>
        <v>234986.66666666666</v>
      </c>
      <c r="AQ21" s="283">
        <f>AP21/Resources!$B$13</f>
        <v>23498.666666666664</v>
      </c>
      <c r="AR21" s="283">
        <f>SUM($N$4:N21)</f>
        <v>308606.66666666669</v>
      </c>
      <c r="AS21" s="283">
        <f>AR21/Resources!$B$14</f>
        <v>2780.2402402402404</v>
      </c>
      <c r="AT21" s="283">
        <f>SUM($U$4:U21)</f>
        <v>91708.333333333343</v>
      </c>
      <c r="AU21" s="283">
        <f>AT21/Resources!$B$15</f>
        <v>908.00330033003308</v>
      </c>
      <c r="AV21" s="283">
        <f>SUM($J$4:J21)</f>
        <v>432200</v>
      </c>
      <c r="AW21" s="283">
        <f>AV21/Resources!$B$16</f>
        <v>4410.2040816326535</v>
      </c>
      <c r="AX21" s="283">
        <f>SUM($O$4:O21)</f>
        <v>304848.33333333337</v>
      </c>
      <c r="AY21" s="283">
        <f>AX21/Resources!$B$17</f>
        <v>2903.3174603174607</v>
      </c>
      <c r="AZ21" s="283">
        <f>SUM($I$4:I21,$K$4:K21)</f>
        <v>854793.33333333337</v>
      </c>
      <c r="BA21" s="283">
        <f>AZ21/Resources!$B$6</f>
        <v>26712.291666666668</v>
      </c>
      <c r="BB21" s="283">
        <f>SUM($D$4:D21,$G$4:G21)</f>
        <v>1001233.3333333333</v>
      </c>
      <c r="BC21" s="283">
        <f>BB21/Resources!$B$7</f>
        <v>33374.444444444445</v>
      </c>
      <c r="BD21" s="283">
        <f>SUM($C$4:C21,$H$4:H21)</f>
        <v>1387133.3333333335</v>
      </c>
      <c r="BE21" s="295">
        <f>BD21/Resources!$B$8</f>
        <v>53351.282051282054</v>
      </c>
      <c r="BF21" s="283">
        <f>SUM($B$4:B21,$F$4:F21)</f>
        <v>1907260.0000000002</v>
      </c>
      <c r="BG21" s="283">
        <f>BF21/Resources!$B$9</f>
        <v>61524.516129032265</v>
      </c>
      <c r="BH21" s="283">
        <f>SUM($X$4:X21,$E$4:E21)</f>
        <v>506216.66666666669</v>
      </c>
      <c r="BI21" s="283">
        <f>BH21/Resources!$B$2</f>
        <v>21092.361111111113</v>
      </c>
      <c r="BJ21" s="283">
        <f>SUM($V$4:V21,$T$4:T21)</f>
        <v>162041.66666666666</v>
      </c>
      <c r="BK21" s="283">
        <f>BJ21/Resources!$B$3</f>
        <v>6232.3717948717949</v>
      </c>
      <c r="BL21" s="283">
        <f>SUM($W$4:W21, $M$4:M21)</f>
        <v>320341.66666666663</v>
      </c>
      <c r="BM21" s="283">
        <f>BL21/Resources!$B$4</f>
        <v>11440.773809523807</v>
      </c>
      <c r="BN21" s="283">
        <f>SUM($P$4:P21,$Q$4:Q21)</f>
        <v>499583.33333333331</v>
      </c>
      <c r="BO21" s="292">
        <f>BN21/Resources!$B$5</f>
        <v>18503.086419753086</v>
      </c>
    </row>
    <row r="22" spans="1:67" ht="19" x14ac:dyDescent="0.25">
      <c r="A22" s="34">
        <f t="shared" si="8"/>
        <v>42884</v>
      </c>
      <c r="B22" s="47">
        <f>SUMIFS(Collection!$J:$J, Collection!$A:$A, $A22, Collection!$B:$B, B$2)</f>
        <v>0</v>
      </c>
      <c r="C22" s="47">
        <f>SUMIFS(Collection!$J:$J, Collection!$A:$A, $A22, Collection!$B:$B, C$2)</f>
        <v>4500</v>
      </c>
      <c r="D22" s="47">
        <f>SUMIFS(Collection!$J:$J, Collection!$A:$A, $A22, Collection!$B:$B, D$2)</f>
        <v>0</v>
      </c>
      <c r="E22" s="47">
        <f>SUMIFS(Collection!$J:$J, Collection!$A:$A, $A22, Collection!$B:$B, E$2)</f>
        <v>0</v>
      </c>
      <c r="F22" s="47">
        <f>SUMIFS(Collection!$J:$J, Collection!$A:$A, $A22, Collection!$B:$B, F$2)</f>
        <v>0</v>
      </c>
      <c r="G22" s="47">
        <f>SUMIFS(Collection!$J:$J, Collection!$A:$A, $A22, Collection!$B:$B, G$2)</f>
        <v>0</v>
      </c>
      <c r="H22" s="47">
        <f>SUMIFS(Collection!$J:$J, Collection!$A:$A, $A22, Collection!$B:$B, H$2)</f>
        <v>0</v>
      </c>
      <c r="I22" s="47">
        <f>SUMIFS(Collection!$J:$J, Collection!$A:$A, $A22, Collection!$B:$B, I$2)</f>
        <v>7900</v>
      </c>
      <c r="J22" s="47">
        <f>SUMIFS(Collection!$J:$J, Collection!$A:$A, $A22, Collection!$B:$B, J$2)</f>
        <v>0</v>
      </c>
      <c r="K22" s="47">
        <f>SUMIFS(Collection!$J:$J, Collection!$A:$A, $A22, Collection!$B:$B, K$2)</f>
        <v>0</v>
      </c>
      <c r="L22" s="47">
        <f>SUMIFS(Collection!$J:$J, Collection!$A:$A, $A22, Collection!$B:$B, L$2)</f>
        <v>0</v>
      </c>
      <c r="M22" s="47">
        <f>SUMIFS(Collection!$J:$J, Collection!$A:$A, $A22, Collection!$B:$B, M$2)</f>
        <v>0</v>
      </c>
      <c r="N22" s="47">
        <f>SUMIFS(Collection!$J:$J, Collection!$A:$A, $A22, Collection!$B:$B, N$2)</f>
        <v>0</v>
      </c>
      <c r="O22" s="47">
        <f>SUMIFS(Collection!$J:$J, Collection!$A:$A, $A22, Collection!$B:$B, O$2)</f>
        <v>0</v>
      </c>
      <c r="P22" s="47">
        <f>SUMIFS(Collection!$J:$J, Collection!$A:$A, $A22, Collection!$B:$B, P$2)</f>
        <v>0</v>
      </c>
      <c r="Q22" s="47">
        <f>SUMIFS(Collection!$J:$J, Collection!$A:$A, $A22, Collection!$B:$B, Q$2)</f>
        <v>0</v>
      </c>
      <c r="R22" s="47">
        <f>SUMIFS(Collection!$J:$J, Collection!$A:$A, $A22, Collection!$B:$B, R$2)</f>
        <v>0</v>
      </c>
      <c r="S22" s="47">
        <f>SUMIFS(Collection!$J:$J, Collection!$A:$A, $A22, Collection!$B:$B, S$2)</f>
        <v>0</v>
      </c>
      <c r="T22" s="47">
        <f>SUMIFS(Collection!$J:$J, Collection!$A:$A, $A22, Collection!$B:$B, T$2)</f>
        <v>3200</v>
      </c>
      <c r="U22" s="47">
        <f>SUMIFS(Collection!$J:$J, Collection!$A:$A, $A22, Collection!$B:$B, U$2)</f>
        <v>0</v>
      </c>
      <c r="V22" s="47">
        <f>SUMIFS(Collection!$J:$J, Collection!$A:$A, $A22, Collection!$B:$B, V$2)</f>
        <v>111099.99999999999</v>
      </c>
      <c r="W22" s="47">
        <f>SUMIFS(Collection!$J:$J, Collection!$A:$A, $A22, Collection!$B:$B, W$2)</f>
        <v>0</v>
      </c>
      <c r="X22" s="47">
        <f>SUMIFS(Collection!$J:$J, Collection!$A:$A, $A22, Collection!$B:$B, X$2)</f>
        <v>0</v>
      </c>
      <c r="Y22" s="47">
        <f>SUMIFS(Collection!$J:$J, Collection!$A:$A, $A22, Collection!$B:$B, Y$2)</f>
        <v>0</v>
      </c>
      <c r="Z22" s="47"/>
      <c r="AA22" s="47">
        <f t="shared" si="0"/>
        <v>7900</v>
      </c>
      <c r="AB22" s="47">
        <f t="shared" si="1"/>
        <v>0</v>
      </c>
      <c r="AC22" s="47">
        <f t="shared" si="2"/>
        <v>4500</v>
      </c>
      <c r="AD22" s="47">
        <f t="shared" si="3"/>
        <v>0</v>
      </c>
      <c r="AE22" s="47">
        <f t="shared" si="4"/>
        <v>0</v>
      </c>
      <c r="AF22" s="47">
        <f t="shared" si="5"/>
        <v>114299.99999999999</v>
      </c>
      <c r="AG22" s="47">
        <f t="shared" si="6"/>
        <v>0</v>
      </c>
      <c r="AH22" s="283">
        <f t="shared" si="7"/>
        <v>0</v>
      </c>
      <c r="AJ22" s="283">
        <f>SUM($S$4:S22)</f>
        <v>149994.44444444444</v>
      </c>
      <c r="AK22" s="283">
        <f>AJ22/Resources!$B$10</f>
        <v>12499.537037037036</v>
      </c>
      <c r="AL22" s="283">
        <f>SUM($Y$4:Y22)</f>
        <v>0</v>
      </c>
      <c r="AM22" s="290">
        <f>AL22/Resources!$B$11</f>
        <v>0</v>
      </c>
      <c r="AN22" s="283">
        <f>SUM($L$4:L22)</f>
        <v>322546.66666666669</v>
      </c>
      <c r="AO22" s="283">
        <f>AN22/Resources!$B$12</f>
        <v>21503.111111111113</v>
      </c>
      <c r="AP22" s="283">
        <f>SUM($R$4:R22)</f>
        <v>234986.66666666666</v>
      </c>
      <c r="AQ22" s="283">
        <f>AP22/Resources!$B$13</f>
        <v>23498.666666666664</v>
      </c>
      <c r="AR22" s="283">
        <f>SUM($N$4:N22)</f>
        <v>308606.66666666669</v>
      </c>
      <c r="AS22" s="283">
        <f>AR22/Resources!$B$14</f>
        <v>2780.2402402402404</v>
      </c>
      <c r="AT22" s="283">
        <f>SUM($U$4:U22)</f>
        <v>91708.333333333343</v>
      </c>
      <c r="AU22" s="283">
        <f>AT22/Resources!$B$15</f>
        <v>908.00330033003308</v>
      </c>
      <c r="AV22" s="283">
        <f>SUM($J$4:J22)</f>
        <v>432200</v>
      </c>
      <c r="AW22" s="283">
        <f>AV22/Resources!$B$16</f>
        <v>4410.2040816326535</v>
      </c>
      <c r="AX22" s="283">
        <f>SUM($O$4:O22)</f>
        <v>304848.33333333337</v>
      </c>
      <c r="AY22" s="283">
        <f>AX22/Resources!$B$17</f>
        <v>2903.3174603174607</v>
      </c>
      <c r="AZ22" s="283">
        <f>SUM($I$4:I22,$K$4:K22)</f>
        <v>862693.33333333337</v>
      </c>
      <c r="BA22" s="283">
        <f>AZ22/Resources!$B$6</f>
        <v>26959.166666666668</v>
      </c>
      <c r="BB22" s="283">
        <f>SUM($D$4:D22,$G$4:G22)</f>
        <v>1001233.3333333333</v>
      </c>
      <c r="BC22" s="283">
        <f>BB22/Resources!$B$7</f>
        <v>33374.444444444445</v>
      </c>
      <c r="BD22" s="283">
        <f>SUM($C$4:C22,$H$4:H22)</f>
        <v>1391633.3333333335</v>
      </c>
      <c r="BE22" s="295">
        <f>BD22/Resources!$B$8</f>
        <v>53524.358974358984</v>
      </c>
      <c r="BF22" s="283">
        <f>SUM($B$4:B22,$F$4:F22)</f>
        <v>1907260.0000000002</v>
      </c>
      <c r="BG22" s="283">
        <f>BF22/Resources!$B$9</f>
        <v>61524.516129032265</v>
      </c>
      <c r="BH22" s="283">
        <f>SUM($X$4:X22,$E$4:E22)</f>
        <v>506216.66666666669</v>
      </c>
      <c r="BI22" s="283">
        <f>BH22/Resources!$B$2</f>
        <v>21092.361111111113</v>
      </c>
      <c r="BJ22" s="283">
        <f>SUM($V$4:V22,$T$4:T22)</f>
        <v>276341.66666666663</v>
      </c>
      <c r="BK22" s="283">
        <f>BJ22/Resources!$B$3</f>
        <v>10628.525641025639</v>
      </c>
      <c r="BL22" s="283">
        <f>SUM($W$4:W22, $M$4:M22)</f>
        <v>320341.66666666663</v>
      </c>
      <c r="BM22" s="283">
        <f>BL22/Resources!$B$4</f>
        <v>11440.773809523807</v>
      </c>
      <c r="BN22" s="283">
        <f>SUM($P$4:P22,$Q$4:Q22)</f>
        <v>499583.33333333331</v>
      </c>
      <c r="BO22" s="292">
        <f>BN22/Resources!$B$5</f>
        <v>18503.086419753086</v>
      </c>
    </row>
    <row r="23" spans="1:67" ht="19" x14ac:dyDescent="0.25">
      <c r="A23" s="34">
        <f t="shared" si="8"/>
        <v>42885</v>
      </c>
      <c r="B23" s="47">
        <f>SUMIFS(Collection!$J:$J, Collection!$A:$A, $A23, Collection!$B:$B, B$2)</f>
        <v>0</v>
      </c>
      <c r="C23" s="47">
        <f>SUMIFS(Collection!$J:$J, Collection!$A:$A, $A23, Collection!$B:$B, C$2)</f>
        <v>0</v>
      </c>
      <c r="D23" s="47">
        <f>SUMIFS(Collection!$J:$J, Collection!$A:$A, $A23, Collection!$B:$B, D$2)</f>
        <v>0</v>
      </c>
      <c r="E23" s="47">
        <f>SUMIFS(Collection!$J:$J, Collection!$A:$A, $A23, Collection!$B:$B, E$2)</f>
        <v>0</v>
      </c>
      <c r="F23" s="47">
        <f>SUMIFS(Collection!$J:$J, Collection!$A:$A, $A23, Collection!$B:$B, F$2)</f>
        <v>0</v>
      </c>
      <c r="G23" s="47">
        <f>SUMIFS(Collection!$J:$J, Collection!$A:$A, $A23, Collection!$B:$B, G$2)</f>
        <v>0</v>
      </c>
      <c r="H23" s="47">
        <f>SUMIFS(Collection!$J:$J, Collection!$A:$A, $A23, Collection!$B:$B, H$2)</f>
        <v>0</v>
      </c>
      <c r="I23" s="47">
        <f>SUMIFS(Collection!$J:$J, Collection!$A:$A, $A23, Collection!$B:$B, I$2)</f>
        <v>0</v>
      </c>
      <c r="J23" s="47">
        <f>SUMIFS(Collection!$J:$J, Collection!$A:$A, $A23, Collection!$B:$B, J$2)</f>
        <v>0</v>
      </c>
      <c r="K23" s="47">
        <f>SUMIFS(Collection!$J:$J, Collection!$A:$A, $A23, Collection!$B:$B, K$2)</f>
        <v>0</v>
      </c>
      <c r="L23" s="47">
        <f>SUMIFS(Collection!$J:$J, Collection!$A:$A, $A23, Collection!$B:$B, L$2)</f>
        <v>0</v>
      </c>
      <c r="M23" s="47">
        <f>SUMIFS(Collection!$J:$J, Collection!$A:$A, $A23, Collection!$B:$B, M$2)</f>
        <v>0</v>
      </c>
      <c r="N23" s="47">
        <f>SUMIFS(Collection!$J:$J, Collection!$A:$A, $A23, Collection!$B:$B, N$2)</f>
        <v>0</v>
      </c>
      <c r="O23" s="47">
        <f>SUMIFS(Collection!$J:$J, Collection!$A:$A, $A23, Collection!$B:$B, O$2)</f>
        <v>0</v>
      </c>
      <c r="P23" s="47">
        <f>SUMIFS(Collection!$J:$J, Collection!$A:$A, $A23, Collection!$B:$B, P$2)</f>
        <v>0</v>
      </c>
      <c r="Q23" s="47">
        <f>SUMIFS(Collection!$J:$J, Collection!$A:$A, $A23, Collection!$B:$B, Q$2)</f>
        <v>0</v>
      </c>
      <c r="R23" s="47">
        <f>SUMIFS(Collection!$J:$J, Collection!$A:$A, $A23, Collection!$B:$B, R$2)</f>
        <v>0</v>
      </c>
      <c r="S23" s="47">
        <f>SUMIFS(Collection!$J:$J, Collection!$A:$A, $A23, Collection!$B:$B, S$2)</f>
        <v>0</v>
      </c>
      <c r="T23" s="47">
        <f>SUMIFS(Collection!$J:$J, Collection!$A:$A, $A23, Collection!$B:$B, T$2)</f>
        <v>0</v>
      </c>
      <c r="U23" s="47">
        <f>SUMIFS(Collection!$J:$J, Collection!$A:$A, $A23, Collection!$B:$B, U$2)</f>
        <v>0</v>
      </c>
      <c r="V23" s="47">
        <f>SUMIFS(Collection!$J:$J, Collection!$A:$A, $A23, Collection!$B:$B, V$2)</f>
        <v>0</v>
      </c>
      <c r="W23" s="47">
        <f>SUMIFS(Collection!$J:$J, Collection!$A:$A, $A23, Collection!$B:$B, W$2)</f>
        <v>0</v>
      </c>
      <c r="X23" s="47">
        <f>SUMIFS(Collection!$J:$J, Collection!$A:$A, $A23, Collection!$B:$B, X$2)</f>
        <v>0</v>
      </c>
      <c r="Y23" s="47">
        <f>SUMIFS(Collection!$J:$J, Collection!$A:$A, $A23, Collection!$B:$B, Y$2)</f>
        <v>0</v>
      </c>
      <c r="Z23" s="47"/>
      <c r="AA23" s="47">
        <f t="shared" si="0"/>
        <v>0</v>
      </c>
      <c r="AB23" s="47">
        <f t="shared" si="1"/>
        <v>0</v>
      </c>
      <c r="AC23" s="47">
        <f t="shared" si="2"/>
        <v>0</v>
      </c>
      <c r="AD23" s="47">
        <f t="shared" si="3"/>
        <v>0</v>
      </c>
      <c r="AE23" s="47">
        <f t="shared" si="4"/>
        <v>0</v>
      </c>
      <c r="AF23" s="47">
        <f t="shared" si="5"/>
        <v>0</v>
      </c>
      <c r="AG23" s="47">
        <f t="shared" si="6"/>
        <v>0</v>
      </c>
      <c r="AH23" s="283">
        <f t="shared" si="7"/>
        <v>0</v>
      </c>
      <c r="AJ23" s="283">
        <f>SUM($S$4:S23)</f>
        <v>149994.44444444444</v>
      </c>
      <c r="AK23" s="283">
        <f>AJ23/Resources!$B$10</f>
        <v>12499.537037037036</v>
      </c>
      <c r="AL23" s="283">
        <f>SUM($Y$4:Y23)</f>
        <v>0</v>
      </c>
      <c r="AM23" s="290">
        <f>AL23/Resources!$B$11</f>
        <v>0</v>
      </c>
      <c r="AN23" s="283">
        <f>SUM($L$4:L23)</f>
        <v>322546.66666666669</v>
      </c>
      <c r="AO23" s="283">
        <f>AN23/Resources!$B$12</f>
        <v>21503.111111111113</v>
      </c>
      <c r="AP23" s="283">
        <f>SUM($R$4:R23)</f>
        <v>234986.66666666666</v>
      </c>
      <c r="AQ23" s="283">
        <f>AP23/Resources!$B$13</f>
        <v>23498.666666666664</v>
      </c>
      <c r="AR23" s="283">
        <f>SUM($N$4:N23)</f>
        <v>308606.66666666669</v>
      </c>
      <c r="AS23" s="283">
        <f>AR23/Resources!$B$14</f>
        <v>2780.2402402402404</v>
      </c>
      <c r="AT23" s="283">
        <f>SUM($U$4:U23)</f>
        <v>91708.333333333343</v>
      </c>
      <c r="AU23" s="283">
        <f>AT23/Resources!$B$15</f>
        <v>908.00330033003308</v>
      </c>
      <c r="AV23" s="283">
        <f>SUM($J$4:J23)</f>
        <v>432200</v>
      </c>
      <c r="AW23" s="283">
        <f>AV23/Resources!$B$16</f>
        <v>4410.2040816326535</v>
      </c>
      <c r="AX23" s="283">
        <f>SUM($O$4:O23)</f>
        <v>304848.33333333337</v>
      </c>
      <c r="AY23" s="283">
        <f>AX23/Resources!$B$17</f>
        <v>2903.3174603174607</v>
      </c>
      <c r="AZ23" s="283">
        <f>SUM($I$4:I23,$K$4:K23)</f>
        <v>862693.33333333337</v>
      </c>
      <c r="BA23" s="283">
        <f>AZ23/Resources!$B$6</f>
        <v>26959.166666666668</v>
      </c>
      <c r="BB23" s="283">
        <f>SUM($D$4:D23,$G$4:G23)</f>
        <v>1001233.3333333333</v>
      </c>
      <c r="BC23" s="283">
        <f>BB23/Resources!$B$7</f>
        <v>33374.444444444445</v>
      </c>
      <c r="BD23" s="283">
        <f>SUM($C$4:C23,$H$4:H23)</f>
        <v>1391633.3333333335</v>
      </c>
      <c r="BE23" s="295">
        <f>BD23/Resources!$B$8</f>
        <v>53524.358974358984</v>
      </c>
      <c r="BF23" s="283">
        <f>SUM($B$4:B23,$F$4:F23)</f>
        <v>1907260.0000000002</v>
      </c>
      <c r="BG23" s="283">
        <f>BF23/Resources!$B$9</f>
        <v>61524.516129032265</v>
      </c>
      <c r="BH23" s="283">
        <f>SUM($X$4:X23,$E$4:E23)</f>
        <v>506216.66666666669</v>
      </c>
      <c r="BI23" s="283">
        <f>BH23/Resources!$B$2</f>
        <v>21092.361111111113</v>
      </c>
      <c r="BJ23" s="283">
        <f>SUM($V$4:V23,$T$4:T23)</f>
        <v>276341.66666666663</v>
      </c>
      <c r="BK23" s="283">
        <f>BJ23/Resources!$B$3</f>
        <v>10628.525641025639</v>
      </c>
      <c r="BL23" s="283">
        <f>SUM($W$4:W23, $M$4:M23)</f>
        <v>320341.66666666663</v>
      </c>
      <c r="BM23" s="283">
        <f>BL23/Resources!$B$4</f>
        <v>11440.773809523807</v>
      </c>
      <c r="BN23" s="283">
        <f>SUM($P$4:P23,$Q$4:Q23)</f>
        <v>499583.33333333331</v>
      </c>
      <c r="BO23" s="292">
        <f>BN23/Resources!$B$5</f>
        <v>18503.086419753086</v>
      </c>
    </row>
    <row r="24" spans="1:67" ht="19" x14ac:dyDescent="0.25">
      <c r="A24" s="34">
        <f t="shared" si="8"/>
        <v>42886</v>
      </c>
      <c r="B24" s="47">
        <f>SUMIFS(Collection!$J:$J, Collection!$A:$A, $A24, Collection!$B:$B, B$2)</f>
        <v>0</v>
      </c>
      <c r="C24" s="47">
        <f>SUMIFS(Collection!$J:$J, Collection!$A:$A, $A24, Collection!$B:$B, C$2)</f>
        <v>0</v>
      </c>
      <c r="D24" s="47">
        <f>SUMIFS(Collection!$J:$J, Collection!$A:$A, $A24, Collection!$B:$B, D$2)</f>
        <v>0</v>
      </c>
      <c r="E24" s="47">
        <f>SUMIFS(Collection!$J:$J, Collection!$A:$A, $A24, Collection!$B:$B, E$2)</f>
        <v>0</v>
      </c>
      <c r="F24" s="47">
        <f>SUMIFS(Collection!$J:$J, Collection!$A:$A, $A24, Collection!$B:$B, F$2)</f>
        <v>0</v>
      </c>
      <c r="G24" s="47">
        <f>SUMIFS(Collection!$J:$J, Collection!$A:$A, $A24, Collection!$B:$B, G$2)</f>
        <v>0</v>
      </c>
      <c r="H24" s="47">
        <f>SUMIFS(Collection!$J:$J, Collection!$A:$A, $A24, Collection!$B:$B, H$2)</f>
        <v>378000</v>
      </c>
      <c r="I24" s="47">
        <f>SUMIFS(Collection!$J:$J, Collection!$A:$A, $A24, Collection!$B:$B, I$2)</f>
        <v>0</v>
      </c>
      <c r="J24" s="47">
        <f>SUMIFS(Collection!$J:$J, Collection!$A:$A, $A24, Collection!$B:$B, J$2)</f>
        <v>0</v>
      </c>
      <c r="K24" s="47">
        <f>SUMIFS(Collection!$J:$J, Collection!$A:$A, $A24, Collection!$B:$B, K$2)</f>
        <v>164266.66666666669</v>
      </c>
      <c r="L24" s="47">
        <f>SUMIFS(Collection!$J:$J, Collection!$A:$A, $A24, Collection!$B:$B, L$2)</f>
        <v>0</v>
      </c>
      <c r="M24" s="47">
        <f>SUMIFS(Collection!$J:$J, Collection!$A:$A, $A24, Collection!$B:$B, M$2)</f>
        <v>0</v>
      </c>
      <c r="N24" s="47">
        <f>SUMIFS(Collection!$J:$J, Collection!$A:$A, $A24, Collection!$B:$B, N$2)</f>
        <v>0</v>
      </c>
      <c r="O24" s="47">
        <f>SUMIFS(Collection!$J:$J, Collection!$A:$A, $A24, Collection!$B:$B, O$2)</f>
        <v>0</v>
      </c>
      <c r="P24" s="47">
        <f>SUMIFS(Collection!$J:$J, Collection!$A:$A, $A24, Collection!$B:$B, P$2)</f>
        <v>0</v>
      </c>
      <c r="Q24" s="47">
        <f>SUMIFS(Collection!$J:$J, Collection!$A:$A, $A24, Collection!$B:$B, Q$2)</f>
        <v>0</v>
      </c>
      <c r="R24" s="47">
        <f>SUMIFS(Collection!$J:$J, Collection!$A:$A, $A24, Collection!$B:$B, R$2)</f>
        <v>436800</v>
      </c>
      <c r="S24" s="47">
        <f>SUMIFS(Collection!$J:$J, Collection!$A:$A, $A24, Collection!$B:$B, S$2)</f>
        <v>0</v>
      </c>
      <c r="T24" s="47">
        <f>SUMIFS(Collection!$J:$J, Collection!$A:$A, $A24, Collection!$B:$B, T$2)</f>
        <v>0</v>
      </c>
      <c r="U24" s="47">
        <f>SUMIFS(Collection!$J:$J, Collection!$A:$A, $A24, Collection!$B:$B, U$2)</f>
        <v>0</v>
      </c>
      <c r="V24" s="47">
        <f>SUMIFS(Collection!$J:$J, Collection!$A:$A, $A24, Collection!$B:$B, V$2)</f>
        <v>1333.3333333333335</v>
      </c>
      <c r="W24" s="47">
        <f>SUMIFS(Collection!$J:$J, Collection!$A:$A, $A24, Collection!$B:$B, W$2)</f>
        <v>0</v>
      </c>
      <c r="X24" s="47">
        <f>SUMIFS(Collection!$J:$J, Collection!$A:$A, $A24, Collection!$B:$B, X$2)</f>
        <v>0</v>
      </c>
      <c r="Y24" s="47">
        <f>SUMIFS(Collection!$J:$J, Collection!$A:$A, $A24, Collection!$B:$B, Y$2)</f>
        <v>0</v>
      </c>
      <c r="Z24" s="47"/>
      <c r="AA24" s="47">
        <f t="shared" si="0"/>
        <v>164266.66666666669</v>
      </c>
      <c r="AB24" s="47">
        <f t="shared" si="1"/>
        <v>0</v>
      </c>
      <c r="AC24" s="47">
        <f t="shared" si="2"/>
        <v>378000</v>
      </c>
      <c r="AD24" s="47">
        <f t="shared" si="3"/>
        <v>0</v>
      </c>
      <c r="AE24" s="47">
        <f t="shared" si="4"/>
        <v>0</v>
      </c>
      <c r="AF24" s="47">
        <f t="shared" si="5"/>
        <v>1333.3333333333335</v>
      </c>
      <c r="AG24" s="47">
        <f t="shared" si="6"/>
        <v>0</v>
      </c>
      <c r="AH24" s="283">
        <f t="shared" si="7"/>
        <v>0</v>
      </c>
      <c r="AJ24" s="283">
        <f>SUM($S$4:S24)</f>
        <v>149994.44444444444</v>
      </c>
      <c r="AK24" s="283">
        <f>AJ24/Resources!$B$10</f>
        <v>12499.537037037036</v>
      </c>
      <c r="AL24" s="283">
        <f>SUM($Y$4:Y24)</f>
        <v>0</v>
      </c>
      <c r="AM24" s="290">
        <f>AL24/Resources!$B$11</f>
        <v>0</v>
      </c>
      <c r="AN24" s="283">
        <f>SUM($L$4:L24)</f>
        <v>322546.66666666669</v>
      </c>
      <c r="AO24" s="283">
        <f>AN24/Resources!$B$12</f>
        <v>21503.111111111113</v>
      </c>
      <c r="AP24" s="283">
        <f>SUM($R$4:R24)</f>
        <v>671786.66666666663</v>
      </c>
      <c r="AQ24" s="283">
        <f>AP24/Resources!$B$13</f>
        <v>67178.666666666657</v>
      </c>
      <c r="AR24" s="283">
        <f>SUM($N$4:N24)</f>
        <v>308606.66666666669</v>
      </c>
      <c r="AS24" s="283">
        <f>AR24/Resources!$B$14</f>
        <v>2780.2402402402404</v>
      </c>
      <c r="AT24" s="283">
        <f>SUM($U$4:U24)</f>
        <v>91708.333333333343</v>
      </c>
      <c r="AU24" s="283">
        <f>AT24/Resources!$B$15</f>
        <v>908.00330033003308</v>
      </c>
      <c r="AV24" s="283">
        <f>SUM($J$4:J24)</f>
        <v>432200</v>
      </c>
      <c r="AW24" s="283">
        <f>AV24/Resources!$B$16</f>
        <v>4410.2040816326535</v>
      </c>
      <c r="AX24" s="283">
        <f>SUM($O$4:O24)</f>
        <v>304848.33333333337</v>
      </c>
      <c r="AY24" s="283">
        <f>AX24/Resources!$B$17</f>
        <v>2903.3174603174607</v>
      </c>
      <c r="AZ24" s="283">
        <f>SUM($I$4:I24,$K$4:K24)</f>
        <v>1026960</v>
      </c>
      <c r="BA24" s="283">
        <f>AZ24/Resources!$B$6</f>
        <v>32092.5</v>
      </c>
      <c r="BB24" s="283">
        <f>SUM($D$4:D24,$G$4:G24)</f>
        <v>1001233.3333333333</v>
      </c>
      <c r="BC24" s="283">
        <f>BB24/Resources!$B$7</f>
        <v>33374.444444444445</v>
      </c>
      <c r="BD24" s="283">
        <f>SUM($C$4:C24,$H$4:H24)</f>
        <v>1769633.3333333335</v>
      </c>
      <c r="BE24" s="295">
        <f>BD24/Resources!$B$8</f>
        <v>68062.820512820515</v>
      </c>
      <c r="BF24" s="283">
        <f>SUM($B$4:B24,$F$4:F24)</f>
        <v>1907260.0000000002</v>
      </c>
      <c r="BG24" s="283">
        <f>BF24/Resources!$B$9</f>
        <v>61524.516129032265</v>
      </c>
      <c r="BH24" s="283">
        <f>SUM($X$4:X24,$E$4:E24)</f>
        <v>506216.66666666669</v>
      </c>
      <c r="BI24" s="283">
        <f>BH24/Resources!$B$2</f>
        <v>21092.361111111113</v>
      </c>
      <c r="BJ24" s="283">
        <f>SUM($V$4:V24,$T$4:T24)</f>
        <v>277675</v>
      </c>
      <c r="BK24" s="283">
        <f>BJ24/Resources!$B$3</f>
        <v>10679.807692307691</v>
      </c>
      <c r="BL24" s="283">
        <f>SUM($W$4:W24, $M$4:M24)</f>
        <v>320341.66666666663</v>
      </c>
      <c r="BM24" s="283">
        <f>BL24/Resources!$B$4</f>
        <v>11440.773809523807</v>
      </c>
      <c r="BN24" s="283">
        <f>SUM($P$4:P24,$Q$4:Q24)</f>
        <v>499583.33333333331</v>
      </c>
      <c r="BO24" s="292">
        <f>BN24/Resources!$B$5</f>
        <v>18503.086419753086</v>
      </c>
    </row>
    <row r="25" spans="1:67" ht="19" x14ac:dyDescent="0.25">
      <c r="A25" s="34">
        <f t="shared" si="8"/>
        <v>42887</v>
      </c>
      <c r="B25" s="47">
        <f>SUMIFS(Collection!$J:$J, Collection!$A:$A, $A25, Collection!$B:$B, B$2)</f>
        <v>0</v>
      </c>
      <c r="C25" s="47">
        <f>SUMIFS(Collection!$J:$J, Collection!$A:$A, $A25, Collection!$B:$B, C$2)</f>
        <v>0</v>
      </c>
      <c r="D25" s="47">
        <f>SUMIFS(Collection!$J:$J, Collection!$A:$A, $A25, Collection!$B:$B, D$2)</f>
        <v>0</v>
      </c>
      <c r="E25" s="47">
        <f>SUMIFS(Collection!$J:$J, Collection!$A:$A, $A25, Collection!$B:$B, E$2)</f>
        <v>0</v>
      </c>
      <c r="F25" s="47">
        <f>SUMIFS(Collection!$J:$J, Collection!$A:$A, $A25, Collection!$B:$B, F$2)</f>
        <v>406800</v>
      </c>
      <c r="G25" s="47">
        <f>SUMIFS(Collection!$J:$J, Collection!$A:$A, $A25, Collection!$B:$B, G$2)</f>
        <v>0</v>
      </c>
      <c r="H25" s="47">
        <f>SUMIFS(Collection!$J:$J, Collection!$A:$A, $A25, Collection!$B:$B, H$2)</f>
        <v>0</v>
      </c>
      <c r="I25" s="47">
        <f>SUMIFS(Collection!$J:$J, Collection!$A:$A, $A25, Collection!$B:$B, I$2)</f>
        <v>0</v>
      </c>
      <c r="J25" s="47">
        <f>SUMIFS(Collection!$J:$J, Collection!$A:$A, $A25, Collection!$B:$B, J$2)</f>
        <v>0</v>
      </c>
      <c r="K25" s="47">
        <f>SUMIFS(Collection!$J:$J, Collection!$A:$A, $A25, Collection!$B:$B, K$2)</f>
        <v>750</v>
      </c>
      <c r="L25" s="47">
        <f>SUMIFS(Collection!$J:$J, Collection!$A:$A, $A25, Collection!$B:$B, L$2)</f>
        <v>0</v>
      </c>
      <c r="M25" s="47">
        <f>SUMIFS(Collection!$J:$J, Collection!$A:$A, $A25, Collection!$B:$B, M$2)</f>
        <v>1466.6666666666665</v>
      </c>
      <c r="N25" s="47">
        <f>SUMIFS(Collection!$J:$J, Collection!$A:$A, $A25, Collection!$B:$B, N$2)</f>
        <v>0</v>
      </c>
      <c r="O25" s="47">
        <f>SUMIFS(Collection!$J:$J, Collection!$A:$A, $A25, Collection!$B:$B, O$2)</f>
        <v>40533.333333333328</v>
      </c>
      <c r="P25" s="47">
        <f>SUMIFS(Collection!$J:$J, Collection!$A:$A, $A25, Collection!$B:$B, P$2)</f>
        <v>0</v>
      </c>
      <c r="Q25" s="47">
        <f>SUMIFS(Collection!$J:$J, Collection!$A:$A, $A25, Collection!$B:$B, Q$2)</f>
        <v>0</v>
      </c>
      <c r="R25" s="47">
        <f>SUMIFS(Collection!$J:$J, Collection!$A:$A, $A25, Collection!$B:$B, R$2)</f>
        <v>0</v>
      </c>
      <c r="S25" s="47">
        <f>SUMIFS(Collection!$J:$J, Collection!$A:$A, $A25, Collection!$B:$B, S$2)</f>
        <v>0</v>
      </c>
      <c r="T25" s="47">
        <f>SUMIFS(Collection!$J:$J, Collection!$A:$A, $A25, Collection!$B:$B, T$2)</f>
        <v>0</v>
      </c>
      <c r="U25" s="47">
        <f>SUMIFS(Collection!$J:$J, Collection!$A:$A, $A25, Collection!$B:$B, U$2)</f>
        <v>99733.333333333343</v>
      </c>
      <c r="V25" s="47">
        <f>SUMIFS(Collection!$J:$J, Collection!$A:$A, $A25, Collection!$B:$B, V$2)</f>
        <v>0</v>
      </c>
      <c r="W25" s="47">
        <f>SUMIFS(Collection!$J:$J, Collection!$A:$A, $A25, Collection!$B:$B, W$2)</f>
        <v>0</v>
      </c>
      <c r="X25" s="47">
        <f>SUMIFS(Collection!$J:$J, Collection!$A:$A, $A25, Collection!$B:$B, X$2)</f>
        <v>0</v>
      </c>
      <c r="Y25" s="47">
        <f>SUMIFS(Collection!$J:$J, Collection!$A:$A, $A25, Collection!$B:$B, Y$2)</f>
        <v>0</v>
      </c>
      <c r="Z25" s="47"/>
      <c r="AA25" s="47">
        <f t="shared" si="0"/>
        <v>750</v>
      </c>
      <c r="AB25" s="47">
        <f t="shared" si="1"/>
        <v>0</v>
      </c>
      <c r="AC25" s="47">
        <f t="shared" si="2"/>
        <v>0</v>
      </c>
      <c r="AD25" s="47">
        <f t="shared" si="3"/>
        <v>406800</v>
      </c>
      <c r="AE25" s="47">
        <f t="shared" si="4"/>
        <v>0</v>
      </c>
      <c r="AF25" s="47">
        <f t="shared" si="5"/>
        <v>0</v>
      </c>
      <c r="AG25" s="47">
        <f t="shared" si="6"/>
        <v>1466.6666666666665</v>
      </c>
      <c r="AH25" s="283">
        <f t="shared" si="7"/>
        <v>0</v>
      </c>
      <c r="AJ25" s="283">
        <f>SUM($S$4:S25)</f>
        <v>149994.44444444444</v>
      </c>
      <c r="AK25" s="283">
        <f>AJ25/Resources!$B$10</f>
        <v>12499.537037037036</v>
      </c>
      <c r="AL25" s="283">
        <f>SUM($Y$4:Y25)</f>
        <v>0</v>
      </c>
      <c r="AM25" s="290">
        <f>AL25/Resources!$B$11</f>
        <v>0</v>
      </c>
      <c r="AN25" s="283">
        <f>SUM($L$4:L25)</f>
        <v>322546.66666666669</v>
      </c>
      <c r="AO25" s="283">
        <f>AN25/Resources!$B$12</f>
        <v>21503.111111111113</v>
      </c>
      <c r="AP25" s="283">
        <f>SUM($R$4:R25)</f>
        <v>671786.66666666663</v>
      </c>
      <c r="AQ25" s="283">
        <f>AP25/Resources!$B$13</f>
        <v>67178.666666666657</v>
      </c>
      <c r="AR25" s="283">
        <f>SUM($N$4:N25)</f>
        <v>308606.66666666669</v>
      </c>
      <c r="AS25" s="283">
        <f>AR25/Resources!$B$14</f>
        <v>2780.2402402402404</v>
      </c>
      <c r="AT25" s="283">
        <f>SUM($U$4:U25)</f>
        <v>191441.66666666669</v>
      </c>
      <c r="AU25" s="283">
        <f>AT25/Resources!$B$15</f>
        <v>1895.4620462046207</v>
      </c>
      <c r="AV25" s="283">
        <f>SUM($J$4:J25)</f>
        <v>432200</v>
      </c>
      <c r="AW25" s="283">
        <f>AV25/Resources!$B$16</f>
        <v>4410.2040816326535</v>
      </c>
      <c r="AX25" s="283">
        <f>SUM($O$4:O25)</f>
        <v>345381.66666666669</v>
      </c>
      <c r="AY25" s="283">
        <f>AX25/Resources!$B$17</f>
        <v>3289.3492063492067</v>
      </c>
      <c r="AZ25" s="283">
        <f>SUM($I$4:I25,$K$4:K25)</f>
        <v>1027710</v>
      </c>
      <c r="BA25" s="283">
        <f>AZ25/Resources!$B$6</f>
        <v>32115.9375</v>
      </c>
      <c r="BB25" s="283">
        <f>SUM($D$4:D25,$G$4:G25)</f>
        <v>1001233.3333333333</v>
      </c>
      <c r="BC25" s="283">
        <f>BB25/Resources!$B$7</f>
        <v>33374.444444444445</v>
      </c>
      <c r="BD25" s="283">
        <f>SUM($C$4:C25,$H$4:H25)</f>
        <v>1769633.3333333335</v>
      </c>
      <c r="BE25" s="295">
        <f>BD25/Resources!$B$8</f>
        <v>68062.820512820515</v>
      </c>
      <c r="BF25" s="283">
        <f>SUM($B$4:B25,$F$4:F25)</f>
        <v>2314060</v>
      </c>
      <c r="BG25" s="283">
        <f>BF25/Resources!$B$9</f>
        <v>74647.096774193546</v>
      </c>
      <c r="BH25" s="283">
        <f>SUM($X$4:X25,$E$4:E25)</f>
        <v>506216.66666666669</v>
      </c>
      <c r="BI25" s="283">
        <f>BH25/Resources!$B$2</f>
        <v>21092.361111111113</v>
      </c>
      <c r="BJ25" s="283">
        <f>SUM($V$4:V25,$T$4:T25)</f>
        <v>277675</v>
      </c>
      <c r="BK25" s="283">
        <f>BJ25/Resources!$B$3</f>
        <v>10679.807692307691</v>
      </c>
      <c r="BL25" s="283">
        <f>SUM($W$4:W25, $M$4:M25)</f>
        <v>321808.33333333331</v>
      </c>
      <c r="BM25" s="283">
        <f>BL25/Resources!$B$4</f>
        <v>11493.154761904761</v>
      </c>
      <c r="BN25" s="283">
        <f>SUM($P$4:P25,$Q$4:Q25)</f>
        <v>499583.33333333331</v>
      </c>
      <c r="BO25" s="292">
        <f>BN25/Resources!$B$5</f>
        <v>18503.086419753086</v>
      </c>
    </row>
    <row r="26" spans="1:67" ht="19" x14ac:dyDescent="0.25">
      <c r="A26" s="34">
        <f t="shared" si="8"/>
        <v>42888</v>
      </c>
      <c r="B26" s="47">
        <f>SUMIFS(Collection!$J:$J, Collection!$A:$A, $A26, Collection!$B:$B, B$2)</f>
        <v>0</v>
      </c>
      <c r="C26" s="47">
        <f>SUMIFS(Collection!$J:$J, Collection!$A:$A, $A26, Collection!$B:$B, C$2)</f>
        <v>0</v>
      </c>
      <c r="D26" s="47">
        <f>SUMIFS(Collection!$J:$J, Collection!$A:$A, $A26, Collection!$B:$B, D$2)</f>
        <v>0</v>
      </c>
      <c r="E26" s="47">
        <f>SUMIFS(Collection!$J:$J, Collection!$A:$A, $A26, Collection!$B:$B, E$2)</f>
        <v>0</v>
      </c>
      <c r="F26" s="47">
        <f>SUMIFS(Collection!$J:$J, Collection!$A:$A, $A26, Collection!$B:$B, F$2)</f>
        <v>0</v>
      </c>
      <c r="G26" s="47">
        <f>SUMIFS(Collection!$J:$J, Collection!$A:$A, $A26, Collection!$B:$B, G$2)</f>
        <v>0</v>
      </c>
      <c r="H26" s="47">
        <f>SUMIFS(Collection!$J:$J, Collection!$A:$A, $A26, Collection!$B:$B, H$2)</f>
        <v>0</v>
      </c>
      <c r="I26" s="47">
        <f>SUMIFS(Collection!$J:$J, Collection!$A:$A, $A26, Collection!$B:$B, I$2)</f>
        <v>0</v>
      </c>
      <c r="J26" s="47">
        <f>SUMIFS(Collection!$J:$J, Collection!$A:$A, $A26, Collection!$B:$B, J$2)</f>
        <v>0</v>
      </c>
      <c r="K26" s="47">
        <f>SUMIFS(Collection!$J:$J, Collection!$A:$A, $A26, Collection!$B:$B, K$2)</f>
        <v>0</v>
      </c>
      <c r="L26" s="47">
        <f>SUMIFS(Collection!$J:$J, Collection!$A:$A, $A26, Collection!$B:$B, L$2)</f>
        <v>0</v>
      </c>
      <c r="M26" s="47">
        <f>SUMIFS(Collection!$J:$J, Collection!$A:$A, $A26, Collection!$B:$B, M$2)</f>
        <v>0</v>
      </c>
      <c r="N26" s="47">
        <f>SUMIFS(Collection!$J:$J, Collection!$A:$A, $A26, Collection!$B:$B, N$2)</f>
        <v>0</v>
      </c>
      <c r="O26" s="47">
        <f>SUMIFS(Collection!$J:$J, Collection!$A:$A, $A26, Collection!$B:$B, O$2)</f>
        <v>0</v>
      </c>
      <c r="P26" s="47">
        <f>SUMIFS(Collection!$J:$J, Collection!$A:$A, $A26, Collection!$B:$B, P$2)</f>
        <v>0</v>
      </c>
      <c r="Q26" s="47">
        <f>SUMIFS(Collection!$J:$J, Collection!$A:$A, $A26, Collection!$B:$B, Q$2)</f>
        <v>0</v>
      </c>
      <c r="R26" s="47">
        <f>SUMIFS(Collection!$J:$J, Collection!$A:$A, $A26, Collection!$B:$B, R$2)</f>
        <v>0</v>
      </c>
      <c r="S26" s="47">
        <f>SUMIFS(Collection!$J:$J, Collection!$A:$A, $A26, Collection!$B:$B, S$2)</f>
        <v>0</v>
      </c>
      <c r="T26" s="47">
        <f>SUMIFS(Collection!$J:$J, Collection!$A:$A, $A26, Collection!$B:$B, T$2)</f>
        <v>0</v>
      </c>
      <c r="U26" s="47">
        <f>SUMIFS(Collection!$J:$J, Collection!$A:$A, $A26, Collection!$B:$B, U$2)</f>
        <v>0</v>
      </c>
      <c r="V26" s="47">
        <f>SUMIFS(Collection!$J:$J, Collection!$A:$A, $A26, Collection!$B:$B, V$2)</f>
        <v>0</v>
      </c>
      <c r="W26" s="47">
        <f>SUMIFS(Collection!$J:$J, Collection!$A:$A, $A26, Collection!$B:$B, W$2)</f>
        <v>0</v>
      </c>
      <c r="X26" s="47">
        <f>SUMIFS(Collection!$J:$J, Collection!$A:$A, $A26, Collection!$B:$B, X$2)</f>
        <v>0</v>
      </c>
      <c r="Y26" s="47">
        <f>SUMIFS(Collection!$J:$J, Collection!$A:$A, $A26, Collection!$B:$B, Y$2)</f>
        <v>0</v>
      </c>
      <c r="Z26" s="47"/>
      <c r="AA26" s="47">
        <f t="shared" si="0"/>
        <v>0</v>
      </c>
      <c r="AB26" s="47">
        <f t="shared" si="1"/>
        <v>0</v>
      </c>
      <c r="AC26" s="47">
        <f t="shared" si="2"/>
        <v>0</v>
      </c>
      <c r="AD26" s="47">
        <f t="shared" si="3"/>
        <v>0</v>
      </c>
      <c r="AE26" s="47">
        <f t="shared" si="4"/>
        <v>0</v>
      </c>
      <c r="AF26" s="47">
        <f t="shared" si="5"/>
        <v>0</v>
      </c>
      <c r="AG26" s="47">
        <f t="shared" si="6"/>
        <v>0</v>
      </c>
      <c r="AH26" s="283">
        <f t="shared" si="7"/>
        <v>0</v>
      </c>
      <c r="AJ26" s="283">
        <f>SUM($S$4:S26)</f>
        <v>149994.44444444444</v>
      </c>
      <c r="AK26" s="283">
        <f>AJ26/Resources!$B$10</f>
        <v>12499.537037037036</v>
      </c>
      <c r="AL26" s="283">
        <f>SUM($Y$4:Y26)</f>
        <v>0</v>
      </c>
      <c r="AM26" s="290">
        <f>AL26/Resources!$B$11</f>
        <v>0</v>
      </c>
      <c r="AN26" s="283">
        <f>SUM($L$4:L26)</f>
        <v>322546.66666666669</v>
      </c>
      <c r="AO26" s="283">
        <f>AN26/Resources!$B$12</f>
        <v>21503.111111111113</v>
      </c>
      <c r="AP26" s="283">
        <f>SUM($R$4:R26)</f>
        <v>671786.66666666663</v>
      </c>
      <c r="AQ26" s="283">
        <f>AP26/Resources!$B$13</f>
        <v>67178.666666666657</v>
      </c>
      <c r="AR26" s="283">
        <f>SUM($N$4:N26)</f>
        <v>308606.66666666669</v>
      </c>
      <c r="AS26" s="283">
        <f>AR26/Resources!$B$14</f>
        <v>2780.2402402402404</v>
      </c>
      <c r="AT26" s="283">
        <f>SUM($U$4:U26)</f>
        <v>191441.66666666669</v>
      </c>
      <c r="AU26" s="283">
        <f>AT26/Resources!$B$15</f>
        <v>1895.4620462046207</v>
      </c>
      <c r="AV26" s="283">
        <f>SUM($J$4:J26)</f>
        <v>432200</v>
      </c>
      <c r="AW26" s="283">
        <f>AV26/Resources!$B$16</f>
        <v>4410.2040816326535</v>
      </c>
      <c r="AX26" s="283">
        <f>SUM($O$4:O26)</f>
        <v>345381.66666666669</v>
      </c>
      <c r="AY26" s="283">
        <f>AX26/Resources!$B$17</f>
        <v>3289.3492063492067</v>
      </c>
      <c r="AZ26" s="283">
        <f>SUM($I$4:I26,$K$4:K26)</f>
        <v>1027710</v>
      </c>
      <c r="BA26" s="283">
        <f>AZ26/Resources!$B$6</f>
        <v>32115.9375</v>
      </c>
      <c r="BB26" s="283">
        <f>SUM($D$4:D26,$G$4:G26)</f>
        <v>1001233.3333333333</v>
      </c>
      <c r="BC26" s="283">
        <f>BB26/Resources!$B$7</f>
        <v>33374.444444444445</v>
      </c>
      <c r="BD26" s="283">
        <f>SUM($C$4:C26,$H$4:H26)</f>
        <v>1769633.3333333335</v>
      </c>
      <c r="BE26" s="295">
        <f>BD26/Resources!$B$8</f>
        <v>68062.820512820515</v>
      </c>
      <c r="BF26" s="283">
        <f>SUM($B$4:B26,$F$4:F26)</f>
        <v>2314060</v>
      </c>
      <c r="BG26" s="283">
        <f>BF26/Resources!$B$9</f>
        <v>74647.096774193546</v>
      </c>
      <c r="BH26" s="283">
        <f>SUM($X$4:X26,$E$4:E26)</f>
        <v>506216.66666666669</v>
      </c>
      <c r="BI26" s="283">
        <f>BH26/Resources!$B$2</f>
        <v>21092.361111111113</v>
      </c>
      <c r="BJ26" s="283">
        <f>SUM($V$4:V26,$T$4:T26)</f>
        <v>277675</v>
      </c>
      <c r="BK26" s="283">
        <f>BJ26/Resources!$B$3</f>
        <v>10679.807692307691</v>
      </c>
      <c r="BL26" s="283">
        <f>SUM($W$4:W26, $M$4:M26)</f>
        <v>321808.33333333331</v>
      </c>
      <c r="BM26" s="283">
        <f>BL26/Resources!$B$4</f>
        <v>11493.154761904761</v>
      </c>
      <c r="BN26" s="283">
        <f>SUM($P$4:P26,$Q$4:Q26)</f>
        <v>499583.33333333331</v>
      </c>
      <c r="BO26" s="292">
        <f>BN26/Resources!$B$5</f>
        <v>18503.086419753086</v>
      </c>
    </row>
    <row r="27" spans="1:67" ht="19" x14ac:dyDescent="0.25">
      <c r="A27" s="34">
        <f t="shared" si="8"/>
        <v>42889</v>
      </c>
      <c r="B27" s="47">
        <f>SUMIFS(Collection!$J:$J, Collection!$A:$A, $A27, Collection!$B:$B, B$2)</f>
        <v>326906.66666666669</v>
      </c>
      <c r="C27" s="47">
        <f>SUMIFS(Collection!$J:$J, Collection!$A:$A, $A27, Collection!$B:$B, C$2)</f>
        <v>0</v>
      </c>
      <c r="D27" s="47">
        <f>SUMIFS(Collection!$J:$J, Collection!$A:$A, $A27, Collection!$B:$B, D$2)</f>
        <v>0</v>
      </c>
      <c r="E27" s="47">
        <f>SUMIFS(Collection!$J:$J, Collection!$A:$A, $A27, Collection!$B:$B, E$2)</f>
        <v>0</v>
      </c>
      <c r="F27" s="47">
        <f>SUMIFS(Collection!$J:$J, Collection!$A:$A, $A27, Collection!$B:$B, F$2)</f>
        <v>177173.33333333334</v>
      </c>
      <c r="G27" s="47">
        <f>SUMIFS(Collection!$J:$J, Collection!$A:$A, $A27, Collection!$B:$B, G$2)</f>
        <v>150166.66666666666</v>
      </c>
      <c r="H27" s="47">
        <f>SUMIFS(Collection!$J:$J, Collection!$A:$A, $A27, Collection!$B:$B, H$2)</f>
        <v>0</v>
      </c>
      <c r="I27" s="47">
        <f>SUMIFS(Collection!$J:$J, Collection!$A:$A, $A27, Collection!$B:$B, I$2)</f>
        <v>0</v>
      </c>
      <c r="J27" s="47">
        <f>SUMIFS(Collection!$J:$J, Collection!$A:$A, $A27, Collection!$B:$B, J$2)</f>
        <v>0</v>
      </c>
      <c r="K27" s="47">
        <f>SUMIFS(Collection!$J:$J, Collection!$A:$A, $A27, Collection!$B:$B, K$2)</f>
        <v>0</v>
      </c>
      <c r="L27" s="47">
        <f>SUMIFS(Collection!$J:$J, Collection!$A:$A, $A27, Collection!$B:$B, L$2)</f>
        <v>0</v>
      </c>
      <c r="M27" s="47">
        <f>SUMIFS(Collection!$J:$J, Collection!$A:$A, $A27, Collection!$B:$B, M$2)</f>
        <v>74666.666666666657</v>
      </c>
      <c r="N27" s="47">
        <f>SUMIFS(Collection!$J:$J, Collection!$A:$A, $A27, Collection!$B:$B, N$2)</f>
        <v>0</v>
      </c>
      <c r="O27" s="47">
        <f>SUMIFS(Collection!$J:$J, Collection!$A:$A, $A27, Collection!$B:$B, O$2)</f>
        <v>63413.333333333328</v>
      </c>
      <c r="P27" s="47">
        <f>SUMIFS(Collection!$J:$J, Collection!$A:$A, $A27, Collection!$B:$B, P$2)</f>
        <v>214480</v>
      </c>
      <c r="Q27" s="47">
        <f>SUMIFS(Collection!$J:$J, Collection!$A:$A, $A27, Collection!$B:$B, Q$2)</f>
        <v>0</v>
      </c>
      <c r="R27" s="47">
        <f>SUMIFS(Collection!$J:$J, Collection!$A:$A, $A27, Collection!$B:$B, R$2)</f>
        <v>0</v>
      </c>
      <c r="S27" s="47">
        <f>SUMIFS(Collection!$J:$J, Collection!$A:$A, $A27, Collection!$B:$B, S$2)</f>
        <v>0</v>
      </c>
      <c r="T27" s="47">
        <f>SUMIFS(Collection!$J:$J, Collection!$A:$A, $A27, Collection!$B:$B, T$2)</f>
        <v>0</v>
      </c>
      <c r="U27" s="47">
        <f>SUMIFS(Collection!$J:$J, Collection!$A:$A, $A27, Collection!$B:$B, U$2)</f>
        <v>132840</v>
      </c>
      <c r="V27" s="47">
        <f>SUMIFS(Collection!$J:$J, Collection!$A:$A, $A27, Collection!$B:$B, V$2)</f>
        <v>0</v>
      </c>
      <c r="W27" s="47">
        <f>SUMIFS(Collection!$J:$J, Collection!$A:$A, $A27, Collection!$B:$B, W$2)</f>
        <v>0</v>
      </c>
      <c r="X27" s="47">
        <f>SUMIFS(Collection!$J:$J, Collection!$A:$A, $A27, Collection!$B:$B, X$2)</f>
        <v>0</v>
      </c>
      <c r="Y27" s="47">
        <f>SUMIFS(Collection!$J:$J, Collection!$A:$A, $A27, Collection!$B:$B, Y$2)</f>
        <v>0</v>
      </c>
      <c r="Z27" s="47"/>
      <c r="AA27" s="47">
        <f t="shared" si="0"/>
        <v>0</v>
      </c>
      <c r="AB27" s="47">
        <f t="shared" si="1"/>
        <v>150166.66666666666</v>
      </c>
      <c r="AC27" s="47">
        <f t="shared" si="2"/>
        <v>0</v>
      </c>
      <c r="AD27" s="47">
        <f t="shared" si="3"/>
        <v>504080</v>
      </c>
      <c r="AE27" s="47">
        <f t="shared" si="4"/>
        <v>0</v>
      </c>
      <c r="AF27" s="47">
        <f t="shared" si="5"/>
        <v>0</v>
      </c>
      <c r="AG27" s="47">
        <f t="shared" si="6"/>
        <v>74666.666666666657</v>
      </c>
      <c r="AH27" s="283">
        <f t="shared" si="7"/>
        <v>214480</v>
      </c>
      <c r="AJ27" s="283">
        <f>SUM($S$4:S27)</f>
        <v>149994.44444444444</v>
      </c>
      <c r="AK27" s="283">
        <f>AJ27/Resources!$B$10</f>
        <v>12499.537037037036</v>
      </c>
      <c r="AL27" s="283">
        <f>SUM($Y$4:Y27)</f>
        <v>0</v>
      </c>
      <c r="AM27" s="290">
        <f>AL27/Resources!$B$11</f>
        <v>0</v>
      </c>
      <c r="AN27" s="283">
        <f>SUM($L$4:L27)</f>
        <v>322546.66666666669</v>
      </c>
      <c r="AO27" s="283">
        <f>AN27/Resources!$B$12</f>
        <v>21503.111111111113</v>
      </c>
      <c r="AP27" s="283">
        <f>SUM($R$4:R27)</f>
        <v>671786.66666666663</v>
      </c>
      <c r="AQ27" s="283">
        <f>AP27/Resources!$B$13</f>
        <v>67178.666666666657</v>
      </c>
      <c r="AR27" s="283">
        <f>SUM($N$4:N27)</f>
        <v>308606.66666666669</v>
      </c>
      <c r="AS27" s="283">
        <f>AR27/Resources!$B$14</f>
        <v>2780.2402402402404</v>
      </c>
      <c r="AT27" s="283">
        <f>SUM($U$4:U27)</f>
        <v>324281.66666666669</v>
      </c>
      <c r="AU27" s="283">
        <f>AT27/Resources!$B$15</f>
        <v>3210.7095709570958</v>
      </c>
      <c r="AV27" s="283">
        <f>SUM($J$4:J27)</f>
        <v>432200</v>
      </c>
      <c r="AW27" s="283">
        <f>AV27/Resources!$B$16</f>
        <v>4410.2040816326535</v>
      </c>
      <c r="AX27" s="283">
        <f>SUM($O$4:O27)</f>
        <v>408795</v>
      </c>
      <c r="AY27" s="283">
        <f>AX27/Resources!$B$17</f>
        <v>3893.2857142857142</v>
      </c>
      <c r="AZ27" s="283">
        <f>SUM($I$4:I27,$K$4:K27)</f>
        <v>1027710</v>
      </c>
      <c r="BA27" s="283">
        <f>AZ27/Resources!$B$6</f>
        <v>32115.9375</v>
      </c>
      <c r="BB27" s="283">
        <f>SUM($D$4:D27,$G$4:G27)</f>
        <v>1151400</v>
      </c>
      <c r="BC27" s="283">
        <f>BB27/Resources!$B$7</f>
        <v>38380</v>
      </c>
      <c r="BD27" s="283">
        <f>SUM($C$4:C27,$H$4:H27)</f>
        <v>1769633.3333333335</v>
      </c>
      <c r="BE27" s="295">
        <f>BD27/Resources!$B$8</f>
        <v>68062.820512820515</v>
      </c>
      <c r="BF27" s="283">
        <f>SUM($B$4:B27,$F$4:F27)</f>
        <v>2818140.0000000005</v>
      </c>
      <c r="BG27" s="283">
        <f>BF27/Resources!$B$9</f>
        <v>90907.741935483893</v>
      </c>
      <c r="BH27" s="283">
        <f>SUM($X$4:X27,$E$4:E27)</f>
        <v>506216.66666666669</v>
      </c>
      <c r="BI27" s="283">
        <f>BH27/Resources!$B$2</f>
        <v>21092.361111111113</v>
      </c>
      <c r="BJ27" s="283">
        <f>SUM($V$4:V27,$T$4:T27)</f>
        <v>277675</v>
      </c>
      <c r="BK27" s="283">
        <f>BJ27/Resources!$B$3</f>
        <v>10679.807692307691</v>
      </c>
      <c r="BL27" s="283">
        <f>SUM($W$4:W27, $M$4:M27)</f>
        <v>396475</v>
      </c>
      <c r="BM27" s="283">
        <f>BL27/Resources!$B$4</f>
        <v>14159.821428571429</v>
      </c>
      <c r="BN27" s="283">
        <f>SUM($P$4:P27,$Q$4:Q27)</f>
        <v>714063.33333333326</v>
      </c>
      <c r="BO27" s="292">
        <f>BN27/Resources!$B$5</f>
        <v>26446.790123456787</v>
      </c>
    </row>
    <row r="28" spans="1:67" ht="19" x14ac:dyDescent="0.25">
      <c r="A28" s="34">
        <f t="shared" si="8"/>
        <v>42890</v>
      </c>
      <c r="B28" s="47">
        <f>SUMIFS(Collection!$J:$J, Collection!$A:$A, $A28, Collection!$B:$B, B$2)</f>
        <v>182050</v>
      </c>
      <c r="C28" s="47">
        <f>SUMIFS(Collection!$J:$J, Collection!$A:$A, $A28, Collection!$B:$B, C$2)</f>
        <v>0</v>
      </c>
      <c r="D28" s="47">
        <f>SUMIFS(Collection!$J:$J, Collection!$A:$A, $A28, Collection!$B:$B, D$2)</f>
        <v>0</v>
      </c>
      <c r="E28" s="47">
        <f>SUMIFS(Collection!$J:$J, Collection!$A:$A, $A28, Collection!$B:$B, E$2)</f>
        <v>0</v>
      </c>
      <c r="F28" s="47">
        <f>SUMIFS(Collection!$J:$J, Collection!$A:$A, $A28, Collection!$B:$B, F$2)</f>
        <v>0</v>
      </c>
      <c r="G28" s="47">
        <f>SUMIFS(Collection!$J:$J, Collection!$A:$A, $A28, Collection!$B:$B, G$2)</f>
        <v>0</v>
      </c>
      <c r="H28" s="47">
        <f>SUMIFS(Collection!$J:$J, Collection!$A:$A, $A28, Collection!$B:$B, H$2)</f>
        <v>0</v>
      </c>
      <c r="I28" s="47">
        <f>SUMIFS(Collection!$J:$J, Collection!$A:$A, $A28, Collection!$B:$B, I$2)</f>
        <v>0</v>
      </c>
      <c r="J28" s="47">
        <f>SUMIFS(Collection!$J:$J, Collection!$A:$A, $A28, Collection!$B:$B, J$2)</f>
        <v>190850</v>
      </c>
      <c r="K28" s="47">
        <f>SUMIFS(Collection!$J:$J, Collection!$A:$A, $A28, Collection!$B:$B, K$2)</f>
        <v>0</v>
      </c>
      <c r="L28" s="47">
        <f>SUMIFS(Collection!$J:$J, Collection!$A:$A, $A28, Collection!$B:$B, L$2)</f>
        <v>0</v>
      </c>
      <c r="M28" s="47">
        <f>SUMIFS(Collection!$J:$J, Collection!$A:$A, $A28, Collection!$B:$B, M$2)</f>
        <v>1200</v>
      </c>
      <c r="N28" s="47">
        <f>SUMIFS(Collection!$J:$J, Collection!$A:$A, $A28, Collection!$B:$B, N$2)</f>
        <v>0</v>
      </c>
      <c r="O28" s="47">
        <f>SUMIFS(Collection!$J:$J, Collection!$A:$A, $A28, Collection!$B:$B, O$2)</f>
        <v>0</v>
      </c>
      <c r="P28" s="47">
        <f>SUMIFS(Collection!$J:$J, Collection!$A:$A, $A28, Collection!$B:$B, P$2)</f>
        <v>2933.333333333333</v>
      </c>
      <c r="Q28" s="47">
        <f>SUMIFS(Collection!$J:$J, Collection!$A:$A, $A28, Collection!$B:$B, Q$2)</f>
        <v>0</v>
      </c>
      <c r="R28" s="47">
        <f>SUMIFS(Collection!$J:$J, Collection!$A:$A, $A28, Collection!$B:$B, R$2)</f>
        <v>0</v>
      </c>
      <c r="S28" s="47">
        <f>SUMIFS(Collection!$J:$J, Collection!$A:$A, $A28, Collection!$B:$B, S$2)</f>
        <v>0</v>
      </c>
      <c r="T28" s="47">
        <f>SUMIFS(Collection!$J:$J, Collection!$A:$A, $A28, Collection!$B:$B, T$2)</f>
        <v>0</v>
      </c>
      <c r="U28" s="47">
        <f>SUMIFS(Collection!$J:$J, Collection!$A:$A, $A28, Collection!$B:$B, U$2)</f>
        <v>0</v>
      </c>
      <c r="V28" s="47">
        <f>SUMIFS(Collection!$J:$J, Collection!$A:$A, $A28, Collection!$B:$B, V$2)</f>
        <v>0</v>
      </c>
      <c r="W28" s="47">
        <f>SUMIFS(Collection!$J:$J, Collection!$A:$A, $A28, Collection!$B:$B, W$2)</f>
        <v>0</v>
      </c>
      <c r="X28" s="47">
        <f>SUMIFS(Collection!$J:$J, Collection!$A:$A, $A28, Collection!$B:$B, X$2)</f>
        <v>0</v>
      </c>
      <c r="Y28" s="47">
        <f>SUMIFS(Collection!$J:$J, Collection!$A:$A, $A28, Collection!$B:$B, Y$2)</f>
        <v>0</v>
      </c>
      <c r="Z28" s="47"/>
      <c r="AA28" s="47">
        <f t="shared" si="0"/>
        <v>0</v>
      </c>
      <c r="AB28" s="47">
        <f t="shared" si="1"/>
        <v>0</v>
      </c>
      <c r="AC28" s="47">
        <f t="shared" si="2"/>
        <v>0</v>
      </c>
      <c r="AD28" s="47">
        <f t="shared" si="3"/>
        <v>182050</v>
      </c>
      <c r="AE28" s="47">
        <f t="shared" si="4"/>
        <v>0</v>
      </c>
      <c r="AF28" s="47">
        <f t="shared" si="5"/>
        <v>0</v>
      </c>
      <c r="AG28" s="47">
        <f t="shared" si="6"/>
        <v>1200</v>
      </c>
      <c r="AH28" s="283">
        <f t="shared" si="7"/>
        <v>2933.333333333333</v>
      </c>
      <c r="AJ28" s="283">
        <f>SUM($S$4:S28)</f>
        <v>149994.44444444444</v>
      </c>
      <c r="AK28" s="283">
        <f>AJ28/Resources!$B$10</f>
        <v>12499.537037037036</v>
      </c>
      <c r="AL28" s="283">
        <f>SUM($Y$4:Y28)</f>
        <v>0</v>
      </c>
      <c r="AM28" s="290">
        <f>AL28/Resources!$B$11</f>
        <v>0</v>
      </c>
      <c r="AN28" s="283">
        <f>SUM($L$4:L28)</f>
        <v>322546.66666666669</v>
      </c>
      <c r="AO28" s="283">
        <f>AN28/Resources!$B$12</f>
        <v>21503.111111111113</v>
      </c>
      <c r="AP28" s="283">
        <f>SUM($R$4:R28)</f>
        <v>671786.66666666663</v>
      </c>
      <c r="AQ28" s="283">
        <f>AP28/Resources!$B$13</f>
        <v>67178.666666666657</v>
      </c>
      <c r="AR28" s="283">
        <f>SUM($N$4:N28)</f>
        <v>308606.66666666669</v>
      </c>
      <c r="AS28" s="283">
        <f>AR28/Resources!$B$14</f>
        <v>2780.2402402402404</v>
      </c>
      <c r="AT28" s="283">
        <f>SUM($U$4:U28)</f>
        <v>324281.66666666669</v>
      </c>
      <c r="AU28" s="283">
        <f>AT28/Resources!$B$15</f>
        <v>3210.7095709570958</v>
      </c>
      <c r="AV28" s="283">
        <f>SUM($J$4:J28)</f>
        <v>623050</v>
      </c>
      <c r="AW28" s="283">
        <f>AV28/Resources!$B$16</f>
        <v>6357.6530612244896</v>
      </c>
      <c r="AX28" s="283">
        <f>SUM($O$4:O28)</f>
        <v>408795</v>
      </c>
      <c r="AY28" s="283">
        <f>AX28/Resources!$B$17</f>
        <v>3893.2857142857142</v>
      </c>
      <c r="AZ28" s="283">
        <f>SUM($I$4:I28,$K$4:K28)</f>
        <v>1027710</v>
      </c>
      <c r="BA28" s="283">
        <f>AZ28/Resources!$B$6</f>
        <v>32115.9375</v>
      </c>
      <c r="BB28" s="283">
        <f>SUM($D$4:D28,$G$4:G28)</f>
        <v>1151400</v>
      </c>
      <c r="BC28" s="283">
        <f>BB28/Resources!$B$7</f>
        <v>38380</v>
      </c>
      <c r="BD28" s="283">
        <f>SUM($C$4:C28,$H$4:H28)</f>
        <v>1769633.3333333335</v>
      </c>
      <c r="BE28" s="295">
        <f>BD28/Resources!$B$8</f>
        <v>68062.820512820515</v>
      </c>
      <c r="BF28" s="283">
        <f>SUM($B$4:B28,$F$4:F28)</f>
        <v>3000190</v>
      </c>
      <c r="BG28" s="283">
        <f>BF28/Resources!$B$9</f>
        <v>96780.322580645166</v>
      </c>
      <c r="BH28" s="283">
        <f>SUM($X$4:X28,$E$4:E28)</f>
        <v>506216.66666666669</v>
      </c>
      <c r="BI28" s="283">
        <f>BH28/Resources!$B$2</f>
        <v>21092.361111111113</v>
      </c>
      <c r="BJ28" s="283">
        <f>SUM($V$4:V28,$T$4:T28)</f>
        <v>277675</v>
      </c>
      <c r="BK28" s="283">
        <f>BJ28/Resources!$B$3</f>
        <v>10679.807692307691</v>
      </c>
      <c r="BL28" s="283">
        <f>SUM($W$4:W28, $M$4:M28)</f>
        <v>397675</v>
      </c>
      <c r="BM28" s="283">
        <f>BL28/Resources!$B$4</f>
        <v>14202.678571428571</v>
      </c>
      <c r="BN28" s="283">
        <f>SUM($P$4:P28,$Q$4:Q28)</f>
        <v>716996.66666666663</v>
      </c>
      <c r="BO28" s="292">
        <f>BN28/Resources!$B$5</f>
        <v>26555.432098765432</v>
      </c>
    </row>
    <row r="29" spans="1:67" ht="19" x14ac:dyDescent="0.25">
      <c r="A29" s="34">
        <f t="shared" si="8"/>
        <v>42891</v>
      </c>
      <c r="B29" s="47">
        <f>SUMIFS(Collection!$J:$J, Collection!$A:$A, $A29, Collection!$B:$B, B$2)</f>
        <v>42293.333333333328</v>
      </c>
      <c r="C29" s="47">
        <f>SUMIFS(Collection!$J:$J, Collection!$A:$A, $A29, Collection!$B:$B, C$2)</f>
        <v>0</v>
      </c>
      <c r="D29" s="47">
        <f>SUMIFS(Collection!$J:$J, Collection!$A:$A, $A29, Collection!$B:$B, D$2)</f>
        <v>0</v>
      </c>
      <c r="E29" s="47">
        <f>SUMIFS(Collection!$J:$J, Collection!$A:$A, $A29, Collection!$B:$B, E$2)</f>
        <v>81600</v>
      </c>
      <c r="F29" s="47">
        <f>SUMIFS(Collection!$J:$J, Collection!$A:$A, $A29, Collection!$B:$B, F$2)</f>
        <v>0</v>
      </c>
      <c r="G29" s="47">
        <f>SUMIFS(Collection!$J:$J, Collection!$A:$A, $A29, Collection!$B:$B, G$2)</f>
        <v>484266.66666666669</v>
      </c>
      <c r="H29" s="47">
        <f>SUMIFS(Collection!$J:$J, Collection!$A:$A, $A29, Collection!$B:$B, H$2)</f>
        <v>0</v>
      </c>
      <c r="I29" s="47">
        <f>SUMIFS(Collection!$J:$J, Collection!$A:$A, $A29, Collection!$B:$B, I$2)</f>
        <v>0</v>
      </c>
      <c r="J29" s="47">
        <f>SUMIFS(Collection!$J:$J, Collection!$A:$A, $A29, Collection!$B:$B, J$2)</f>
        <v>17306.666666666668</v>
      </c>
      <c r="K29" s="47">
        <f>SUMIFS(Collection!$J:$J, Collection!$A:$A, $A29, Collection!$B:$B, K$2)</f>
        <v>0</v>
      </c>
      <c r="L29" s="47">
        <f>SUMIFS(Collection!$J:$J, Collection!$A:$A, $A29, Collection!$B:$B, L$2)</f>
        <v>0</v>
      </c>
      <c r="M29" s="47">
        <f>SUMIFS(Collection!$J:$J, Collection!$A:$A, $A29, Collection!$B:$B, M$2)</f>
        <v>0</v>
      </c>
      <c r="N29" s="47">
        <f>SUMIFS(Collection!$J:$J, Collection!$A:$A, $A29, Collection!$B:$B, N$2)</f>
        <v>0</v>
      </c>
      <c r="O29" s="47">
        <f>SUMIFS(Collection!$J:$J, Collection!$A:$A, $A29, Collection!$B:$B, O$2)</f>
        <v>0</v>
      </c>
      <c r="P29" s="47">
        <f>SUMIFS(Collection!$J:$J, Collection!$A:$A, $A29, Collection!$B:$B, P$2)</f>
        <v>0</v>
      </c>
      <c r="Q29" s="47">
        <f>SUMIFS(Collection!$J:$J, Collection!$A:$A, $A29, Collection!$B:$B, Q$2)</f>
        <v>0</v>
      </c>
      <c r="R29" s="47">
        <f>SUMIFS(Collection!$J:$J, Collection!$A:$A, $A29, Collection!$B:$B, R$2)</f>
        <v>0</v>
      </c>
      <c r="S29" s="47">
        <f>SUMIFS(Collection!$J:$J, Collection!$A:$A, $A29, Collection!$B:$B, S$2)</f>
        <v>0</v>
      </c>
      <c r="T29" s="47">
        <f>SUMIFS(Collection!$J:$J, Collection!$A:$A, $A29, Collection!$B:$B, T$2)</f>
        <v>0</v>
      </c>
      <c r="U29" s="47">
        <f>SUMIFS(Collection!$J:$J, Collection!$A:$A, $A29, Collection!$B:$B, U$2)</f>
        <v>0</v>
      </c>
      <c r="V29" s="47">
        <f>SUMIFS(Collection!$J:$J, Collection!$A:$A, $A29, Collection!$B:$B, V$2)</f>
        <v>0</v>
      </c>
      <c r="W29" s="47">
        <f>SUMIFS(Collection!$J:$J, Collection!$A:$A, $A29, Collection!$B:$B, W$2)</f>
        <v>0</v>
      </c>
      <c r="X29" s="47">
        <f>SUMIFS(Collection!$J:$J, Collection!$A:$A, $A29, Collection!$B:$B, X$2)</f>
        <v>88200</v>
      </c>
      <c r="Y29" s="47">
        <f>SUMIFS(Collection!$J:$J, Collection!$A:$A, $A29, Collection!$B:$B, Y$2)</f>
        <v>0</v>
      </c>
      <c r="Z29" s="47"/>
      <c r="AA29" s="47">
        <f t="shared" si="0"/>
        <v>0</v>
      </c>
      <c r="AB29" s="47">
        <f t="shared" si="1"/>
        <v>484266.66666666669</v>
      </c>
      <c r="AC29" s="47">
        <f t="shared" si="2"/>
        <v>0</v>
      </c>
      <c r="AD29" s="47">
        <f t="shared" si="3"/>
        <v>42293.333333333328</v>
      </c>
      <c r="AE29" s="47">
        <f t="shared" si="4"/>
        <v>169800</v>
      </c>
      <c r="AF29" s="47">
        <f t="shared" si="5"/>
        <v>0</v>
      </c>
      <c r="AG29" s="47">
        <f t="shared" si="6"/>
        <v>0</v>
      </c>
      <c r="AH29" s="283">
        <f t="shared" si="7"/>
        <v>0</v>
      </c>
      <c r="AJ29" s="283">
        <f>SUM($S$4:S29)</f>
        <v>149994.44444444444</v>
      </c>
      <c r="AK29" s="283">
        <f>AJ29/Resources!$B$10</f>
        <v>12499.537037037036</v>
      </c>
      <c r="AL29" s="283">
        <f>SUM($Y$4:Y29)</f>
        <v>0</v>
      </c>
      <c r="AM29" s="290">
        <f>AL29/Resources!$B$11</f>
        <v>0</v>
      </c>
      <c r="AN29" s="283">
        <f>SUM($L$4:L29)</f>
        <v>322546.66666666669</v>
      </c>
      <c r="AO29" s="283">
        <f>AN29/Resources!$B$12</f>
        <v>21503.111111111113</v>
      </c>
      <c r="AP29" s="283">
        <f>SUM($R$4:R29)</f>
        <v>671786.66666666663</v>
      </c>
      <c r="AQ29" s="283">
        <f>AP29/Resources!$B$13</f>
        <v>67178.666666666657</v>
      </c>
      <c r="AR29" s="283">
        <f>SUM($N$4:N29)</f>
        <v>308606.66666666669</v>
      </c>
      <c r="AS29" s="283">
        <f>AR29/Resources!$B$14</f>
        <v>2780.2402402402404</v>
      </c>
      <c r="AT29" s="283">
        <f>SUM($U$4:U29)</f>
        <v>324281.66666666669</v>
      </c>
      <c r="AU29" s="283">
        <f>AT29/Resources!$B$15</f>
        <v>3210.7095709570958</v>
      </c>
      <c r="AV29" s="283">
        <f>SUM($J$4:J29)</f>
        <v>640356.66666666663</v>
      </c>
      <c r="AW29" s="283">
        <f>AV29/Resources!$B$16</f>
        <v>6534.2517006802718</v>
      </c>
      <c r="AX29" s="283">
        <f>SUM($O$4:O29)</f>
        <v>408795</v>
      </c>
      <c r="AY29" s="283">
        <f>AX29/Resources!$B$17</f>
        <v>3893.2857142857142</v>
      </c>
      <c r="AZ29" s="283">
        <f>SUM($I$4:I29,$K$4:K29)</f>
        <v>1027710</v>
      </c>
      <c r="BA29" s="283">
        <f>AZ29/Resources!$B$6</f>
        <v>32115.9375</v>
      </c>
      <c r="BB29" s="283">
        <f>SUM($D$4:D29,$G$4:G29)</f>
        <v>1635666.6666666667</v>
      </c>
      <c r="BC29" s="283">
        <f>BB29/Resources!$B$7</f>
        <v>54522.222222222226</v>
      </c>
      <c r="BD29" s="283">
        <f>SUM($C$4:C29,$H$4:H29)</f>
        <v>1769633.3333333335</v>
      </c>
      <c r="BE29" s="295">
        <f>BD29/Resources!$B$8</f>
        <v>68062.820512820515</v>
      </c>
      <c r="BF29" s="283">
        <f>SUM($B$4:B29,$F$4:F29)</f>
        <v>3042483.3333333335</v>
      </c>
      <c r="BG29" s="283">
        <f>BF29/Resources!$B$9</f>
        <v>98144.62365591398</v>
      </c>
      <c r="BH29" s="283">
        <f>SUM($X$4:X29,$E$4:E29)</f>
        <v>676016.66666666663</v>
      </c>
      <c r="BI29" s="283">
        <f>BH29/Resources!$B$2</f>
        <v>28167.361111111109</v>
      </c>
      <c r="BJ29" s="283">
        <f>SUM($V$4:V29,$T$4:T29)</f>
        <v>277675</v>
      </c>
      <c r="BK29" s="283">
        <f>BJ29/Resources!$B$3</f>
        <v>10679.807692307691</v>
      </c>
      <c r="BL29" s="283">
        <f>SUM($W$4:W29, $M$4:M29)</f>
        <v>397675</v>
      </c>
      <c r="BM29" s="283">
        <f>BL29/Resources!$B$4</f>
        <v>14202.678571428571</v>
      </c>
      <c r="BN29" s="283">
        <f>SUM($P$4:P29,$Q$4:Q29)</f>
        <v>716996.66666666663</v>
      </c>
      <c r="BO29" s="292">
        <f>BN29/Resources!$B$5</f>
        <v>26555.432098765432</v>
      </c>
    </row>
    <row r="30" spans="1:67" ht="19" x14ac:dyDescent="0.25">
      <c r="A30" s="34">
        <f t="shared" si="8"/>
        <v>42892</v>
      </c>
      <c r="B30" s="47">
        <f>SUMIFS(Collection!$J:$J, Collection!$A:$A, $A30, Collection!$B:$B, B$2)</f>
        <v>6300</v>
      </c>
      <c r="C30" s="47">
        <f>SUMIFS(Collection!$J:$J, Collection!$A:$A, $A30, Collection!$B:$B, C$2)</f>
        <v>0</v>
      </c>
      <c r="D30" s="47">
        <f>SUMIFS(Collection!$J:$J, Collection!$A:$A, $A30, Collection!$B:$B, D$2)</f>
        <v>0</v>
      </c>
      <c r="E30" s="47">
        <f>SUMIFS(Collection!$J:$J, Collection!$A:$A, $A30, Collection!$B:$B, E$2)</f>
        <v>1586.6666666666667</v>
      </c>
      <c r="F30" s="47">
        <f>SUMIFS(Collection!$J:$J, Collection!$A:$A, $A30, Collection!$B:$B, F$2)</f>
        <v>0</v>
      </c>
      <c r="G30" s="47">
        <f>SUMIFS(Collection!$J:$J, Collection!$A:$A, $A30, Collection!$B:$B, G$2)</f>
        <v>9866.6666666666679</v>
      </c>
      <c r="H30" s="47">
        <f>SUMIFS(Collection!$J:$J, Collection!$A:$A, $A30, Collection!$B:$B, H$2)</f>
        <v>0</v>
      </c>
      <c r="I30" s="47">
        <f>SUMIFS(Collection!$J:$J, Collection!$A:$A, $A30, Collection!$B:$B, I$2)</f>
        <v>0</v>
      </c>
      <c r="J30" s="47">
        <f>SUMIFS(Collection!$J:$J, Collection!$A:$A, $A30, Collection!$B:$B, J$2)</f>
        <v>0</v>
      </c>
      <c r="K30" s="47">
        <f>SUMIFS(Collection!$J:$J, Collection!$A:$A, $A30, Collection!$B:$B, K$2)</f>
        <v>0</v>
      </c>
      <c r="L30" s="47">
        <f>SUMIFS(Collection!$J:$J, Collection!$A:$A, $A30, Collection!$B:$B, L$2)</f>
        <v>0</v>
      </c>
      <c r="M30" s="47">
        <f>SUMIFS(Collection!$J:$J, Collection!$A:$A, $A30, Collection!$B:$B, M$2)</f>
        <v>0</v>
      </c>
      <c r="N30" s="47">
        <f>SUMIFS(Collection!$J:$J, Collection!$A:$A, $A30, Collection!$B:$B, N$2)</f>
        <v>0</v>
      </c>
      <c r="O30" s="47">
        <f>SUMIFS(Collection!$J:$J, Collection!$A:$A, $A30, Collection!$B:$B, O$2)</f>
        <v>0</v>
      </c>
      <c r="P30" s="47">
        <f>SUMIFS(Collection!$J:$J, Collection!$A:$A, $A30, Collection!$B:$B, P$2)</f>
        <v>0</v>
      </c>
      <c r="Q30" s="47">
        <f>SUMIFS(Collection!$J:$J, Collection!$A:$A, $A30, Collection!$B:$B, Q$2)</f>
        <v>0</v>
      </c>
      <c r="R30" s="47">
        <f>SUMIFS(Collection!$J:$J, Collection!$A:$A, $A30, Collection!$B:$B, R$2)</f>
        <v>0</v>
      </c>
      <c r="S30" s="47">
        <f>SUMIFS(Collection!$J:$J, Collection!$A:$A, $A30, Collection!$B:$B, S$2)</f>
        <v>0</v>
      </c>
      <c r="T30" s="47">
        <f>SUMIFS(Collection!$J:$J, Collection!$A:$A, $A30, Collection!$B:$B, T$2)</f>
        <v>0</v>
      </c>
      <c r="U30" s="47">
        <f>SUMIFS(Collection!$J:$J, Collection!$A:$A, $A30, Collection!$B:$B, U$2)</f>
        <v>0</v>
      </c>
      <c r="V30" s="47">
        <f>SUMIFS(Collection!$J:$J, Collection!$A:$A, $A30, Collection!$B:$B, V$2)</f>
        <v>0</v>
      </c>
      <c r="W30" s="47">
        <f>SUMIFS(Collection!$J:$J, Collection!$A:$A, $A30, Collection!$B:$B, W$2)</f>
        <v>0</v>
      </c>
      <c r="X30" s="47">
        <f>SUMIFS(Collection!$J:$J, Collection!$A:$A, $A30, Collection!$B:$B, X$2)</f>
        <v>103950</v>
      </c>
      <c r="Y30" s="47">
        <f>SUMIFS(Collection!$J:$J, Collection!$A:$A, $A30, Collection!$B:$B, Y$2)</f>
        <v>0</v>
      </c>
      <c r="Z30" s="47"/>
      <c r="AA30" s="47">
        <f t="shared" si="0"/>
        <v>0</v>
      </c>
      <c r="AB30" s="47">
        <f t="shared" si="1"/>
        <v>9866.6666666666679</v>
      </c>
      <c r="AC30" s="47">
        <f t="shared" si="2"/>
        <v>0</v>
      </c>
      <c r="AD30" s="47">
        <f t="shared" si="3"/>
        <v>6300</v>
      </c>
      <c r="AE30" s="47">
        <f t="shared" si="4"/>
        <v>105536.66666666667</v>
      </c>
      <c r="AF30" s="47">
        <f t="shared" si="5"/>
        <v>0</v>
      </c>
      <c r="AG30" s="47">
        <f t="shared" si="6"/>
        <v>0</v>
      </c>
      <c r="AH30" s="283">
        <f t="shared" si="7"/>
        <v>0</v>
      </c>
      <c r="AJ30" s="283">
        <f>SUM($S$4:S30)</f>
        <v>149994.44444444444</v>
      </c>
      <c r="AK30" s="283">
        <f>AJ30/Resources!$B$10</f>
        <v>12499.537037037036</v>
      </c>
      <c r="AL30" s="283">
        <f>SUM($Y$4:Y30)</f>
        <v>0</v>
      </c>
      <c r="AM30" s="290">
        <f>AL30/Resources!$B$11</f>
        <v>0</v>
      </c>
      <c r="AN30" s="283">
        <f>SUM($L$4:L30)</f>
        <v>322546.66666666669</v>
      </c>
      <c r="AO30" s="283">
        <f>AN30/Resources!$B$12</f>
        <v>21503.111111111113</v>
      </c>
      <c r="AP30" s="283">
        <f>SUM($R$4:R30)</f>
        <v>671786.66666666663</v>
      </c>
      <c r="AQ30" s="283">
        <f>AP30/Resources!$B$13</f>
        <v>67178.666666666657</v>
      </c>
      <c r="AR30" s="283">
        <f>SUM($N$4:N30)</f>
        <v>308606.66666666669</v>
      </c>
      <c r="AS30" s="283">
        <f>AR30/Resources!$B$14</f>
        <v>2780.2402402402404</v>
      </c>
      <c r="AT30" s="283">
        <f>SUM($U$4:U30)</f>
        <v>324281.66666666669</v>
      </c>
      <c r="AU30" s="283">
        <f>AT30/Resources!$B$15</f>
        <v>3210.7095709570958</v>
      </c>
      <c r="AV30" s="283">
        <f>SUM($J$4:J30)</f>
        <v>640356.66666666663</v>
      </c>
      <c r="AW30" s="283">
        <f>AV30/Resources!$B$16</f>
        <v>6534.2517006802718</v>
      </c>
      <c r="AX30" s="283">
        <f>SUM($O$4:O30)</f>
        <v>408795</v>
      </c>
      <c r="AY30" s="283">
        <f>AX30/Resources!$B$17</f>
        <v>3893.2857142857142</v>
      </c>
      <c r="AZ30" s="283">
        <f>SUM($I$4:I30,$K$4:K30)</f>
        <v>1027710</v>
      </c>
      <c r="BA30" s="283">
        <f>AZ30/Resources!$B$6</f>
        <v>32115.9375</v>
      </c>
      <c r="BB30" s="283">
        <f>SUM($D$4:D30,$G$4:G30)</f>
        <v>1645533.3333333335</v>
      </c>
      <c r="BC30" s="283">
        <f>BB30/Resources!$B$7</f>
        <v>54851.111111111117</v>
      </c>
      <c r="BD30" s="283">
        <f>SUM($C$4:C30,$H$4:H30)</f>
        <v>1769633.3333333335</v>
      </c>
      <c r="BE30" s="295">
        <f>BD30/Resources!$B$8</f>
        <v>68062.820512820515</v>
      </c>
      <c r="BF30" s="283">
        <f>SUM($B$4:B30,$F$4:F30)</f>
        <v>3048783.3333333335</v>
      </c>
      <c r="BG30" s="283">
        <f>BF30/Resources!$B$9</f>
        <v>98347.849462365601</v>
      </c>
      <c r="BH30" s="283">
        <f>SUM($X$4:X30,$E$4:E30)</f>
        <v>781553.33333333326</v>
      </c>
      <c r="BI30" s="283">
        <f>BH30/Resources!$B$2</f>
        <v>32564.722222222219</v>
      </c>
      <c r="BJ30" s="283">
        <f>SUM($V$4:V30,$T$4:T30)</f>
        <v>277675</v>
      </c>
      <c r="BK30" s="283">
        <f>BJ30/Resources!$B$3</f>
        <v>10679.807692307691</v>
      </c>
      <c r="BL30" s="283">
        <f>SUM($W$4:W30, $M$4:M30)</f>
        <v>397675</v>
      </c>
      <c r="BM30" s="283">
        <f>BL30/Resources!$B$4</f>
        <v>14202.678571428571</v>
      </c>
      <c r="BN30" s="283">
        <f>SUM($P$4:P30,$Q$4:Q30)</f>
        <v>716996.66666666663</v>
      </c>
      <c r="BO30" s="292">
        <f>BN30/Resources!$B$5</f>
        <v>26555.432098765432</v>
      </c>
    </row>
    <row r="31" spans="1:67" ht="19" x14ac:dyDescent="0.25">
      <c r="A31" s="34">
        <f t="shared" si="8"/>
        <v>42893</v>
      </c>
      <c r="B31" s="47">
        <f>SUMIFS(Collection!$J:$J, Collection!$A:$A, $A31, Collection!$B:$B, B$2)</f>
        <v>0</v>
      </c>
      <c r="C31" s="47">
        <f>SUMIFS(Collection!$J:$J, Collection!$A:$A, $A31, Collection!$B:$B, C$2)</f>
        <v>0</v>
      </c>
      <c r="D31" s="47">
        <f>SUMIFS(Collection!$J:$J, Collection!$A:$A, $A31, Collection!$B:$B, D$2)</f>
        <v>0</v>
      </c>
      <c r="E31" s="47">
        <f>SUMIFS(Collection!$J:$J, Collection!$A:$A, $A31, Collection!$B:$B, E$2)</f>
        <v>0</v>
      </c>
      <c r="F31" s="47">
        <f>SUMIFS(Collection!$J:$J, Collection!$A:$A, $A31, Collection!$B:$B, F$2)</f>
        <v>0</v>
      </c>
      <c r="G31" s="47">
        <f>SUMIFS(Collection!$J:$J, Collection!$A:$A, $A31, Collection!$B:$B, G$2)</f>
        <v>0</v>
      </c>
      <c r="H31" s="47">
        <f>SUMIFS(Collection!$J:$J, Collection!$A:$A, $A31, Collection!$B:$B, H$2)</f>
        <v>0</v>
      </c>
      <c r="I31" s="47">
        <f>SUMIFS(Collection!$J:$J, Collection!$A:$A, $A31, Collection!$B:$B, I$2)</f>
        <v>0</v>
      </c>
      <c r="J31" s="47">
        <f>SUMIFS(Collection!$J:$J, Collection!$A:$A, $A31, Collection!$B:$B, J$2)</f>
        <v>0</v>
      </c>
      <c r="K31" s="47">
        <f>SUMIFS(Collection!$J:$J, Collection!$A:$A, $A31, Collection!$B:$B, K$2)</f>
        <v>0</v>
      </c>
      <c r="L31" s="47">
        <f>SUMIFS(Collection!$J:$J, Collection!$A:$A, $A31, Collection!$B:$B, L$2)</f>
        <v>0</v>
      </c>
      <c r="M31" s="47">
        <f>SUMIFS(Collection!$J:$J, Collection!$A:$A, $A31, Collection!$B:$B, M$2)</f>
        <v>0</v>
      </c>
      <c r="N31" s="47">
        <f>SUMIFS(Collection!$J:$J, Collection!$A:$A, $A31, Collection!$B:$B, N$2)</f>
        <v>49600</v>
      </c>
      <c r="O31" s="47">
        <f>SUMIFS(Collection!$J:$J, Collection!$A:$A, $A31, Collection!$B:$B, O$2)</f>
        <v>0</v>
      </c>
      <c r="P31" s="47">
        <f>SUMIFS(Collection!$J:$J, Collection!$A:$A, $A31, Collection!$B:$B, P$2)</f>
        <v>224533.33333333334</v>
      </c>
      <c r="Q31" s="47">
        <f>SUMIFS(Collection!$J:$J, Collection!$A:$A, $A31, Collection!$B:$B, Q$2)</f>
        <v>0</v>
      </c>
      <c r="R31" s="47">
        <f>SUMIFS(Collection!$J:$J, Collection!$A:$A, $A31, Collection!$B:$B, R$2)</f>
        <v>0</v>
      </c>
      <c r="S31" s="47">
        <f>SUMIFS(Collection!$J:$J, Collection!$A:$A, $A31, Collection!$B:$B, S$2)</f>
        <v>282133.33333333337</v>
      </c>
      <c r="T31" s="47">
        <f>SUMIFS(Collection!$J:$J, Collection!$A:$A, $A31, Collection!$B:$B, T$2)</f>
        <v>0</v>
      </c>
      <c r="U31" s="47">
        <f>SUMIFS(Collection!$J:$J, Collection!$A:$A, $A31, Collection!$B:$B, U$2)</f>
        <v>0</v>
      </c>
      <c r="V31" s="47">
        <f>SUMIFS(Collection!$J:$J, Collection!$A:$A, $A31, Collection!$B:$B, V$2)</f>
        <v>0</v>
      </c>
      <c r="W31" s="47">
        <f>SUMIFS(Collection!$J:$J, Collection!$A:$A, $A31, Collection!$B:$B, W$2)</f>
        <v>0</v>
      </c>
      <c r="X31" s="47">
        <f>SUMIFS(Collection!$J:$J, Collection!$A:$A, $A31, Collection!$B:$B, X$2)</f>
        <v>0</v>
      </c>
      <c r="Y31" s="47">
        <f>SUMIFS(Collection!$J:$J, Collection!$A:$A, $A31, Collection!$B:$B, Y$2)</f>
        <v>0</v>
      </c>
      <c r="Z31" s="47"/>
      <c r="AA31" s="47">
        <f t="shared" si="0"/>
        <v>0</v>
      </c>
      <c r="AB31" s="47">
        <f t="shared" si="1"/>
        <v>0</v>
      </c>
      <c r="AC31" s="47">
        <f t="shared" si="2"/>
        <v>0</v>
      </c>
      <c r="AD31" s="47">
        <f t="shared" si="3"/>
        <v>0</v>
      </c>
      <c r="AE31" s="47">
        <f t="shared" si="4"/>
        <v>0</v>
      </c>
      <c r="AF31" s="47">
        <f t="shared" si="5"/>
        <v>0</v>
      </c>
      <c r="AG31" s="47">
        <f t="shared" si="6"/>
        <v>0</v>
      </c>
      <c r="AH31" s="283">
        <f t="shared" si="7"/>
        <v>224533.33333333334</v>
      </c>
      <c r="AJ31" s="283">
        <f>SUM($S$4:S31)</f>
        <v>432127.77777777781</v>
      </c>
      <c r="AK31" s="283">
        <f>AJ31/Resources!$B$10</f>
        <v>36010.648148148153</v>
      </c>
      <c r="AL31" s="283">
        <f>SUM($Y$4:Y31)</f>
        <v>0</v>
      </c>
      <c r="AM31" s="290">
        <f>AL31/Resources!$B$11</f>
        <v>0</v>
      </c>
      <c r="AN31" s="283">
        <f>SUM($L$4:L31)</f>
        <v>322546.66666666669</v>
      </c>
      <c r="AO31" s="283">
        <f>AN31/Resources!$B$12</f>
        <v>21503.111111111113</v>
      </c>
      <c r="AP31" s="283">
        <f>SUM($R$4:R31)</f>
        <v>671786.66666666663</v>
      </c>
      <c r="AQ31" s="283">
        <f>AP31/Resources!$B$13</f>
        <v>67178.666666666657</v>
      </c>
      <c r="AR31" s="283">
        <f>SUM($N$4:N31)</f>
        <v>358206.66666666669</v>
      </c>
      <c r="AS31" s="283">
        <f>AR31/Resources!$B$14</f>
        <v>3227.0870870870872</v>
      </c>
      <c r="AT31" s="283">
        <f>SUM($U$4:U31)</f>
        <v>324281.66666666669</v>
      </c>
      <c r="AU31" s="283">
        <f>AT31/Resources!$B$15</f>
        <v>3210.7095709570958</v>
      </c>
      <c r="AV31" s="283">
        <f>SUM($J$4:J31)</f>
        <v>640356.66666666663</v>
      </c>
      <c r="AW31" s="283">
        <f>AV31/Resources!$B$16</f>
        <v>6534.2517006802718</v>
      </c>
      <c r="AX31" s="283">
        <f>SUM($O$4:O31)</f>
        <v>408795</v>
      </c>
      <c r="AY31" s="283">
        <f>AX31/Resources!$B$17</f>
        <v>3893.2857142857142</v>
      </c>
      <c r="AZ31" s="283">
        <f>SUM($I$4:I31,$K$4:K31)</f>
        <v>1027710</v>
      </c>
      <c r="BA31" s="283">
        <f>AZ31/Resources!$B$6</f>
        <v>32115.9375</v>
      </c>
      <c r="BB31" s="283">
        <f>SUM($D$4:D31,$G$4:G31)</f>
        <v>1645533.3333333335</v>
      </c>
      <c r="BC31" s="283">
        <f>BB31/Resources!$B$7</f>
        <v>54851.111111111117</v>
      </c>
      <c r="BD31" s="283">
        <f>SUM($C$4:C31,$H$4:H31)</f>
        <v>1769633.3333333335</v>
      </c>
      <c r="BE31" s="295">
        <f>BD31/Resources!$B$8</f>
        <v>68062.820512820515</v>
      </c>
      <c r="BF31" s="283">
        <f>SUM($B$4:B31,$F$4:F31)</f>
        <v>3048783.3333333335</v>
      </c>
      <c r="BG31" s="283">
        <f>BF31/Resources!$B$9</f>
        <v>98347.849462365601</v>
      </c>
      <c r="BH31" s="283">
        <f>SUM($X$4:X31,$E$4:E31)</f>
        <v>781553.33333333326</v>
      </c>
      <c r="BI31" s="283">
        <f>BH31/Resources!$B$2</f>
        <v>32564.722222222219</v>
      </c>
      <c r="BJ31" s="283">
        <f>SUM($V$4:V31,$T$4:T31)</f>
        <v>277675</v>
      </c>
      <c r="BK31" s="283">
        <f>BJ31/Resources!$B$3</f>
        <v>10679.807692307691</v>
      </c>
      <c r="BL31" s="283">
        <f>SUM($W$4:W31, $M$4:M31)</f>
        <v>397675</v>
      </c>
      <c r="BM31" s="283">
        <f>BL31/Resources!$B$4</f>
        <v>14202.678571428571</v>
      </c>
      <c r="BN31" s="283">
        <f>SUM($P$4:P31,$Q$4:Q31)</f>
        <v>941529.99999999988</v>
      </c>
      <c r="BO31" s="292">
        <f>BN31/Resources!$B$5</f>
        <v>34871.481481481474</v>
      </c>
    </row>
    <row r="32" spans="1:67" ht="19" x14ac:dyDescent="0.25">
      <c r="A32" s="34">
        <f t="shared" si="8"/>
        <v>42894</v>
      </c>
      <c r="B32" s="47">
        <f>SUMIFS(Collection!$J:$J, Collection!$A:$A, $A32, Collection!$B:$B, B$2)</f>
        <v>0</v>
      </c>
      <c r="C32" s="47">
        <f>SUMIFS(Collection!$J:$J, Collection!$A:$A, $A32, Collection!$B:$B, C$2)</f>
        <v>0</v>
      </c>
      <c r="D32" s="47">
        <f>SUMIFS(Collection!$J:$J, Collection!$A:$A, $A32, Collection!$B:$B, D$2)</f>
        <v>0</v>
      </c>
      <c r="E32" s="47">
        <f>SUMIFS(Collection!$J:$J, Collection!$A:$A, $A32, Collection!$B:$B, E$2)</f>
        <v>0</v>
      </c>
      <c r="F32" s="47">
        <f>SUMIFS(Collection!$J:$J, Collection!$A:$A, $A32, Collection!$B:$B, F$2)</f>
        <v>0</v>
      </c>
      <c r="G32" s="47">
        <f>SUMIFS(Collection!$J:$J, Collection!$A:$A, $A32, Collection!$B:$B, G$2)</f>
        <v>0</v>
      </c>
      <c r="H32" s="47">
        <f>SUMIFS(Collection!$J:$J, Collection!$A:$A, $A32, Collection!$B:$B, H$2)</f>
        <v>0</v>
      </c>
      <c r="I32" s="47">
        <f>SUMIFS(Collection!$J:$J, Collection!$A:$A, $A32, Collection!$B:$B, I$2)</f>
        <v>0</v>
      </c>
      <c r="J32" s="47">
        <f>SUMIFS(Collection!$J:$J, Collection!$A:$A, $A32, Collection!$B:$B, J$2)</f>
        <v>0</v>
      </c>
      <c r="K32" s="47">
        <f>SUMIFS(Collection!$J:$J, Collection!$A:$A, $A32, Collection!$B:$B, K$2)</f>
        <v>0</v>
      </c>
      <c r="L32" s="47">
        <f>SUMIFS(Collection!$J:$J, Collection!$A:$A, $A32, Collection!$B:$B, L$2)</f>
        <v>0</v>
      </c>
      <c r="M32" s="47">
        <f>SUMIFS(Collection!$J:$J, Collection!$A:$A, $A32, Collection!$B:$B, M$2)</f>
        <v>0</v>
      </c>
      <c r="N32" s="47">
        <f>SUMIFS(Collection!$J:$J, Collection!$A:$A, $A32, Collection!$B:$B, N$2)</f>
        <v>9066.6666666666679</v>
      </c>
      <c r="O32" s="47">
        <f>SUMIFS(Collection!$J:$J, Collection!$A:$A, $A32, Collection!$B:$B, O$2)</f>
        <v>25166.666666666668</v>
      </c>
      <c r="P32" s="47">
        <f>SUMIFS(Collection!$J:$J, Collection!$A:$A, $A32, Collection!$B:$B, P$2)</f>
        <v>0</v>
      </c>
      <c r="Q32" s="47">
        <f>SUMIFS(Collection!$J:$J, Collection!$A:$A, $A32, Collection!$B:$B, Q$2)</f>
        <v>0</v>
      </c>
      <c r="R32" s="47">
        <f>SUMIFS(Collection!$J:$J, Collection!$A:$A, $A32, Collection!$B:$B, R$2)</f>
        <v>0</v>
      </c>
      <c r="S32" s="47">
        <f>SUMIFS(Collection!$J:$J, Collection!$A:$A, $A32, Collection!$B:$B, S$2)</f>
        <v>4391.666666666667</v>
      </c>
      <c r="T32" s="47">
        <f>SUMIFS(Collection!$J:$J, Collection!$A:$A, $A32, Collection!$B:$B, T$2)</f>
        <v>0</v>
      </c>
      <c r="U32" s="47">
        <f>SUMIFS(Collection!$J:$J, Collection!$A:$A, $A32, Collection!$B:$B, U$2)</f>
        <v>0</v>
      </c>
      <c r="V32" s="47">
        <f>SUMIFS(Collection!$J:$J, Collection!$A:$A, $A32, Collection!$B:$B, V$2)</f>
        <v>0</v>
      </c>
      <c r="W32" s="47">
        <f>SUMIFS(Collection!$J:$J, Collection!$A:$A, $A32, Collection!$B:$B, W$2)</f>
        <v>0</v>
      </c>
      <c r="X32" s="47">
        <f>SUMIFS(Collection!$J:$J, Collection!$A:$A, $A32, Collection!$B:$B, X$2)</f>
        <v>0</v>
      </c>
      <c r="Y32" s="47">
        <f>SUMIFS(Collection!$J:$J, Collection!$A:$A, $A32, Collection!$B:$B, Y$2)</f>
        <v>0</v>
      </c>
      <c r="Z32" s="47"/>
      <c r="AA32" s="47">
        <f t="shared" si="0"/>
        <v>0</v>
      </c>
      <c r="AB32" s="47">
        <f t="shared" si="1"/>
        <v>0</v>
      </c>
      <c r="AC32" s="47">
        <f t="shared" si="2"/>
        <v>0</v>
      </c>
      <c r="AD32" s="47">
        <f t="shared" si="3"/>
        <v>0</v>
      </c>
      <c r="AE32" s="47">
        <f t="shared" si="4"/>
        <v>0</v>
      </c>
      <c r="AF32" s="47">
        <f t="shared" si="5"/>
        <v>0</v>
      </c>
      <c r="AG32" s="47">
        <f t="shared" si="6"/>
        <v>0</v>
      </c>
      <c r="AH32" s="283">
        <f t="shared" si="7"/>
        <v>0</v>
      </c>
      <c r="AJ32" s="283">
        <f>SUM($S$4:S32)</f>
        <v>436519.4444444445</v>
      </c>
      <c r="AK32" s="283">
        <f>AJ32/Resources!$B$10</f>
        <v>36376.620370370372</v>
      </c>
      <c r="AL32" s="283">
        <f>SUM($Y$4:Y32)</f>
        <v>0</v>
      </c>
      <c r="AM32" s="290">
        <f>AL32/Resources!$B$11</f>
        <v>0</v>
      </c>
      <c r="AN32" s="283">
        <f>SUM($L$4:L32)</f>
        <v>322546.66666666669</v>
      </c>
      <c r="AO32" s="283">
        <f>AN32/Resources!$B$12</f>
        <v>21503.111111111113</v>
      </c>
      <c r="AP32" s="283">
        <f>SUM($R$4:R32)</f>
        <v>671786.66666666663</v>
      </c>
      <c r="AQ32" s="283">
        <f>AP32/Resources!$B$13</f>
        <v>67178.666666666657</v>
      </c>
      <c r="AR32" s="283">
        <f>SUM($N$4:N32)</f>
        <v>367273.33333333337</v>
      </c>
      <c r="AS32" s="283">
        <f>AR32/Resources!$B$14</f>
        <v>3308.768768768769</v>
      </c>
      <c r="AT32" s="283">
        <f>SUM($U$4:U32)</f>
        <v>324281.66666666669</v>
      </c>
      <c r="AU32" s="283">
        <f>AT32/Resources!$B$15</f>
        <v>3210.7095709570958</v>
      </c>
      <c r="AV32" s="283">
        <f>SUM($J$4:J32)</f>
        <v>640356.66666666663</v>
      </c>
      <c r="AW32" s="283">
        <f>AV32/Resources!$B$16</f>
        <v>6534.2517006802718</v>
      </c>
      <c r="AX32" s="283">
        <f>SUM($O$4:O32)</f>
        <v>433961.66666666669</v>
      </c>
      <c r="AY32" s="283">
        <f>AX32/Resources!$B$17</f>
        <v>4132.9682539682544</v>
      </c>
      <c r="AZ32" s="283">
        <f>SUM($I$4:I32,$K$4:K32)</f>
        <v>1027710</v>
      </c>
      <c r="BA32" s="283">
        <f>AZ32/Resources!$B$6</f>
        <v>32115.9375</v>
      </c>
      <c r="BB32" s="283">
        <f>SUM($D$4:D32,$G$4:G32)</f>
        <v>1645533.3333333335</v>
      </c>
      <c r="BC32" s="283">
        <f>BB32/Resources!$B$7</f>
        <v>54851.111111111117</v>
      </c>
      <c r="BD32" s="283">
        <f>SUM($C$4:C32,$H$4:H32)</f>
        <v>1769633.3333333335</v>
      </c>
      <c r="BE32" s="295">
        <f>BD32/Resources!$B$8</f>
        <v>68062.820512820515</v>
      </c>
      <c r="BF32" s="283">
        <f>SUM($B$4:B32,$F$4:F32)</f>
        <v>3048783.3333333335</v>
      </c>
      <c r="BG32" s="283">
        <f>BF32/Resources!$B$9</f>
        <v>98347.849462365601</v>
      </c>
      <c r="BH32" s="283">
        <f>SUM($X$4:X32,$E$4:E32)</f>
        <v>781553.33333333326</v>
      </c>
      <c r="BI32" s="283">
        <f>BH32/Resources!$B$2</f>
        <v>32564.722222222219</v>
      </c>
      <c r="BJ32" s="283">
        <f>SUM($V$4:V32,$T$4:T32)</f>
        <v>277675</v>
      </c>
      <c r="BK32" s="283">
        <f>BJ32/Resources!$B$3</f>
        <v>10679.807692307691</v>
      </c>
      <c r="BL32" s="283">
        <f>SUM($W$4:W32, $M$4:M32)</f>
        <v>397675</v>
      </c>
      <c r="BM32" s="283">
        <f>BL32/Resources!$B$4</f>
        <v>14202.678571428571</v>
      </c>
      <c r="BN32" s="283">
        <f>SUM($P$4:P32,$Q$4:Q32)</f>
        <v>941529.99999999988</v>
      </c>
      <c r="BO32" s="292">
        <f>BN32/Resources!$B$5</f>
        <v>34871.481481481474</v>
      </c>
    </row>
    <row r="33" spans="1:67" ht="19" x14ac:dyDescent="0.25">
      <c r="A33" s="34">
        <f t="shared" si="8"/>
        <v>42895</v>
      </c>
      <c r="B33" s="47">
        <f>SUMIFS(Collection!$J:$J, Collection!$A:$A, $A33, Collection!$B:$B, B$2)</f>
        <v>0</v>
      </c>
      <c r="C33" s="47">
        <f>SUMIFS(Collection!$J:$J, Collection!$A:$A, $A33, Collection!$B:$B, C$2)</f>
        <v>0</v>
      </c>
      <c r="D33" s="47">
        <f>SUMIFS(Collection!$J:$J, Collection!$A:$A, $A33, Collection!$B:$B, D$2)</f>
        <v>0</v>
      </c>
      <c r="E33" s="47">
        <f>SUMIFS(Collection!$J:$J, Collection!$A:$A, $A33, Collection!$B:$B, E$2)</f>
        <v>0</v>
      </c>
      <c r="F33" s="47">
        <f>SUMIFS(Collection!$J:$J, Collection!$A:$A, $A33, Collection!$B:$B, F$2)</f>
        <v>0</v>
      </c>
      <c r="G33" s="47">
        <f>SUMIFS(Collection!$J:$J, Collection!$A:$A, $A33, Collection!$B:$B, G$2)</f>
        <v>0</v>
      </c>
      <c r="H33" s="47">
        <f>SUMIFS(Collection!$J:$J, Collection!$A:$A, $A33, Collection!$B:$B, H$2)</f>
        <v>0</v>
      </c>
      <c r="I33" s="47">
        <f>SUMIFS(Collection!$J:$J, Collection!$A:$A, $A33, Collection!$B:$B, I$2)</f>
        <v>0</v>
      </c>
      <c r="J33" s="47">
        <f>SUMIFS(Collection!$J:$J, Collection!$A:$A, $A33, Collection!$B:$B, J$2)</f>
        <v>0</v>
      </c>
      <c r="K33" s="47">
        <f>SUMIFS(Collection!$J:$J, Collection!$A:$A, $A33, Collection!$B:$B, K$2)</f>
        <v>0</v>
      </c>
      <c r="L33" s="47">
        <f>SUMIFS(Collection!$J:$J, Collection!$A:$A, $A33, Collection!$B:$B, L$2)</f>
        <v>0</v>
      </c>
      <c r="M33" s="47">
        <f>SUMIFS(Collection!$J:$J, Collection!$A:$A, $A33, Collection!$B:$B, M$2)</f>
        <v>0</v>
      </c>
      <c r="N33" s="47">
        <f>SUMIFS(Collection!$J:$J, Collection!$A:$A, $A33, Collection!$B:$B, N$2)</f>
        <v>0</v>
      </c>
      <c r="O33" s="47">
        <f>SUMIFS(Collection!$J:$J, Collection!$A:$A, $A33, Collection!$B:$B, O$2)</f>
        <v>0</v>
      </c>
      <c r="P33" s="47">
        <f>SUMIFS(Collection!$J:$J, Collection!$A:$A, $A33, Collection!$B:$B, P$2)</f>
        <v>0</v>
      </c>
      <c r="Q33" s="47">
        <f>SUMIFS(Collection!$J:$J, Collection!$A:$A, $A33, Collection!$B:$B, Q$2)</f>
        <v>0</v>
      </c>
      <c r="R33" s="47">
        <f>SUMIFS(Collection!$J:$J, Collection!$A:$A, $A33, Collection!$B:$B, R$2)</f>
        <v>0</v>
      </c>
      <c r="S33" s="47">
        <f>SUMIFS(Collection!$J:$J, Collection!$A:$A, $A33, Collection!$B:$B, S$2)</f>
        <v>0</v>
      </c>
      <c r="T33" s="47">
        <f>SUMIFS(Collection!$J:$J, Collection!$A:$A, $A33, Collection!$B:$B, T$2)</f>
        <v>0</v>
      </c>
      <c r="U33" s="47">
        <f>SUMIFS(Collection!$J:$J, Collection!$A:$A, $A33, Collection!$B:$B, U$2)</f>
        <v>0</v>
      </c>
      <c r="V33" s="47">
        <f>SUMIFS(Collection!$J:$J, Collection!$A:$A, $A33, Collection!$B:$B, V$2)</f>
        <v>0</v>
      </c>
      <c r="W33" s="47">
        <f>SUMIFS(Collection!$J:$J, Collection!$A:$A, $A33, Collection!$B:$B, W$2)</f>
        <v>0</v>
      </c>
      <c r="X33" s="47">
        <f>SUMIFS(Collection!$J:$J, Collection!$A:$A, $A33, Collection!$B:$B, X$2)</f>
        <v>0</v>
      </c>
      <c r="Y33" s="47">
        <f>SUMIFS(Collection!$J:$J, Collection!$A:$A, $A33, Collection!$B:$B, Y$2)</f>
        <v>0</v>
      </c>
      <c r="Z33" s="47"/>
      <c r="AA33" s="47">
        <f t="shared" si="0"/>
        <v>0</v>
      </c>
      <c r="AB33" s="47">
        <f t="shared" si="1"/>
        <v>0</v>
      </c>
      <c r="AC33" s="47">
        <f t="shared" si="2"/>
        <v>0</v>
      </c>
      <c r="AD33" s="47">
        <f t="shared" si="3"/>
        <v>0</v>
      </c>
      <c r="AE33" s="47">
        <f t="shared" si="4"/>
        <v>0</v>
      </c>
      <c r="AF33" s="47">
        <f t="shared" si="5"/>
        <v>0</v>
      </c>
      <c r="AG33" s="47">
        <f t="shared" si="6"/>
        <v>0</v>
      </c>
      <c r="AH33" s="283">
        <f t="shared" si="7"/>
        <v>0</v>
      </c>
      <c r="AJ33" s="283">
        <f>SUM($S$4:S33)</f>
        <v>436519.4444444445</v>
      </c>
      <c r="AK33" s="283">
        <f>AJ33/Resources!$B$10</f>
        <v>36376.620370370372</v>
      </c>
      <c r="AL33" s="283">
        <f>SUM($Y$4:Y33)</f>
        <v>0</v>
      </c>
      <c r="AM33" s="290">
        <f>AL33/Resources!$B$11</f>
        <v>0</v>
      </c>
      <c r="AN33" s="283">
        <f>SUM($L$4:L33)</f>
        <v>322546.66666666669</v>
      </c>
      <c r="AO33" s="283">
        <f>AN33/Resources!$B$12</f>
        <v>21503.111111111113</v>
      </c>
      <c r="AP33" s="283">
        <f>SUM($R$4:R33)</f>
        <v>671786.66666666663</v>
      </c>
      <c r="AQ33" s="283">
        <f>AP33/Resources!$B$13</f>
        <v>67178.666666666657</v>
      </c>
      <c r="AR33" s="283">
        <f>SUM($N$4:N33)</f>
        <v>367273.33333333337</v>
      </c>
      <c r="AS33" s="283">
        <f>AR33/Resources!$B$14</f>
        <v>3308.768768768769</v>
      </c>
      <c r="AT33" s="283">
        <f>SUM($U$4:U33)</f>
        <v>324281.66666666669</v>
      </c>
      <c r="AU33" s="283">
        <f>AT33/Resources!$B$15</f>
        <v>3210.7095709570958</v>
      </c>
      <c r="AV33" s="283">
        <f>SUM($J$4:J33)</f>
        <v>640356.66666666663</v>
      </c>
      <c r="AW33" s="283">
        <f>AV33/Resources!$B$16</f>
        <v>6534.2517006802718</v>
      </c>
      <c r="AX33" s="283">
        <f>SUM($O$4:O33)</f>
        <v>433961.66666666669</v>
      </c>
      <c r="AY33" s="283">
        <f>AX33/Resources!$B$17</f>
        <v>4132.9682539682544</v>
      </c>
      <c r="AZ33" s="283">
        <f>SUM($I$4:I33,$K$4:K33)</f>
        <v>1027710</v>
      </c>
      <c r="BA33" s="283">
        <f>AZ33/Resources!$B$6</f>
        <v>32115.9375</v>
      </c>
      <c r="BB33" s="283">
        <f>SUM($D$4:D33,$G$4:G33)</f>
        <v>1645533.3333333335</v>
      </c>
      <c r="BC33" s="283">
        <f>BB33/Resources!$B$7</f>
        <v>54851.111111111117</v>
      </c>
      <c r="BD33" s="283">
        <f>SUM($C$4:C33,$H$4:H33)</f>
        <v>1769633.3333333335</v>
      </c>
      <c r="BE33" s="295">
        <f>BD33/Resources!$B$8</f>
        <v>68062.820512820515</v>
      </c>
      <c r="BF33" s="283">
        <f>SUM($B$4:B33,$F$4:F33)</f>
        <v>3048783.3333333335</v>
      </c>
      <c r="BG33" s="283">
        <f>BF33/Resources!$B$9</f>
        <v>98347.849462365601</v>
      </c>
      <c r="BH33" s="283">
        <f>SUM($X$4:X33,$E$4:E33)</f>
        <v>781553.33333333326</v>
      </c>
      <c r="BI33" s="283">
        <f>BH33/Resources!$B$2</f>
        <v>32564.722222222219</v>
      </c>
      <c r="BJ33" s="283">
        <f>SUM($V$4:V33,$T$4:T33)</f>
        <v>277675</v>
      </c>
      <c r="BK33" s="283">
        <f>BJ33/Resources!$B$3</f>
        <v>10679.807692307691</v>
      </c>
      <c r="BL33" s="283">
        <f>SUM($W$4:W33, $M$4:M33)</f>
        <v>397675</v>
      </c>
      <c r="BM33" s="283">
        <f>BL33/Resources!$B$4</f>
        <v>14202.678571428571</v>
      </c>
      <c r="BN33" s="283">
        <f>SUM($P$4:P33,$Q$4:Q33)</f>
        <v>941529.99999999988</v>
      </c>
      <c r="BO33" s="292">
        <f>BN33/Resources!$B$5</f>
        <v>34871.481481481474</v>
      </c>
    </row>
    <row r="34" spans="1:67" ht="19" x14ac:dyDescent="0.25">
      <c r="A34" s="34">
        <f t="shared" si="8"/>
        <v>42896</v>
      </c>
      <c r="B34" s="47">
        <f>SUMIFS(Collection!$J:$J, Collection!$A:$A, $A34, Collection!$B:$B, B$2)</f>
        <v>0</v>
      </c>
      <c r="C34" s="47">
        <f>SUMIFS(Collection!$J:$J, Collection!$A:$A, $A34, Collection!$B:$B, C$2)</f>
        <v>0</v>
      </c>
      <c r="D34" s="47">
        <f>SUMIFS(Collection!$J:$J, Collection!$A:$A, $A34, Collection!$B:$B, D$2)</f>
        <v>0</v>
      </c>
      <c r="E34" s="47">
        <f>SUMIFS(Collection!$J:$J, Collection!$A:$A, $A34, Collection!$B:$B, E$2)</f>
        <v>0</v>
      </c>
      <c r="F34" s="47">
        <f>SUMIFS(Collection!$J:$J, Collection!$A:$A, $A34, Collection!$B:$B, F$2)</f>
        <v>0</v>
      </c>
      <c r="G34" s="47">
        <f>SUMIFS(Collection!$J:$J, Collection!$A:$A, $A34, Collection!$B:$B, G$2)</f>
        <v>0</v>
      </c>
      <c r="H34" s="47">
        <f>SUMIFS(Collection!$J:$J, Collection!$A:$A, $A34, Collection!$B:$B, H$2)</f>
        <v>0</v>
      </c>
      <c r="I34" s="47">
        <f>SUMIFS(Collection!$J:$J, Collection!$A:$A, $A34, Collection!$B:$B, I$2)</f>
        <v>0</v>
      </c>
      <c r="J34" s="47">
        <f>SUMIFS(Collection!$J:$J, Collection!$A:$A, $A34, Collection!$B:$B, J$2)</f>
        <v>0</v>
      </c>
      <c r="K34" s="47">
        <f>SUMIFS(Collection!$J:$J, Collection!$A:$A, $A34, Collection!$B:$B, K$2)</f>
        <v>0</v>
      </c>
      <c r="L34" s="47">
        <f>SUMIFS(Collection!$J:$J, Collection!$A:$A, $A34, Collection!$B:$B, L$2)</f>
        <v>149050</v>
      </c>
      <c r="M34" s="47">
        <f>SUMIFS(Collection!$J:$J, Collection!$A:$A, $A34, Collection!$B:$B, M$2)</f>
        <v>0</v>
      </c>
      <c r="N34" s="47">
        <f>SUMIFS(Collection!$J:$J, Collection!$A:$A, $A34, Collection!$B:$B, N$2)</f>
        <v>2800</v>
      </c>
      <c r="O34" s="47">
        <f>SUMIFS(Collection!$J:$J, Collection!$A:$A, $A34, Collection!$B:$B, O$2)</f>
        <v>1280</v>
      </c>
      <c r="P34" s="47">
        <f>SUMIFS(Collection!$J:$J, Collection!$A:$A, $A34, Collection!$B:$B, P$2)</f>
        <v>0</v>
      </c>
      <c r="Q34" s="47">
        <f>SUMIFS(Collection!$J:$J, Collection!$A:$A, $A34, Collection!$B:$B, Q$2)</f>
        <v>0</v>
      </c>
      <c r="R34" s="47">
        <f>SUMIFS(Collection!$J:$J, Collection!$A:$A, $A34, Collection!$B:$B, R$2)</f>
        <v>0</v>
      </c>
      <c r="S34" s="47">
        <f>SUMIFS(Collection!$J:$J, Collection!$A:$A, $A34, Collection!$B:$B, S$2)</f>
        <v>0</v>
      </c>
      <c r="T34" s="47">
        <f>SUMIFS(Collection!$J:$J, Collection!$A:$A, $A34, Collection!$B:$B, T$2)</f>
        <v>0</v>
      </c>
      <c r="U34" s="47">
        <f>SUMIFS(Collection!$J:$J, Collection!$A:$A, $A34, Collection!$B:$B, U$2)</f>
        <v>72053.333333333328</v>
      </c>
      <c r="V34" s="47">
        <f>SUMIFS(Collection!$J:$J, Collection!$A:$A, $A34, Collection!$B:$B, V$2)</f>
        <v>0</v>
      </c>
      <c r="W34" s="47">
        <f>SUMIFS(Collection!$J:$J, Collection!$A:$A, $A34, Collection!$B:$B, W$2)</f>
        <v>0</v>
      </c>
      <c r="X34" s="47">
        <f>SUMIFS(Collection!$J:$J, Collection!$A:$A, $A34, Collection!$B:$B, X$2)</f>
        <v>246933.33333333334</v>
      </c>
      <c r="Y34" s="47">
        <f>SUMIFS(Collection!$J:$J, Collection!$A:$A, $A34, Collection!$B:$B, Y$2)</f>
        <v>0</v>
      </c>
      <c r="Z34" s="47"/>
      <c r="AA34" s="47">
        <f t="shared" si="0"/>
        <v>0</v>
      </c>
      <c r="AB34" s="47">
        <f t="shared" si="1"/>
        <v>0</v>
      </c>
      <c r="AC34" s="47">
        <f t="shared" si="2"/>
        <v>0</v>
      </c>
      <c r="AD34" s="47">
        <f t="shared" si="3"/>
        <v>0</v>
      </c>
      <c r="AE34" s="47">
        <f t="shared" si="4"/>
        <v>246933.33333333334</v>
      </c>
      <c r="AF34" s="47">
        <f t="shared" si="5"/>
        <v>0</v>
      </c>
      <c r="AG34" s="47">
        <f t="shared" si="6"/>
        <v>0</v>
      </c>
      <c r="AH34" s="283">
        <f t="shared" si="7"/>
        <v>0</v>
      </c>
      <c r="AJ34" s="283">
        <f>SUM($S$4:S34)</f>
        <v>436519.4444444445</v>
      </c>
      <c r="AK34" s="283">
        <f>AJ34/Resources!$B$10</f>
        <v>36376.620370370372</v>
      </c>
      <c r="AL34" s="283">
        <f>SUM($Y$4:Y34)</f>
        <v>0</v>
      </c>
      <c r="AM34" s="290">
        <f>AL34/Resources!$B$11</f>
        <v>0</v>
      </c>
      <c r="AN34" s="283">
        <f>SUM($L$4:L34)</f>
        <v>471596.66666666669</v>
      </c>
      <c r="AO34" s="283">
        <f>AN34/Resources!$B$12</f>
        <v>31439.777777777777</v>
      </c>
      <c r="AP34" s="283">
        <f>SUM($R$4:R34)</f>
        <v>671786.66666666663</v>
      </c>
      <c r="AQ34" s="283">
        <f>AP34/Resources!$B$13</f>
        <v>67178.666666666657</v>
      </c>
      <c r="AR34" s="283">
        <f>SUM($N$4:N34)</f>
        <v>370073.33333333337</v>
      </c>
      <c r="AS34" s="283">
        <f>AR34/Resources!$B$14</f>
        <v>3333.9939939939945</v>
      </c>
      <c r="AT34" s="283">
        <f>SUM($U$4:U34)</f>
        <v>396335</v>
      </c>
      <c r="AU34" s="283">
        <f>AT34/Resources!$B$15</f>
        <v>3924.1089108910892</v>
      </c>
      <c r="AV34" s="283">
        <f>SUM($J$4:J34)</f>
        <v>640356.66666666663</v>
      </c>
      <c r="AW34" s="283">
        <f>AV34/Resources!$B$16</f>
        <v>6534.2517006802718</v>
      </c>
      <c r="AX34" s="283">
        <f>SUM($O$4:O34)</f>
        <v>435241.66666666669</v>
      </c>
      <c r="AY34" s="283">
        <f>AX34/Resources!$B$17</f>
        <v>4145.1587301587306</v>
      </c>
      <c r="AZ34" s="283">
        <f>SUM($I$4:I34,$K$4:K34)</f>
        <v>1027710</v>
      </c>
      <c r="BA34" s="283">
        <f>AZ34/Resources!$B$6</f>
        <v>32115.9375</v>
      </c>
      <c r="BB34" s="283">
        <f>SUM($D$4:D34,$G$4:G34)</f>
        <v>1645533.3333333335</v>
      </c>
      <c r="BC34" s="283">
        <f>BB34/Resources!$B$7</f>
        <v>54851.111111111117</v>
      </c>
      <c r="BD34" s="283">
        <f>SUM($C$4:C34,$H$4:H34)</f>
        <v>1769633.3333333335</v>
      </c>
      <c r="BE34" s="295">
        <f>BD34/Resources!$B$8</f>
        <v>68062.820512820515</v>
      </c>
      <c r="BF34" s="283">
        <f>SUM($B$4:B34,$F$4:F34)</f>
        <v>3048783.3333333335</v>
      </c>
      <c r="BG34" s="283">
        <f>BF34/Resources!$B$9</f>
        <v>98347.849462365601</v>
      </c>
      <c r="BH34" s="283">
        <f>SUM($X$4:X34,$E$4:E34)</f>
        <v>1028486.6666666666</v>
      </c>
      <c r="BI34" s="283">
        <f>BH34/Resources!$B$2</f>
        <v>42853.611111111109</v>
      </c>
      <c r="BJ34" s="283">
        <f>SUM($V$4:V34,$T$4:T34)</f>
        <v>277675</v>
      </c>
      <c r="BK34" s="283">
        <f>BJ34/Resources!$B$3</f>
        <v>10679.807692307691</v>
      </c>
      <c r="BL34" s="283">
        <f>SUM($W$4:W34, $M$4:M34)</f>
        <v>397675</v>
      </c>
      <c r="BM34" s="283">
        <f>BL34/Resources!$B$4</f>
        <v>14202.678571428571</v>
      </c>
      <c r="BN34" s="283">
        <f>SUM($P$4:P34,$Q$4:Q34)</f>
        <v>941529.99999999988</v>
      </c>
      <c r="BO34" s="292">
        <f>BN34/Resources!$B$5</f>
        <v>34871.481481481474</v>
      </c>
    </row>
    <row r="35" spans="1:67" ht="19" x14ac:dyDescent="0.25">
      <c r="A35" s="34">
        <f t="shared" si="8"/>
        <v>42897</v>
      </c>
      <c r="B35" s="47">
        <f>SUMIFS(Collection!$J:$J, Collection!$A:$A, $A35, Collection!$B:$B, B$2)</f>
        <v>0</v>
      </c>
      <c r="C35" s="47">
        <f>SUMIFS(Collection!$J:$J, Collection!$A:$A, $A35, Collection!$B:$B, C$2)</f>
        <v>0</v>
      </c>
      <c r="D35" s="47">
        <f>SUMIFS(Collection!$J:$J, Collection!$A:$A, $A35, Collection!$B:$B, D$2)</f>
        <v>0</v>
      </c>
      <c r="E35" s="47">
        <f>SUMIFS(Collection!$J:$J, Collection!$A:$A, $A35, Collection!$B:$B, E$2)</f>
        <v>0</v>
      </c>
      <c r="F35" s="47">
        <f>SUMIFS(Collection!$J:$J, Collection!$A:$A, $A35, Collection!$B:$B, F$2)</f>
        <v>0</v>
      </c>
      <c r="G35" s="47">
        <f>SUMIFS(Collection!$J:$J, Collection!$A:$A, $A35, Collection!$B:$B, G$2)</f>
        <v>0</v>
      </c>
      <c r="H35" s="47">
        <f>SUMIFS(Collection!$J:$J, Collection!$A:$A, $A35, Collection!$B:$B, H$2)</f>
        <v>0</v>
      </c>
      <c r="I35" s="47">
        <f>SUMIFS(Collection!$J:$J, Collection!$A:$A, $A35, Collection!$B:$B, I$2)</f>
        <v>0</v>
      </c>
      <c r="J35" s="47">
        <f>SUMIFS(Collection!$J:$J, Collection!$A:$A, $A35, Collection!$B:$B, J$2)</f>
        <v>0</v>
      </c>
      <c r="K35" s="47">
        <f>SUMIFS(Collection!$J:$J, Collection!$A:$A, $A35, Collection!$B:$B, K$2)</f>
        <v>0</v>
      </c>
      <c r="L35" s="47">
        <f>SUMIFS(Collection!$J:$J, Collection!$A:$A, $A35, Collection!$B:$B, L$2)</f>
        <v>0</v>
      </c>
      <c r="M35" s="47">
        <f>SUMIFS(Collection!$J:$J, Collection!$A:$A, $A35, Collection!$B:$B, M$2)</f>
        <v>0</v>
      </c>
      <c r="N35" s="47">
        <f>SUMIFS(Collection!$J:$J, Collection!$A:$A, $A35, Collection!$B:$B, N$2)</f>
        <v>0</v>
      </c>
      <c r="O35" s="47">
        <f>SUMIFS(Collection!$J:$J, Collection!$A:$A, $A35, Collection!$B:$B, O$2)</f>
        <v>0</v>
      </c>
      <c r="P35" s="47">
        <f>SUMIFS(Collection!$J:$J, Collection!$A:$A, $A35, Collection!$B:$B, P$2)</f>
        <v>0</v>
      </c>
      <c r="Q35" s="47">
        <f>SUMIFS(Collection!$J:$J, Collection!$A:$A, $A35, Collection!$B:$B, Q$2)</f>
        <v>0</v>
      </c>
      <c r="R35" s="47">
        <f>SUMIFS(Collection!$J:$J, Collection!$A:$A, $A35, Collection!$B:$B, R$2)</f>
        <v>0</v>
      </c>
      <c r="S35" s="47">
        <f>SUMIFS(Collection!$J:$J, Collection!$A:$A, $A35, Collection!$B:$B, S$2)</f>
        <v>0</v>
      </c>
      <c r="T35" s="47">
        <f>SUMIFS(Collection!$J:$J, Collection!$A:$A, $A35, Collection!$B:$B, T$2)</f>
        <v>0</v>
      </c>
      <c r="U35" s="47">
        <f>SUMIFS(Collection!$J:$J, Collection!$A:$A, $A35, Collection!$B:$B, U$2)</f>
        <v>0</v>
      </c>
      <c r="V35" s="47">
        <f>SUMIFS(Collection!$J:$J, Collection!$A:$A, $A35, Collection!$B:$B, V$2)</f>
        <v>0</v>
      </c>
      <c r="W35" s="47">
        <f>SUMIFS(Collection!$J:$J, Collection!$A:$A, $A35, Collection!$B:$B, W$2)</f>
        <v>0</v>
      </c>
      <c r="X35" s="47">
        <f>SUMIFS(Collection!$J:$J, Collection!$A:$A, $A35, Collection!$B:$B, X$2)</f>
        <v>0</v>
      </c>
      <c r="Y35" s="47">
        <f>SUMIFS(Collection!$J:$J, Collection!$A:$A, $A35, Collection!$B:$B, Y$2)</f>
        <v>0</v>
      </c>
      <c r="Z35" s="47"/>
      <c r="AA35" s="47">
        <f t="shared" si="0"/>
        <v>0</v>
      </c>
      <c r="AB35" s="47">
        <f t="shared" si="1"/>
        <v>0</v>
      </c>
      <c r="AC35" s="47">
        <f t="shared" si="2"/>
        <v>0</v>
      </c>
      <c r="AD35" s="47">
        <f t="shared" si="3"/>
        <v>0</v>
      </c>
      <c r="AE35" s="47">
        <f t="shared" si="4"/>
        <v>0</v>
      </c>
      <c r="AF35" s="47">
        <f t="shared" si="5"/>
        <v>0</v>
      </c>
      <c r="AG35" s="47">
        <f t="shared" si="6"/>
        <v>0</v>
      </c>
      <c r="AH35" s="283">
        <f t="shared" si="7"/>
        <v>0</v>
      </c>
      <c r="AJ35" s="283">
        <f>SUM($S$4:S35)</f>
        <v>436519.4444444445</v>
      </c>
      <c r="AK35" s="283">
        <f>AJ35/Resources!$B$10</f>
        <v>36376.620370370372</v>
      </c>
      <c r="AL35" s="283">
        <f>SUM($Y$4:Y35)</f>
        <v>0</v>
      </c>
      <c r="AM35" s="290">
        <f>AL35/Resources!$B$11</f>
        <v>0</v>
      </c>
      <c r="AN35" s="283">
        <f>SUM($L$4:L35)</f>
        <v>471596.66666666669</v>
      </c>
      <c r="AO35" s="283">
        <f>AN35/Resources!$B$12</f>
        <v>31439.777777777777</v>
      </c>
      <c r="AP35" s="283">
        <f>SUM($R$4:R35)</f>
        <v>671786.66666666663</v>
      </c>
      <c r="AQ35" s="283">
        <f>AP35/Resources!$B$13</f>
        <v>67178.666666666657</v>
      </c>
      <c r="AR35" s="283">
        <f>SUM($N$4:N35)</f>
        <v>370073.33333333337</v>
      </c>
      <c r="AS35" s="283">
        <f>AR35/Resources!$B$14</f>
        <v>3333.9939939939945</v>
      </c>
      <c r="AT35" s="283">
        <f>SUM($U$4:U35)</f>
        <v>396335</v>
      </c>
      <c r="AU35" s="283">
        <f>AT35/Resources!$B$15</f>
        <v>3924.1089108910892</v>
      </c>
      <c r="AV35" s="283">
        <f>SUM($J$4:J35)</f>
        <v>640356.66666666663</v>
      </c>
      <c r="AW35" s="283">
        <f>AV35/Resources!$B$16</f>
        <v>6534.2517006802718</v>
      </c>
      <c r="AX35" s="283">
        <f>SUM($O$4:O35)</f>
        <v>435241.66666666669</v>
      </c>
      <c r="AY35" s="283">
        <f>AX35/Resources!$B$17</f>
        <v>4145.1587301587306</v>
      </c>
      <c r="AZ35" s="283">
        <f>SUM($I$4:I35,$K$4:K35)</f>
        <v>1027710</v>
      </c>
      <c r="BA35" s="283">
        <f>AZ35/Resources!$B$6</f>
        <v>32115.9375</v>
      </c>
      <c r="BB35" s="283">
        <f>SUM($D$4:D35,$G$4:G35)</f>
        <v>1645533.3333333335</v>
      </c>
      <c r="BC35" s="283">
        <f>BB35/Resources!$B$7</f>
        <v>54851.111111111117</v>
      </c>
      <c r="BD35" s="283">
        <f>SUM($C$4:C35,$H$4:H35)</f>
        <v>1769633.3333333335</v>
      </c>
      <c r="BE35" s="295">
        <f>BD35/Resources!$B$8</f>
        <v>68062.820512820515</v>
      </c>
      <c r="BF35" s="283">
        <f>SUM($B$4:B35,$F$4:F35)</f>
        <v>3048783.3333333335</v>
      </c>
      <c r="BG35" s="283">
        <f>BF35/Resources!$B$9</f>
        <v>98347.849462365601</v>
      </c>
      <c r="BH35" s="283">
        <f>SUM($X$4:X35,$E$4:E35)</f>
        <v>1028486.6666666666</v>
      </c>
      <c r="BI35" s="283">
        <f>BH35/Resources!$B$2</f>
        <v>42853.611111111109</v>
      </c>
      <c r="BJ35" s="283">
        <f>SUM($V$4:V35,$T$4:T35)</f>
        <v>277675</v>
      </c>
      <c r="BK35" s="283">
        <f>BJ35/Resources!$B$3</f>
        <v>10679.807692307691</v>
      </c>
      <c r="BL35" s="283">
        <f>SUM($W$4:W35, $M$4:M35)</f>
        <v>397675</v>
      </c>
      <c r="BM35" s="283">
        <f>BL35/Resources!$B$4</f>
        <v>14202.678571428571</v>
      </c>
      <c r="BN35" s="283">
        <f>SUM($P$4:P35,$Q$4:Q35)</f>
        <v>941529.99999999988</v>
      </c>
      <c r="BO35" s="292">
        <f>BN35/Resources!$B$5</f>
        <v>34871.481481481474</v>
      </c>
    </row>
    <row r="36" spans="1:67" ht="19" x14ac:dyDescent="0.25">
      <c r="A36" s="34">
        <f t="shared" si="8"/>
        <v>42898</v>
      </c>
      <c r="B36" s="47">
        <f>SUMIFS(Collection!$J:$J, Collection!$A:$A, $A36, Collection!$B:$B, B$2)</f>
        <v>0</v>
      </c>
      <c r="C36" s="47">
        <f>SUMIFS(Collection!$J:$J, Collection!$A:$A, $A36, Collection!$B:$B, C$2)</f>
        <v>0</v>
      </c>
      <c r="D36" s="47">
        <f>SUMIFS(Collection!$J:$J, Collection!$A:$A, $A36, Collection!$B:$B, D$2)</f>
        <v>0</v>
      </c>
      <c r="E36" s="47">
        <f>SUMIFS(Collection!$J:$J, Collection!$A:$A, $A36, Collection!$B:$B, E$2)</f>
        <v>0</v>
      </c>
      <c r="F36" s="47">
        <f>SUMIFS(Collection!$J:$J, Collection!$A:$A, $A36, Collection!$B:$B, F$2)</f>
        <v>0</v>
      </c>
      <c r="G36" s="47">
        <f>SUMIFS(Collection!$J:$J, Collection!$A:$A, $A36, Collection!$B:$B, G$2)</f>
        <v>0</v>
      </c>
      <c r="H36" s="47">
        <f>SUMIFS(Collection!$J:$J, Collection!$A:$A, $A36, Collection!$B:$B, H$2)</f>
        <v>0</v>
      </c>
      <c r="I36" s="47">
        <f>SUMIFS(Collection!$J:$J, Collection!$A:$A, $A36, Collection!$B:$B, I$2)</f>
        <v>1400</v>
      </c>
      <c r="J36" s="47">
        <f>SUMIFS(Collection!$J:$J, Collection!$A:$A, $A36, Collection!$B:$B, J$2)</f>
        <v>0</v>
      </c>
      <c r="K36" s="47">
        <f>SUMIFS(Collection!$J:$J, Collection!$A:$A, $A36, Collection!$B:$B, K$2)</f>
        <v>0</v>
      </c>
      <c r="L36" s="47">
        <f>SUMIFS(Collection!$J:$J, Collection!$A:$A, $A36, Collection!$B:$B, L$2)</f>
        <v>176000</v>
      </c>
      <c r="M36" s="47">
        <f>SUMIFS(Collection!$J:$J, Collection!$A:$A, $A36, Collection!$B:$B, M$2)</f>
        <v>0</v>
      </c>
      <c r="N36" s="47">
        <f>SUMIFS(Collection!$J:$J, Collection!$A:$A, $A36, Collection!$B:$B, N$2)</f>
        <v>0</v>
      </c>
      <c r="O36" s="47">
        <f>SUMIFS(Collection!$J:$J, Collection!$A:$A, $A36, Collection!$B:$B, O$2)</f>
        <v>0</v>
      </c>
      <c r="P36" s="47">
        <f>SUMIFS(Collection!$J:$J, Collection!$A:$A, $A36, Collection!$B:$B, P$2)</f>
        <v>0</v>
      </c>
      <c r="Q36" s="47">
        <f>SUMIFS(Collection!$J:$J, Collection!$A:$A, $A36, Collection!$B:$B, Q$2)</f>
        <v>0</v>
      </c>
      <c r="R36" s="47">
        <f>SUMIFS(Collection!$J:$J, Collection!$A:$A, $A36, Collection!$B:$B, R$2)</f>
        <v>0</v>
      </c>
      <c r="S36" s="47">
        <f>SUMIFS(Collection!$J:$J, Collection!$A:$A, $A36, Collection!$B:$B, S$2)</f>
        <v>0</v>
      </c>
      <c r="T36" s="47">
        <f>SUMIFS(Collection!$J:$J, Collection!$A:$A, $A36, Collection!$B:$B, T$2)</f>
        <v>0</v>
      </c>
      <c r="U36" s="47">
        <f>SUMIFS(Collection!$J:$J, Collection!$A:$A, $A36, Collection!$B:$B, U$2)</f>
        <v>4200</v>
      </c>
      <c r="V36" s="47">
        <f>SUMIFS(Collection!$J:$J, Collection!$A:$A, $A36, Collection!$B:$B, V$2)</f>
        <v>0</v>
      </c>
      <c r="W36" s="47">
        <f>SUMIFS(Collection!$J:$J, Collection!$A:$A, $A36, Collection!$B:$B, W$2)</f>
        <v>0</v>
      </c>
      <c r="X36" s="47">
        <f>SUMIFS(Collection!$J:$J, Collection!$A:$A, $A36, Collection!$B:$B, X$2)</f>
        <v>9400</v>
      </c>
      <c r="Y36" s="47">
        <f>SUMIFS(Collection!$J:$J, Collection!$A:$A, $A36, Collection!$B:$B, Y$2)</f>
        <v>105066.66666666667</v>
      </c>
      <c r="Z36" s="47"/>
      <c r="AA36" s="47">
        <f t="shared" si="0"/>
        <v>1400</v>
      </c>
      <c r="AB36" s="47">
        <f t="shared" si="1"/>
        <v>0</v>
      </c>
      <c r="AC36" s="47">
        <f t="shared" si="2"/>
        <v>0</v>
      </c>
      <c r="AD36" s="47">
        <f t="shared" si="3"/>
        <v>0</v>
      </c>
      <c r="AE36" s="47">
        <f t="shared" si="4"/>
        <v>9400</v>
      </c>
      <c r="AF36" s="47">
        <f t="shared" si="5"/>
        <v>0</v>
      </c>
      <c r="AG36" s="47">
        <f t="shared" si="6"/>
        <v>0</v>
      </c>
      <c r="AH36" s="283">
        <f t="shared" si="7"/>
        <v>0</v>
      </c>
      <c r="AJ36" s="283">
        <f>SUM($S$4:S36)</f>
        <v>436519.4444444445</v>
      </c>
      <c r="AK36" s="283">
        <f>AJ36/Resources!$B$10</f>
        <v>36376.620370370372</v>
      </c>
      <c r="AL36" s="283">
        <f>SUM($Y$4:Y36)</f>
        <v>105066.66666666667</v>
      </c>
      <c r="AM36" s="290">
        <f>AL36/Resources!$B$11</f>
        <v>8755.5555555555566</v>
      </c>
      <c r="AN36" s="283">
        <f>SUM($L$4:L36)</f>
        <v>647596.66666666674</v>
      </c>
      <c r="AO36" s="283">
        <f>AN36/Resources!$B$12</f>
        <v>43173.111111111117</v>
      </c>
      <c r="AP36" s="283">
        <f>SUM($R$4:R36)</f>
        <v>671786.66666666663</v>
      </c>
      <c r="AQ36" s="283">
        <f>AP36/Resources!$B$13</f>
        <v>67178.666666666657</v>
      </c>
      <c r="AR36" s="283">
        <f>SUM($N$4:N36)</f>
        <v>370073.33333333337</v>
      </c>
      <c r="AS36" s="283">
        <f>AR36/Resources!$B$14</f>
        <v>3333.9939939939945</v>
      </c>
      <c r="AT36" s="283">
        <f>SUM($U$4:U36)</f>
        <v>400535</v>
      </c>
      <c r="AU36" s="283">
        <f>AT36/Resources!$B$15</f>
        <v>3965.6930693069307</v>
      </c>
      <c r="AV36" s="283">
        <f>SUM($J$4:J36)</f>
        <v>640356.66666666663</v>
      </c>
      <c r="AW36" s="283">
        <f>AV36/Resources!$B$16</f>
        <v>6534.2517006802718</v>
      </c>
      <c r="AX36" s="283">
        <f>SUM($O$4:O36)</f>
        <v>435241.66666666669</v>
      </c>
      <c r="AY36" s="283">
        <f>AX36/Resources!$B$17</f>
        <v>4145.1587301587306</v>
      </c>
      <c r="AZ36" s="283">
        <f>SUM($I$4:I36,$K$4:K36)</f>
        <v>1029110</v>
      </c>
      <c r="BA36" s="283">
        <f>AZ36/Resources!$B$6</f>
        <v>32159.6875</v>
      </c>
      <c r="BB36" s="283">
        <f>SUM($D$4:D36,$G$4:G36)</f>
        <v>1645533.3333333335</v>
      </c>
      <c r="BC36" s="283">
        <f>BB36/Resources!$B$7</f>
        <v>54851.111111111117</v>
      </c>
      <c r="BD36" s="283">
        <f>SUM($C$4:C36,$H$4:H36)</f>
        <v>1769633.3333333335</v>
      </c>
      <c r="BE36" s="295">
        <f>BD36/Resources!$B$8</f>
        <v>68062.820512820515</v>
      </c>
      <c r="BF36" s="283">
        <f>SUM($B$4:B36,$F$4:F36)</f>
        <v>3048783.3333333335</v>
      </c>
      <c r="BG36" s="283">
        <f>BF36/Resources!$B$9</f>
        <v>98347.849462365601</v>
      </c>
      <c r="BH36" s="283">
        <f>SUM($X$4:X36,$E$4:E36)</f>
        <v>1037886.6666666666</v>
      </c>
      <c r="BI36" s="283">
        <f>BH36/Resources!$B$2</f>
        <v>43245.277777777774</v>
      </c>
      <c r="BJ36" s="283">
        <f>SUM($V$4:V36,$T$4:T36)</f>
        <v>277675</v>
      </c>
      <c r="BK36" s="283">
        <f>BJ36/Resources!$B$3</f>
        <v>10679.807692307691</v>
      </c>
      <c r="BL36" s="283">
        <f>SUM($W$4:W36, $M$4:M36)</f>
        <v>397675</v>
      </c>
      <c r="BM36" s="283">
        <f>BL36/Resources!$B$4</f>
        <v>14202.678571428571</v>
      </c>
      <c r="BN36" s="283">
        <f>SUM($P$4:P36,$Q$4:Q36)</f>
        <v>941529.99999999988</v>
      </c>
      <c r="BO36" s="292">
        <f>BN36/Resources!$B$5</f>
        <v>34871.481481481474</v>
      </c>
    </row>
    <row r="37" spans="1:67" ht="19" x14ac:dyDescent="0.25">
      <c r="A37" s="34">
        <f t="shared" si="8"/>
        <v>42899</v>
      </c>
      <c r="B37" s="47">
        <f>SUMIFS(Collection!$J:$J, Collection!$A:$A, $A37, Collection!$B:$B, B$2)</f>
        <v>0</v>
      </c>
      <c r="C37" s="47">
        <f>SUMIFS(Collection!$J:$J, Collection!$A:$A, $A37, Collection!$B:$B, C$2)</f>
        <v>0</v>
      </c>
      <c r="D37" s="47">
        <f>SUMIFS(Collection!$J:$J, Collection!$A:$A, $A37, Collection!$B:$B, D$2)</f>
        <v>0</v>
      </c>
      <c r="E37" s="47">
        <f>SUMIFS(Collection!$J:$J, Collection!$A:$A, $A37, Collection!$B:$B, E$2)</f>
        <v>0</v>
      </c>
      <c r="F37" s="47">
        <f>SUMIFS(Collection!$J:$J, Collection!$A:$A, $A37, Collection!$B:$B, F$2)</f>
        <v>0</v>
      </c>
      <c r="G37" s="47">
        <f>SUMIFS(Collection!$J:$J, Collection!$A:$A, $A37, Collection!$B:$B, G$2)</f>
        <v>0</v>
      </c>
      <c r="H37" s="47">
        <f>SUMIFS(Collection!$J:$J, Collection!$A:$A, $A37, Collection!$B:$B, H$2)</f>
        <v>0</v>
      </c>
      <c r="I37" s="47">
        <f>SUMIFS(Collection!$J:$J, Collection!$A:$A, $A37, Collection!$B:$B, I$2)</f>
        <v>0</v>
      </c>
      <c r="J37" s="47">
        <f>SUMIFS(Collection!$J:$J, Collection!$A:$A, $A37, Collection!$B:$B, J$2)</f>
        <v>0</v>
      </c>
      <c r="K37" s="47">
        <f>SUMIFS(Collection!$J:$J, Collection!$A:$A, $A37, Collection!$B:$B, K$2)</f>
        <v>0</v>
      </c>
      <c r="L37" s="47">
        <f>SUMIFS(Collection!$J:$J, Collection!$A:$A, $A37, Collection!$B:$B, L$2)</f>
        <v>0</v>
      </c>
      <c r="M37" s="47">
        <f>SUMIFS(Collection!$J:$J, Collection!$A:$A, $A37, Collection!$B:$B, M$2)</f>
        <v>0</v>
      </c>
      <c r="N37" s="47">
        <f>SUMIFS(Collection!$J:$J, Collection!$A:$A, $A37, Collection!$B:$B, N$2)</f>
        <v>0</v>
      </c>
      <c r="O37" s="47">
        <f>SUMIFS(Collection!$J:$J, Collection!$A:$A, $A37, Collection!$B:$B, O$2)</f>
        <v>0</v>
      </c>
      <c r="P37" s="47">
        <f>SUMIFS(Collection!$J:$J, Collection!$A:$A, $A37, Collection!$B:$B, P$2)</f>
        <v>0</v>
      </c>
      <c r="Q37" s="47">
        <f>SUMIFS(Collection!$J:$J, Collection!$A:$A, $A37, Collection!$B:$B, Q$2)</f>
        <v>0</v>
      </c>
      <c r="R37" s="47">
        <f>SUMIFS(Collection!$J:$J, Collection!$A:$A, $A37, Collection!$B:$B, R$2)</f>
        <v>0</v>
      </c>
      <c r="S37" s="47">
        <f>SUMIFS(Collection!$J:$J, Collection!$A:$A, $A37, Collection!$B:$B, S$2)</f>
        <v>0</v>
      </c>
      <c r="T37" s="47">
        <f>SUMIFS(Collection!$J:$J, Collection!$A:$A, $A37, Collection!$B:$B, T$2)</f>
        <v>0</v>
      </c>
      <c r="U37" s="47">
        <f>SUMIFS(Collection!$J:$J, Collection!$A:$A, $A37, Collection!$B:$B, U$2)</f>
        <v>0</v>
      </c>
      <c r="V37" s="47">
        <f>SUMIFS(Collection!$J:$J, Collection!$A:$A, $A37, Collection!$B:$B, V$2)</f>
        <v>0</v>
      </c>
      <c r="W37" s="47">
        <f>SUMIFS(Collection!$J:$J, Collection!$A:$A, $A37, Collection!$B:$B, W$2)</f>
        <v>0</v>
      </c>
      <c r="X37" s="47">
        <f>SUMIFS(Collection!$J:$J, Collection!$A:$A, $A37, Collection!$B:$B, X$2)</f>
        <v>0</v>
      </c>
      <c r="Y37" s="47">
        <f>SUMIFS(Collection!$J:$J, Collection!$A:$A, $A37, Collection!$B:$B, Y$2)</f>
        <v>0</v>
      </c>
      <c r="Z37" s="47"/>
      <c r="AA37" s="47">
        <f t="shared" si="0"/>
        <v>0</v>
      </c>
      <c r="AB37" s="47">
        <f t="shared" si="1"/>
        <v>0</v>
      </c>
      <c r="AC37" s="47">
        <f t="shared" si="2"/>
        <v>0</v>
      </c>
      <c r="AD37" s="47">
        <f t="shared" si="3"/>
        <v>0</v>
      </c>
      <c r="AE37" s="47">
        <f t="shared" si="4"/>
        <v>0</v>
      </c>
      <c r="AF37" s="47">
        <f t="shared" si="5"/>
        <v>0</v>
      </c>
      <c r="AG37" s="47">
        <f t="shared" si="6"/>
        <v>0</v>
      </c>
      <c r="AH37" s="283">
        <f t="shared" si="7"/>
        <v>0</v>
      </c>
      <c r="AJ37" s="283">
        <f>SUM($S$4:S37)</f>
        <v>436519.4444444445</v>
      </c>
      <c r="AK37" s="283">
        <f>AJ37/Resources!$B$10</f>
        <v>36376.620370370372</v>
      </c>
      <c r="AL37" s="283">
        <f>SUM($Y$4:Y37)</f>
        <v>105066.66666666667</v>
      </c>
      <c r="AM37" s="290">
        <f>AL37/Resources!$B$11</f>
        <v>8755.5555555555566</v>
      </c>
      <c r="AN37" s="283">
        <f>SUM($L$4:L37)</f>
        <v>647596.66666666674</v>
      </c>
      <c r="AO37" s="283">
        <f>AN37/Resources!$B$12</f>
        <v>43173.111111111117</v>
      </c>
      <c r="AP37" s="283">
        <f>SUM($R$4:R37)</f>
        <v>671786.66666666663</v>
      </c>
      <c r="AQ37" s="283">
        <f>AP37/Resources!$B$13</f>
        <v>67178.666666666657</v>
      </c>
      <c r="AR37" s="283">
        <f>SUM($N$4:N37)</f>
        <v>370073.33333333337</v>
      </c>
      <c r="AS37" s="283">
        <f>AR37/Resources!$B$14</f>
        <v>3333.9939939939945</v>
      </c>
      <c r="AT37" s="283">
        <f>SUM($U$4:U37)</f>
        <v>400535</v>
      </c>
      <c r="AU37" s="283">
        <f>AT37/Resources!$B$15</f>
        <v>3965.6930693069307</v>
      </c>
      <c r="AV37" s="283">
        <f>SUM($J$4:J37)</f>
        <v>640356.66666666663</v>
      </c>
      <c r="AW37" s="283">
        <f>AV37/Resources!$B$16</f>
        <v>6534.2517006802718</v>
      </c>
      <c r="AX37" s="283">
        <f>SUM($O$4:O37)</f>
        <v>435241.66666666669</v>
      </c>
      <c r="AY37" s="283">
        <f>AX37/Resources!$B$17</f>
        <v>4145.1587301587306</v>
      </c>
      <c r="AZ37" s="283">
        <f>SUM($I$4:I37,$K$4:K37)</f>
        <v>1029110</v>
      </c>
      <c r="BA37" s="283">
        <f>AZ37/Resources!$B$6</f>
        <v>32159.6875</v>
      </c>
      <c r="BB37" s="283">
        <f>SUM($D$4:D37,$G$4:G37)</f>
        <v>1645533.3333333335</v>
      </c>
      <c r="BC37" s="283">
        <f>BB37/Resources!$B$7</f>
        <v>54851.111111111117</v>
      </c>
      <c r="BD37" s="283">
        <f>SUM($C$4:C37,$H$4:H37)</f>
        <v>1769633.3333333335</v>
      </c>
      <c r="BE37" s="295">
        <f>BD37/Resources!$B$8</f>
        <v>68062.820512820515</v>
      </c>
      <c r="BF37" s="283">
        <f>SUM($B$4:B37,$F$4:F37)</f>
        <v>3048783.3333333335</v>
      </c>
      <c r="BG37" s="283">
        <f>BF37/Resources!$B$9</f>
        <v>98347.849462365601</v>
      </c>
      <c r="BH37" s="283">
        <f>SUM($X$4:X37,$E$4:E37)</f>
        <v>1037886.6666666666</v>
      </c>
      <c r="BI37" s="283">
        <f>BH37/Resources!$B$2</f>
        <v>43245.277777777774</v>
      </c>
      <c r="BJ37" s="283">
        <f>SUM($V$4:V37,$T$4:T37)</f>
        <v>277675</v>
      </c>
      <c r="BK37" s="283">
        <f>BJ37/Resources!$B$3</f>
        <v>10679.807692307691</v>
      </c>
      <c r="BL37" s="283">
        <f>SUM($W$4:W37, $M$4:M37)</f>
        <v>397675</v>
      </c>
      <c r="BM37" s="283">
        <f>BL37/Resources!$B$4</f>
        <v>14202.678571428571</v>
      </c>
      <c r="BN37" s="283">
        <f>SUM($P$4:P37,$Q$4:Q37)</f>
        <v>941529.99999999988</v>
      </c>
      <c r="BO37" s="292">
        <f>BN37/Resources!$B$5</f>
        <v>34871.481481481474</v>
      </c>
    </row>
    <row r="38" spans="1:67" ht="19" x14ac:dyDescent="0.25">
      <c r="A38" s="34">
        <f t="shared" si="8"/>
        <v>42900</v>
      </c>
      <c r="B38" s="47">
        <f>SUMIFS(Collection!$J:$J, Collection!$A:$A, $A38, Collection!$B:$B, B$2)</f>
        <v>0</v>
      </c>
      <c r="C38" s="47">
        <f>SUMIFS(Collection!$J:$J, Collection!$A:$A, $A38, Collection!$B:$B, C$2)</f>
        <v>377373.33333333337</v>
      </c>
      <c r="D38" s="47">
        <f>SUMIFS(Collection!$J:$J, Collection!$A:$A, $A38, Collection!$B:$B, D$2)</f>
        <v>0</v>
      </c>
      <c r="E38" s="47">
        <f>SUMIFS(Collection!$J:$J, Collection!$A:$A, $A38, Collection!$B:$B, E$2)</f>
        <v>0</v>
      </c>
      <c r="F38" s="47">
        <f>SUMIFS(Collection!$J:$J, Collection!$A:$A, $A38, Collection!$B:$B, F$2)</f>
        <v>68250</v>
      </c>
      <c r="G38" s="47">
        <f>SUMIFS(Collection!$J:$J, Collection!$A:$A, $A38, Collection!$B:$B, G$2)</f>
        <v>0</v>
      </c>
      <c r="H38" s="47">
        <f>SUMIFS(Collection!$J:$J, Collection!$A:$A, $A38, Collection!$B:$B, H$2)</f>
        <v>0</v>
      </c>
      <c r="I38" s="47">
        <f>SUMIFS(Collection!$J:$J, Collection!$A:$A, $A38, Collection!$B:$B, I$2)</f>
        <v>808800</v>
      </c>
      <c r="J38" s="47">
        <f>SUMIFS(Collection!$J:$J, Collection!$A:$A, $A38, Collection!$B:$B, J$2)</f>
        <v>0</v>
      </c>
      <c r="K38" s="47">
        <f>SUMIFS(Collection!$J:$J, Collection!$A:$A, $A38, Collection!$B:$B, K$2)</f>
        <v>0</v>
      </c>
      <c r="L38" s="47">
        <f>SUMIFS(Collection!$J:$J, Collection!$A:$A, $A38, Collection!$B:$B, L$2)</f>
        <v>0</v>
      </c>
      <c r="M38" s="47">
        <f>SUMIFS(Collection!$J:$J, Collection!$A:$A, $A38, Collection!$B:$B, M$2)</f>
        <v>0</v>
      </c>
      <c r="N38" s="47">
        <f>SUMIFS(Collection!$J:$J, Collection!$A:$A, $A38, Collection!$B:$B, N$2)</f>
        <v>0</v>
      </c>
      <c r="O38" s="47">
        <f>SUMIFS(Collection!$J:$J, Collection!$A:$A, $A38, Collection!$B:$B, O$2)</f>
        <v>0</v>
      </c>
      <c r="P38" s="47">
        <f>SUMIFS(Collection!$J:$J, Collection!$A:$A, $A38, Collection!$B:$B, P$2)</f>
        <v>0</v>
      </c>
      <c r="Q38" s="47">
        <f>SUMIFS(Collection!$J:$J, Collection!$A:$A, $A38, Collection!$B:$B, Q$2)</f>
        <v>115733.33333333333</v>
      </c>
      <c r="R38" s="47">
        <f>SUMIFS(Collection!$J:$J, Collection!$A:$A, $A38, Collection!$B:$B, R$2)</f>
        <v>0</v>
      </c>
      <c r="S38" s="47">
        <f>SUMIFS(Collection!$J:$J, Collection!$A:$A, $A38, Collection!$B:$B, S$2)</f>
        <v>0</v>
      </c>
      <c r="T38" s="47">
        <f>SUMIFS(Collection!$J:$J, Collection!$A:$A, $A38, Collection!$B:$B, T$2)</f>
        <v>0</v>
      </c>
      <c r="U38" s="47">
        <f>SUMIFS(Collection!$J:$J, Collection!$A:$A, $A38, Collection!$B:$B, U$2)</f>
        <v>0</v>
      </c>
      <c r="V38" s="47">
        <f>SUMIFS(Collection!$J:$J, Collection!$A:$A, $A38, Collection!$B:$B, V$2)</f>
        <v>0</v>
      </c>
      <c r="W38" s="47">
        <f>SUMIFS(Collection!$J:$J, Collection!$A:$A, $A38, Collection!$B:$B, W$2)</f>
        <v>0</v>
      </c>
      <c r="X38" s="47">
        <f>SUMIFS(Collection!$J:$J, Collection!$A:$A, $A38, Collection!$B:$B, X$2)</f>
        <v>0</v>
      </c>
      <c r="Y38" s="47">
        <f>SUMIFS(Collection!$J:$J, Collection!$A:$A, $A38, Collection!$B:$B, Y$2)</f>
        <v>0</v>
      </c>
      <c r="Z38" s="47"/>
      <c r="AA38" s="47">
        <f t="shared" si="0"/>
        <v>808800</v>
      </c>
      <c r="AB38" s="47">
        <f t="shared" si="1"/>
        <v>0</v>
      </c>
      <c r="AC38" s="47">
        <f t="shared" si="2"/>
        <v>377373.33333333337</v>
      </c>
      <c r="AD38" s="47">
        <f t="shared" si="3"/>
        <v>68250</v>
      </c>
      <c r="AE38" s="47">
        <f t="shared" si="4"/>
        <v>0</v>
      </c>
      <c r="AF38" s="47">
        <f t="shared" si="5"/>
        <v>0</v>
      </c>
      <c r="AG38" s="47">
        <f t="shared" si="6"/>
        <v>0</v>
      </c>
      <c r="AH38" s="283">
        <f t="shared" si="7"/>
        <v>115733.33333333333</v>
      </c>
      <c r="AJ38" s="283">
        <f>SUM($S$4:S38)</f>
        <v>436519.4444444445</v>
      </c>
      <c r="AK38" s="283">
        <f>AJ38/Resources!$B$10</f>
        <v>36376.620370370372</v>
      </c>
      <c r="AL38" s="283">
        <f>SUM($Y$4:Y38)</f>
        <v>105066.66666666667</v>
      </c>
      <c r="AM38" s="290">
        <f>AL38/Resources!$B$11</f>
        <v>8755.5555555555566</v>
      </c>
      <c r="AN38" s="283">
        <f>SUM($L$4:L38)</f>
        <v>647596.66666666674</v>
      </c>
      <c r="AO38" s="283">
        <f>AN38/Resources!$B$12</f>
        <v>43173.111111111117</v>
      </c>
      <c r="AP38" s="283">
        <f>SUM($R$4:R38)</f>
        <v>671786.66666666663</v>
      </c>
      <c r="AQ38" s="283">
        <f>AP38/Resources!$B$13</f>
        <v>67178.666666666657</v>
      </c>
      <c r="AR38" s="283">
        <f>SUM($N$4:N38)</f>
        <v>370073.33333333337</v>
      </c>
      <c r="AS38" s="283">
        <f>AR38/Resources!$B$14</f>
        <v>3333.9939939939945</v>
      </c>
      <c r="AT38" s="283">
        <f>SUM($U$4:U38)</f>
        <v>400535</v>
      </c>
      <c r="AU38" s="283">
        <f>AT38/Resources!$B$15</f>
        <v>3965.6930693069307</v>
      </c>
      <c r="AV38" s="283">
        <f>SUM($J$4:J38)</f>
        <v>640356.66666666663</v>
      </c>
      <c r="AW38" s="283">
        <f>AV38/Resources!$B$16</f>
        <v>6534.2517006802718</v>
      </c>
      <c r="AX38" s="283">
        <f>SUM($O$4:O38)</f>
        <v>435241.66666666669</v>
      </c>
      <c r="AY38" s="283">
        <f>AX38/Resources!$B$17</f>
        <v>4145.1587301587306</v>
      </c>
      <c r="AZ38" s="283">
        <f>SUM($I$4:I38,$K$4:K38)</f>
        <v>1837910.0000000002</v>
      </c>
      <c r="BA38" s="283">
        <f>AZ38/Resources!$B$6</f>
        <v>57434.687500000007</v>
      </c>
      <c r="BB38" s="283">
        <f>SUM($D$4:D38,$G$4:G38)</f>
        <v>1645533.3333333335</v>
      </c>
      <c r="BC38" s="283">
        <f>BB38/Resources!$B$7</f>
        <v>54851.111111111117</v>
      </c>
      <c r="BD38" s="283">
        <f>SUM($C$4:C38,$H$4:H38)</f>
        <v>2147006.666666667</v>
      </c>
      <c r="BE38" s="295">
        <f>BD38/Resources!$B$8</f>
        <v>82577.179487179499</v>
      </c>
      <c r="BF38" s="283">
        <f>SUM($B$4:B38,$F$4:F38)</f>
        <v>3117033.3333333335</v>
      </c>
      <c r="BG38" s="283">
        <f>BF38/Resources!$B$9</f>
        <v>100549.4623655914</v>
      </c>
      <c r="BH38" s="283">
        <f>SUM($X$4:X38,$E$4:E38)</f>
        <v>1037886.6666666666</v>
      </c>
      <c r="BI38" s="283">
        <f>BH38/Resources!$B$2</f>
        <v>43245.277777777774</v>
      </c>
      <c r="BJ38" s="283">
        <f>SUM($V$4:V38,$T$4:T38)</f>
        <v>277675</v>
      </c>
      <c r="BK38" s="283">
        <f>BJ38/Resources!$B$3</f>
        <v>10679.807692307691</v>
      </c>
      <c r="BL38" s="283">
        <f>SUM($W$4:W38, $M$4:M38)</f>
        <v>397675</v>
      </c>
      <c r="BM38" s="283">
        <f>BL38/Resources!$B$4</f>
        <v>14202.678571428571</v>
      </c>
      <c r="BN38" s="283">
        <f>SUM($P$4:P38,$Q$4:Q38)</f>
        <v>1057263.3333333333</v>
      </c>
      <c r="BO38" s="292">
        <f>BN38/Resources!$B$5</f>
        <v>39157.9012345679</v>
      </c>
    </row>
    <row r="39" spans="1:67" ht="19" x14ac:dyDescent="0.25">
      <c r="A39" s="34">
        <f t="shared" si="8"/>
        <v>42901</v>
      </c>
      <c r="B39" s="47">
        <f>SUMIFS(Collection!$J:$J, Collection!$A:$A, $A39, Collection!$B:$B, B$2)</f>
        <v>0</v>
      </c>
      <c r="C39" s="47">
        <f>SUMIFS(Collection!$J:$J, Collection!$A:$A, $A39, Collection!$B:$B, C$2)</f>
        <v>128000</v>
      </c>
      <c r="D39" s="47">
        <f>SUMIFS(Collection!$J:$J, Collection!$A:$A, $A39, Collection!$B:$B, D$2)</f>
        <v>0</v>
      </c>
      <c r="E39" s="47">
        <f>SUMIFS(Collection!$J:$J, Collection!$A:$A, $A39, Collection!$B:$B, E$2)</f>
        <v>0</v>
      </c>
      <c r="F39" s="47">
        <f>SUMIFS(Collection!$J:$J, Collection!$A:$A, $A39, Collection!$B:$B, F$2)</f>
        <v>77866.666666666657</v>
      </c>
      <c r="G39" s="47">
        <f>SUMIFS(Collection!$J:$J, Collection!$A:$A, $A39, Collection!$B:$B, G$2)</f>
        <v>235200</v>
      </c>
      <c r="H39" s="47">
        <f>SUMIFS(Collection!$J:$J, Collection!$A:$A, $A39, Collection!$B:$B, H$2)</f>
        <v>0</v>
      </c>
      <c r="I39" s="47">
        <f>SUMIFS(Collection!$J:$J, Collection!$A:$A, $A39, Collection!$B:$B, I$2)</f>
        <v>121066.66666666667</v>
      </c>
      <c r="J39" s="47">
        <f>SUMIFS(Collection!$J:$J, Collection!$A:$A, $A39, Collection!$B:$B, J$2)</f>
        <v>0</v>
      </c>
      <c r="K39" s="47">
        <f>SUMIFS(Collection!$J:$J, Collection!$A:$A, $A39, Collection!$B:$B, K$2)</f>
        <v>0</v>
      </c>
      <c r="L39" s="47">
        <f>SUMIFS(Collection!$J:$J, Collection!$A:$A, $A39, Collection!$B:$B, L$2)</f>
        <v>0</v>
      </c>
      <c r="M39" s="47">
        <f>SUMIFS(Collection!$J:$J, Collection!$A:$A, $A39, Collection!$B:$B, M$2)</f>
        <v>0</v>
      </c>
      <c r="N39" s="47">
        <f>SUMIFS(Collection!$J:$J, Collection!$A:$A, $A39, Collection!$B:$B, N$2)</f>
        <v>0</v>
      </c>
      <c r="O39" s="47">
        <f>SUMIFS(Collection!$J:$J, Collection!$A:$A, $A39, Collection!$B:$B, O$2)</f>
        <v>18166.666666666668</v>
      </c>
      <c r="P39" s="47">
        <f>SUMIFS(Collection!$J:$J, Collection!$A:$A, $A39, Collection!$B:$B, P$2)</f>
        <v>0</v>
      </c>
      <c r="Q39" s="47">
        <f>SUMIFS(Collection!$J:$J, Collection!$A:$A, $A39, Collection!$B:$B, Q$2)</f>
        <v>58133.333333333336</v>
      </c>
      <c r="R39" s="47">
        <f>SUMIFS(Collection!$J:$J, Collection!$A:$A, $A39, Collection!$B:$B, R$2)</f>
        <v>0</v>
      </c>
      <c r="S39" s="47">
        <f>SUMIFS(Collection!$J:$J, Collection!$A:$A, $A39, Collection!$B:$B, S$2)</f>
        <v>483.33333333333337</v>
      </c>
      <c r="T39" s="47">
        <f>SUMIFS(Collection!$J:$J, Collection!$A:$A, $A39, Collection!$B:$B, T$2)</f>
        <v>0</v>
      </c>
      <c r="U39" s="47">
        <f>SUMIFS(Collection!$J:$J, Collection!$A:$A, $A39, Collection!$B:$B, U$2)</f>
        <v>0</v>
      </c>
      <c r="V39" s="47">
        <f>SUMIFS(Collection!$J:$J, Collection!$A:$A, $A39, Collection!$B:$B, V$2)</f>
        <v>0</v>
      </c>
      <c r="W39" s="47">
        <f>SUMIFS(Collection!$J:$J, Collection!$A:$A, $A39, Collection!$B:$B, W$2)</f>
        <v>0</v>
      </c>
      <c r="X39" s="47">
        <f>SUMIFS(Collection!$J:$J, Collection!$A:$A, $A39, Collection!$B:$B, X$2)</f>
        <v>0</v>
      </c>
      <c r="Y39" s="47">
        <f>SUMIFS(Collection!$J:$J, Collection!$A:$A, $A39, Collection!$B:$B, Y$2)</f>
        <v>0</v>
      </c>
      <c r="Z39" s="47"/>
      <c r="AA39" s="47">
        <f t="shared" si="0"/>
        <v>121066.66666666667</v>
      </c>
      <c r="AB39" s="47">
        <f t="shared" si="1"/>
        <v>235200</v>
      </c>
      <c r="AC39" s="47">
        <f t="shared" si="2"/>
        <v>128000</v>
      </c>
      <c r="AD39" s="47">
        <f t="shared" si="3"/>
        <v>77866.666666666657</v>
      </c>
      <c r="AE39" s="47">
        <f t="shared" si="4"/>
        <v>0</v>
      </c>
      <c r="AF39" s="47">
        <f t="shared" si="5"/>
        <v>0</v>
      </c>
      <c r="AG39" s="47">
        <f t="shared" si="6"/>
        <v>0</v>
      </c>
      <c r="AH39" s="283">
        <f t="shared" si="7"/>
        <v>58133.333333333336</v>
      </c>
      <c r="AJ39" s="283">
        <f>SUM($S$4:S39)</f>
        <v>437002.77777777781</v>
      </c>
      <c r="AK39" s="283">
        <f>AJ39/Resources!$B$10</f>
        <v>36416.898148148153</v>
      </c>
      <c r="AL39" s="283">
        <f>SUM($Y$4:Y39)</f>
        <v>105066.66666666667</v>
      </c>
      <c r="AM39" s="290">
        <f>AL39/Resources!$B$11</f>
        <v>8755.5555555555566</v>
      </c>
      <c r="AN39" s="283">
        <f>SUM($L$4:L39)</f>
        <v>647596.66666666674</v>
      </c>
      <c r="AO39" s="283">
        <f>AN39/Resources!$B$12</f>
        <v>43173.111111111117</v>
      </c>
      <c r="AP39" s="283">
        <f>SUM($R$4:R39)</f>
        <v>671786.66666666663</v>
      </c>
      <c r="AQ39" s="283">
        <f>AP39/Resources!$B$13</f>
        <v>67178.666666666657</v>
      </c>
      <c r="AR39" s="283">
        <f>SUM($N$4:N39)</f>
        <v>370073.33333333337</v>
      </c>
      <c r="AS39" s="283">
        <f>AR39/Resources!$B$14</f>
        <v>3333.9939939939945</v>
      </c>
      <c r="AT39" s="283">
        <f>SUM($U$4:U39)</f>
        <v>400535</v>
      </c>
      <c r="AU39" s="283">
        <f>AT39/Resources!$B$15</f>
        <v>3965.6930693069307</v>
      </c>
      <c r="AV39" s="283">
        <f>SUM($J$4:J39)</f>
        <v>640356.66666666663</v>
      </c>
      <c r="AW39" s="283">
        <f>AV39/Resources!$B$16</f>
        <v>6534.2517006802718</v>
      </c>
      <c r="AX39" s="283">
        <f>SUM($O$4:O39)</f>
        <v>453408.33333333337</v>
      </c>
      <c r="AY39" s="283">
        <f>AX39/Resources!$B$17</f>
        <v>4318.1746031746034</v>
      </c>
      <c r="AZ39" s="283">
        <f>SUM($I$4:I39,$K$4:K39)</f>
        <v>1958976.666666667</v>
      </c>
      <c r="BA39" s="283">
        <f>AZ39/Resources!$B$6</f>
        <v>61218.020833333343</v>
      </c>
      <c r="BB39" s="283">
        <f>SUM($D$4:D39,$G$4:G39)</f>
        <v>1880733.3333333335</v>
      </c>
      <c r="BC39" s="283">
        <f>BB39/Resources!$B$7</f>
        <v>62691.111111111117</v>
      </c>
      <c r="BD39" s="283">
        <f>SUM($C$4:C39,$H$4:H39)</f>
        <v>2275006.666666667</v>
      </c>
      <c r="BE39" s="295">
        <f>BD39/Resources!$B$8</f>
        <v>87500.256410256421</v>
      </c>
      <c r="BF39" s="283">
        <f>SUM($B$4:B39,$F$4:F39)</f>
        <v>3194900</v>
      </c>
      <c r="BG39" s="283">
        <f>BF39/Resources!$B$9</f>
        <v>103061.29032258065</v>
      </c>
      <c r="BH39" s="283">
        <f>SUM($X$4:X39,$E$4:E39)</f>
        <v>1037886.6666666666</v>
      </c>
      <c r="BI39" s="283">
        <f>BH39/Resources!$B$2</f>
        <v>43245.277777777774</v>
      </c>
      <c r="BJ39" s="283">
        <f>SUM($V$4:V39,$T$4:T39)</f>
        <v>277675</v>
      </c>
      <c r="BK39" s="283">
        <f>BJ39/Resources!$B$3</f>
        <v>10679.807692307691</v>
      </c>
      <c r="BL39" s="283">
        <f>SUM($W$4:W39, $M$4:M39)</f>
        <v>397675</v>
      </c>
      <c r="BM39" s="283">
        <f>BL39/Resources!$B$4</f>
        <v>14202.678571428571</v>
      </c>
      <c r="BN39" s="283">
        <f>SUM($P$4:P39,$Q$4:Q39)</f>
        <v>1115396.6666666665</v>
      </c>
      <c r="BO39" s="292">
        <f>BN39/Resources!$B$5</f>
        <v>41310.987654320983</v>
      </c>
    </row>
    <row r="40" spans="1:67" ht="19" x14ac:dyDescent="0.25">
      <c r="A40" s="34">
        <f t="shared" si="8"/>
        <v>42902</v>
      </c>
      <c r="B40" s="47">
        <f>SUMIFS(Collection!$J:$J, Collection!$A:$A, $A40, Collection!$B:$B, B$2)</f>
        <v>0</v>
      </c>
      <c r="C40" s="47">
        <f>SUMIFS(Collection!$J:$J, Collection!$A:$A, $A40, Collection!$B:$B, C$2)</f>
        <v>0</v>
      </c>
      <c r="D40" s="47">
        <f>SUMIFS(Collection!$J:$J, Collection!$A:$A, $A40, Collection!$B:$B, D$2)</f>
        <v>0</v>
      </c>
      <c r="E40" s="47">
        <f>SUMIFS(Collection!$J:$J, Collection!$A:$A, $A40, Collection!$B:$B, E$2)</f>
        <v>0</v>
      </c>
      <c r="F40" s="47">
        <f>SUMIFS(Collection!$J:$J, Collection!$A:$A, $A40, Collection!$B:$B, F$2)</f>
        <v>0</v>
      </c>
      <c r="G40" s="47">
        <f>SUMIFS(Collection!$J:$J, Collection!$A:$A, $A40, Collection!$B:$B, G$2)</f>
        <v>0</v>
      </c>
      <c r="H40" s="47">
        <f>SUMIFS(Collection!$J:$J, Collection!$A:$A, $A40, Collection!$B:$B, H$2)</f>
        <v>0</v>
      </c>
      <c r="I40" s="47">
        <f>SUMIFS(Collection!$J:$J, Collection!$A:$A, $A40, Collection!$B:$B, I$2)</f>
        <v>0</v>
      </c>
      <c r="J40" s="47">
        <f>SUMIFS(Collection!$J:$J, Collection!$A:$A, $A40, Collection!$B:$B, J$2)</f>
        <v>0</v>
      </c>
      <c r="K40" s="47">
        <f>SUMIFS(Collection!$J:$J, Collection!$A:$A, $A40, Collection!$B:$B, K$2)</f>
        <v>0</v>
      </c>
      <c r="L40" s="47">
        <f>SUMIFS(Collection!$J:$J, Collection!$A:$A, $A40, Collection!$B:$B, L$2)</f>
        <v>0</v>
      </c>
      <c r="M40" s="47">
        <f>SUMIFS(Collection!$J:$J, Collection!$A:$A, $A40, Collection!$B:$B, M$2)</f>
        <v>0</v>
      </c>
      <c r="N40" s="47">
        <f>SUMIFS(Collection!$J:$J, Collection!$A:$A, $A40, Collection!$B:$B, N$2)</f>
        <v>0</v>
      </c>
      <c r="O40" s="47">
        <f>SUMIFS(Collection!$J:$J, Collection!$A:$A, $A40, Collection!$B:$B, O$2)</f>
        <v>0</v>
      </c>
      <c r="P40" s="47">
        <f>SUMIFS(Collection!$J:$J, Collection!$A:$A, $A40, Collection!$B:$B, P$2)</f>
        <v>0</v>
      </c>
      <c r="Q40" s="47">
        <f>SUMIFS(Collection!$J:$J, Collection!$A:$A, $A40, Collection!$B:$B, Q$2)</f>
        <v>0</v>
      </c>
      <c r="R40" s="47">
        <f>SUMIFS(Collection!$J:$J, Collection!$A:$A, $A40, Collection!$B:$B, R$2)</f>
        <v>0</v>
      </c>
      <c r="S40" s="47">
        <f>SUMIFS(Collection!$J:$J, Collection!$A:$A, $A40, Collection!$B:$B, S$2)</f>
        <v>0</v>
      </c>
      <c r="T40" s="47">
        <f>SUMIFS(Collection!$J:$J, Collection!$A:$A, $A40, Collection!$B:$B, T$2)</f>
        <v>0</v>
      </c>
      <c r="U40" s="47">
        <f>SUMIFS(Collection!$J:$J, Collection!$A:$A, $A40, Collection!$B:$B, U$2)</f>
        <v>0</v>
      </c>
      <c r="V40" s="47">
        <f>SUMIFS(Collection!$J:$J, Collection!$A:$A, $A40, Collection!$B:$B, V$2)</f>
        <v>0</v>
      </c>
      <c r="W40" s="47">
        <f>SUMIFS(Collection!$J:$J, Collection!$A:$A, $A40, Collection!$B:$B, W$2)</f>
        <v>0</v>
      </c>
      <c r="X40" s="47">
        <f>SUMIFS(Collection!$J:$J, Collection!$A:$A, $A40, Collection!$B:$B, X$2)</f>
        <v>0</v>
      </c>
      <c r="Y40" s="47">
        <f>SUMIFS(Collection!$J:$J, Collection!$A:$A, $A40, Collection!$B:$B, Y$2)</f>
        <v>0</v>
      </c>
      <c r="Z40" s="47"/>
      <c r="AA40" s="47">
        <f t="shared" si="0"/>
        <v>0</v>
      </c>
      <c r="AB40" s="47">
        <f t="shared" si="1"/>
        <v>0</v>
      </c>
      <c r="AC40" s="47">
        <f t="shared" si="2"/>
        <v>0</v>
      </c>
      <c r="AD40" s="47">
        <f t="shared" si="3"/>
        <v>0</v>
      </c>
      <c r="AE40" s="47">
        <f t="shared" si="4"/>
        <v>0</v>
      </c>
      <c r="AF40" s="47">
        <f t="shared" si="5"/>
        <v>0</v>
      </c>
      <c r="AG40" s="47">
        <f t="shared" si="6"/>
        <v>0</v>
      </c>
      <c r="AH40" s="283">
        <f t="shared" si="7"/>
        <v>0</v>
      </c>
      <c r="AJ40" s="283">
        <f>SUM($S$4:S40)</f>
        <v>437002.77777777781</v>
      </c>
      <c r="AK40" s="283">
        <f>AJ40/Resources!$B$10</f>
        <v>36416.898148148153</v>
      </c>
      <c r="AL40" s="283">
        <f>SUM($Y$4:Y40)</f>
        <v>105066.66666666667</v>
      </c>
      <c r="AM40" s="290">
        <f>AL40/Resources!$B$11</f>
        <v>8755.5555555555566</v>
      </c>
      <c r="AN40" s="283">
        <f>SUM($L$4:L40)</f>
        <v>647596.66666666674</v>
      </c>
      <c r="AO40" s="283">
        <f>AN40/Resources!$B$12</f>
        <v>43173.111111111117</v>
      </c>
      <c r="AP40" s="283">
        <f>SUM($R$4:R40)</f>
        <v>671786.66666666663</v>
      </c>
      <c r="AQ40" s="283">
        <f>AP40/Resources!$B$13</f>
        <v>67178.666666666657</v>
      </c>
      <c r="AR40" s="283">
        <f>SUM($N$4:N40)</f>
        <v>370073.33333333337</v>
      </c>
      <c r="AS40" s="283">
        <f>AR40/Resources!$B$14</f>
        <v>3333.9939939939945</v>
      </c>
      <c r="AT40" s="283">
        <f>SUM($U$4:U40)</f>
        <v>400535</v>
      </c>
      <c r="AU40" s="283">
        <f>AT40/Resources!$B$15</f>
        <v>3965.6930693069307</v>
      </c>
      <c r="AV40" s="283">
        <f>SUM($J$4:J40)</f>
        <v>640356.66666666663</v>
      </c>
      <c r="AW40" s="283">
        <f>AV40/Resources!$B$16</f>
        <v>6534.2517006802718</v>
      </c>
      <c r="AX40" s="283">
        <f>SUM($O$4:O40)</f>
        <v>453408.33333333337</v>
      </c>
      <c r="AY40" s="283">
        <f>AX40/Resources!$B$17</f>
        <v>4318.1746031746034</v>
      </c>
      <c r="AZ40" s="283">
        <f>SUM($I$4:I40,$K$4:K40)</f>
        <v>1958976.666666667</v>
      </c>
      <c r="BA40" s="283">
        <f>AZ40/Resources!$B$6</f>
        <v>61218.020833333343</v>
      </c>
      <c r="BB40" s="283">
        <f>SUM($D$4:D40,$G$4:G40)</f>
        <v>1880733.3333333335</v>
      </c>
      <c r="BC40" s="283">
        <f>BB40/Resources!$B$7</f>
        <v>62691.111111111117</v>
      </c>
      <c r="BD40" s="283">
        <f>SUM($C$4:C40,$H$4:H40)</f>
        <v>2275006.666666667</v>
      </c>
      <c r="BE40" s="295">
        <f>BD40/Resources!$B$8</f>
        <v>87500.256410256421</v>
      </c>
      <c r="BF40" s="283">
        <f>SUM($B$4:B40,$F$4:F40)</f>
        <v>3194900</v>
      </c>
      <c r="BG40" s="283">
        <f>BF40/Resources!$B$9</f>
        <v>103061.29032258065</v>
      </c>
      <c r="BH40" s="283">
        <f>SUM($X$4:X40,$E$4:E40)</f>
        <v>1037886.6666666666</v>
      </c>
      <c r="BI40" s="283">
        <f>BH40/Resources!$B$2</f>
        <v>43245.277777777774</v>
      </c>
      <c r="BJ40" s="283">
        <f>SUM($V$4:V40,$T$4:T40)</f>
        <v>277675</v>
      </c>
      <c r="BK40" s="283">
        <f>BJ40/Resources!$B$3</f>
        <v>10679.807692307691</v>
      </c>
      <c r="BL40" s="283">
        <f>SUM($W$4:W40, $M$4:M40)</f>
        <v>397675</v>
      </c>
      <c r="BM40" s="283">
        <f>BL40/Resources!$B$4</f>
        <v>14202.678571428571</v>
      </c>
      <c r="BN40" s="283">
        <f>SUM($P$4:P40,$Q$4:Q40)</f>
        <v>1115396.6666666665</v>
      </c>
      <c r="BO40" s="292">
        <f>BN40/Resources!$B$5</f>
        <v>41310.987654320983</v>
      </c>
    </row>
    <row r="41" spans="1:67" ht="19" x14ac:dyDescent="0.25">
      <c r="A41" s="34">
        <f t="shared" si="8"/>
        <v>42903</v>
      </c>
      <c r="B41" s="47">
        <f>SUMIFS(Collection!$J:$J, Collection!$A:$A, $A41, Collection!$B:$B, B$2)</f>
        <v>0</v>
      </c>
      <c r="C41" s="47">
        <f>SUMIFS(Collection!$J:$J, Collection!$A:$A, $A41, Collection!$B:$B, C$2)</f>
        <v>1866.6666666666665</v>
      </c>
      <c r="D41" s="47">
        <f>SUMIFS(Collection!$J:$J, Collection!$A:$A, $A41, Collection!$B:$B, D$2)</f>
        <v>0</v>
      </c>
      <c r="E41" s="47">
        <f>SUMIFS(Collection!$J:$J, Collection!$A:$A, $A41, Collection!$B:$B, E$2)</f>
        <v>0</v>
      </c>
      <c r="F41" s="47">
        <f>SUMIFS(Collection!$J:$J, Collection!$A:$A, $A41, Collection!$B:$B, F$2)</f>
        <v>1166.6666666666667</v>
      </c>
      <c r="G41" s="47">
        <f>SUMIFS(Collection!$J:$J, Collection!$A:$A, $A41, Collection!$B:$B, G$2)</f>
        <v>104533.33333333333</v>
      </c>
      <c r="H41" s="47">
        <f>SUMIFS(Collection!$J:$J, Collection!$A:$A, $A41, Collection!$B:$B, H$2)</f>
        <v>0</v>
      </c>
      <c r="I41" s="47">
        <f>SUMIFS(Collection!$J:$J, Collection!$A:$A, $A41, Collection!$B:$B, I$2)</f>
        <v>1833.3333333333333</v>
      </c>
      <c r="J41" s="47">
        <f>SUMIFS(Collection!$J:$J, Collection!$A:$A, $A41, Collection!$B:$B, J$2)</f>
        <v>0</v>
      </c>
      <c r="K41" s="47">
        <f>SUMIFS(Collection!$J:$J, Collection!$A:$A, $A41, Collection!$B:$B, K$2)</f>
        <v>154666.66666666669</v>
      </c>
      <c r="L41" s="47">
        <f>SUMIFS(Collection!$J:$J, Collection!$A:$A, $A41, Collection!$B:$B, L$2)</f>
        <v>47466.666666666672</v>
      </c>
      <c r="M41" s="47">
        <f>SUMIFS(Collection!$J:$J, Collection!$A:$A, $A41, Collection!$B:$B, M$2)</f>
        <v>0</v>
      </c>
      <c r="N41" s="47">
        <f>SUMIFS(Collection!$J:$J, Collection!$A:$A, $A41, Collection!$B:$B, N$2)</f>
        <v>0</v>
      </c>
      <c r="O41" s="47">
        <f>SUMIFS(Collection!$J:$J, Collection!$A:$A, $A41, Collection!$B:$B, O$2)</f>
        <v>12800</v>
      </c>
      <c r="P41" s="47">
        <f>SUMIFS(Collection!$J:$J, Collection!$A:$A, $A41, Collection!$B:$B, P$2)</f>
        <v>0</v>
      </c>
      <c r="Q41" s="47">
        <f>SUMIFS(Collection!$J:$J, Collection!$A:$A, $A41, Collection!$B:$B, Q$2)</f>
        <v>666.66666666666663</v>
      </c>
      <c r="R41" s="47">
        <f>SUMIFS(Collection!$J:$J, Collection!$A:$A, $A41, Collection!$B:$B, R$2)</f>
        <v>0</v>
      </c>
      <c r="S41" s="47">
        <f>SUMIFS(Collection!$J:$J, Collection!$A:$A, $A41, Collection!$B:$B, S$2)</f>
        <v>356266.66666666663</v>
      </c>
      <c r="T41" s="47">
        <f>SUMIFS(Collection!$J:$J, Collection!$A:$A, $A41, Collection!$B:$B, T$2)</f>
        <v>0</v>
      </c>
      <c r="U41" s="47">
        <f>SUMIFS(Collection!$J:$J, Collection!$A:$A, $A41, Collection!$B:$B, U$2)</f>
        <v>0</v>
      </c>
      <c r="V41" s="47">
        <f>SUMIFS(Collection!$J:$J, Collection!$A:$A, $A41, Collection!$B:$B, V$2)</f>
        <v>0</v>
      </c>
      <c r="W41" s="47">
        <f>SUMIFS(Collection!$J:$J, Collection!$A:$A, $A41, Collection!$B:$B, W$2)</f>
        <v>0</v>
      </c>
      <c r="X41" s="47">
        <f>SUMIFS(Collection!$J:$J, Collection!$A:$A, $A41, Collection!$B:$B, X$2)</f>
        <v>0</v>
      </c>
      <c r="Y41" s="47">
        <f>SUMIFS(Collection!$J:$J, Collection!$A:$A, $A41, Collection!$B:$B, Y$2)</f>
        <v>0</v>
      </c>
      <c r="Z41" s="47"/>
      <c r="AA41" s="47">
        <f t="shared" si="0"/>
        <v>156500.00000000003</v>
      </c>
      <c r="AB41" s="47">
        <f t="shared" si="1"/>
        <v>104533.33333333333</v>
      </c>
      <c r="AC41" s="47">
        <f t="shared" si="2"/>
        <v>1866.6666666666665</v>
      </c>
      <c r="AD41" s="47">
        <f t="shared" si="3"/>
        <v>1166.6666666666667</v>
      </c>
      <c r="AE41" s="47">
        <f t="shared" si="4"/>
        <v>0</v>
      </c>
      <c r="AF41" s="47">
        <f t="shared" si="5"/>
        <v>0</v>
      </c>
      <c r="AG41" s="47">
        <f t="shared" si="6"/>
        <v>0</v>
      </c>
      <c r="AH41" s="283">
        <f t="shared" si="7"/>
        <v>666.66666666666663</v>
      </c>
      <c r="AJ41" s="283">
        <f>SUM($S$4:S41)</f>
        <v>793269.4444444445</v>
      </c>
      <c r="AK41" s="283">
        <f>AJ41/Resources!$B$10</f>
        <v>66105.787037037036</v>
      </c>
      <c r="AL41" s="283">
        <f>SUM($Y$4:Y41)</f>
        <v>105066.66666666667</v>
      </c>
      <c r="AM41" s="290">
        <f>AL41/Resources!$B$11</f>
        <v>8755.5555555555566</v>
      </c>
      <c r="AN41" s="283">
        <f>SUM($L$4:L41)</f>
        <v>695063.33333333337</v>
      </c>
      <c r="AO41" s="283">
        <f>AN41/Resources!$B$12</f>
        <v>46337.555555555555</v>
      </c>
      <c r="AP41" s="283">
        <f>SUM($R$4:R41)</f>
        <v>671786.66666666663</v>
      </c>
      <c r="AQ41" s="283">
        <f>AP41/Resources!$B$13</f>
        <v>67178.666666666657</v>
      </c>
      <c r="AR41" s="283">
        <f>SUM($N$4:N41)</f>
        <v>370073.33333333337</v>
      </c>
      <c r="AS41" s="283">
        <f>AR41/Resources!$B$14</f>
        <v>3333.9939939939945</v>
      </c>
      <c r="AT41" s="283">
        <f>SUM($U$4:U41)</f>
        <v>400535</v>
      </c>
      <c r="AU41" s="283">
        <f>AT41/Resources!$B$15</f>
        <v>3965.6930693069307</v>
      </c>
      <c r="AV41" s="283">
        <f>SUM($J$4:J41)</f>
        <v>640356.66666666663</v>
      </c>
      <c r="AW41" s="283">
        <f>AV41/Resources!$B$16</f>
        <v>6534.2517006802718</v>
      </c>
      <c r="AX41" s="283">
        <f>SUM($O$4:O41)</f>
        <v>466208.33333333337</v>
      </c>
      <c r="AY41" s="283">
        <f>AX41/Resources!$B$17</f>
        <v>4440.0793650793657</v>
      </c>
      <c r="AZ41" s="283">
        <f>SUM($I$4:I41,$K$4:K41)</f>
        <v>2115476.666666667</v>
      </c>
      <c r="BA41" s="283">
        <f>AZ41/Resources!$B$6</f>
        <v>66108.645833333343</v>
      </c>
      <c r="BB41" s="283">
        <f>SUM($D$4:D41,$G$4:G41)</f>
        <v>1985266.6666666667</v>
      </c>
      <c r="BC41" s="283">
        <f>BB41/Resources!$B$7</f>
        <v>66175.555555555562</v>
      </c>
      <c r="BD41" s="283">
        <f>SUM($C$4:C41,$H$4:H41)</f>
        <v>2276873.3333333335</v>
      </c>
      <c r="BE41" s="295">
        <f>BD41/Resources!$B$8</f>
        <v>87572.051282051281</v>
      </c>
      <c r="BF41" s="283">
        <f>SUM($B$4:B41,$F$4:F41)</f>
        <v>3196066.6666666665</v>
      </c>
      <c r="BG41" s="283">
        <f>BF41/Resources!$B$9</f>
        <v>103098.92473118279</v>
      </c>
      <c r="BH41" s="283">
        <f>SUM($X$4:X41,$E$4:E41)</f>
        <v>1037886.6666666666</v>
      </c>
      <c r="BI41" s="283">
        <f>BH41/Resources!$B$2</f>
        <v>43245.277777777774</v>
      </c>
      <c r="BJ41" s="283">
        <f>SUM($V$4:V41,$T$4:T41)</f>
        <v>277675</v>
      </c>
      <c r="BK41" s="283">
        <f>BJ41/Resources!$B$3</f>
        <v>10679.807692307691</v>
      </c>
      <c r="BL41" s="283">
        <f>SUM($W$4:W41, $M$4:M41)</f>
        <v>397675</v>
      </c>
      <c r="BM41" s="283">
        <f>BL41/Resources!$B$4</f>
        <v>14202.678571428571</v>
      </c>
      <c r="BN41" s="283">
        <f>SUM($P$4:P41,$Q$4:Q41)</f>
        <v>1116063.3333333333</v>
      </c>
      <c r="BO41" s="292">
        <f>BN41/Resources!$B$5</f>
        <v>41335.679012345674</v>
      </c>
    </row>
    <row r="42" spans="1:67" ht="19" x14ac:dyDescent="0.25">
      <c r="A42" s="34">
        <f t="shared" si="8"/>
        <v>42904</v>
      </c>
      <c r="B42" s="47">
        <f>SUMIFS(Collection!$J:$J, Collection!$A:$A, $A42, Collection!$B:$B, B$2)</f>
        <v>0</v>
      </c>
      <c r="C42" s="47">
        <f>SUMIFS(Collection!$J:$J, Collection!$A:$A, $A42, Collection!$B:$B, C$2)</f>
        <v>0</v>
      </c>
      <c r="D42" s="47">
        <f>SUMIFS(Collection!$J:$J, Collection!$A:$A, $A42, Collection!$B:$B, D$2)</f>
        <v>0</v>
      </c>
      <c r="E42" s="47">
        <f>SUMIFS(Collection!$J:$J, Collection!$A:$A, $A42, Collection!$B:$B, E$2)</f>
        <v>0</v>
      </c>
      <c r="F42" s="47">
        <f>SUMIFS(Collection!$J:$J, Collection!$A:$A, $A42, Collection!$B:$B, F$2)</f>
        <v>0</v>
      </c>
      <c r="G42" s="47">
        <f>SUMIFS(Collection!$J:$J, Collection!$A:$A, $A42, Collection!$B:$B, G$2)</f>
        <v>0</v>
      </c>
      <c r="H42" s="47">
        <f>SUMIFS(Collection!$J:$J, Collection!$A:$A, $A42, Collection!$B:$B, H$2)</f>
        <v>0</v>
      </c>
      <c r="I42" s="47">
        <f>SUMIFS(Collection!$J:$J, Collection!$A:$A, $A42, Collection!$B:$B, I$2)</f>
        <v>0</v>
      </c>
      <c r="J42" s="47">
        <f>SUMIFS(Collection!$J:$J, Collection!$A:$A, $A42, Collection!$B:$B, J$2)</f>
        <v>0</v>
      </c>
      <c r="K42" s="47">
        <f>SUMIFS(Collection!$J:$J, Collection!$A:$A, $A42, Collection!$B:$B, K$2)</f>
        <v>0</v>
      </c>
      <c r="L42" s="47">
        <f>SUMIFS(Collection!$J:$J, Collection!$A:$A, $A42, Collection!$B:$B, L$2)</f>
        <v>0</v>
      </c>
      <c r="M42" s="47">
        <f>SUMIFS(Collection!$J:$J, Collection!$A:$A, $A42, Collection!$B:$B, M$2)</f>
        <v>0</v>
      </c>
      <c r="N42" s="47">
        <f>SUMIFS(Collection!$J:$J, Collection!$A:$A, $A42, Collection!$B:$B, N$2)</f>
        <v>0</v>
      </c>
      <c r="O42" s="47">
        <f>SUMIFS(Collection!$J:$J, Collection!$A:$A, $A42, Collection!$B:$B, O$2)</f>
        <v>0</v>
      </c>
      <c r="P42" s="47">
        <f>SUMIFS(Collection!$J:$J, Collection!$A:$A, $A42, Collection!$B:$B, P$2)</f>
        <v>0</v>
      </c>
      <c r="Q42" s="47">
        <f>SUMIFS(Collection!$J:$J, Collection!$A:$A, $A42, Collection!$B:$B, Q$2)</f>
        <v>0</v>
      </c>
      <c r="R42" s="47">
        <f>SUMIFS(Collection!$J:$J, Collection!$A:$A, $A42, Collection!$B:$B, R$2)</f>
        <v>0</v>
      </c>
      <c r="S42" s="47">
        <f>SUMIFS(Collection!$J:$J, Collection!$A:$A, $A42, Collection!$B:$B, S$2)</f>
        <v>0</v>
      </c>
      <c r="T42" s="47">
        <f>SUMIFS(Collection!$J:$J, Collection!$A:$A, $A42, Collection!$B:$B, T$2)</f>
        <v>0</v>
      </c>
      <c r="U42" s="47">
        <f>SUMIFS(Collection!$J:$J, Collection!$A:$A, $A42, Collection!$B:$B, U$2)</f>
        <v>0</v>
      </c>
      <c r="V42" s="47">
        <f>SUMIFS(Collection!$J:$J, Collection!$A:$A, $A42, Collection!$B:$B, V$2)</f>
        <v>0</v>
      </c>
      <c r="W42" s="47">
        <f>SUMIFS(Collection!$J:$J, Collection!$A:$A, $A42, Collection!$B:$B, W$2)</f>
        <v>0</v>
      </c>
      <c r="X42" s="47">
        <f>SUMIFS(Collection!$J:$J, Collection!$A:$A, $A42, Collection!$B:$B, X$2)</f>
        <v>0</v>
      </c>
      <c r="Y42" s="47">
        <f>SUMIFS(Collection!$J:$J, Collection!$A:$A, $A42, Collection!$B:$B, Y$2)</f>
        <v>0</v>
      </c>
      <c r="Z42" s="47"/>
      <c r="AA42" s="47">
        <f t="shared" si="0"/>
        <v>0</v>
      </c>
      <c r="AB42" s="47">
        <f t="shared" si="1"/>
        <v>0</v>
      </c>
      <c r="AC42" s="47">
        <f t="shared" si="2"/>
        <v>0</v>
      </c>
      <c r="AD42" s="47">
        <f t="shared" si="3"/>
        <v>0</v>
      </c>
      <c r="AE42" s="47">
        <f t="shared" si="4"/>
        <v>0</v>
      </c>
      <c r="AF42" s="47">
        <f t="shared" si="5"/>
        <v>0</v>
      </c>
      <c r="AG42" s="47">
        <f t="shared" si="6"/>
        <v>0</v>
      </c>
      <c r="AH42" s="283">
        <f t="shared" si="7"/>
        <v>0</v>
      </c>
      <c r="AJ42" s="283">
        <f>SUM($S$4:S42)</f>
        <v>793269.4444444445</v>
      </c>
      <c r="AK42" s="283">
        <f>AJ42/Resources!$B$10</f>
        <v>66105.787037037036</v>
      </c>
      <c r="AL42" s="283">
        <f>SUM($Y$4:Y42)</f>
        <v>105066.66666666667</v>
      </c>
      <c r="AM42" s="290">
        <f>AL42/Resources!$B$11</f>
        <v>8755.5555555555566</v>
      </c>
      <c r="AN42" s="283">
        <f>SUM($L$4:L42)</f>
        <v>695063.33333333337</v>
      </c>
      <c r="AO42" s="283">
        <f>AN42/Resources!$B$12</f>
        <v>46337.555555555555</v>
      </c>
      <c r="AP42" s="283">
        <f>SUM($R$4:R42)</f>
        <v>671786.66666666663</v>
      </c>
      <c r="AQ42" s="283">
        <f>AP42/Resources!$B$13</f>
        <v>67178.666666666657</v>
      </c>
      <c r="AR42" s="283">
        <f>SUM($N$4:N42)</f>
        <v>370073.33333333337</v>
      </c>
      <c r="AS42" s="283">
        <f>AR42/Resources!$B$14</f>
        <v>3333.9939939939945</v>
      </c>
      <c r="AT42" s="283">
        <f>SUM($U$4:U42)</f>
        <v>400535</v>
      </c>
      <c r="AU42" s="283">
        <f>AT42/Resources!$B$15</f>
        <v>3965.6930693069307</v>
      </c>
      <c r="AV42" s="283">
        <f>SUM($J$4:J42)</f>
        <v>640356.66666666663</v>
      </c>
      <c r="AW42" s="283">
        <f>AV42/Resources!$B$16</f>
        <v>6534.2517006802718</v>
      </c>
      <c r="AX42" s="283">
        <f>SUM($O$4:O42)</f>
        <v>466208.33333333337</v>
      </c>
      <c r="AY42" s="283">
        <f>AX42/Resources!$B$17</f>
        <v>4440.0793650793657</v>
      </c>
      <c r="AZ42" s="283">
        <f>SUM($I$4:I42,$K$4:K42)</f>
        <v>2115476.666666667</v>
      </c>
      <c r="BA42" s="283">
        <f>AZ42/Resources!$B$6</f>
        <v>66108.645833333343</v>
      </c>
      <c r="BB42" s="283">
        <f>SUM($D$4:D42,$G$4:G42)</f>
        <v>1985266.6666666667</v>
      </c>
      <c r="BC42" s="283">
        <f>BB42/Resources!$B$7</f>
        <v>66175.555555555562</v>
      </c>
      <c r="BD42" s="283">
        <f>SUM($C$4:C42,$H$4:H42)</f>
        <v>2276873.3333333335</v>
      </c>
      <c r="BE42" s="295">
        <f>BD42/Resources!$B$8</f>
        <v>87572.051282051281</v>
      </c>
      <c r="BF42" s="283">
        <f>SUM($B$4:B42,$F$4:F42)</f>
        <v>3196066.6666666665</v>
      </c>
      <c r="BG42" s="283">
        <f>BF42/Resources!$B$9</f>
        <v>103098.92473118279</v>
      </c>
      <c r="BH42" s="283">
        <f>SUM($X$4:X42,$E$4:E42)</f>
        <v>1037886.6666666666</v>
      </c>
      <c r="BI42" s="283">
        <f>BH42/Resources!$B$2</f>
        <v>43245.277777777774</v>
      </c>
      <c r="BJ42" s="283">
        <f>SUM($V$4:V42,$T$4:T42)</f>
        <v>277675</v>
      </c>
      <c r="BK42" s="283">
        <f>BJ42/Resources!$B$3</f>
        <v>10679.807692307691</v>
      </c>
      <c r="BL42" s="283">
        <f>SUM($W$4:W42, $M$4:M42)</f>
        <v>397675</v>
      </c>
      <c r="BM42" s="283">
        <f>BL42/Resources!$B$4</f>
        <v>14202.678571428571</v>
      </c>
      <c r="BN42" s="283">
        <f>SUM($P$4:P42,$Q$4:Q42)</f>
        <v>1116063.3333333333</v>
      </c>
      <c r="BO42" s="292">
        <f>BN42/Resources!$B$5</f>
        <v>41335.679012345674</v>
      </c>
    </row>
    <row r="43" spans="1:67" ht="19" x14ac:dyDescent="0.25">
      <c r="A43" s="34">
        <f t="shared" si="8"/>
        <v>42905</v>
      </c>
      <c r="B43" s="47">
        <f>SUMIFS(Collection!$J:$J, Collection!$A:$A, $A43, Collection!$B:$B, B$2)</f>
        <v>0</v>
      </c>
      <c r="C43" s="47">
        <f>SUMIFS(Collection!$J:$J, Collection!$A:$A, $A43, Collection!$B:$B, C$2)</f>
        <v>0</v>
      </c>
      <c r="D43" s="47">
        <f>SUMIFS(Collection!$J:$J, Collection!$A:$A, $A43, Collection!$B:$B, D$2)</f>
        <v>163200</v>
      </c>
      <c r="E43" s="47">
        <f>SUMIFS(Collection!$J:$J, Collection!$A:$A, $A43, Collection!$B:$B, E$2)</f>
        <v>0</v>
      </c>
      <c r="F43" s="47">
        <f>SUMIFS(Collection!$J:$J, Collection!$A:$A, $A43, Collection!$B:$B, F$2)</f>
        <v>0</v>
      </c>
      <c r="G43" s="47">
        <f>SUMIFS(Collection!$J:$J, Collection!$A:$A, $A43, Collection!$B:$B, G$2)</f>
        <v>29920</v>
      </c>
      <c r="H43" s="47">
        <f>SUMIFS(Collection!$J:$J, Collection!$A:$A, $A43, Collection!$B:$B, H$2)</f>
        <v>0</v>
      </c>
      <c r="I43" s="47">
        <f>SUMIFS(Collection!$J:$J, Collection!$A:$A, $A43, Collection!$B:$B, I$2)</f>
        <v>0</v>
      </c>
      <c r="J43" s="47">
        <f>SUMIFS(Collection!$J:$J, Collection!$A:$A, $A43, Collection!$B:$B, J$2)</f>
        <v>13000</v>
      </c>
      <c r="K43" s="47">
        <f>SUMIFS(Collection!$J:$J, Collection!$A:$A, $A43, Collection!$B:$B, K$2)</f>
        <v>0</v>
      </c>
      <c r="L43" s="47">
        <f>SUMIFS(Collection!$J:$J, Collection!$A:$A, $A43, Collection!$B:$B, L$2)</f>
        <v>125</v>
      </c>
      <c r="M43" s="47">
        <f>SUMIFS(Collection!$J:$J, Collection!$A:$A, $A43, Collection!$B:$B, M$2)</f>
        <v>0</v>
      </c>
      <c r="N43" s="47">
        <f>SUMIFS(Collection!$J:$J, Collection!$A:$A, $A43, Collection!$B:$B, N$2)</f>
        <v>0</v>
      </c>
      <c r="O43" s="47">
        <f>SUMIFS(Collection!$J:$J, Collection!$A:$A, $A43, Collection!$B:$B, O$2)</f>
        <v>0</v>
      </c>
      <c r="P43" s="47">
        <f>SUMIFS(Collection!$J:$J, Collection!$A:$A, $A43, Collection!$B:$B, P$2)</f>
        <v>0</v>
      </c>
      <c r="Q43" s="47">
        <f>SUMIFS(Collection!$J:$J, Collection!$A:$A, $A43, Collection!$B:$B, Q$2)</f>
        <v>0</v>
      </c>
      <c r="R43" s="47">
        <f>SUMIFS(Collection!$J:$J, Collection!$A:$A, $A43, Collection!$B:$B, R$2)</f>
        <v>67666.666666666672</v>
      </c>
      <c r="S43" s="47">
        <f>SUMIFS(Collection!$J:$J, Collection!$A:$A, $A43, Collection!$B:$B, S$2)</f>
        <v>165000</v>
      </c>
      <c r="T43" s="47">
        <f>SUMIFS(Collection!$J:$J, Collection!$A:$A, $A43, Collection!$B:$B, T$2)</f>
        <v>0</v>
      </c>
      <c r="U43" s="47">
        <f>SUMIFS(Collection!$J:$J, Collection!$A:$A, $A43, Collection!$B:$B, U$2)</f>
        <v>51150</v>
      </c>
      <c r="V43" s="47">
        <f>SUMIFS(Collection!$J:$J, Collection!$A:$A, $A43, Collection!$B:$B, V$2)</f>
        <v>0</v>
      </c>
      <c r="W43" s="47">
        <f>SUMIFS(Collection!$J:$J, Collection!$A:$A, $A43, Collection!$B:$B, W$2)</f>
        <v>0</v>
      </c>
      <c r="X43" s="47">
        <f>SUMIFS(Collection!$J:$J, Collection!$A:$A, $A43, Collection!$B:$B, X$2)</f>
        <v>142000</v>
      </c>
      <c r="Y43" s="47">
        <f>SUMIFS(Collection!$J:$J, Collection!$A:$A, $A43, Collection!$B:$B, Y$2)</f>
        <v>0</v>
      </c>
      <c r="Z43" s="47"/>
      <c r="AA43" s="47">
        <f t="shared" si="0"/>
        <v>0</v>
      </c>
      <c r="AB43" s="47">
        <f t="shared" si="1"/>
        <v>193120</v>
      </c>
      <c r="AC43" s="47">
        <f t="shared" si="2"/>
        <v>0</v>
      </c>
      <c r="AD43" s="47">
        <f t="shared" si="3"/>
        <v>0</v>
      </c>
      <c r="AE43" s="47">
        <f t="shared" si="4"/>
        <v>142000</v>
      </c>
      <c r="AF43" s="47">
        <f t="shared" si="5"/>
        <v>0</v>
      </c>
      <c r="AG43" s="47">
        <f t="shared" si="6"/>
        <v>0</v>
      </c>
      <c r="AH43" s="283">
        <f t="shared" si="7"/>
        <v>0</v>
      </c>
      <c r="AJ43" s="283">
        <f>SUM($S$4:S43)</f>
        <v>958269.4444444445</v>
      </c>
      <c r="AK43" s="283">
        <f>AJ43/Resources!$B$10</f>
        <v>79855.787037037036</v>
      </c>
      <c r="AL43" s="283">
        <f>SUM($Y$4:Y43)</f>
        <v>105066.66666666667</v>
      </c>
      <c r="AM43" s="290">
        <f>AL43/Resources!$B$11</f>
        <v>8755.5555555555566</v>
      </c>
      <c r="AN43" s="283">
        <f>SUM($L$4:L43)</f>
        <v>695188.33333333337</v>
      </c>
      <c r="AO43" s="283">
        <f>AN43/Resources!$B$12</f>
        <v>46345.888888888891</v>
      </c>
      <c r="AP43" s="283">
        <f>SUM($R$4:R43)</f>
        <v>739453.33333333326</v>
      </c>
      <c r="AQ43" s="283">
        <f>AP43/Resources!$B$13</f>
        <v>73945.333333333328</v>
      </c>
      <c r="AR43" s="283">
        <f>SUM($N$4:N43)</f>
        <v>370073.33333333337</v>
      </c>
      <c r="AS43" s="283">
        <f>AR43/Resources!$B$14</f>
        <v>3333.9939939939945</v>
      </c>
      <c r="AT43" s="283">
        <f>SUM($U$4:U43)</f>
        <v>451685</v>
      </c>
      <c r="AU43" s="283">
        <f>AT43/Resources!$B$15</f>
        <v>4472.1287128712875</v>
      </c>
      <c r="AV43" s="283">
        <f>SUM($J$4:J43)</f>
        <v>653356.66666666663</v>
      </c>
      <c r="AW43" s="283">
        <f>AV43/Resources!$B$16</f>
        <v>6666.9047619047615</v>
      </c>
      <c r="AX43" s="283">
        <f>SUM($O$4:O43)</f>
        <v>466208.33333333337</v>
      </c>
      <c r="AY43" s="283">
        <f>AX43/Resources!$B$17</f>
        <v>4440.0793650793657</v>
      </c>
      <c r="AZ43" s="283">
        <f>SUM($I$4:I43,$K$4:K43)</f>
        <v>2115476.666666667</v>
      </c>
      <c r="BA43" s="283">
        <f>AZ43/Resources!$B$6</f>
        <v>66108.645833333343</v>
      </c>
      <c r="BB43" s="283">
        <f>SUM($D$4:D43,$G$4:G43)</f>
        <v>2178386.666666667</v>
      </c>
      <c r="BC43" s="283">
        <f>BB43/Resources!$B$7</f>
        <v>72612.888888888905</v>
      </c>
      <c r="BD43" s="283">
        <f>SUM($C$4:C43,$H$4:H43)</f>
        <v>2276873.3333333335</v>
      </c>
      <c r="BE43" s="295">
        <f>BD43/Resources!$B$8</f>
        <v>87572.051282051281</v>
      </c>
      <c r="BF43" s="283">
        <f>SUM($B$4:B43,$F$4:F43)</f>
        <v>3196066.6666666665</v>
      </c>
      <c r="BG43" s="283">
        <f>BF43/Resources!$B$9</f>
        <v>103098.92473118279</v>
      </c>
      <c r="BH43" s="283">
        <f>SUM($X$4:X43,$E$4:E43)</f>
        <v>1179886.666666667</v>
      </c>
      <c r="BI43" s="283">
        <f>BH43/Resources!$B$2</f>
        <v>49161.94444444446</v>
      </c>
      <c r="BJ43" s="283">
        <f>SUM($V$4:V43,$T$4:T43)</f>
        <v>277675</v>
      </c>
      <c r="BK43" s="283">
        <f>BJ43/Resources!$B$3</f>
        <v>10679.807692307691</v>
      </c>
      <c r="BL43" s="283">
        <f>SUM($W$4:W43, $M$4:M43)</f>
        <v>397675</v>
      </c>
      <c r="BM43" s="283">
        <f>BL43/Resources!$B$4</f>
        <v>14202.678571428571</v>
      </c>
      <c r="BN43" s="283">
        <f>SUM($P$4:P43,$Q$4:Q43)</f>
        <v>1116063.3333333333</v>
      </c>
      <c r="BO43" s="292">
        <f>BN43/Resources!$B$5</f>
        <v>41335.679012345674</v>
      </c>
    </row>
    <row r="44" spans="1:67" ht="19" x14ac:dyDescent="0.25">
      <c r="A44" s="34">
        <f t="shared" si="8"/>
        <v>42906</v>
      </c>
      <c r="B44" s="47">
        <f>SUMIFS(Collection!$J:$J, Collection!$A:$A, $A44, Collection!$B:$B, B$2)</f>
        <v>0</v>
      </c>
      <c r="C44" s="47">
        <f>SUMIFS(Collection!$J:$J, Collection!$A:$A, $A44, Collection!$B:$B, C$2)</f>
        <v>0</v>
      </c>
      <c r="D44" s="47">
        <f>SUMIFS(Collection!$J:$J, Collection!$A:$A, $A44, Collection!$B:$B, D$2)</f>
        <v>0</v>
      </c>
      <c r="E44" s="47">
        <f>SUMIFS(Collection!$J:$J, Collection!$A:$A, $A44, Collection!$B:$B, E$2)</f>
        <v>0</v>
      </c>
      <c r="F44" s="47">
        <f>SUMIFS(Collection!$J:$J, Collection!$A:$A, $A44, Collection!$B:$B, F$2)</f>
        <v>0</v>
      </c>
      <c r="G44" s="47">
        <f>SUMIFS(Collection!$J:$J, Collection!$A:$A, $A44, Collection!$B:$B, G$2)</f>
        <v>0</v>
      </c>
      <c r="H44" s="47">
        <f>SUMIFS(Collection!$J:$J, Collection!$A:$A, $A44, Collection!$B:$B, H$2)</f>
        <v>0</v>
      </c>
      <c r="I44" s="47">
        <f>SUMIFS(Collection!$J:$J, Collection!$A:$A, $A44, Collection!$B:$B, I$2)</f>
        <v>0</v>
      </c>
      <c r="J44" s="47">
        <f>SUMIFS(Collection!$J:$J, Collection!$A:$A, $A44, Collection!$B:$B, J$2)</f>
        <v>0</v>
      </c>
      <c r="K44" s="47">
        <f>SUMIFS(Collection!$J:$J, Collection!$A:$A, $A44, Collection!$B:$B, K$2)</f>
        <v>0</v>
      </c>
      <c r="L44" s="47">
        <f>SUMIFS(Collection!$J:$J, Collection!$A:$A, $A44, Collection!$B:$B, L$2)</f>
        <v>0</v>
      </c>
      <c r="M44" s="47">
        <f>SUMIFS(Collection!$J:$J, Collection!$A:$A, $A44, Collection!$B:$B, M$2)</f>
        <v>0</v>
      </c>
      <c r="N44" s="47">
        <f>SUMIFS(Collection!$J:$J, Collection!$A:$A, $A44, Collection!$B:$B, N$2)</f>
        <v>0</v>
      </c>
      <c r="O44" s="47">
        <f>SUMIFS(Collection!$J:$J, Collection!$A:$A, $A44, Collection!$B:$B, O$2)</f>
        <v>0</v>
      </c>
      <c r="P44" s="47">
        <f>SUMIFS(Collection!$J:$J, Collection!$A:$A, $A44, Collection!$B:$B, P$2)</f>
        <v>0</v>
      </c>
      <c r="Q44" s="47">
        <f>SUMIFS(Collection!$J:$J, Collection!$A:$A, $A44, Collection!$B:$B, Q$2)</f>
        <v>0</v>
      </c>
      <c r="R44" s="47">
        <f>SUMIFS(Collection!$J:$J, Collection!$A:$A, $A44, Collection!$B:$B, R$2)</f>
        <v>0</v>
      </c>
      <c r="S44" s="47">
        <f>SUMIFS(Collection!$J:$J, Collection!$A:$A, $A44, Collection!$B:$B, S$2)</f>
        <v>0</v>
      </c>
      <c r="T44" s="47">
        <f>SUMIFS(Collection!$J:$J, Collection!$A:$A, $A44, Collection!$B:$B, T$2)</f>
        <v>0</v>
      </c>
      <c r="U44" s="47">
        <f>SUMIFS(Collection!$J:$J, Collection!$A:$A, $A44, Collection!$B:$B, U$2)</f>
        <v>65666.666666666672</v>
      </c>
      <c r="V44" s="47">
        <f>SUMIFS(Collection!$J:$J, Collection!$A:$A, $A44, Collection!$B:$B, V$2)</f>
        <v>0</v>
      </c>
      <c r="W44" s="47">
        <f>SUMIFS(Collection!$J:$J, Collection!$A:$A, $A44, Collection!$B:$B, W$2)</f>
        <v>0</v>
      </c>
      <c r="X44" s="47">
        <f>SUMIFS(Collection!$J:$J, Collection!$A:$A, $A44, Collection!$B:$B, X$2)</f>
        <v>0</v>
      </c>
      <c r="Y44" s="47">
        <f>SUMIFS(Collection!$J:$J, Collection!$A:$A, $A44, Collection!$B:$B, Y$2)</f>
        <v>0</v>
      </c>
      <c r="Z44" s="47"/>
      <c r="AA44" s="47">
        <f t="shared" si="0"/>
        <v>0</v>
      </c>
      <c r="AB44" s="47">
        <f t="shared" si="1"/>
        <v>0</v>
      </c>
      <c r="AC44" s="47">
        <f t="shared" si="2"/>
        <v>0</v>
      </c>
      <c r="AD44" s="47">
        <f t="shared" si="3"/>
        <v>0</v>
      </c>
      <c r="AE44" s="47">
        <f t="shared" si="4"/>
        <v>0</v>
      </c>
      <c r="AF44" s="47">
        <f t="shared" si="5"/>
        <v>0</v>
      </c>
      <c r="AG44" s="47">
        <f t="shared" si="6"/>
        <v>0</v>
      </c>
      <c r="AH44" s="283">
        <f t="shared" si="7"/>
        <v>0</v>
      </c>
      <c r="AJ44" s="283">
        <f>SUM($S$4:S44)</f>
        <v>958269.4444444445</v>
      </c>
      <c r="AK44" s="283">
        <f>AJ44/Resources!$B$10</f>
        <v>79855.787037037036</v>
      </c>
      <c r="AL44" s="283">
        <f>SUM($Y$4:Y44)</f>
        <v>105066.66666666667</v>
      </c>
      <c r="AM44" s="290">
        <f>AL44/Resources!$B$11</f>
        <v>8755.5555555555566</v>
      </c>
      <c r="AN44" s="283">
        <f>SUM($L$4:L44)</f>
        <v>695188.33333333337</v>
      </c>
      <c r="AO44" s="283">
        <f>AN44/Resources!$B$12</f>
        <v>46345.888888888891</v>
      </c>
      <c r="AP44" s="283">
        <f>SUM($R$4:R44)</f>
        <v>739453.33333333326</v>
      </c>
      <c r="AQ44" s="283">
        <f>AP44/Resources!$B$13</f>
        <v>73945.333333333328</v>
      </c>
      <c r="AR44" s="283">
        <f>SUM($N$4:N44)</f>
        <v>370073.33333333337</v>
      </c>
      <c r="AS44" s="283">
        <f>AR44/Resources!$B$14</f>
        <v>3333.9939939939945</v>
      </c>
      <c r="AT44" s="283">
        <f>SUM($U$4:U44)</f>
        <v>517351.66666666669</v>
      </c>
      <c r="AU44" s="283">
        <f>AT44/Resources!$B$15</f>
        <v>5122.2937293729374</v>
      </c>
      <c r="AV44" s="283">
        <f>SUM($J$4:J44)</f>
        <v>653356.66666666663</v>
      </c>
      <c r="AW44" s="283">
        <f>AV44/Resources!$B$16</f>
        <v>6666.9047619047615</v>
      </c>
      <c r="AX44" s="283">
        <f>SUM($O$4:O44)</f>
        <v>466208.33333333337</v>
      </c>
      <c r="AY44" s="283">
        <f>AX44/Resources!$B$17</f>
        <v>4440.0793650793657</v>
      </c>
      <c r="AZ44" s="283">
        <f>SUM($I$4:I44,$K$4:K44)</f>
        <v>2115476.666666667</v>
      </c>
      <c r="BA44" s="283">
        <f>AZ44/Resources!$B$6</f>
        <v>66108.645833333343</v>
      </c>
      <c r="BB44" s="283">
        <f>SUM($D$4:D44,$G$4:G44)</f>
        <v>2178386.666666667</v>
      </c>
      <c r="BC44" s="283">
        <f>BB44/Resources!$B$7</f>
        <v>72612.888888888905</v>
      </c>
      <c r="BD44" s="283">
        <f>SUM($C$4:C44,$H$4:H44)</f>
        <v>2276873.3333333335</v>
      </c>
      <c r="BE44" s="295">
        <f>BD44/Resources!$B$8</f>
        <v>87572.051282051281</v>
      </c>
      <c r="BF44" s="283">
        <f>SUM($B$4:B44,$F$4:F44)</f>
        <v>3196066.6666666665</v>
      </c>
      <c r="BG44" s="283">
        <f>BF44/Resources!$B$9</f>
        <v>103098.92473118279</v>
      </c>
      <c r="BH44" s="283">
        <f>SUM($X$4:X44,$E$4:E44)</f>
        <v>1179886.666666667</v>
      </c>
      <c r="BI44" s="283">
        <f>BH44/Resources!$B$2</f>
        <v>49161.94444444446</v>
      </c>
      <c r="BJ44" s="283">
        <f>SUM($V$4:V44,$T$4:T44)</f>
        <v>277675</v>
      </c>
      <c r="BK44" s="283">
        <f>BJ44/Resources!$B$3</f>
        <v>10679.807692307691</v>
      </c>
      <c r="BL44" s="283">
        <f>SUM($W$4:W44, $M$4:M44)</f>
        <v>397675</v>
      </c>
      <c r="BM44" s="283">
        <f>BL44/Resources!$B$4</f>
        <v>14202.678571428571</v>
      </c>
      <c r="BN44" s="283">
        <f>SUM($P$4:P44,$Q$4:Q44)</f>
        <v>1116063.3333333333</v>
      </c>
      <c r="BO44" s="292">
        <f>BN44/Resources!$B$5</f>
        <v>41335.679012345674</v>
      </c>
    </row>
    <row r="45" spans="1:67" ht="19" x14ac:dyDescent="0.25">
      <c r="A45" s="34">
        <f t="shared" si="8"/>
        <v>42907</v>
      </c>
      <c r="B45" s="47">
        <f>SUMIFS(Collection!$J:$J, Collection!$A:$A, $A45, Collection!$B:$B, B$2)</f>
        <v>0</v>
      </c>
      <c r="C45" s="47">
        <f>SUMIFS(Collection!$J:$J, Collection!$A:$A, $A45, Collection!$B:$B, C$2)</f>
        <v>0</v>
      </c>
      <c r="D45" s="47">
        <f>SUMIFS(Collection!$J:$J, Collection!$A:$A, $A45, Collection!$B:$B, D$2)</f>
        <v>0</v>
      </c>
      <c r="E45" s="47">
        <f>SUMIFS(Collection!$J:$J, Collection!$A:$A, $A45, Collection!$B:$B, E$2)</f>
        <v>0</v>
      </c>
      <c r="F45" s="47">
        <f>SUMIFS(Collection!$J:$J, Collection!$A:$A, $A45, Collection!$B:$B, F$2)</f>
        <v>0</v>
      </c>
      <c r="G45" s="47">
        <f>SUMIFS(Collection!$J:$J, Collection!$A:$A, $A45, Collection!$B:$B, G$2)</f>
        <v>0</v>
      </c>
      <c r="H45" s="47">
        <f>SUMIFS(Collection!$J:$J, Collection!$A:$A, $A45, Collection!$B:$B, H$2)</f>
        <v>0</v>
      </c>
      <c r="I45" s="47">
        <f>SUMIFS(Collection!$J:$J, Collection!$A:$A, $A45, Collection!$B:$B, I$2)</f>
        <v>0</v>
      </c>
      <c r="J45" s="47">
        <f>SUMIFS(Collection!$J:$J, Collection!$A:$A, $A45, Collection!$B:$B, J$2)</f>
        <v>0</v>
      </c>
      <c r="K45" s="47">
        <f>SUMIFS(Collection!$J:$J, Collection!$A:$A, $A45, Collection!$B:$B, K$2)</f>
        <v>0</v>
      </c>
      <c r="L45" s="47">
        <f>SUMIFS(Collection!$J:$J, Collection!$A:$A, $A45, Collection!$B:$B, L$2)</f>
        <v>0</v>
      </c>
      <c r="M45" s="47">
        <f>SUMIFS(Collection!$J:$J, Collection!$A:$A, $A45, Collection!$B:$B, M$2)</f>
        <v>0</v>
      </c>
      <c r="N45" s="47">
        <f>SUMIFS(Collection!$J:$J, Collection!$A:$A, $A45, Collection!$B:$B, N$2)</f>
        <v>0</v>
      </c>
      <c r="O45" s="47">
        <f>SUMIFS(Collection!$J:$J, Collection!$A:$A, $A45, Collection!$B:$B, O$2)</f>
        <v>0</v>
      </c>
      <c r="P45" s="47">
        <f>SUMIFS(Collection!$J:$J, Collection!$A:$A, $A45, Collection!$B:$B, P$2)</f>
        <v>0</v>
      </c>
      <c r="Q45" s="47">
        <f>SUMIFS(Collection!$J:$J, Collection!$A:$A, $A45, Collection!$B:$B, Q$2)</f>
        <v>0</v>
      </c>
      <c r="R45" s="47">
        <f>SUMIFS(Collection!$J:$J, Collection!$A:$A, $A45, Collection!$B:$B, R$2)</f>
        <v>0</v>
      </c>
      <c r="S45" s="47">
        <f>SUMIFS(Collection!$J:$J, Collection!$A:$A, $A45, Collection!$B:$B, S$2)</f>
        <v>0</v>
      </c>
      <c r="T45" s="47">
        <f>SUMIFS(Collection!$J:$J, Collection!$A:$A, $A45, Collection!$B:$B, T$2)</f>
        <v>0</v>
      </c>
      <c r="U45" s="47">
        <f>SUMIFS(Collection!$J:$J, Collection!$A:$A, $A45, Collection!$B:$B, U$2)</f>
        <v>0</v>
      </c>
      <c r="V45" s="47">
        <f>SUMIFS(Collection!$J:$J, Collection!$A:$A, $A45, Collection!$B:$B, V$2)</f>
        <v>0</v>
      </c>
      <c r="W45" s="47">
        <f>SUMIFS(Collection!$J:$J, Collection!$A:$A, $A45, Collection!$B:$B, W$2)</f>
        <v>0</v>
      </c>
      <c r="X45" s="47">
        <f>SUMIFS(Collection!$J:$J, Collection!$A:$A, $A45, Collection!$B:$B, X$2)</f>
        <v>0</v>
      </c>
      <c r="Y45" s="47">
        <f>SUMIFS(Collection!$J:$J, Collection!$A:$A, $A45, Collection!$B:$B, Y$2)</f>
        <v>0</v>
      </c>
      <c r="Z45" s="47"/>
      <c r="AA45" s="47">
        <f t="shared" si="0"/>
        <v>0</v>
      </c>
      <c r="AB45" s="47">
        <f t="shared" si="1"/>
        <v>0</v>
      </c>
      <c r="AC45" s="47">
        <f t="shared" si="2"/>
        <v>0</v>
      </c>
      <c r="AD45" s="47">
        <f t="shared" si="3"/>
        <v>0</v>
      </c>
      <c r="AE45" s="47">
        <f t="shared" si="4"/>
        <v>0</v>
      </c>
      <c r="AF45" s="47">
        <f t="shared" si="5"/>
        <v>0</v>
      </c>
      <c r="AG45" s="47">
        <f t="shared" si="6"/>
        <v>0</v>
      </c>
      <c r="AH45" s="283">
        <f t="shared" si="7"/>
        <v>0</v>
      </c>
      <c r="AJ45" s="283">
        <f>SUM($S$4:S45)</f>
        <v>958269.4444444445</v>
      </c>
      <c r="AK45" s="283">
        <f>AJ45/Resources!$B$10</f>
        <v>79855.787037037036</v>
      </c>
      <c r="AL45" s="283">
        <f>SUM($Y$4:Y45)</f>
        <v>105066.66666666667</v>
      </c>
      <c r="AM45" s="290">
        <f>AL45/Resources!$B$11</f>
        <v>8755.5555555555566</v>
      </c>
      <c r="AN45" s="283">
        <f>SUM($L$4:L45)</f>
        <v>695188.33333333337</v>
      </c>
      <c r="AO45" s="283">
        <f>AN45/Resources!$B$12</f>
        <v>46345.888888888891</v>
      </c>
      <c r="AP45" s="283">
        <f>SUM($R$4:R45)</f>
        <v>739453.33333333326</v>
      </c>
      <c r="AQ45" s="283">
        <f>AP45/Resources!$B$13</f>
        <v>73945.333333333328</v>
      </c>
      <c r="AR45" s="283">
        <f>SUM($N$4:N45)</f>
        <v>370073.33333333337</v>
      </c>
      <c r="AS45" s="283">
        <f>AR45/Resources!$B$14</f>
        <v>3333.9939939939945</v>
      </c>
      <c r="AT45" s="283">
        <f>SUM($U$4:U45)</f>
        <v>517351.66666666669</v>
      </c>
      <c r="AU45" s="283">
        <f>AT45/Resources!$B$15</f>
        <v>5122.2937293729374</v>
      </c>
      <c r="AV45" s="283">
        <f>SUM($J$4:J45)</f>
        <v>653356.66666666663</v>
      </c>
      <c r="AW45" s="283">
        <f>AV45/Resources!$B$16</f>
        <v>6666.9047619047615</v>
      </c>
      <c r="AX45" s="283">
        <f>SUM($O$4:O45)</f>
        <v>466208.33333333337</v>
      </c>
      <c r="AY45" s="283">
        <f>AX45/Resources!$B$17</f>
        <v>4440.0793650793657</v>
      </c>
      <c r="AZ45" s="283">
        <f>SUM($I$4:I45,$K$4:K45)</f>
        <v>2115476.666666667</v>
      </c>
      <c r="BA45" s="283">
        <f>AZ45/Resources!$B$6</f>
        <v>66108.645833333343</v>
      </c>
      <c r="BB45" s="283">
        <f>SUM($D$4:D45,$G$4:G45)</f>
        <v>2178386.666666667</v>
      </c>
      <c r="BC45" s="283">
        <f>BB45/Resources!$B$7</f>
        <v>72612.888888888905</v>
      </c>
      <c r="BD45" s="283">
        <f>SUM($C$4:C45,$H$4:H45)</f>
        <v>2276873.3333333335</v>
      </c>
      <c r="BE45" s="295">
        <f>BD45/Resources!$B$8</f>
        <v>87572.051282051281</v>
      </c>
      <c r="BF45" s="283">
        <f>SUM($B$4:B45,$F$4:F45)</f>
        <v>3196066.6666666665</v>
      </c>
      <c r="BG45" s="283">
        <f>BF45/Resources!$B$9</f>
        <v>103098.92473118279</v>
      </c>
      <c r="BH45" s="283">
        <f>SUM($X$4:X45,$E$4:E45)</f>
        <v>1179886.666666667</v>
      </c>
      <c r="BI45" s="283">
        <f>BH45/Resources!$B$2</f>
        <v>49161.94444444446</v>
      </c>
      <c r="BJ45" s="283">
        <f>SUM($V$4:V45,$T$4:T45)</f>
        <v>277675</v>
      </c>
      <c r="BK45" s="283">
        <f>BJ45/Resources!$B$3</f>
        <v>10679.807692307691</v>
      </c>
      <c r="BL45" s="283">
        <f>SUM($W$4:W45, $M$4:M45)</f>
        <v>397675</v>
      </c>
      <c r="BM45" s="283">
        <f>BL45/Resources!$B$4</f>
        <v>14202.678571428571</v>
      </c>
      <c r="BN45" s="283">
        <f>SUM($P$4:P45,$Q$4:Q45)</f>
        <v>1116063.3333333333</v>
      </c>
      <c r="BO45" s="292">
        <f>BN45/Resources!$B$5</f>
        <v>41335.679012345674</v>
      </c>
    </row>
    <row r="46" spans="1:67" ht="19" x14ac:dyDescent="0.25">
      <c r="A46" s="34">
        <f t="shared" si="8"/>
        <v>42908</v>
      </c>
      <c r="B46" s="47">
        <f>SUMIFS(Collection!$J:$J, Collection!$A:$A, $A46, Collection!$B:$B, B$2)</f>
        <v>0</v>
      </c>
      <c r="C46" s="47">
        <f>SUMIFS(Collection!$J:$J, Collection!$A:$A, $A46, Collection!$B:$B, C$2)</f>
        <v>866.66666666666663</v>
      </c>
      <c r="D46" s="47">
        <f>SUMIFS(Collection!$J:$J, Collection!$A:$A, $A46, Collection!$B:$B, D$2)</f>
        <v>0</v>
      </c>
      <c r="E46" s="47">
        <f>SUMIFS(Collection!$J:$J, Collection!$A:$A, $A46, Collection!$B:$B, E$2)</f>
        <v>0</v>
      </c>
      <c r="F46" s="47">
        <f>SUMIFS(Collection!$J:$J, Collection!$A:$A, $A46, Collection!$B:$B, F$2)</f>
        <v>0</v>
      </c>
      <c r="G46" s="47">
        <f>SUMIFS(Collection!$J:$J, Collection!$A:$A, $A46, Collection!$B:$B, G$2)</f>
        <v>0</v>
      </c>
      <c r="H46" s="47">
        <f>SUMIFS(Collection!$J:$J, Collection!$A:$A, $A46, Collection!$B:$B, H$2)</f>
        <v>0</v>
      </c>
      <c r="I46" s="47">
        <f>SUMIFS(Collection!$J:$J, Collection!$A:$A, $A46, Collection!$B:$B, I$2)</f>
        <v>0</v>
      </c>
      <c r="J46" s="47">
        <f>SUMIFS(Collection!$J:$J, Collection!$A:$A, $A46, Collection!$B:$B, J$2)</f>
        <v>0</v>
      </c>
      <c r="K46" s="47">
        <f>SUMIFS(Collection!$J:$J, Collection!$A:$A, $A46, Collection!$B:$B, K$2)</f>
        <v>0</v>
      </c>
      <c r="L46" s="47">
        <f>SUMIFS(Collection!$J:$J, Collection!$A:$A, $A46, Collection!$B:$B, L$2)</f>
        <v>0</v>
      </c>
      <c r="M46" s="47">
        <f>SUMIFS(Collection!$J:$J, Collection!$A:$A, $A46, Collection!$B:$B, M$2)</f>
        <v>0</v>
      </c>
      <c r="N46" s="47">
        <f>SUMIFS(Collection!$J:$J, Collection!$A:$A, $A46, Collection!$B:$B, N$2)</f>
        <v>0</v>
      </c>
      <c r="O46" s="47">
        <f>SUMIFS(Collection!$J:$J, Collection!$A:$A, $A46, Collection!$B:$B, O$2)</f>
        <v>0</v>
      </c>
      <c r="P46" s="47">
        <f>SUMIFS(Collection!$J:$J, Collection!$A:$A, $A46, Collection!$B:$B, P$2)</f>
        <v>0</v>
      </c>
      <c r="Q46" s="47">
        <f>SUMIFS(Collection!$J:$J, Collection!$A:$A, $A46, Collection!$B:$B, Q$2)</f>
        <v>0</v>
      </c>
      <c r="R46" s="47">
        <f>SUMIFS(Collection!$J:$J, Collection!$A:$A, $A46, Collection!$B:$B, R$2)</f>
        <v>1564.4444444444443</v>
      </c>
      <c r="S46" s="47">
        <f>SUMIFS(Collection!$J:$J, Collection!$A:$A, $A46, Collection!$B:$B, S$2)</f>
        <v>995.55555555555554</v>
      </c>
      <c r="T46" s="47">
        <f>SUMIFS(Collection!$J:$J, Collection!$A:$A, $A46, Collection!$B:$B, T$2)</f>
        <v>0</v>
      </c>
      <c r="U46" s="47">
        <f>SUMIFS(Collection!$J:$J, Collection!$A:$A, $A46, Collection!$B:$B, U$2)</f>
        <v>193.33333333333331</v>
      </c>
      <c r="V46" s="47">
        <f>SUMIFS(Collection!$J:$J, Collection!$A:$A, $A46, Collection!$B:$B, V$2)</f>
        <v>33.333333333333329</v>
      </c>
      <c r="W46" s="47">
        <f>SUMIFS(Collection!$J:$J, Collection!$A:$A, $A46, Collection!$B:$B, W$2)</f>
        <v>0</v>
      </c>
      <c r="X46" s="47">
        <f>SUMIFS(Collection!$J:$J, Collection!$A:$A, $A46, Collection!$B:$B, X$2)</f>
        <v>888.8888888888888</v>
      </c>
      <c r="Y46" s="47">
        <f>SUMIFS(Collection!$J:$J, Collection!$A:$A, $A46, Collection!$B:$B, Y$2)</f>
        <v>0</v>
      </c>
      <c r="Z46" s="47"/>
      <c r="AA46" s="47">
        <f t="shared" si="0"/>
        <v>0</v>
      </c>
      <c r="AB46" s="47">
        <f t="shared" si="1"/>
        <v>0</v>
      </c>
      <c r="AC46" s="47">
        <f t="shared" si="2"/>
        <v>866.66666666666663</v>
      </c>
      <c r="AD46" s="47">
        <f t="shared" si="3"/>
        <v>0</v>
      </c>
      <c r="AE46" s="47">
        <f t="shared" si="4"/>
        <v>888.8888888888888</v>
      </c>
      <c r="AF46" s="47">
        <f t="shared" si="5"/>
        <v>33.333333333333329</v>
      </c>
      <c r="AG46" s="47">
        <f t="shared" si="6"/>
        <v>0</v>
      </c>
      <c r="AH46" s="283">
        <f t="shared" si="7"/>
        <v>0</v>
      </c>
      <c r="AJ46" s="283">
        <f>SUM($S$4:S46)</f>
        <v>959265</v>
      </c>
      <c r="AK46" s="283">
        <f>AJ46/Resources!$B$10</f>
        <v>79938.75</v>
      </c>
      <c r="AL46" s="283">
        <f>SUM($Y$4:Y46)</f>
        <v>105066.66666666667</v>
      </c>
      <c r="AM46" s="290">
        <f>AL46/Resources!$B$11</f>
        <v>8755.5555555555566</v>
      </c>
      <c r="AN46" s="283">
        <f>SUM($L$4:L46)</f>
        <v>695188.33333333337</v>
      </c>
      <c r="AO46" s="283">
        <f>AN46/Resources!$B$12</f>
        <v>46345.888888888891</v>
      </c>
      <c r="AP46" s="283">
        <f>SUM($R$4:R46)</f>
        <v>741017.77777777775</v>
      </c>
      <c r="AQ46" s="283">
        <f>AP46/Resources!$B$13</f>
        <v>74101.777777777781</v>
      </c>
      <c r="AR46" s="283">
        <f>SUM($N$4:N46)</f>
        <v>370073.33333333337</v>
      </c>
      <c r="AS46" s="283">
        <f>AR46/Resources!$B$14</f>
        <v>3333.9939939939945</v>
      </c>
      <c r="AT46" s="283">
        <f>SUM($U$4:U46)</f>
        <v>517545</v>
      </c>
      <c r="AU46" s="283">
        <f>AT46/Resources!$B$15</f>
        <v>5124.2079207920788</v>
      </c>
      <c r="AV46" s="283">
        <f>SUM($J$4:J46)</f>
        <v>653356.66666666663</v>
      </c>
      <c r="AW46" s="283">
        <f>AV46/Resources!$B$16</f>
        <v>6666.9047619047615</v>
      </c>
      <c r="AX46" s="283">
        <f>SUM($O$4:O46)</f>
        <v>466208.33333333337</v>
      </c>
      <c r="AY46" s="283">
        <f>AX46/Resources!$B$17</f>
        <v>4440.0793650793657</v>
      </c>
      <c r="AZ46" s="283">
        <f>SUM($I$4:I46,$K$4:K46)</f>
        <v>2115476.666666667</v>
      </c>
      <c r="BA46" s="283">
        <f>AZ46/Resources!$B$6</f>
        <v>66108.645833333343</v>
      </c>
      <c r="BB46" s="283">
        <f>SUM($D$4:D46,$G$4:G46)</f>
        <v>2178386.666666667</v>
      </c>
      <c r="BC46" s="283">
        <f>BB46/Resources!$B$7</f>
        <v>72612.888888888905</v>
      </c>
      <c r="BD46" s="283">
        <f>SUM($C$4:C46,$H$4:H46)</f>
        <v>2277740</v>
      </c>
      <c r="BE46" s="295">
        <f>BD46/Resources!$B$8</f>
        <v>87605.38461538461</v>
      </c>
      <c r="BF46" s="283">
        <f>SUM($B$4:B46,$F$4:F46)</f>
        <v>3196066.6666666665</v>
      </c>
      <c r="BG46" s="283">
        <f>BF46/Resources!$B$9</f>
        <v>103098.92473118279</v>
      </c>
      <c r="BH46" s="283">
        <f>SUM($X$4:X46,$E$4:E46)</f>
        <v>1180775.5555555557</v>
      </c>
      <c r="BI46" s="283">
        <f>BH46/Resources!$B$2</f>
        <v>49198.981481481489</v>
      </c>
      <c r="BJ46" s="283">
        <f>SUM($V$4:V46,$T$4:T46)</f>
        <v>277708.33333333331</v>
      </c>
      <c r="BK46" s="283">
        <f>BJ46/Resources!$B$3</f>
        <v>10681.089743589742</v>
      </c>
      <c r="BL46" s="283">
        <f>SUM($W$4:W46, $M$4:M46)</f>
        <v>397675</v>
      </c>
      <c r="BM46" s="283">
        <f>BL46/Resources!$B$4</f>
        <v>14202.678571428571</v>
      </c>
      <c r="BN46" s="283">
        <f>SUM($P$4:P46,$Q$4:Q46)</f>
        <v>1116063.3333333333</v>
      </c>
      <c r="BO46" s="292">
        <f>BN46/Resources!$B$5</f>
        <v>41335.679012345674</v>
      </c>
    </row>
    <row r="47" spans="1:67" ht="19" x14ac:dyDescent="0.25">
      <c r="A47" s="34">
        <f t="shared" si="8"/>
        <v>42909</v>
      </c>
      <c r="B47" s="47">
        <f>SUMIFS(Collection!$J:$J, Collection!$A:$A, $A47, Collection!$B:$B, B$2)</f>
        <v>0</v>
      </c>
      <c r="C47" s="47">
        <f>SUMIFS(Collection!$J:$J, Collection!$A:$A, $A47, Collection!$B:$B, C$2)</f>
        <v>0</v>
      </c>
      <c r="D47" s="47">
        <f>SUMIFS(Collection!$J:$J, Collection!$A:$A, $A47, Collection!$B:$B, D$2)</f>
        <v>0</v>
      </c>
      <c r="E47" s="47">
        <f>SUMIFS(Collection!$J:$J, Collection!$A:$A, $A47, Collection!$B:$B, E$2)</f>
        <v>0</v>
      </c>
      <c r="F47" s="47">
        <f>SUMIFS(Collection!$J:$J, Collection!$A:$A, $A47, Collection!$B:$B, F$2)</f>
        <v>0</v>
      </c>
      <c r="G47" s="47">
        <f>SUMIFS(Collection!$J:$J, Collection!$A:$A, $A47, Collection!$B:$B, G$2)</f>
        <v>0</v>
      </c>
      <c r="H47" s="47">
        <f>SUMIFS(Collection!$J:$J, Collection!$A:$A, $A47, Collection!$B:$B, H$2)</f>
        <v>0</v>
      </c>
      <c r="I47" s="47">
        <f>SUMIFS(Collection!$J:$J, Collection!$A:$A, $A47, Collection!$B:$B, I$2)</f>
        <v>0</v>
      </c>
      <c r="J47" s="47">
        <f>SUMIFS(Collection!$J:$J, Collection!$A:$A, $A47, Collection!$B:$B, J$2)</f>
        <v>0</v>
      </c>
      <c r="K47" s="47">
        <f>SUMIFS(Collection!$J:$J, Collection!$A:$A, $A47, Collection!$B:$B, K$2)</f>
        <v>0</v>
      </c>
      <c r="L47" s="47">
        <f>SUMIFS(Collection!$J:$J, Collection!$A:$A, $A47, Collection!$B:$B, L$2)</f>
        <v>0</v>
      </c>
      <c r="M47" s="47">
        <f>SUMIFS(Collection!$J:$J, Collection!$A:$A, $A47, Collection!$B:$B, M$2)</f>
        <v>0</v>
      </c>
      <c r="N47" s="47">
        <f>SUMIFS(Collection!$J:$J, Collection!$A:$A, $A47, Collection!$B:$B, N$2)</f>
        <v>0</v>
      </c>
      <c r="O47" s="47">
        <f>SUMIFS(Collection!$J:$J, Collection!$A:$A, $A47, Collection!$B:$B, O$2)</f>
        <v>0</v>
      </c>
      <c r="P47" s="47">
        <f>SUMIFS(Collection!$J:$J, Collection!$A:$A, $A47, Collection!$B:$B, P$2)</f>
        <v>0</v>
      </c>
      <c r="Q47" s="47">
        <f>SUMIFS(Collection!$J:$J, Collection!$A:$A, $A47, Collection!$B:$B, Q$2)</f>
        <v>0</v>
      </c>
      <c r="R47" s="47">
        <f>SUMIFS(Collection!$J:$J, Collection!$A:$A, $A47, Collection!$B:$B, R$2)</f>
        <v>0</v>
      </c>
      <c r="S47" s="47">
        <f>SUMIFS(Collection!$J:$J, Collection!$A:$A, $A47, Collection!$B:$B, S$2)</f>
        <v>0</v>
      </c>
      <c r="T47" s="47">
        <f>SUMIFS(Collection!$J:$J, Collection!$A:$A, $A47, Collection!$B:$B, T$2)</f>
        <v>0</v>
      </c>
      <c r="U47" s="47">
        <f>SUMIFS(Collection!$J:$J, Collection!$A:$A, $A47, Collection!$B:$B, U$2)</f>
        <v>0</v>
      </c>
      <c r="V47" s="47">
        <f>SUMIFS(Collection!$J:$J, Collection!$A:$A, $A47, Collection!$B:$B, V$2)</f>
        <v>0</v>
      </c>
      <c r="W47" s="47">
        <f>SUMIFS(Collection!$J:$J, Collection!$A:$A, $A47, Collection!$B:$B, W$2)</f>
        <v>0</v>
      </c>
      <c r="X47" s="47">
        <f>SUMIFS(Collection!$J:$J, Collection!$A:$A, $A47, Collection!$B:$B, X$2)</f>
        <v>0</v>
      </c>
      <c r="Y47" s="47">
        <f>SUMIFS(Collection!$J:$J, Collection!$A:$A, $A47, Collection!$B:$B, Y$2)</f>
        <v>0</v>
      </c>
      <c r="Z47" s="47"/>
      <c r="AA47" s="47">
        <f t="shared" si="0"/>
        <v>0</v>
      </c>
      <c r="AB47" s="47">
        <f t="shared" si="1"/>
        <v>0</v>
      </c>
      <c r="AC47" s="47">
        <f t="shared" si="2"/>
        <v>0</v>
      </c>
      <c r="AD47" s="47">
        <f t="shared" si="3"/>
        <v>0</v>
      </c>
      <c r="AE47" s="47">
        <f t="shared" si="4"/>
        <v>0</v>
      </c>
      <c r="AF47" s="47">
        <f t="shared" si="5"/>
        <v>0</v>
      </c>
      <c r="AG47" s="47">
        <f t="shared" si="6"/>
        <v>0</v>
      </c>
      <c r="AH47" s="283">
        <f t="shared" si="7"/>
        <v>0</v>
      </c>
      <c r="AJ47" s="283">
        <f>SUM($S$4:S47)</f>
        <v>959265</v>
      </c>
      <c r="AK47" s="283">
        <f>AJ47/Resources!$B$10</f>
        <v>79938.75</v>
      </c>
      <c r="AL47" s="283">
        <f>SUM($Y$4:Y47)</f>
        <v>105066.66666666667</v>
      </c>
      <c r="AM47" s="290">
        <f>AL47/Resources!$B$11</f>
        <v>8755.5555555555566</v>
      </c>
      <c r="AN47" s="283">
        <f>SUM($L$4:L47)</f>
        <v>695188.33333333337</v>
      </c>
      <c r="AO47" s="283">
        <f>AN47/Resources!$B$12</f>
        <v>46345.888888888891</v>
      </c>
      <c r="AP47" s="283">
        <f>SUM($R$4:R47)</f>
        <v>741017.77777777775</v>
      </c>
      <c r="AQ47" s="283">
        <f>AP47/Resources!$B$13</f>
        <v>74101.777777777781</v>
      </c>
      <c r="AR47" s="283">
        <f>SUM($N$4:N47)</f>
        <v>370073.33333333337</v>
      </c>
      <c r="AS47" s="283">
        <f>AR47/Resources!$B$14</f>
        <v>3333.9939939939945</v>
      </c>
      <c r="AT47" s="283">
        <f>SUM($U$4:U47)</f>
        <v>517545</v>
      </c>
      <c r="AU47" s="283">
        <f>AT47/Resources!$B$15</f>
        <v>5124.2079207920788</v>
      </c>
      <c r="AV47" s="283">
        <f>SUM($J$4:J47)</f>
        <v>653356.66666666663</v>
      </c>
      <c r="AW47" s="283">
        <f>AV47/Resources!$B$16</f>
        <v>6666.9047619047615</v>
      </c>
      <c r="AX47" s="283">
        <f>SUM($O$4:O47)</f>
        <v>466208.33333333337</v>
      </c>
      <c r="AY47" s="283">
        <f>AX47/Resources!$B$17</f>
        <v>4440.0793650793657</v>
      </c>
      <c r="AZ47" s="283">
        <f>SUM($I$4:I47,$K$4:K47)</f>
        <v>2115476.666666667</v>
      </c>
      <c r="BA47" s="283">
        <f>AZ47/Resources!$B$6</f>
        <v>66108.645833333343</v>
      </c>
      <c r="BB47" s="283">
        <f>SUM($D$4:D47,$G$4:G47)</f>
        <v>2178386.666666667</v>
      </c>
      <c r="BC47" s="283">
        <f>BB47/Resources!$B$7</f>
        <v>72612.888888888905</v>
      </c>
      <c r="BD47" s="283">
        <f>SUM($C$4:C47,$H$4:H47)</f>
        <v>2277740</v>
      </c>
      <c r="BE47" s="295">
        <f>BD47/Resources!$B$8</f>
        <v>87605.38461538461</v>
      </c>
      <c r="BF47" s="283">
        <f>SUM($B$4:B47,$F$4:F47)</f>
        <v>3196066.6666666665</v>
      </c>
      <c r="BG47" s="283">
        <f>BF47/Resources!$B$9</f>
        <v>103098.92473118279</v>
      </c>
      <c r="BH47" s="283">
        <f>SUM($X$4:X47,$E$4:E47)</f>
        <v>1180775.5555555557</v>
      </c>
      <c r="BI47" s="283">
        <f>BH47/Resources!$B$2</f>
        <v>49198.981481481489</v>
      </c>
      <c r="BJ47" s="283">
        <f>SUM($V$4:V47,$T$4:T47)</f>
        <v>277708.33333333331</v>
      </c>
      <c r="BK47" s="283">
        <f>BJ47/Resources!$B$3</f>
        <v>10681.089743589742</v>
      </c>
      <c r="BL47" s="283">
        <f>SUM($W$4:W47, $M$4:M47)</f>
        <v>397675</v>
      </c>
      <c r="BM47" s="283">
        <f>BL47/Resources!$B$4</f>
        <v>14202.678571428571</v>
      </c>
      <c r="BN47" s="283">
        <f>SUM($P$4:P47,$Q$4:Q47)</f>
        <v>1116063.3333333333</v>
      </c>
      <c r="BO47" s="292">
        <f>BN47/Resources!$B$5</f>
        <v>41335.679012345674</v>
      </c>
    </row>
    <row r="48" spans="1:67" ht="19" x14ac:dyDescent="0.25">
      <c r="A48" s="34">
        <f t="shared" si="8"/>
        <v>42910</v>
      </c>
      <c r="B48" s="47">
        <f>SUMIFS(Collection!$J:$J, Collection!$A:$A, $A48, Collection!$B:$B, B$2)</f>
        <v>0</v>
      </c>
      <c r="C48" s="47">
        <f>SUMIFS(Collection!$J:$J, Collection!$A:$A, $A48, Collection!$B:$B, C$2)</f>
        <v>0</v>
      </c>
      <c r="D48" s="47">
        <f>SUMIFS(Collection!$J:$J, Collection!$A:$A, $A48, Collection!$B:$B, D$2)</f>
        <v>0</v>
      </c>
      <c r="E48" s="47">
        <f>SUMIFS(Collection!$J:$J, Collection!$A:$A, $A48, Collection!$B:$B, E$2)</f>
        <v>0</v>
      </c>
      <c r="F48" s="47">
        <f>SUMIFS(Collection!$J:$J, Collection!$A:$A, $A48, Collection!$B:$B, F$2)</f>
        <v>0</v>
      </c>
      <c r="G48" s="47">
        <f>SUMIFS(Collection!$J:$J, Collection!$A:$A, $A48, Collection!$B:$B, G$2)</f>
        <v>0</v>
      </c>
      <c r="H48" s="47">
        <f>SUMIFS(Collection!$J:$J, Collection!$A:$A, $A48, Collection!$B:$B, H$2)</f>
        <v>95466.666666666657</v>
      </c>
      <c r="I48" s="47">
        <f>SUMIFS(Collection!$J:$J, Collection!$A:$A, $A48, Collection!$B:$B, I$2)</f>
        <v>0</v>
      </c>
      <c r="J48" s="47">
        <f>SUMIFS(Collection!$J:$J, Collection!$A:$A, $A48, Collection!$B:$B, J$2)</f>
        <v>0</v>
      </c>
      <c r="K48" s="47">
        <f>SUMIFS(Collection!$J:$J, Collection!$A:$A, $A48, Collection!$B:$B, K$2)</f>
        <v>0</v>
      </c>
      <c r="L48" s="47">
        <f>SUMIFS(Collection!$J:$J, Collection!$A:$A, $A48, Collection!$B:$B, L$2)</f>
        <v>10000</v>
      </c>
      <c r="M48" s="47">
        <f>SUMIFS(Collection!$J:$J, Collection!$A:$A, $A48, Collection!$B:$B, M$2)</f>
        <v>0</v>
      </c>
      <c r="N48" s="47">
        <f>SUMIFS(Collection!$J:$J, Collection!$A:$A, $A48, Collection!$B:$B, N$2)</f>
        <v>0</v>
      </c>
      <c r="O48" s="47">
        <f>SUMIFS(Collection!$J:$J, Collection!$A:$A, $A48, Collection!$B:$B, O$2)</f>
        <v>0</v>
      </c>
      <c r="P48" s="47">
        <f>SUMIFS(Collection!$J:$J, Collection!$A:$A, $A48, Collection!$B:$B, P$2)</f>
        <v>0</v>
      </c>
      <c r="Q48" s="47">
        <f>SUMIFS(Collection!$J:$J, Collection!$A:$A, $A48, Collection!$B:$B, Q$2)</f>
        <v>0</v>
      </c>
      <c r="R48" s="47">
        <f>SUMIFS(Collection!$J:$J, Collection!$A:$A, $A48, Collection!$B:$B, R$2)</f>
        <v>0</v>
      </c>
      <c r="S48" s="47">
        <f>SUMIFS(Collection!$J:$J, Collection!$A:$A, $A48, Collection!$B:$B, S$2)</f>
        <v>0</v>
      </c>
      <c r="T48" s="47">
        <f>SUMIFS(Collection!$J:$J, Collection!$A:$A, $A48, Collection!$B:$B, T$2)</f>
        <v>0</v>
      </c>
      <c r="U48" s="47">
        <f>SUMIFS(Collection!$J:$J, Collection!$A:$A, $A48, Collection!$B:$B, U$2)</f>
        <v>0</v>
      </c>
      <c r="V48" s="47">
        <f>SUMIFS(Collection!$J:$J, Collection!$A:$A, $A48, Collection!$B:$B, V$2)</f>
        <v>0</v>
      </c>
      <c r="W48" s="47">
        <f>SUMIFS(Collection!$J:$J, Collection!$A:$A, $A48, Collection!$B:$B, W$2)</f>
        <v>0</v>
      </c>
      <c r="X48" s="47">
        <f>SUMIFS(Collection!$J:$J, Collection!$A:$A, $A48, Collection!$B:$B, X$2)</f>
        <v>0</v>
      </c>
      <c r="Y48" s="47">
        <f>SUMIFS(Collection!$J:$J, Collection!$A:$A, $A48, Collection!$B:$B, Y$2)</f>
        <v>0</v>
      </c>
      <c r="Z48" s="47"/>
      <c r="AA48" s="47">
        <f t="shared" si="0"/>
        <v>0</v>
      </c>
      <c r="AB48" s="47">
        <f t="shared" si="1"/>
        <v>0</v>
      </c>
      <c r="AC48" s="47">
        <f t="shared" si="2"/>
        <v>95466.666666666657</v>
      </c>
      <c r="AD48" s="47">
        <f t="shared" si="3"/>
        <v>0</v>
      </c>
      <c r="AE48" s="47">
        <f t="shared" si="4"/>
        <v>0</v>
      </c>
      <c r="AF48" s="47">
        <f t="shared" si="5"/>
        <v>0</v>
      </c>
      <c r="AG48" s="47">
        <f t="shared" si="6"/>
        <v>0</v>
      </c>
      <c r="AH48" s="283">
        <f t="shared" si="7"/>
        <v>0</v>
      </c>
      <c r="AJ48" s="283">
        <f>SUM($S$4:S48)</f>
        <v>959265</v>
      </c>
      <c r="AK48" s="283">
        <f>AJ48/Resources!$B$10</f>
        <v>79938.75</v>
      </c>
      <c r="AL48" s="283">
        <f>SUM($Y$4:Y48)</f>
        <v>105066.66666666667</v>
      </c>
      <c r="AM48" s="290">
        <f>AL48/Resources!$B$11</f>
        <v>8755.5555555555566</v>
      </c>
      <c r="AN48" s="283">
        <f>SUM($L$4:L48)</f>
        <v>705188.33333333337</v>
      </c>
      <c r="AO48" s="283">
        <f>AN48/Resources!$B$12</f>
        <v>47012.555555555555</v>
      </c>
      <c r="AP48" s="283">
        <f>SUM($R$4:R48)</f>
        <v>741017.77777777775</v>
      </c>
      <c r="AQ48" s="283">
        <f>AP48/Resources!$B$13</f>
        <v>74101.777777777781</v>
      </c>
      <c r="AR48" s="283">
        <f>SUM($N$4:N48)</f>
        <v>370073.33333333337</v>
      </c>
      <c r="AS48" s="283">
        <f>AR48/Resources!$B$14</f>
        <v>3333.9939939939945</v>
      </c>
      <c r="AT48" s="283">
        <f>SUM($U$4:U48)</f>
        <v>517545</v>
      </c>
      <c r="AU48" s="283">
        <f>AT48/Resources!$B$15</f>
        <v>5124.2079207920788</v>
      </c>
      <c r="AV48" s="283">
        <f>SUM($J$4:J48)</f>
        <v>653356.66666666663</v>
      </c>
      <c r="AW48" s="283">
        <f>AV48/Resources!$B$16</f>
        <v>6666.9047619047615</v>
      </c>
      <c r="AX48" s="283">
        <f>SUM($O$4:O48)</f>
        <v>466208.33333333337</v>
      </c>
      <c r="AY48" s="283">
        <f>AX48/Resources!$B$17</f>
        <v>4440.0793650793657</v>
      </c>
      <c r="AZ48" s="283">
        <f>SUM($I$4:I48,$K$4:K48)</f>
        <v>2115476.666666667</v>
      </c>
      <c r="BA48" s="283">
        <f>AZ48/Resources!$B$6</f>
        <v>66108.645833333343</v>
      </c>
      <c r="BB48" s="283">
        <f>SUM($D$4:D48,$G$4:G48)</f>
        <v>2178386.666666667</v>
      </c>
      <c r="BC48" s="283">
        <f>BB48/Resources!$B$7</f>
        <v>72612.888888888905</v>
      </c>
      <c r="BD48" s="283">
        <f>SUM($C$4:C48,$H$4:H48)</f>
        <v>2373206.6666666665</v>
      </c>
      <c r="BE48" s="295">
        <f>BD48/Resources!$B$8</f>
        <v>91277.179487179485</v>
      </c>
      <c r="BF48" s="283">
        <f>SUM($B$4:B48,$F$4:F48)</f>
        <v>3196066.6666666665</v>
      </c>
      <c r="BG48" s="283">
        <f>BF48/Resources!$B$9</f>
        <v>103098.92473118279</v>
      </c>
      <c r="BH48" s="283">
        <f>SUM($X$4:X48,$E$4:E48)</f>
        <v>1180775.5555555557</v>
      </c>
      <c r="BI48" s="283">
        <f>BH48/Resources!$B$2</f>
        <v>49198.981481481489</v>
      </c>
      <c r="BJ48" s="283">
        <f>SUM($V$4:V48,$T$4:T48)</f>
        <v>277708.33333333331</v>
      </c>
      <c r="BK48" s="283">
        <f>BJ48/Resources!$B$3</f>
        <v>10681.089743589742</v>
      </c>
      <c r="BL48" s="283">
        <f>SUM($W$4:W48, $M$4:M48)</f>
        <v>397675</v>
      </c>
      <c r="BM48" s="283">
        <f>BL48/Resources!$B$4</f>
        <v>14202.678571428571</v>
      </c>
      <c r="BN48" s="283">
        <f>SUM($P$4:P48,$Q$4:Q48)</f>
        <v>1116063.3333333333</v>
      </c>
      <c r="BO48" s="292">
        <f>BN48/Resources!$B$5</f>
        <v>41335.679012345674</v>
      </c>
    </row>
    <row r="49" spans="1:67" ht="19" x14ac:dyDescent="0.25">
      <c r="A49" s="34">
        <f t="shared" si="8"/>
        <v>42911</v>
      </c>
      <c r="B49" s="47">
        <f>SUMIFS(Collection!$J:$J, Collection!$A:$A, $A49, Collection!$B:$B, B$2)</f>
        <v>0</v>
      </c>
      <c r="C49" s="47">
        <f>SUMIFS(Collection!$J:$J, Collection!$A:$A, $A49, Collection!$B:$B, C$2)</f>
        <v>0</v>
      </c>
      <c r="D49" s="47">
        <f>SUMIFS(Collection!$J:$J, Collection!$A:$A, $A49, Collection!$B:$B, D$2)</f>
        <v>0</v>
      </c>
      <c r="E49" s="47">
        <f>SUMIFS(Collection!$J:$J, Collection!$A:$A, $A49, Collection!$B:$B, E$2)</f>
        <v>0</v>
      </c>
      <c r="F49" s="47">
        <f>SUMIFS(Collection!$J:$J, Collection!$A:$A, $A49, Collection!$B:$B, F$2)</f>
        <v>0</v>
      </c>
      <c r="G49" s="47">
        <f>SUMIFS(Collection!$J:$J, Collection!$A:$A, $A49, Collection!$B:$B, G$2)</f>
        <v>0</v>
      </c>
      <c r="H49" s="47">
        <f>SUMIFS(Collection!$J:$J, Collection!$A:$A, $A49, Collection!$B:$B, H$2)</f>
        <v>0</v>
      </c>
      <c r="I49" s="47">
        <f>SUMIFS(Collection!$J:$J, Collection!$A:$A, $A49, Collection!$B:$B, I$2)</f>
        <v>0</v>
      </c>
      <c r="J49" s="47">
        <f>SUMIFS(Collection!$J:$J, Collection!$A:$A, $A49, Collection!$B:$B, J$2)</f>
        <v>0</v>
      </c>
      <c r="K49" s="47">
        <f>SUMIFS(Collection!$J:$J, Collection!$A:$A, $A49, Collection!$B:$B, K$2)</f>
        <v>0</v>
      </c>
      <c r="L49" s="47">
        <f>SUMIFS(Collection!$J:$J, Collection!$A:$A, $A49, Collection!$B:$B, L$2)</f>
        <v>0</v>
      </c>
      <c r="M49" s="47">
        <f>SUMIFS(Collection!$J:$J, Collection!$A:$A, $A49, Collection!$B:$B, M$2)</f>
        <v>0</v>
      </c>
      <c r="N49" s="47">
        <f>SUMIFS(Collection!$J:$J, Collection!$A:$A, $A49, Collection!$B:$B, N$2)</f>
        <v>0</v>
      </c>
      <c r="O49" s="47">
        <f>SUMIFS(Collection!$J:$J, Collection!$A:$A, $A49, Collection!$B:$B, O$2)</f>
        <v>0</v>
      </c>
      <c r="P49" s="47">
        <f>SUMIFS(Collection!$J:$J, Collection!$A:$A, $A49, Collection!$B:$B, P$2)</f>
        <v>0</v>
      </c>
      <c r="Q49" s="47">
        <f>SUMIFS(Collection!$J:$J, Collection!$A:$A, $A49, Collection!$B:$B, Q$2)</f>
        <v>0</v>
      </c>
      <c r="R49" s="47">
        <f>SUMIFS(Collection!$J:$J, Collection!$A:$A, $A49, Collection!$B:$B, R$2)</f>
        <v>0</v>
      </c>
      <c r="S49" s="47">
        <f>SUMIFS(Collection!$J:$J, Collection!$A:$A, $A49, Collection!$B:$B, S$2)</f>
        <v>0</v>
      </c>
      <c r="T49" s="47">
        <f>SUMIFS(Collection!$J:$J, Collection!$A:$A, $A49, Collection!$B:$B, T$2)</f>
        <v>0</v>
      </c>
      <c r="U49" s="47">
        <f>SUMIFS(Collection!$J:$J, Collection!$A:$A, $A49, Collection!$B:$B, U$2)</f>
        <v>0</v>
      </c>
      <c r="V49" s="47">
        <f>SUMIFS(Collection!$J:$J, Collection!$A:$A, $A49, Collection!$B:$B, V$2)</f>
        <v>0</v>
      </c>
      <c r="W49" s="47">
        <f>SUMIFS(Collection!$J:$J, Collection!$A:$A, $A49, Collection!$B:$B, W$2)</f>
        <v>0</v>
      </c>
      <c r="X49" s="47">
        <f>SUMIFS(Collection!$J:$J, Collection!$A:$A, $A49, Collection!$B:$B, X$2)</f>
        <v>0</v>
      </c>
      <c r="Y49" s="47">
        <f>SUMIFS(Collection!$J:$J, Collection!$A:$A, $A49, Collection!$B:$B, Y$2)</f>
        <v>0</v>
      </c>
      <c r="Z49" s="47"/>
      <c r="AA49" s="47">
        <f t="shared" si="0"/>
        <v>0</v>
      </c>
      <c r="AB49" s="47">
        <f t="shared" si="1"/>
        <v>0</v>
      </c>
      <c r="AC49" s="47">
        <f t="shared" si="2"/>
        <v>0</v>
      </c>
      <c r="AD49" s="47">
        <f t="shared" si="3"/>
        <v>0</v>
      </c>
      <c r="AE49" s="47">
        <f t="shared" si="4"/>
        <v>0</v>
      </c>
      <c r="AF49" s="47">
        <f t="shared" si="5"/>
        <v>0</v>
      </c>
      <c r="AG49" s="47">
        <f t="shared" si="6"/>
        <v>0</v>
      </c>
      <c r="AH49" s="283">
        <f t="shared" si="7"/>
        <v>0</v>
      </c>
      <c r="AJ49" s="283">
        <f>SUM($S$4:S49)</f>
        <v>959265</v>
      </c>
      <c r="AK49" s="283">
        <f>AJ49/Resources!$B$10</f>
        <v>79938.75</v>
      </c>
      <c r="AL49" s="283">
        <f>SUM($Y$4:Y49)</f>
        <v>105066.66666666667</v>
      </c>
      <c r="AM49" s="290">
        <f>AL49/Resources!$B$11</f>
        <v>8755.5555555555566</v>
      </c>
      <c r="AN49" s="283">
        <f>SUM($L$4:L49)</f>
        <v>705188.33333333337</v>
      </c>
      <c r="AO49" s="283">
        <f>AN49/Resources!$B$12</f>
        <v>47012.555555555555</v>
      </c>
      <c r="AP49" s="283">
        <f>SUM($R$4:R49)</f>
        <v>741017.77777777775</v>
      </c>
      <c r="AQ49" s="283">
        <f>AP49/Resources!$B$13</f>
        <v>74101.777777777781</v>
      </c>
      <c r="AR49" s="283"/>
      <c r="AS49" s="283"/>
      <c r="AT49" s="283"/>
      <c r="AU49" s="283"/>
      <c r="AV49" s="283"/>
      <c r="AW49" s="283"/>
      <c r="AX49" s="283"/>
      <c r="AY49" s="283"/>
      <c r="AZ49" s="283">
        <f>SUM($I$4:I49,$K$4:K49)</f>
        <v>2115476.666666667</v>
      </c>
      <c r="BA49" s="283">
        <f>AZ49/Resources!$B$6</f>
        <v>66108.645833333343</v>
      </c>
      <c r="BB49" s="283">
        <f>SUM($D$4:D49,$G$4:G49)</f>
        <v>2178386.666666667</v>
      </c>
      <c r="BC49" s="283">
        <f>BB49/Resources!$B$7</f>
        <v>72612.888888888905</v>
      </c>
      <c r="BD49" s="283">
        <f>SUM($C$4:C49,$H$4:H49)</f>
        <v>2373206.6666666665</v>
      </c>
      <c r="BE49" s="295">
        <f>BD49/Resources!$B$8</f>
        <v>91277.179487179485</v>
      </c>
      <c r="BF49" s="283">
        <f>SUM($B$4:B49,$F$4:F49)</f>
        <v>3196066.6666666665</v>
      </c>
      <c r="BG49" s="283">
        <f>BF49/Resources!$B$9</f>
        <v>103098.92473118279</v>
      </c>
      <c r="BH49" s="283">
        <f>SUM($X$4:X49,$E$4:E49)</f>
        <v>1180775.5555555557</v>
      </c>
      <c r="BI49" s="283">
        <f>BH49/Resources!$B$2</f>
        <v>49198.981481481489</v>
      </c>
      <c r="BJ49" s="283">
        <f>SUM($V$4:V49,$T$4:T49)</f>
        <v>277708.33333333331</v>
      </c>
      <c r="BK49" s="283">
        <f>BJ49/Resources!$B$3</f>
        <v>10681.089743589742</v>
      </c>
      <c r="BL49" s="283">
        <f>SUM($W$4:W49, $M$4:M49)</f>
        <v>397675</v>
      </c>
      <c r="BM49" s="283">
        <f>BL49/Resources!$B$4</f>
        <v>14202.678571428571</v>
      </c>
      <c r="BN49" s="283">
        <f>SUM($P$4:P49,$Q$4:Q49)</f>
        <v>1116063.3333333333</v>
      </c>
      <c r="BO49" s="292">
        <f>BN49/Resources!$B$5</f>
        <v>41335.679012345674</v>
      </c>
    </row>
    <row r="50" spans="1:67" ht="19" x14ac:dyDescent="0.25">
      <c r="A50" s="34">
        <f t="shared" si="8"/>
        <v>42912</v>
      </c>
      <c r="B50" s="47">
        <f>SUMIFS(Collection!$J:$J, Collection!$A:$A, $A50, Collection!$B:$B, B$2)</f>
        <v>0</v>
      </c>
      <c r="C50" s="47">
        <f>SUMIFS(Collection!$J:$J, Collection!$A:$A, $A50, Collection!$B:$B, C$2)</f>
        <v>0</v>
      </c>
      <c r="D50" s="47">
        <f>SUMIFS(Collection!$J:$J, Collection!$A:$A, $A50, Collection!$B:$B, D$2)</f>
        <v>0</v>
      </c>
      <c r="E50" s="47">
        <f>SUMIFS(Collection!$J:$J, Collection!$A:$A, $A50, Collection!$B:$B, E$2)</f>
        <v>0</v>
      </c>
      <c r="F50" s="47">
        <f>SUMIFS(Collection!$J:$J, Collection!$A:$A, $A50, Collection!$B:$B, F$2)</f>
        <v>0</v>
      </c>
      <c r="G50" s="47">
        <f>SUMIFS(Collection!$J:$J, Collection!$A:$A, $A50, Collection!$B:$B, G$2)</f>
        <v>0</v>
      </c>
      <c r="H50" s="47">
        <f>SUMIFS(Collection!$J:$J, Collection!$A:$A, $A50, Collection!$B:$B, H$2)</f>
        <v>0</v>
      </c>
      <c r="I50" s="47">
        <f>SUMIFS(Collection!$J:$J, Collection!$A:$A, $A50, Collection!$B:$B, I$2)</f>
        <v>0</v>
      </c>
      <c r="J50" s="47">
        <f>SUMIFS(Collection!$J:$J, Collection!$A:$A, $A50, Collection!$B:$B, J$2)</f>
        <v>0</v>
      </c>
      <c r="K50" s="47">
        <f>SUMIFS(Collection!$J:$J, Collection!$A:$A, $A50, Collection!$B:$B, K$2)</f>
        <v>0</v>
      </c>
      <c r="L50" s="47">
        <f>SUMIFS(Collection!$J:$J, Collection!$A:$A, $A50, Collection!$B:$B, L$2)</f>
        <v>0</v>
      </c>
      <c r="M50" s="47">
        <f>SUMIFS(Collection!$J:$J, Collection!$A:$A, $A50, Collection!$B:$B, M$2)</f>
        <v>0</v>
      </c>
      <c r="N50" s="47">
        <f>SUMIFS(Collection!$J:$J, Collection!$A:$A, $A50, Collection!$B:$B, N$2)</f>
        <v>0</v>
      </c>
      <c r="O50" s="47">
        <f>SUMIFS(Collection!$J:$J, Collection!$A:$A, $A50, Collection!$B:$B, O$2)</f>
        <v>0</v>
      </c>
      <c r="P50" s="47">
        <f>SUMIFS(Collection!$J:$J, Collection!$A:$A, $A50, Collection!$B:$B, P$2)</f>
        <v>0</v>
      </c>
      <c r="Q50" s="47">
        <f>SUMIFS(Collection!$J:$J, Collection!$A:$A, $A50, Collection!$B:$B, Q$2)</f>
        <v>0</v>
      </c>
      <c r="R50" s="47">
        <f>SUMIFS(Collection!$J:$J, Collection!$A:$A, $A50, Collection!$B:$B, R$2)</f>
        <v>0</v>
      </c>
      <c r="S50" s="47">
        <f>SUMIFS(Collection!$J:$J, Collection!$A:$A, $A50, Collection!$B:$B, S$2)</f>
        <v>0</v>
      </c>
      <c r="T50" s="47">
        <f>SUMIFS(Collection!$J:$J, Collection!$A:$A, $A50, Collection!$B:$B, T$2)</f>
        <v>0</v>
      </c>
      <c r="U50" s="47">
        <f>SUMIFS(Collection!$J:$J, Collection!$A:$A, $A50, Collection!$B:$B, U$2)</f>
        <v>0</v>
      </c>
      <c r="V50" s="47">
        <f>SUMIFS(Collection!$J:$J, Collection!$A:$A, $A50, Collection!$B:$B, V$2)</f>
        <v>0</v>
      </c>
      <c r="W50" s="47">
        <f>SUMIFS(Collection!$J:$J, Collection!$A:$A, $A50, Collection!$B:$B, W$2)</f>
        <v>0</v>
      </c>
      <c r="X50" s="47">
        <f>SUMIFS(Collection!$J:$J, Collection!$A:$A, $A50, Collection!$B:$B, X$2)</f>
        <v>0</v>
      </c>
      <c r="Y50" s="47">
        <f>SUMIFS(Collection!$J:$J, Collection!$A:$A, $A50, Collection!$B:$B, Y$2)</f>
        <v>0</v>
      </c>
      <c r="Z50" s="47"/>
      <c r="AA50" s="47">
        <f t="shared" si="0"/>
        <v>0</v>
      </c>
      <c r="AB50" s="47">
        <f t="shared" si="1"/>
        <v>0</v>
      </c>
      <c r="AC50" s="47">
        <f t="shared" si="2"/>
        <v>0</v>
      </c>
      <c r="AD50" s="47">
        <f t="shared" si="3"/>
        <v>0</v>
      </c>
      <c r="AE50" s="47">
        <f t="shared" si="4"/>
        <v>0</v>
      </c>
      <c r="AF50" s="47">
        <f t="shared" si="5"/>
        <v>0</v>
      </c>
      <c r="AG50" s="47">
        <f t="shared" si="6"/>
        <v>0</v>
      </c>
      <c r="AH50" s="283">
        <f t="shared" si="7"/>
        <v>0</v>
      </c>
      <c r="AJ50" s="283">
        <f>SUM($S$4:S50)</f>
        <v>959265</v>
      </c>
      <c r="AK50" s="283">
        <f>AJ50/Resources!$B$10</f>
        <v>79938.75</v>
      </c>
      <c r="AL50" s="283">
        <f>SUM($Y$4:Y50)</f>
        <v>105066.66666666667</v>
      </c>
      <c r="AM50" s="290">
        <f>AL50/Resources!$B$11</f>
        <v>8755.5555555555566</v>
      </c>
      <c r="AN50" s="283">
        <f>SUM($L$4:L50)</f>
        <v>705188.33333333337</v>
      </c>
      <c r="AO50" s="283">
        <f>AN50/Resources!$B$12</f>
        <v>47012.555555555555</v>
      </c>
      <c r="AP50" s="283">
        <f>SUM($R$4:R50)</f>
        <v>741017.77777777775</v>
      </c>
      <c r="AQ50" s="283">
        <f>AP50/Resources!$B$13</f>
        <v>74101.777777777781</v>
      </c>
      <c r="AR50" s="283"/>
      <c r="AS50" s="283"/>
      <c r="AT50" s="283"/>
      <c r="AU50" s="283"/>
      <c r="AV50" s="283"/>
      <c r="AW50" s="283"/>
      <c r="AX50" s="283"/>
      <c r="AY50" s="283"/>
      <c r="AZ50" s="283">
        <f>SUM($I$4:I50,$K$4:K50)</f>
        <v>2115476.666666667</v>
      </c>
      <c r="BA50" s="283">
        <f>AZ50/Resources!$B$6</f>
        <v>66108.645833333343</v>
      </c>
      <c r="BB50" s="283">
        <f>SUM($D$4:D50,$G$4:G50)</f>
        <v>2178386.666666667</v>
      </c>
      <c r="BC50" s="283">
        <f>BB50/Resources!$B$7</f>
        <v>72612.888888888905</v>
      </c>
      <c r="BD50" s="283">
        <f>SUM($C$4:C50,$H$4:H50)</f>
        <v>2373206.6666666665</v>
      </c>
      <c r="BE50" s="295">
        <f>BD50/Resources!$B$8</f>
        <v>91277.179487179485</v>
      </c>
      <c r="BF50" s="283">
        <f>SUM($B$4:B50,$F$4:F50)</f>
        <v>3196066.6666666665</v>
      </c>
      <c r="BG50" s="283">
        <f>BF50/Resources!$B$9</f>
        <v>103098.92473118279</v>
      </c>
      <c r="BH50" s="283">
        <f>SUM($X$4:X50,$E$4:E50)</f>
        <v>1180775.5555555557</v>
      </c>
      <c r="BI50" s="283">
        <f>BH50/Resources!$B$2</f>
        <v>49198.981481481489</v>
      </c>
      <c r="BJ50" s="283">
        <f>SUM($V$4:V50,$T$4:T50)</f>
        <v>277708.33333333331</v>
      </c>
      <c r="BK50" s="283">
        <f>BJ50/Resources!$B$3</f>
        <v>10681.089743589742</v>
      </c>
      <c r="BL50" s="283">
        <f>SUM($W$4:W50, $M$4:M50)</f>
        <v>397675</v>
      </c>
      <c r="BM50" s="283">
        <f>BL50/Resources!$B$4</f>
        <v>14202.678571428571</v>
      </c>
      <c r="BN50" s="283">
        <f>SUM($P$4:P50,$Q$4:Q50)</f>
        <v>1116063.3333333333</v>
      </c>
      <c r="BO50" s="292">
        <f>BN50/Resources!$B$5</f>
        <v>41335.679012345674</v>
      </c>
    </row>
    <row r="51" spans="1:67" ht="19" x14ac:dyDescent="0.25">
      <c r="A51" s="34">
        <f t="shared" si="8"/>
        <v>42913</v>
      </c>
      <c r="B51" s="47">
        <f>SUMIFS(Collection!$J:$J, Collection!$A:$A, $A51, Collection!$B:$B, B$2)</f>
        <v>0</v>
      </c>
      <c r="C51" s="47">
        <f>SUMIFS(Collection!$J:$J, Collection!$A:$A, $A51, Collection!$B:$B, C$2)</f>
        <v>0</v>
      </c>
      <c r="D51" s="47">
        <f>SUMIFS(Collection!$J:$J, Collection!$A:$A, $A51, Collection!$B:$B, D$2)</f>
        <v>0</v>
      </c>
      <c r="E51" s="47">
        <f>SUMIFS(Collection!$J:$J, Collection!$A:$A, $A51, Collection!$B:$B, E$2)</f>
        <v>0</v>
      </c>
      <c r="F51" s="47">
        <f>SUMIFS(Collection!$J:$J, Collection!$A:$A, $A51, Collection!$B:$B, F$2)</f>
        <v>0</v>
      </c>
      <c r="G51" s="47">
        <f>SUMIFS(Collection!$J:$J, Collection!$A:$A, $A51, Collection!$B:$B, G$2)</f>
        <v>0</v>
      </c>
      <c r="H51" s="47">
        <f>SUMIFS(Collection!$J:$J, Collection!$A:$A, $A51, Collection!$B:$B, H$2)</f>
        <v>0</v>
      </c>
      <c r="I51" s="47">
        <f>SUMIFS(Collection!$J:$J, Collection!$A:$A, $A51, Collection!$B:$B, I$2)</f>
        <v>0</v>
      </c>
      <c r="J51" s="47">
        <f>SUMIFS(Collection!$J:$J, Collection!$A:$A, $A51, Collection!$B:$B, J$2)</f>
        <v>0</v>
      </c>
      <c r="K51" s="47">
        <f>SUMIFS(Collection!$J:$J, Collection!$A:$A, $A51, Collection!$B:$B, K$2)</f>
        <v>0</v>
      </c>
      <c r="L51" s="47">
        <f>SUMIFS(Collection!$J:$J, Collection!$A:$A, $A51, Collection!$B:$B, L$2)</f>
        <v>0</v>
      </c>
      <c r="M51" s="47">
        <f>SUMIFS(Collection!$J:$J, Collection!$A:$A, $A51, Collection!$B:$B, M$2)</f>
        <v>0</v>
      </c>
      <c r="N51" s="47">
        <f>SUMIFS(Collection!$J:$J, Collection!$A:$A, $A51, Collection!$B:$B, N$2)</f>
        <v>0</v>
      </c>
      <c r="O51" s="47">
        <f>SUMIFS(Collection!$J:$J, Collection!$A:$A, $A51, Collection!$B:$B, O$2)</f>
        <v>0</v>
      </c>
      <c r="P51" s="47">
        <f>SUMIFS(Collection!$J:$J, Collection!$A:$A, $A51, Collection!$B:$B, P$2)</f>
        <v>0</v>
      </c>
      <c r="Q51" s="47">
        <f>SUMIFS(Collection!$J:$J, Collection!$A:$A, $A51, Collection!$B:$B, Q$2)</f>
        <v>0</v>
      </c>
      <c r="R51" s="47">
        <f>SUMIFS(Collection!$J:$J, Collection!$A:$A, $A51, Collection!$B:$B, R$2)</f>
        <v>0</v>
      </c>
      <c r="S51" s="47">
        <f>SUMIFS(Collection!$J:$J, Collection!$A:$A, $A51, Collection!$B:$B, S$2)</f>
        <v>0</v>
      </c>
      <c r="T51" s="47">
        <f>SUMIFS(Collection!$J:$J, Collection!$A:$A, $A51, Collection!$B:$B, T$2)</f>
        <v>0</v>
      </c>
      <c r="U51" s="47">
        <f>SUMIFS(Collection!$J:$J, Collection!$A:$A, $A51, Collection!$B:$B, U$2)</f>
        <v>0</v>
      </c>
      <c r="V51" s="47">
        <f>SUMIFS(Collection!$J:$J, Collection!$A:$A, $A51, Collection!$B:$B, V$2)</f>
        <v>0</v>
      </c>
      <c r="W51" s="47">
        <f>SUMIFS(Collection!$J:$J, Collection!$A:$A, $A51, Collection!$B:$B, W$2)</f>
        <v>0</v>
      </c>
      <c r="X51" s="47">
        <f>SUMIFS(Collection!$J:$J, Collection!$A:$A, $A51, Collection!$B:$B, X$2)</f>
        <v>0</v>
      </c>
      <c r="Y51" s="47">
        <f>SUMIFS(Collection!$J:$J, Collection!$A:$A, $A51, Collection!$B:$B, Y$2)</f>
        <v>0</v>
      </c>
      <c r="Z51" s="47"/>
      <c r="AA51" s="47">
        <f t="shared" si="0"/>
        <v>0</v>
      </c>
      <c r="AB51" s="47">
        <f t="shared" si="1"/>
        <v>0</v>
      </c>
      <c r="AC51" s="47">
        <f t="shared" si="2"/>
        <v>0</v>
      </c>
      <c r="AD51" s="47">
        <f t="shared" si="3"/>
        <v>0</v>
      </c>
      <c r="AE51" s="47">
        <f t="shared" si="4"/>
        <v>0</v>
      </c>
      <c r="AF51" s="47">
        <f t="shared" si="5"/>
        <v>0</v>
      </c>
      <c r="AG51" s="47">
        <f t="shared" si="6"/>
        <v>0</v>
      </c>
      <c r="AH51" s="283">
        <f t="shared" si="7"/>
        <v>0</v>
      </c>
      <c r="AJ51" s="283">
        <f>SUM($S$4:S51)</f>
        <v>959265</v>
      </c>
      <c r="AK51" s="283">
        <f>AJ51/Resources!$B$10</f>
        <v>79938.75</v>
      </c>
      <c r="AL51" s="283">
        <f>SUM($Y$4:Y51)</f>
        <v>105066.66666666667</v>
      </c>
      <c r="AM51" s="290">
        <f>AL51/Resources!$B$11</f>
        <v>8755.5555555555566</v>
      </c>
      <c r="AN51" s="283">
        <f>SUM($L$4:L51)</f>
        <v>705188.33333333337</v>
      </c>
      <c r="AO51" s="283">
        <f>AN51/Resources!$B$12</f>
        <v>47012.555555555555</v>
      </c>
      <c r="AP51" s="283">
        <f>SUM($R$4:R51)</f>
        <v>741017.77777777775</v>
      </c>
      <c r="AQ51" s="283">
        <f>AP51/Resources!$B$13</f>
        <v>74101.777777777781</v>
      </c>
      <c r="AR51" s="283"/>
      <c r="AS51" s="283"/>
      <c r="AT51" s="283"/>
      <c r="AU51" s="283"/>
      <c r="AV51" s="283"/>
      <c r="AW51" s="283"/>
      <c r="AX51" s="283"/>
      <c r="AY51" s="283"/>
      <c r="AZ51" s="283">
        <f>SUM($I$4:I51,$K$4:K51)</f>
        <v>2115476.666666667</v>
      </c>
      <c r="BA51" s="283">
        <f>AZ51/Resources!$B$6</f>
        <v>66108.645833333343</v>
      </c>
      <c r="BB51" s="283">
        <f>SUM($D$4:D51,$G$4:G51)</f>
        <v>2178386.666666667</v>
      </c>
      <c r="BC51" s="283">
        <f>BB51/Resources!$B$7</f>
        <v>72612.888888888905</v>
      </c>
      <c r="BD51" s="283">
        <f>SUM($C$4:C51,$H$4:H51)</f>
        <v>2373206.6666666665</v>
      </c>
      <c r="BE51" s="295">
        <f>BD51/Resources!$B$8</f>
        <v>91277.179487179485</v>
      </c>
      <c r="BF51" s="283">
        <f>SUM($B$4:B51,$F$4:F51)</f>
        <v>3196066.6666666665</v>
      </c>
      <c r="BG51" s="283">
        <f>BF51/Resources!$B$9</f>
        <v>103098.92473118279</v>
      </c>
      <c r="BH51" s="283">
        <f>SUM($X$4:X51,$E$4:E51)</f>
        <v>1180775.5555555557</v>
      </c>
      <c r="BI51" s="283">
        <f>BH51/Resources!$B$2</f>
        <v>49198.981481481489</v>
      </c>
      <c r="BJ51" s="283">
        <f>SUM($V$4:V51,$T$4:T51)</f>
        <v>277708.33333333331</v>
      </c>
      <c r="BK51" s="283">
        <f>BJ51/Resources!$B$3</f>
        <v>10681.089743589742</v>
      </c>
      <c r="BL51" s="283">
        <f>SUM($W$4:W51, $M$4:M51)</f>
        <v>397675</v>
      </c>
      <c r="BM51" s="283">
        <f>BL51/Resources!$B$4</f>
        <v>14202.678571428571</v>
      </c>
      <c r="BN51" s="283">
        <f>SUM($P$4:P51,$Q$4:Q51)</f>
        <v>1116063.3333333333</v>
      </c>
      <c r="BO51" s="292">
        <f>BN51/Resources!$B$5</f>
        <v>41335.679012345674</v>
      </c>
    </row>
    <row r="52" spans="1:67" ht="19" x14ac:dyDescent="0.25">
      <c r="A52" s="34">
        <f t="shared" si="8"/>
        <v>42914</v>
      </c>
      <c r="B52" s="47">
        <f>SUMIFS(Collection!$J:$J, Collection!$A:$A, $A52, Collection!$B:$B, B$2)</f>
        <v>0</v>
      </c>
      <c r="C52" s="47">
        <f>SUMIFS(Collection!$J:$J, Collection!$A:$A, $A52, Collection!$B:$B, C$2)</f>
        <v>0</v>
      </c>
      <c r="D52" s="47">
        <f>SUMIFS(Collection!$J:$J, Collection!$A:$A, $A52, Collection!$B:$B, D$2)</f>
        <v>0</v>
      </c>
      <c r="E52" s="47">
        <f>SUMIFS(Collection!$J:$J, Collection!$A:$A, $A52, Collection!$B:$B, E$2)</f>
        <v>0</v>
      </c>
      <c r="F52" s="47">
        <f>SUMIFS(Collection!$J:$J, Collection!$A:$A, $A52, Collection!$B:$B, F$2)</f>
        <v>0</v>
      </c>
      <c r="G52" s="47">
        <f>SUMIFS(Collection!$J:$J, Collection!$A:$A, $A52, Collection!$B:$B, G$2)</f>
        <v>0</v>
      </c>
      <c r="H52" s="47">
        <f>SUMIFS(Collection!$J:$J, Collection!$A:$A, $A52, Collection!$B:$B, H$2)</f>
        <v>0</v>
      </c>
      <c r="I52" s="47">
        <f>SUMIFS(Collection!$J:$J, Collection!$A:$A, $A52, Collection!$B:$B, I$2)</f>
        <v>0</v>
      </c>
      <c r="J52" s="47">
        <f>SUMIFS(Collection!$J:$J, Collection!$A:$A, $A52, Collection!$B:$B, J$2)</f>
        <v>0</v>
      </c>
      <c r="K52" s="47">
        <f>SUMIFS(Collection!$J:$J, Collection!$A:$A, $A52, Collection!$B:$B, K$2)</f>
        <v>0</v>
      </c>
      <c r="L52" s="47">
        <f>SUMIFS(Collection!$J:$J, Collection!$A:$A, $A52, Collection!$B:$B, L$2)</f>
        <v>0</v>
      </c>
      <c r="M52" s="47">
        <f>SUMIFS(Collection!$J:$J, Collection!$A:$A, $A52, Collection!$B:$B, M$2)</f>
        <v>0</v>
      </c>
      <c r="N52" s="47">
        <f>SUMIFS(Collection!$J:$J, Collection!$A:$A, $A52, Collection!$B:$B, N$2)</f>
        <v>0</v>
      </c>
      <c r="O52" s="47">
        <f>SUMIFS(Collection!$J:$J, Collection!$A:$A, $A52, Collection!$B:$B, O$2)</f>
        <v>0</v>
      </c>
      <c r="P52" s="47">
        <f>SUMIFS(Collection!$J:$J, Collection!$A:$A, $A52, Collection!$B:$B, P$2)</f>
        <v>0</v>
      </c>
      <c r="Q52" s="47">
        <f>SUMIFS(Collection!$J:$J, Collection!$A:$A, $A52, Collection!$B:$B, Q$2)</f>
        <v>0</v>
      </c>
      <c r="R52" s="47">
        <f>SUMIFS(Collection!$J:$J, Collection!$A:$A, $A52, Collection!$B:$B, R$2)</f>
        <v>0</v>
      </c>
      <c r="S52" s="47">
        <f>SUMIFS(Collection!$J:$J, Collection!$A:$A, $A52, Collection!$B:$B, S$2)</f>
        <v>0</v>
      </c>
      <c r="T52" s="47">
        <f>SUMIFS(Collection!$J:$J, Collection!$A:$A, $A52, Collection!$B:$B, T$2)</f>
        <v>0</v>
      </c>
      <c r="U52" s="47">
        <f>SUMIFS(Collection!$J:$J, Collection!$A:$A, $A52, Collection!$B:$B, U$2)</f>
        <v>0</v>
      </c>
      <c r="V52" s="47">
        <f>SUMIFS(Collection!$J:$J, Collection!$A:$A, $A52, Collection!$B:$B, V$2)</f>
        <v>0</v>
      </c>
      <c r="W52" s="47">
        <f>SUMIFS(Collection!$J:$J, Collection!$A:$A, $A52, Collection!$B:$B, W$2)</f>
        <v>0</v>
      </c>
      <c r="X52" s="47">
        <f>SUMIFS(Collection!$J:$J, Collection!$A:$A, $A52, Collection!$B:$B, X$2)</f>
        <v>0</v>
      </c>
      <c r="Y52" s="47">
        <f>SUMIFS(Collection!$J:$J, Collection!$A:$A, $A52, Collection!$B:$B, Y$2)</f>
        <v>0</v>
      </c>
      <c r="Z52" s="47"/>
      <c r="AA52" s="47">
        <f t="shared" si="0"/>
        <v>0</v>
      </c>
      <c r="AB52" s="47">
        <f t="shared" si="1"/>
        <v>0</v>
      </c>
      <c r="AC52" s="47">
        <f t="shared" si="2"/>
        <v>0</v>
      </c>
      <c r="AD52" s="47">
        <f t="shared" si="3"/>
        <v>0</v>
      </c>
      <c r="AE52" s="47">
        <f t="shared" si="4"/>
        <v>0</v>
      </c>
      <c r="AF52" s="47">
        <f t="shared" si="5"/>
        <v>0</v>
      </c>
      <c r="AG52" s="47">
        <f t="shared" si="6"/>
        <v>0</v>
      </c>
      <c r="AH52" s="283">
        <f t="shared" si="7"/>
        <v>0</v>
      </c>
      <c r="AJ52" s="283">
        <f>SUM($S$4:S52)</f>
        <v>959265</v>
      </c>
      <c r="AK52" s="283">
        <f>AJ52/Resources!$B$10</f>
        <v>79938.75</v>
      </c>
      <c r="AL52" s="283">
        <f>SUM($Y$4:Y52)</f>
        <v>105066.66666666667</v>
      </c>
      <c r="AM52" s="290">
        <f>AL52/Resources!$B$11</f>
        <v>8755.5555555555566</v>
      </c>
      <c r="AN52" s="283">
        <f>SUM($L$4:L52)</f>
        <v>705188.33333333337</v>
      </c>
      <c r="AO52" s="283">
        <f>AN52/Resources!$B$12</f>
        <v>47012.555555555555</v>
      </c>
      <c r="AP52" s="283">
        <f>SUM($R$4:R52)</f>
        <v>741017.77777777775</v>
      </c>
      <c r="AQ52" s="283">
        <f>AP52/Resources!$B$13</f>
        <v>74101.777777777781</v>
      </c>
      <c r="AR52" s="283"/>
      <c r="AS52" s="283"/>
      <c r="AT52" s="283"/>
      <c r="AU52" s="283"/>
      <c r="AV52" s="283"/>
      <c r="AW52" s="283"/>
      <c r="AX52" s="283"/>
      <c r="AY52" s="283"/>
      <c r="AZ52" s="283">
        <f>SUM($I$4:I52,$K$4:K52)</f>
        <v>2115476.666666667</v>
      </c>
      <c r="BA52" s="283">
        <f>AZ52/Resources!$B$6</f>
        <v>66108.645833333343</v>
      </c>
      <c r="BB52" s="283">
        <f>SUM($D$4:D52,$G$4:G52)</f>
        <v>2178386.666666667</v>
      </c>
      <c r="BC52" s="283">
        <f>BB52/Resources!$B$7</f>
        <v>72612.888888888905</v>
      </c>
      <c r="BD52" s="283">
        <f>SUM($C$4:C52,$H$4:H52)</f>
        <v>2373206.6666666665</v>
      </c>
      <c r="BE52" s="295">
        <f>BD52/Resources!$B$8</f>
        <v>91277.179487179485</v>
      </c>
      <c r="BF52" s="283">
        <f>SUM($B$4:B52,$F$4:F52)</f>
        <v>3196066.6666666665</v>
      </c>
      <c r="BG52" s="283">
        <f>BF52/Resources!$B$9</f>
        <v>103098.92473118279</v>
      </c>
      <c r="BH52" s="283">
        <f>SUM($X$4:X52,$E$4:E52)</f>
        <v>1180775.5555555557</v>
      </c>
      <c r="BI52" s="283">
        <f>BH52/Resources!$B$2</f>
        <v>49198.981481481489</v>
      </c>
      <c r="BJ52" s="283">
        <f>SUM($V$4:V52,$T$4:T52)</f>
        <v>277708.33333333331</v>
      </c>
      <c r="BK52" s="283">
        <f>BJ52/Resources!$B$3</f>
        <v>10681.089743589742</v>
      </c>
      <c r="BL52" s="283">
        <f>SUM($W$4:W52, $M$4:M52)</f>
        <v>397675</v>
      </c>
      <c r="BM52" s="283">
        <f>BL52/Resources!$B$4</f>
        <v>14202.678571428571</v>
      </c>
      <c r="BN52" s="283">
        <f>SUM($P$4:P52,$Q$4:Q52)</f>
        <v>1116063.3333333333</v>
      </c>
      <c r="BO52" s="292">
        <f>BN52/Resources!$B$5</f>
        <v>41335.679012345674</v>
      </c>
    </row>
    <row r="53" spans="1:67" ht="19" x14ac:dyDescent="0.25">
      <c r="A53" s="34">
        <f t="shared" si="8"/>
        <v>42915</v>
      </c>
      <c r="B53" s="47">
        <f>SUMIFS(Collection!$J:$J, Collection!$A:$A, $A53, Collection!$B:$B, B$2)</f>
        <v>0</v>
      </c>
      <c r="C53" s="47">
        <f>SUMIFS(Collection!$J:$J, Collection!$A:$A, $A53, Collection!$B:$B, C$2)</f>
        <v>0</v>
      </c>
      <c r="D53" s="47">
        <f>SUMIFS(Collection!$J:$J, Collection!$A:$A, $A53, Collection!$B:$B, D$2)</f>
        <v>0</v>
      </c>
      <c r="E53" s="47">
        <f>SUMIFS(Collection!$J:$J, Collection!$A:$A, $A53, Collection!$B:$B, E$2)</f>
        <v>0</v>
      </c>
      <c r="F53" s="47">
        <f>SUMIFS(Collection!$J:$J, Collection!$A:$A, $A53, Collection!$B:$B, F$2)</f>
        <v>0</v>
      </c>
      <c r="G53" s="47">
        <f>SUMIFS(Collection!$J:$J, Collection!$A:$A, $A53, Collection!$B:$B, G$2)</f>
        <v>0</v>
      </c>
      <c r="H53" s="47">
        <f>SUMIFS(Collection!$J:$J, Collection!$A:$A, $A53, Collection!$B:$B, H$2)</f>
        <v>0</v>
      </c>
      <c r="I53" s="47">
        <f>SUMIFS(Collection!$J:$J, Collection!$A:$A, $A53, Collection!$B:$B, I$2)</f>
        <v>0</v>
      </c>
      <c r="J53" s="47">
        <f>SUMIFS(Collection!$J:$J, Collection!$A:$A, $A53, Collection!$B:$B, J$2)</f>
        <v>0</v>
      </c>
      <c r="K53" s="47">
        <f>SUMIFS(Collection!$J:$J, Collection!$A:$A, $A53, Collection!$B:$B, K$2)</f>
        <v>0</v>
      </c>
      <c r="L53" s="47">
        <f>SUMIFS(Collection!$J:$J, Collection!$A:$A, $A53, Collection!$B:$B, L$2)</f>
        <v>0</v>
      </c>
      <c r="M53" s="47">
        <f>SUMIFS(Collection!$J:$J, Collection!$A:$A, $A53, Collection!$B:$B, M$2)</f>
        <v>0</v>
      </c>
      <c r="N53" s="47">
        <f>SUMIFS(Collection!$J:$J, Collection!$A:$A, $A53, Collection!$B:$B, N$2)</f>
        <v>0</v>
      </c>
      <c r="O53" s="47">
        <f>SUMIFS(Collection!$J:$J, Collection!$A:$A, $A53, Collection!$B:$B, O$2)</f>
        <v>0</v>
      </c>
      <c r="P53" s="47">
        <f>SUMIFS(Collection!$J:$J, Collection!$A:$A, $A53, Collection!$B:$B, P$2)</f>
        <v>0</v>
      </c>
      <c r="Q53" s="47">
        <f>SUMIFS(Collection!$J:$J, Collection!$A:$A, $A53, Collection!$B:$B, Q$2)</f>
        <v>0</v>
      </c>
      <c r="R53" s="47">
        <f>SUMIFS(Collection!$J:$J, Collection!$A:$A, $A53, Collection!$B:$B, R$2)</f>
        <v>196800</v>
      </c>
      <c r="S53" s="47">
        <f>SUMIFS(Collection!$J:$J, Collection!$A:$A, $A53, Collection!$B:$B, S$2)</f>
        <v>0</v>
      </c>
      <c r="T53" s="47">
        <f>SUMIFS(Collection!$J:$J, Collection!$A:$A, $A53, Collection!$B:$B, T$2)</f>
        <v>0</v>
      </c>
      <c r="U53" s="47">
        <f>SUMIFS(Collection!$J:$J, Collection!$A:$A, $A53, Collection!$B:$B, U$2)</f>
        <v>0</v>
      </c>
      <c r="V53" s="47">
        <f>SUMIFS(Collection!$J:$J, Collection!$A:$A, $A53, Collection!$B:$B, V$2)</f>
        <v>0</v>
      </c>
      <c r="W53" s="47">
        <f>SUMIFS(Collection!$J:$J, Collection!$A:$A, $A53, Collection!$B:$B, W$2)</f>
        <v>0</v>
      </c>
      <c r="X53" s="47">
        <f>SUMIFS(Collection!$J:$J, Collection!$A:$A, $A53, Collection!$B:$B, X$2)</f>
        <v>0</v>
      </c>
      <c r="Y53" s="47">
        <f>SUMIFS(Collection!$J:$J, Collection!$A:$A, $A53, Collection!$B:$B, Y$2)</f>
        <v>0</v>
      </c>
      <c r="Z53" s="47"/>
      <c r="AA53" s="47">
        <f t="shared" si="0"/>
        <v>0</v>
      </c>
      <c r="AB53" s="47">
        <f t="shared" si="1"/>
        <v>0</v>
      </c>
      <c r="AC53" s="47">
        <f t="shared" si="2"/>
        <v>0</v>
      </c>
      <c r="AD53" s="47">
        <f t="shared" si="3"/>
        <v>0</v>
      </c>
      <c r="AE53" s="47">
        <f t="shared" si="4"/>
        <v>0</v>
      </c>
      <c r="AF53" s="47">
        <f t="shared" si="5"/>
        <v>0</v>
      </c>
      <c r="AG53" s="47">
        <f t="shared" si="6"/>
        <v>0</v>
      </c>
      <c r="AH53" s="283">
        <f t="shared" si="7"/>
        <v>0</v>
      </c>
      <c r="AJ53" s="283">
        <f>SUM($S$4:S53)</f>
        <v>959265</v>
      </c>
      <c r="AK53" s="283">
        <f>AJ53/Resources!$B$10</f>
        <v>79938.75</v>
      </c>
      <c r="AL53" s="283">
        <f>SUM($Y$4:Y53)</f>
        <v>105066.66666666667</v>
      </c>
      <c r="AM53" s="290">
        <f>AL53/Resources!$B$11</f>
        <v>8755.5555555555566</v>
      </c>
      <c r="AN53" s="283">
        <f>SUM($L$4:L53)</f>
        <v>705188.33333333337</v>
      </c>
      <c r="AO53" s="283">
        <f>AN53/Resources!$B$12</f>
        <v>47012.555555555555</v>
      </c>
      <c r="AP53" s="283">
        <f>SUM($R$4:R53)</f>
        <v>937817.77777777775</v>
      </c>
      <c r="AQ53" s="283">
        <f>AP53/Resources!$B$13</f>
        <v>93781.777777777781</v>
      </c>
      <c r="AR53" s="283"/>
      <c r="AS53" s="283"/>
      <c r="AT53" s="283"/>
      <c r="AU53" s="283"/>
      <c r="AV53" s="283"/>
      <c r="AW53" s="283"/>
      <c r="AX53" s="283"/>
      <c r="AY53" s="283"/>
      <c r="AZ53" s="283">
        <f>SUM($I$4:I53,$K$4:K53)</f>
        <v>2115476.666666667</v>
      </c>
      <c r="BA53" s="283">
        <f>AZ53/Resources!$B$6</f>
        <v>66108.645833333343</v>
      </c>
      <c r="BB53" s="283">
        <f>SUM($D$4:D53,$G$4:G53)</f>
        <v>2178386.666666667</v>
      </c>
      <c r="BC53" s="283">
        <f>BB53/Resources!$B$7</f>
        <v>72612.888888888905</v>
      </c>
      <c r="BD53" s="283">
        <f>SUM($C$4:C53,$H$4:H53)</f>
        <v>2373206.6666666665</v>
      </c>
      <c r="BE53" s="295">
        <f>BD53/Resources!$B$8</f>
        <v>91277.179487179485</v>
      </c>
      <c r="BF53" s="283">
        <f>SUM($B$4:B53,$F$4:F53)</f>
        <v>3196066.6666666665</v>
      </c>
      <c r="BG53" s="283">
        <f>BF53/Resources!$B$9</f>
        <v>103098.92473118279</v>
      </c>
      <c r="BH53" s="283">
        <f>SUM($X$4:X53,$E$4:E53)</f>
        <v>1180775.5555555557</v>
      </c>
      <c r="BI53" s="283">
        <f>BH53/Resources!$B$2</f>
        <v>49198.981481481489</v>
      </c>
      <c r="BJ53" s="283">
        <f>SUM($V$4:V53,$T$4:T53)</f>
        <v>277708.33333333331</v>
      </c>
      <c r="BK53" s="283">
        <f>BJ53/Resources!$B$3</f>
        <v>10681.089743589742</v>
      </c>
      <c r="BL53" s="283">
        <f>SUM($W$4:W53, $M$4:M53)</f>
        <v>397675</v>
      </c>
      <c r="BM53" s="283">
        <f>BL53/Resources!$B$4</f>
        <v>14202.678571428571</v>
      </c>
      <c r="BN53" s="283">
        <f>SUM($P$4:P53,$Q$4:Q53)</f>
        <v>1116063.3333333333</v>
      </c>
      <c r="BO53" s="292">
        <f>BN53/Resources!$B$5</f>
        <v>41335.679012345674</v>
      </c>
    </row>
    <row r="54" spans="1:67" ht="19" x14ac:dyDescent="0.25">
      <c r="A54" s="34">
        <f t="shared" si="8"/>
        <v>42916</v>
      </c>
      <c r="B54" s="47">
        <f>SUMIFS(Collection!$J:$J, Collection!$A:$A, $A54, Collection!$B:$B, B$2)</f>
        <v>0</v>
      </c>
      <c r="C54" s="47">
        <f>SUMIFS(Collection!$J:$J, Collection!$A:$A, $A54, Collection!$B:$B, C$2)</f>
        <v>0</v>
      </c>
      <c r="D54" s="47">
        <f>SUMIFS(Collection!$J:$J, Collection!$A:$A, $A54, Collection!$B:$B, D$2)</f>
        <v>0</v>
      </c>
      <c r="E54" s="47">
        <f>SUMIFS(Collection!$J:$J, Collection!$A:$A, $A54, Collection!$B:$B, E$2)</f>
        <v>0</v>
      </c>
      <c r="F54" s="47">
        <f>SUMIFS(Collection!$J:$J, Collection!$A:$A, $A54, Collection!$B:$B, F$2)</f>
        <v>0</v>
      </c>
      <c r="G54" s="47">
        <f>SUMIFS(Collection!$J:$J, Collection!$A:$A, $A54, Collection!$B:$B, G$2)</f>
        <v>0</v>
      </c>
      <c r="H54" s="47">
        <f>SUMIFS(Collection!$J:$J, Collection!$A:$A, $A54, Collection!$B:$B, H$2)</f>
        <v>0</v>
      </c>
      <c r="I54" s="47">
        <f>SUMIFS(Collection!$J:$J, Collection!$A:$A, $A54, Collection!$B:$B, I$2)</f>
        <v>0</v>
      </c>
      <c r="J54" s="47">
        <f>SUMIFS(Collection!$J:$J, Collection!$A:$A, $A54, Collection!$B:$B, J$2)</f>
        <v>0</v>
      </c>
      <c r="K54" s="47">
        <f>SUMIFS(Collection!$J:$J, Collection!$A:$A, $A54, Collection!$B:$B, K$2)</f>
        <v>0</v>
      </c>
      <c r="L54" s="47">
        <f>SUMIFS(Collection!$J:$J, Collection!$A:$A, $A54, Collection!$B:$B, L$2)</f>
        <v>0</v>
      </c>
      <c r="M54" s="47">
        <f>SUMIFS(Collection!$J:$J, Collection!$A:$A, $A54, Collection!$B:$B, M$2)</f>
        <v>0</v>
      </c>
      <c r="N54" s="47">
        <f>SUMIFS(Collection!$J:$J, Collection!$A:$A, $A54, Collection!$B:$B, N$2)</f>
        <v>0</v>
      </c>
      <c r="O54" s="47">
        <f>SUMIFS(Collection!$J:$J, Collection!$A:$A, $A54, Collection!$B:$B, O$2)</f>
        <v>0</v>
      </c>
      <c r="P54" s="47">
        <f>SUMIFS(Collection!$J:$J, Collection!$A:$A, $A54, Collection!$B:$B, P$2)</f>
        <v>0</v>
      </c>
      <c r="Q54" s="47">
        <f>SUMIFS(Collection!$J:$J, Collection!$A:$A, $A54, Collection!$B:$B, Q$2)</f>
        <v>0</v>
      </c>
      <c r="R54" s="47">
        <f>SUMIFS(Collection!$J:$J, Collection!$A:$A, $A54, Collection!$B:$B, R$2)</f>
        <v>0</v>
      </c>
      <c r="S54" s="47">
        <f>SUMIFS(Collection!$J:$J, Collection!$A:$A, $A54, Collection!$B:$B, S$2)</f>
        <v>0</v>
      </c>
      <c r="T54" s="47">
        <f>SUMIFS(Collection!$J:$J, Collection!$A:$A, $A54, Collection!$B:$B, T$2)</f>
        <v>0</v>
      </c>
      <c r="U54" s="47">
        <f>SUMIFS(Collection!$J:$J, Collection!$A:$A, $A54, Collection!$B:$B, U$2)</f>
        <v>0</v>
      </c>
      <c r="V54" s="47">
        <f>SUMIFS(Collection!$J:$J, Collection!$A:$A, $A54, Collection!$B:$B, V$2)</f>
        <v>0</v>
      </c>
      <c r="W54" s="47">
        <f>SUMIFS(Collection!$J:$J, Collection!$A:$A, $A54, Collection!$B:$B, W$2)</f>
        <v>0</v>
      </c>
      <c r="X54" s="47">
        <f>SUMIFS(Collection!$J:$J, Collection!$A:$A, $A54, Collection!$B:$B, X$2)</f>
        <v>0</v>
      </c>
      <c r="Y54" s="47">
        <f>SUMIFS(Collection!$J:$J, Collection!$A:$A, $A54, Collection!$B:$B, Y$2)</f>
        <v>0</v>
      </c>
      <c r="Z54" s="47"/>
      <c r="AA54" s="47">
        <f t="shared" si="0"/>
        <v>0</v>
      </c>
      <c r="AB54" s="47">
        <f t="shared" si="1"/>
        <v>0</v>
      </c>
      <c r="AC54" s="47">
        <f t="shared" si="2"/>
        <v>0</v>
      </c>
      <c r="AD54" s="47">
        <f t="shared" si="3"/>
        <v>0</v>
      </c>
      <c r="AE54" s="47">
        <f t="shared" si="4"/>
        <v>0</v>
      </c>
      <c r="AF54" s="47">
        <f t="shared" si="5"/>
        <v>0</v>
      </c>
      <c r="AG54" s="47">
        <f t="shared" si="6"/>
        <v>0</v>
      </c>
      <c r="AH54" s="283">
        <f t="shared" si="7"/>
        <v>0</v>
      </c>
      <c r="AJ54" s="283">
        <f>SUM($S$4:S54)</f>
        <v>959265</v>
      </c>
      <c r="AK54" s="283">
        <f>AJ54/Resources!$B$10</f>
        <v>79938.75</v>
      </c>
      <c r="AL54" s="283">
        <f>SUM($Y$4:Y54)</f>
        <v>105066.66666666667</v>
      </c>
      <c r="AM54" s="290">
        <f>AL54/Resources!$B$11</f>
        <v>8755.5555555555566</v>
      </c>
      <c r="AN54" s="283">
        <f>SUM($L$4:L54)</f>
        <v>705188.33333333337</v>
      </c>
      <c r="AO54" s="283">
        <f>AN54/Resources!$B$12</f>
        <v>47012.555555555555</v>
      </c>
      <c r="AP54" s="283">
        <f>SUM($R$4:R54)</f>
        <v>937817.77777777775</v>
      </c>
      <c r="AQ54" s="283">
        <f>AP54/Resources!$B$13</f>
        <v>93781.777777777781</v>
      </c>
      <c r="AR54" s="283"/>
      <c r="AS54" s="283"/>
      <c r="AT54" s="283"/>
      <c r="AU54" s="283"/>
      <c r="AV54" s="283"/>
      <c r="AW54" s="283"/>
      <c r="AX54" s="283"/>
      <c r="AY54" s="283"/>
      <c r="AZ54" s="283">
        <f>SUM($I$4:I54,$K$4:K54)</f>
        <v>2115476.666666667</v>
      </c>
      <c r="BA54" s="283">
        <f>AZ54/Resources!$B$6</f>
        <v>66108.645833333343</v>
      </c>
      <c r="BB54" s="283">
        <f>SUM($D$4:D54,$G$4:G54)</f>
        <v>2178386.666666667</v>
      </c>
      <c r="BC54" s="283">
        <f>BB54/Resources!$B$7</f>
        <v>72612.888888888905</v>
      </c>
      <c r="BD54" s="283">
        <f>SUM($C$4:C54,$H$4:H54)</f>
        <v>2373206.6666666665</v>
      </c>
      <c r="BE54" s="295">
        <f>BD54/Resources!$B$8</f>
        <v>91277.179487179485</v>
      </c>
      <c r="BF54" s="283">
        <f>SUM($B$4:B54,$F$4:F54)</f>
        <v>3196066.6666666665</v>
      </c>
      <c r="BG54" s="283">
        <f>BF54/Resources!$B$9</f>
        <v>103098.92473118279</v>
      </c>
      <c r="BH54" s="283">
        <f>SUM($X$4:X54,$E$4:E54)</f>
        <v>1180775.5555555557</v>
      </c>
      <c r="BI54" s="283">
        <f>BH54/Resources!$B$2</f>
        <v>49198.981481481489</v>
      </c>
      <c r="BJ54" s="283">
        <f>SUM($V$4:V54,$T$4:T54)</f>
        <v>277708.33333333331</v>
      </c>
      <c r="BK54" s="283">
        <f>BJ54/Resources!$B$3</f>
        <v>10681.089743589742</v>
      </c>
      <c r="BL54" s="283">
        <f>SUM($W$4:W54, $M$4:M54)</f>
        <v>397675</v>
      </c>
      <c r="BM54" s="283">
        <f>BL54/Resources!$B$4</f>
        <v>14202.678571428571</v>
      </c>
      <c r="BN54" s="283">
        <f>SUM($P$4:P54,$Q$4:Q54)</f>
        <v>1116063.3333333333</v>
      </c>
      <c r="BO54" s="292">
        <f>BN54/Resources!$B$5</f>
        <v>41335.679012345674</v>
      </c>
    </row>
    <row r="55" spans="1:67" ht="19" x14ac:dyDescent="0.25">
      <c r="A55" s="34">
        <f t="shared" si="8"/>
        <v>42917</v>
      </c>
      <c r="B55" s="47">
        <f>SUMIFS(Collection!$J:$J, Collection!$A:$A, $A55, Collection!$B:$B, B$2)</f>
        <v>0</v>
      </c>
      <c r="C55" s="47">
        <f>SUMIFS(Collection!$J:$J, Collection!$A:$A, $A55, Collection!$B:$B, C$2)</f>
        <v>0</v>
      </c>
      <c r="D55" s="47">
        <f>SUMIFS(Collection!$J:$J, Collection!$A:$A, $A55, Collection!$B:$B, D$2)</f>
        <v>0</v>
      </c>
      <c r="E55" s="47">
        <f>SUMIFS(Collection!$J:$J, Collection!$A:$A, $A55, Collection!$B:$B, E$2)</f>
        <v>0</v>
      </c>
      <c r="F55" s="47">
        <f>SUMIFS(Collection!$J:$J, Collection!$A:$A, $A55, Collection!$B:$B, F$2)</f>
        <v>0</v>
      </c>
      <c r="G55" s="47">
        <f>SUMIFS(Collection!$J:$J, Collection!$A:$A, $A55, Collection!$B:$B, G$2)</f>
        <v>0</v>
      </c>
      <c r="H55" s="47">
        <f>SUMIFS(Collection!$J:$J, Collection!$A:$A, $A55, Collection!$B:$B, H$2)</f>
        <v>0</v>
      </c>
      <c r="I55" s="47">
        <f>SUMIFS(Collection!$J:$J, Collection!$A:$A, $A55, Collection!$B:$B, I$2)</f>
        <v>0</v>
      </c>
      <c r="J55" s="47">
        <f>SUMIFS(Collection!$J:$J, Collection!$A:$A, $A55, Collection!$B:$B, J$2)</f>
        <v>0</v>
      </c>
      <c r="K55" s="47">
        <f>SUMIFS(Collection!$J:$J, Collection!$A:$A, $A55, Collection!$B:$B, K$2)</f>
        <v>0</v>
      </c>
      <c r="L55" s="47">
        <f>SUMIFS(Collection!$J:$J, Collection!$A:$A, $A55, Collection!$B:$B, L$2)</f>
        <v>0</v>
      </c>
      <c r="M55" s="47">
        <f>SUMIFS(Collection!$J:$J, Collection!$A:$A, $A55, Collection!$B:$B, M$2)</f>
        <v>0</v>
      </c>
      <c r="N55" s="47">
        <f>SUMIFS(Collection!$J:$J, Collection!$A:$A, $A55, Collection!$B:$B, N$2)</f>
        <v>0</v>
      </c>
      <c r="O55" s="47">
        <f>SUMIFS(Collection!$J:$J, Collection!$A:$A, $A55, Collection!$B:$B, O$2)</f>
        <v>0</v>
      </c>
      <c r="P55" s="47">
        <f>SUMIFS(Collection!$J:$J, Collection!$A:$A, $A55, Collection!$B:$B, P$2)</f>
        <v>0</v>
      </c>
      <c r="Q55" s="47">
        <f>SUMIFS(Collection!$J:$J, Collection!$A:$A, $A55, Collection!$B:$B, Q$2)</f>
        <v>0</v>
      </c>
      <c r="R55" s="47">
        <f>SUMIFS(Collection!$J:$J, Collection!$A:$A, $A55, Collection!$B:$B, R$2)</f>
        <v>1650</v>
      </c>
      <c r="S55" s="47">
        <f>SUMIFS(Collection!$J:$J, Collection!$A:$A, $A55, Collection!$B:$B, S$2)</f>
        <v>0</v>
      </c>
      <c r="T55" s="47">
        <f>SUMIFS(Collection!$J:$J, Collection!$A:$A, $A55, Collection!$B:$B, T$2)</f>
        <v>0</v>
      </c>
      <c r="U55" s="47">
        <f>SUMIFS(Collection!$J:$J, Collection!$A:$A, $A55, Collection!$B:$B, U$2)</f>
        <v>0</v>
      </c>
      <c r="V55" s="47">
        <f>SUMIFS(Collection!$J:$J, Collection!$A:$A, $A55, Collection!$B:$B, V$2)</f>
        <v>0</v>
      </c>
      <c r="W55" s="47">
        <f>SUMIFS(Collection!$J:$J, Collection!$A:$A, $A55, Collection!$B:$B, W$2)</f>
        <v>0</v>
      </c>
      <c r="X55" s="47">
        <f>SUMIFS(Collection!$J:$J, Collection!$A:$A, $A55, Collection!$B:$B, X$2)</f>
        <v>0</v>
      </c>
      <c r="Y55" s="47">
        <f>SUMIFS(Collection!$J:$J, Collection!$A:$A, $A55, Collection!$B:$B, Y$2)</f>
        <v>0</v>
      </c>
      <c r="Z55" s="47"/>
      <c r="AA55" s="47">
        <f t="shared" si="0"/>
        <v>0</v>
      </c>
      <c r="AB55" s="47">
        <f t="shared" si="1"/>
        <v>0</v>
      </c>
      <c r="AC55" s="47">
        <f t="shared" si="2"/>
        <v>0</v>
      </c>
      <c r="AD55" s="47">
        <f t="shared" si="3"/>
        <v>0</v>
      </c>
      <c r="AE55" s="47">
        <f t="shared" si="4"/>
        <v>0</v>
      </c>
      <c r="AF55" s="47">
        <f t="shared" si="5"/>
        <v>0</v>
      </c>
      <c r="AG55" s="47">
        <f t="shared" si="6"/>
        <v>0</v>
      </c>
      <c r="AH55" s="283">
        <f t="shared" si="7"/>
        <v>0</v>
      </c>
      <c r="AJ55" s="283">
        <f>SUM($S$4:S55)</f>
        <v>959265</v>
      </c>
      <c r="AK55" s="283">
        <f>AJ55/Resources!$B$10</f>
        <v>79938.75</v>
      </c>
      <c r="AL55" s="283">
        <f>SUM($Y$4:Y55)</f>
        <v>105066.66666666667</v>
      </c>
      <c r="AM55" s="290">
        <f>AL55/Resources!$B$11</f>
        <v>8755.5555555555566</v>
      </c>
      <c r="AN55" s="283">
        <f>SUM($L$4:L55)</f>
        <v>705188.33333333337</v>
      </c>
      <c r="AO55" s="283">
        <f>AN55/Resources!$B$12</f>
        <v>47012.555555555555</v>
      </c>
      <c r="AP55" s="283">
        <f>SUM($R$4:R55)</f>
        <v>939467.77777777775</v>
      </c>
      <c r="AQ55" s="283">
        <f>AP55/Resources!$B$13</f>
        <v>93946.777777777781</v>
      </c>
      <c r="AR55" s="283"/>
      <c r="AS55" s="283"/>
      <c r="AT55" s="283"/>
      <c r="AU55" s="283"/>
      <c r="AV55" s="283"/>
      <c r="AW55" s="283"/>
      <c r="AX55" s="283"/>
      <c r="AY55" s="283"/>
      <c r="AZ55" s="283">
        <f>SUM($I$4:I55,$K$4:K55)</f>
        <v>2115476.666666667</v>
      </c>
      <c r="BA55" s="283">
        <f>AZ55/Resources!$B$6</f>
        <v>66108.645833333343</v>
      </c>
      <c r="BB55" s="283">
        <f>SUM($D$4:D55,$G$4:G55)</f>
        <v>2178386.666666667</v>
      </c>
      <c r="BC55" s="283">
        <f>BB55/Resources!$B$7</f>
        <v>72612.888888888905</v>
      </c>
      <c r="BD55" s="283">
        <f>SUM($C$4:C55,$H$4:H55)</f>
        <v>2373206.6666666665</v>
      </c>
      <c r="BE55" s="295">
        <f>BD55/Resources!$B$8</f>
        <v>91277.179487179485</v>
      </c>
      <c r="BF55" s="283">
        <f>SUM($B$4:B55,$F$4:F55)</f>
        <v>3196066.6666666665</v>
      </c>
      <c r="BG55" s="283">
        <f>BF55/Resources!$B$9</f>
        <v>103098.92473118279</v>
      </c>
      <c r="BH55" s="283">
        <f>SUM($X$4:X55,$E$4:E55)</f>
        <v>1180775.5555555557</v>
      </c>
      <c r="BI55" s="283">
        <f>BH55/Resources!$B$2</f>
        <v>49198.981481481489</v>
      </c>
      <c r="BJ55" s="283">
        <f>SUM($V$4:V55,$T$4:T55)</f>
        <v>277708.33333333331</v>
      </c>
      <c r="BK55" s="283">
        <f>BJ55/Resources!$B$3</f>
        <v>10681.089743589742</v>
      </c>
      <c r="BL55" s="283">
        <f>SUM($W$4:W55, $M$4:M55)</f>
        <v>397675</v>
      </c>
      <c r="BM55" s="283">
        <f>BL55/Resources!$B$4</f>
        <v>14202.678571428571</v>
      </c>
      <c r="BN55" s="283">
        <f>SUM($P$4:P55,$Q$4:Q55)</f>
        <v>1116063.3333333333</v>
      </c>
      <c r="BO55" s="292">
        <f>BN55/Resources!$B$5</f>
        <v>41335.679012345674</v>
      </c>
    </row>
    <row r="56" spans="1:67" ht="19" x14ac:dyDescent="0.25">
      <c r="A56" s="34">
        <f t="shared" si="8"/>
        <v>42918</v>
      </c>
      <c r="B56" s="47">
        <f>SUMIFS(Collection!$J:$J, Collection!$A:$A, $A56, Collection!$B:$B, B$2)</f>
        <v>0</v>
      </c>
      <c r="C56" s="47">
        <f>SUMIFS(Collection!$J:$J, Collection!$A:$A, $A56, Collection!$B:$B, C$2)</f>
        <v>0</v>
      </c>
      <c r="D56" s="47">
        <f>SUMIFS(Collection!$J:$J, Collection!$A:$A, $A56, Collection!$B:$B, D$2)</f>
        <v>0</v>
      </c>
      <c r="E56" s="47">
        <f>SUMIFS(Collection!$J:$J, Collection!$A:$A, $A56, Collection!$B:$B, E$2)</f>
        <v>0</v>
      </c>
      <c r="F56" s="47">
        <f>SUMIFS(Collection!$J:$J, Collection!$A:$A, $A56, Collection!$B:$B, F$2)</f>
        <v>0</v>
      </c>
      <c r="G56" s="47">
        <f>SUMIFS(Collection!$J:$J, Collection!$A:$A, $A56, Collection!$B:$B, G$2)</f>
        <v>0</v>
      </c>
      <c r="H56" s="47">
        <f>SUMIFS(Collection!$J:$J, Collection!$A:$A, $A56, Collection!$B:$B, H$2)</f>
        <v>0</v>
      </c>
      <c r="I56" s="47">
        <f>SUMIFS(Collection!$J:$J, Collection!$A:$A, $A56, Collection!$B:$B, I$2)</f>
        <v>0</v>
      </c>
      <c r="J56" s="47">
        <f>SUMIFS(Collection!$J:$J, Collection!$A:$A, $A56, Collection!$B:$B, J$2)</f>
        <v>0</v>
      </c>
      <c r="K56" s="47">
        <f>SUMIFS(Collection!$J:$J, Collection!$A:$A, $A56, Collection!$B:$B, K$2)</f>
        <v>0</v>
      </c>
      <c r="L56" s="47">
        <f>SUMIFS(Collection!$J:$J, Collection!$A:$A, $A56, Collection!$B:$B, L$2)</f>
        <v>0</v>
      </c>
      <c r="M56" s="47">
        <f>SUMIFS(Collection!$J:$J, Collection!$A:$A, $A56, Collection!$B:$B, M$2)</f>
        <v>0</v>
      </c>
      <c r="N56" s="47">
        <f>SUMIFS(Collection!$J:$J, Collection!$A:$A, $A56, Collection!$B:$B, N$2)</f>
        <v>0</v>
      </c>
      <c r="O56" s="47">
        <f>SUMIFS(Collection!$J:$J, Collection!$A:$A, $A56, Collection!$B:$B, O$2)</f>
        <v>0</v>
      </c>
      <c r="P56" s="47">
        <f>SUMIFS(Collection!$J:$J, Collection!$A:$A, $A56, Collection!$B:$B, P$2)</f>
        <v>0</v>
      </c>
      <c r="Q56" s="47">
        <f>SUMIFS(Collection!$J:$J, Collection!$A:$A, $A56, Collection!$B:$B, Q$2)</f>
        <v>0</v>
      </c>
      <c r="R56" s="47">
        <f>SUMIFS(Collection!$J:$J, Collection!$A:$A, $A56, Collection!$B:$B, R$2)</f>
        <v>0</v>
      </c>
      <c r="S56" s="47">
        <f>SUMIFS(Collection!$J:$J, Collection!$A:$A, $A56, Collection!$B:$B, S$2)</f>
        <v>0</v>
      </c>
      <c r="T56" s="47">
        <f>SUMIFS(Collection!$J:$J, Collection!$A:$A, $A56, Collection!$B:$B, T$2)</f>
        <v>0</v>
      </c>
      <c r="U56" s="47">
        <f>SUMIFS(Collection!$J:$J, Collection!$A:$A, $A56, Collection!$B:$B, U$2)</f>
        <v>0</v>
      </c>
      <c r="V56" s="47">
        <f>SUMIFS(Collection!$J:$J, Collection!$A:$A, $A56, Collection!$B:$B, V$2)</f>
        <v>0</v>
      </c>
      <c r="W56" s="47">
        <f>SUMIFS(Collection!$J:$J, Collection!$A:$A, $A56, Collection!$B:$B, W$2)</f>
        <v>0</v>
      </c>
      <c r="X56" s="47">
        <f>SUMIFS(Collection!$J:$J, Collection!$A:$A, $A56, Collection!$B:$B, X$2)</f>
        <v>0</v>
      </c>
      <c r="Y56" s="47">
        <f>SUMIFS(Collection!$J:$J, Collection!$A:$A, $A56, Collection!$B:$B, Y$2)</f>
        <v>0</v>
      </c>
      <c r="Z56" s="47"/>
      <c r="AA56" s="47">
        <f t="shared" si="0"/>
        <v>0</v>
      </c>
      <c r="AB56" s="47">
        <f t="shared" si="1"/>
        <v>0</v>
      </c>
      <c r="AC56" s="47">
        <f t="shared" si="2"/>
        <v>0</v>
      </c>
      <c r="AD56" s="47">
        <f t="shared" si="3"/>
        <v>0</v>
      </c>
      <c r="AE56" s="47">
        <f t="shared" si="4"/>
        <v>0</v>
      </c>
      <c r="AF56" s="47">
        <f t="shared" si="5"/>
        <v>0</v>
      </c>
      <c r="AG56" s="47">
        <f t="shared" si="6"/>
        <v>0</v>
      </c>
      <c r="AH56" s="283">
        <f t="shared" si="7"/>
        <v>0</v>
      </c>
      <c r="AJ56" s="283">
        <f>SUM($S$4:S56)</f>
        <v>959265</v>
      </c>
      <c r="AK56" s="283">
        <f>AJ56/Resources!$B$10</f>
        <v>79938.75</v>
      </c>
      <c r="AL56" s="283">
        <f>SUM($Y$4:Y56)</f>
        <v>105066.66666666667</v>
      </c>
      <c r="AM56" s="290">
        <f>AL56/Resources!$B$11</f>
        <v>8755.5555555555566</v>
      </c>
      <c r="AN56" s="283">
        <f>SUM($L$4:L56)</f>
        <v>705188.33333333337</v>
      </c>
      <c r="AO56" s="283">
        <f>AN56/Resources!$B$12</f>
        <v>47012.555555555555</v>
      </c>
      <c r="AP56" s="283">
        <f>SUM($R$4:R56)</f>
        <v>939467.77777777775</v>
      </c>
      <c r="AQ56" s="283">
        <f>AP56/Resources!$B$13</f>
        <v>93946.777777777781</v>
      </c>
      <c r="AR56" s="283"/>
      <c r="AS56" s="283"/>
      <c r="AT56" s="283"/>
      <c r="AU56" s="283"/>
      <c r="AV56" s="283"/>
      <c r="AW56" s="283"/>
      <c r="AX56" s="283"/>
      <c r="AY56" s="283"/>
      <c r="AZ56" s="283">
        <f>SUM($I$4:I56,$K$4:K56)</f>
        <v>2115476.666666667</v>
      </c>
      <c r="BA56" s="283">
        <f>AZ56/Resources!$B$6</f>
        <v>66108.645833333343</v>
      </c>
      <c r="BB56" s="283">
        <f>SUM($D$4:D56,$G$4:G56)</f>
        <v>2178386.666666667</v>
      </c>
      <c r="BC56" s="283">
        <f>BB56/Resources!$B$7</f>
        <v>72612.888888888905</v>
      </c>
      <c r="BD56" s="283">
        <f>SUM($C$4:C56,$H$4:H56)</f>
        <v>2373206.6666666665</v>
      </c>
      <c r="BE56" s="295">
        <f>BD56/Resources!$B$8</f>
        <v>91277.179487179485</v>
      </c>
      <c r="BF56" s="283">
        <f>SUM($B$4:B56,$F$4:F56)</f>
        <v>3196066.6666666665</v>
      </c>
      <c r="BG56" s="283">
        <f>BF56/Resources!$B$9</f>
        <v>103098.92473118279</v>
      </c>
      <c r="BH56" s="283">
        <f>SUM($X$4:X56,$E$4:E56)</f>
        <v>1180775.5555555557</v>
      </c>
      <c r="BI56" s="283">
        <f>BH56/Resources!$B$2</f>
        <v>49198.981481481489</v>
      </c>
      <c r="BJ56" s="283">
        <f>SUM($V$4:V56,$T$4:T56)</f>
        <v>277708.33333333331</v>
      </c>
      <c r="BK56" s="283">
        <f>BJ56/Resources!$B$3</f>
        <v>10681.089743589742</v>
      </c>
      <c r="BL56" s="283">
        <f>SUM($W$4:W56, $M$4:M56)</f>
        <v>397675</v>
      </c>
      <c r="BM56" s="283">
        <f>BL56/Resources!$B$4</f>
        <v>14202.678571428571</v>
      </c>
      <c r="BN56" s="283">
        <f>SUM($P$4:P56,$Q$4:Q56)</f>
        <v>1116063.3333333333</v>
      </c>
      <c r="BO56" s="292">
        <f>BN56/Resources!$B$5</f>
        <v>41335.679012345674</v>
      </c>
    </row>
    <row r="57" spans="1:67" ht="19" x14ac:dyDescent="0.25">
      <c r="A57" s="34">
        <f t="shared" si="8"/>
        <v>42919</v>
      </c>
      <c r="B57" s="47">
        <f>SUMIFS(Collection!$J:$J, Collection!$A:$A, $A57, Collection!$B:$B, B$2)</f>
        <v>0</v>
      </c>
      <c r="C57" s="47">
        <f>SUMIFS(Collection!$J:$J, Collection!$A:$A, $A57, Collection!$B:$B, C$2)</f>
        <v>0</v>
      </c>
      <c r="D57" s="47">
        <f>SUMIFS(Collection!$J:$J, Collection!$A:$A, $A57, Collection!$B:$B, D$2)</f>
        <v>0</v>
      </c>
      <c r="E57" s="47">
        <f>SUMIFS(Collection!$J:$J, Collection!$A:$A, $A57, Collection!$B:$B, E$2)</f>
        <v>0</v>
      </c>
      <c r="F57" s="47">
        <f>SUMIFS(Collection!$J:$J, Collection!$A:$A, $A57, Collection!$B:$B, F$2)</f>
        <v>0</v>
      </c>
      <c r="G57" s="47">
        <f>SUMIFS(Collection!$J:$J, Collection!$A:$A, $A57, Collection!$B:$B, G$2)</f>
        <v>0</v>
      </c>
      <c r="H57" s="47">
        <f>SUMIFS(Collection!$J:$J, Collection!$A:$A, $A57, Collection!$B:$B, H$2)</f>
        <v>0</v>
      </c>
      <c r="I57" s="47">
        <f>SUMIFS(Collection!$J:$J, Collection!$A:$A, $A57, Collection!$B:$B, I$2)</f>
        <v>0</v>
      </c>
      <c r="J57" s="47">
        <f>SUMIFS(Collection!$J:$J, Collection!$A:$A, $A57, Collection!$B:$B, J$2)</f>
        <v>0</v>
      </c>
      <c r="K57" s="47">
        <f>SUMIFS(Collection!$J:$J, Collection!$A:$A, $A57, Collection!$B:$B, K$2)</f>
        <v>0</v>
      </c>
      <c r="L57" s="47">
        <f>SUMIFS(Collection!$J:$J, Collection!$A:$A, $A57, Collection!$B:$B, L$2)</f>
        <v>0</v>
      </c>
      <c r="M57" s="47">
        <f>SUMIFS(Collection!$J:$J, Collection!$A:$A, $A57, Collection!$B:$B, M$2)</f>
        <v>0</v>
      </c>
      <c r="N57" s="47">
        <f>SUMIFS(Collection!$J:$J, Collection!$A:$A, $A57, Collection!$B:$B, N$2)</f>
        <v>0</v>
      </c>
      <c r="O57" s="47">
        <f>SUMIFS(Collection!$J:$J, Collection!$A:$A, $A57, Collection!$B:$B, O$2)</f>
        <v>0</v>
      </c>
      <c r="P57" s="47">
        <f>SUMIFS(Collection!$J:$J, Collection!$A:$A, $A57, Collection!$B:$B, P$2)</f>
        <v>0</v>
      </c>
      <c r="Q57" s="47">
        <f>SUMIFS(Collection!$J:$J, Collection!$A:$A, $A57, Collection!$B:$B, Q$2)</f>
        <v>0</v>
      </c>
      <c r="R57" s="47">
        <f>SUMIFS(Collection!$J:$J, Collection!$A:$A, $A57, Collection!$B:$B, R$2)</f>
        <v>0</v>
      </c>
      <c r="S57" s="47">
        <f>SUMIFS(Collection!$J:$J, Collection!$A:$A, $A57, Collection!$B:$B, S$2)</f>
        <v>0</v>
      </c>
      <c r="T57" s="47">
        <f>SUMIFS(Collection!$J:$J, Collection!$A:$A, $A57, Collection!$B:$B, T$2)</f>
        <v>0</v>
      </c>
      <c r="U57" s="47">
        <f>SUMIFS(Collection!$J:$J, Collection!$A:$A, $A57, Collection!$B:$B, U$2)</f>
        <v>0</v>
      </c>
      <c r="V57" s="47">
        <f>SUMIFS(Collection!$J:$J, Collection!$A:$A, $A57, Collection!$B:$B, V$2)</f>
        <v>0</v>
      </c>
      <c r="W57" s="47">
        <f>SUMIFS(Collection!$J:$J, Collection!$A:$A, $A57, Collection!$B:$B, W$2)</f>
        <v>41958.333333333328</v>
      </c>
      <c r="X57" s="47">
        <f>SUMIFS(Collection!$J:$J, Collection!$A:$A, $A57, Collection!$B:$B, X$2)</f>
        <v>0</v>
      </c>
      <c r="Y57" s="47">
        <f>SUMIFS(Collection!$J:$J, Collection!$A:$A, $A57, Collection!$B:$B, Y$2)</f>
        <v>0</v>
      </c>
      <c r="Z57" s="47"/>
      <c r="AA57" s="47">
        <f t="shared" si="0"/>
        <v>0</v>
      </c>
      <c r="AB57" s="47">
        <f t="shared" si="1"/>
        <v>0</v>
      </c>
      <c r="AC57" s="47">
        <f t="shared" si="2"/>
        <v>0</v>
      </c>
      <c r="AD57" s="47">
        <f t="shared" si="3"/>
        <v>0</v>
      </c>
      <c r="AE57" s="47">
        <f t="shared" si="4"/>
        <v>0</v>
      </c>
      <c r="AF57" s="47">
        <f t="shared" si="5"/>
        <v>0</v>
      </c>
      <c r="AG57" s="47">
        <f t="shared" si="6"/>
        <v>41958.333333333328</v>
      </c>
      <c r="AH57" s="283">
        <f t="shared" si="7"/>
        <v>0</v>
      </c>
      <c r="AJ57" s="283">
        <f>SUM($S$4:S57)</f>
        <v>959265</v>
      </c>
      <c r="AK57" s="283">
        <f>AJ57/Resources!$B$10</f>
        <v>79938.75</v>
      </c>
      <c r="AL57" s="283">
        <f>SUM($Y$4:Y57)</f>
        <v>105066.66666666667</v>
      </c>
      <c r="AM57" s="290">
        <f>AL57/Resources!$B$11</f>
        <v>8755.5555555555566</v>
      </c>
      <c r="AN57" s="283">
        <f>SUM($L$4:L57)</f>
        <v>705188.33333333337</v>
      </c>
      <c r="AO57" s="283">
        <f>AN57/Resources!$B$12</f>
        <v>47012.555555555555</v>
      </c>
      <c r="AP57" s="283">
        <f>SUM($R$4:R57)</f>
        <v>939467.77777777775</v>
      </c>
      <c r="AQ57" s="283">
        <f>AP57/Resources!$B$13</f>
        <v>93946.777777777781</v>
      </c>
      <c r="AR57" s="283"/>
      <c r="AS57" s="283"/>
      <c r="AT57" s="283"/>
      <c r="AU57" s="283"/>
      <c r="AV57" s="283"/>
      <c r="AW57" s="283"/>
      <c r="AX57" s="283"/>
      <c r="AY57" s="283"/>
      <c r="AZ57" s="283">
        <f>SUM($I$4:I57,$K$4:K57)</f>
        <v>2115476.666666667</v>
      </c>
      <c r="BA57" s="283">
        <f>AZ57/Resources!$B$6</f>
        <v>66108.645833333343</v>
      </c>
      <c r="BB57" s="283">
        <f>SUM($D$4:D57,$G$4:G57)</f>
        <v>2178386.666666667</v>
      </c>
      <c r="BC57" s="283">
        <f>BB57/Resources!$B$7</f>
        <v>72612.888888888905</v>
      </c>
      <c r="BD57" s="283">
        <f>SUM($C$4:C57,$H$4:H57)</f>
        <v>2373206.6666666665</v>
      </c>
      <c r="BE57" s="295">
        <f>BD57/Resources!$B$8</f>
        <v>91277.179487179485</v>
      </c>
      <c r="BF57" s="283">
        <f>SUM($B$4:B57,$F$4:F57)</f>
        <v>3196066.6666666665</v>
      </c>
      <c r="BG57" s="283">
        <f>BF57/Resources!$B$9</f>
        <v>103098.92473118279</v>
      </c>
      <c r="BH57" s="283">
        <f>SUM($X$4:X57,$E$4:E57)</f>
        <v>1180775.5555555557</v>
      </c>
      <c r="BI57" s="283">
        <f>BH57/Resources!$B$2</f>
        <v>49198.981481481489</v>
      </c>
      <c r="BJ57" s="283">
        <f>SUM($V$4:V57,$T$4:T57)</f>
        <v>277708.33333333331</v>
      </c>
      <c r="BK57" s="283">
        <f>BJ57/Resources!$B$3</f>
        <v>10681.089743589742</v>
      </c>
      <c r="BL57" s="283">
        <f>SUM($W$4:W57, $M$4:M57)</f>
        <v>439633.33333333337</v>
      </c>
      <c r="BM57" s="283">
        <f>BL57/Resources!$B$4</f>
        <v>15701.190476190477</v>
      </c>
      <c r="BN57" s="283">
        <f>SUM($P$4:P57,$Q$4:Q57)</f>
        <v>1116063.3333333333</v>
      </c>
      <c r="BO57" s="292">
        <f>BN57/Resources!$B$5</f>
        <v>41335.679012345674</v>
      </c>
    </row>
    <row r="58" spans="1:67" ht="19" x14ac:dyDescent="0.25">
      <c r="A58" s="34">
        <f t="shared" si="8"/>
        <v>42920</v>
      </c>
      <c r="B58" s="47">
        <f>SUMIFS(Collection!$J:$J, Collection!$A:$A, $A58, Collection!$B:$B, B$2)</f>
        <v>0</v>
      </c>
      <c r="C58" s="47">
        <f>SUMIFS(Collection!$J:$J, Collection!$A:$A, $A58, Collection!$B:$B, C$2)</f>
        <v>0</v>
      </c>
      <c r="D58" s="47">
        <f>SUMIFS(Collection!$J:$J, Collection!$A:$A, $A58, Collection!$B:$B, D$2)</f>
        <v>0</v>
      </c>
      <c r="E58" s="47">
        <f>SUMIFS(Collection!$J:$J, Collection!$A:$A, $A58, Collection!$B:$B, E$2)</f>
        <v>0</v>
      </c>
      <c r="F58" s="47">
        <f>SUMIFS(Collection!$J:$J, Collection!$A:$A, $A58, Collection!$B:$B, F$2)</f>
        <v>0</v>
      </c>
      <c r="G58" s="47">
        <f>SUMIFS(Collection!$J:$J, Collection!$A:$A, $A58, Collection!$B:$B, G$2)</f>
        <v>0</v>
      </c>
      <c r="H58" s="47">
        <f>SUMIFS(Collection!$J:$J, Collection!$A:$A, $A58, Collection!$B:$B, H$2)</f>
        <v>0</v>
      </c>
      <c r="I58" s="47">
        <f>SUMIFS(Collection!$J:$J, Collection!$A:$A, $A58, Collection!$B:$B, I$2)</f>
        <v>0</v>
      </c>
      <c r="J58" s="47">
        <f>SUMIFS(Collection!$J:$J, Collection!$A:$A, $A58, Collection!$B:$B, J$2)</f>
        <v>0</v>
      </c>
      <c r="K58" s="47">
        <f>SUMIFS(Collection!$J:$J, Collection!$A:$A, $A58, Collection!$B:$B, K$2)</f>
        <v>0</v>
      </c>
      <c r="L58" s="47">
        <f>SUMIFS(Collection!$J:$J, Collection!$A:$A, $A58, Collection!$B:$B, L$2)</f>
        <v>0</v>
      </c>
      <c r="M58" s="47">
        <f>SUMIFS(Collection!$J:$J, Collection!$A:$A, $A58, Collection!$B:$B, M$2)</f>
        <v>0</v>
      </c>
      <c r="N58" s="47">
        <f>SUMIFS(Collection!$J:$J, Collection!$A:$A, $A58, Collection!$B:$B, N$2)</f>
        <v>0</v>
      </c>
      <c r="O58" s="47">
        <f>SUMIFS(Collection!$J:$J, Collection!$A:$A, $A58, Collection!$B:$B, O$2)</f>
        <v>0</v>
      </c>
      <c r="P58" s="47">
        <f>SUMIFS(Collection!$J:$J, Collection!$A:$A, $A58, Collection!$B:$B, P$2)</f>
        <v>0</v>
      </c>
      <c r="Q58" s="47">
        <f>SUMIFS(Collection!$J:$J, Collection!$A:$A, $A58, Collection!$B:$B, Q$2)</f>
        <v>0</v>
      </c>
      <c r="R58" s="47">
        <f>SUMIFS(Collection!$J:$J, Collection!$A:$A, $A58, Collection!$B:$B, R$2)</f>
        <v>0</v>
      </c>
      <c r="S58" s="47">
        <f>SUMIFS(Collection!$J:$J, Collection!$A:$A, $A58, Collection!$B:$B, S$2)</f>
        <v>0</v>
      </c>
      <c r="T58" s="47">
        <f>SUMIFS(Collection!$J:$J, Collection!$A:$A, $A58, Collection!$B:$B, T$2)</f>
        <v>0</v>
      </c>
      <c r="U58" s="47">
        <f>SUMIFS(Collection!$J:$J, Collection!$A:$A, $A58, Collection!$B:$B, U$2)</f>
        <v>0</v>
      </c>
      <c r="V58" s="47">
        <f>SUMIFS(Collection!$J:$J, Collection!$A:$A, $A58, Collection!$B:$B, V$2)</f>
        <v>0</v>
      </c>
      <c r="W58" s="47">
        <f>SUMIFS(Collection!$J:$J, Collection!$A:$A, $A58, Collection!$B:$B, W$2)</f>
        <v>0</v>
      </c>
      <c r="X58" s="47">
        <f>SUMIFS(Collection!$J:$J, Collection!$A:$A, $A58, Collection!$B:$B, X$2)</f>
        <v>0</v>
      </c>
      <c r="Y58" s="47">
        <f>SUMIFS(Collection!$J:$J, Collection!$A:$A, $A58, Collection!$B:$B, Y$2)</f>
        <v>0</v>
      </c>
      <c r="Z58" s="47"/>
      <c r="AA58" s="47">
        <f t="shared" si="0"/>
        <v>0</v>
      </c>
      <c r="AB58" s="47">
        <f t="shared" si="1"/>
        <v>0</v>
      </c>
      <c r="AC58" s="47">
        <f t="shared" si="2"/>
        <v>0</v>
      </c>
      <c r="AD58" s="47">
        <f t="shared" si="3"/>
        <v>0</v>
      </c>
      <c r="AE58" s="47">
        <f t="shared" si="4"/>
        <v>0</v>
      </c>
      <c r="AF58" s="47">
        <f t="shared" si="5"/>
        <v>0</v>
      </c>
      <c r="AG58" s="47">
        <f t="shared" si="6"/>
        <v>0</v>
      </c>
      <c r="AH58" s="283">
        <f t="shared" si="7"/>
        <v>0</v>
      </c>
      <c r="AJ58" s="283">
        <f>SUM($S$4:S58)</f>
        <v>959265</v>
      </c>
      <c r="AK58" s="283">
        <f>AJ58/Resources!$B$10</f>
        <v>79938.75</v>
      </c>
      <c r="AL58" s="283">
        <f>SUM($Y$4:Y58)</f>
        <v>105066.66666666667</v>
      </c>
      <c r="AM58" s="290">
        <f>AL58/Resources!$B$11</f>
        <v>8755.5555555555566</v>
      </c>
      <c r="AN58" s="283">
        <f>SUM($L$4:L58)</f>
        <v>705188.33333333337</v>
      </c>
      <c r="AO58" s="283">
        <f>AN58/Resources!$B$12</f>
        <v>47012.555555555555</v>
      </c>
      <c r="AP58" s="283">
        <f>SUM($R$4:R58)</f>
        <v>939467.77777777775</v>
      </c>
      <c r="AQ58" s="283">
        <f>AP58/Resources!$B$13</f>
        <v>93946.777777777781</v>
      </c>
      <c r="AR58" s="283"/>
      <c r="AS58" s="283"/>
      <c r="AT58" s="283"/>
      <c r="AU58" s="283"/>
      <c r="AV58" s="283"/>
      <c r="AW58" s="283"/>
      <c r="AX58" s="283"/>
      <c r="AY58" s="283"/>
      <c r="AZ58" s="283">
        <f>SUM($I$4:I58,$K$4:K58)</f>
        <v>2115476.666666667</v>
      </c>
      <c r="BA58" s="283">
        <f>AZ58/Resources!$B$6</f>
        <v>66108.645833333343</v>
      </c>
      <c r="BB58" s="283">
        <f>SUM($D$4:D58,$G$4:G58)</f>
        <v>2178386.666666667</v>
      </c>
      <c r="BC58" s="283">
        <f>BB58/Resources!$B$7</f>
        <v>72612.888888888905</v>
      </c>
      <c r="BD58" s="283">
        <f>SUM($C$4:C58,$H$4:H58)</f>
        <v>2373206.6666666665</v>
      </c>
      <c r="BE58" s="295">
        <f>BD58/Resources!$B$8</f>
        <v>91277.179487179485</v>
      </c>
      <c r="BF58" s="283">
        <f>SUM($B$4:B58,$F$4:F58)</f>
        <v>3196066.6666666665</v>
      </c>
      <c r="BG58" s="283">
        <f>BF58/Resources!$B$9</f>
        <v>103098.92473118279</v>
      </c>
      <c r="BH58" s="283">
        <f>SUM($X$4:X58,$E$4:E58)</f>
        <v>1180775.5555555557</v>
      </c>
      <c r="BI58" s="283">
        <f>BH58/Resources!$B$2</f>
        <v>49198.981481481489</v>
      </c>
      <c r="BJ58" s="283">
        <f>SUM($V$4:V58,$T$4:T58)</f>
        <v>277708.33333333331</v>
      </c>
      <c r="BK58" s="283">
        <f>BJ58/Resources!$B$3</f>
        <v>10681.089743589742</v>
      </c>
      <c r="BL58" s="283">
        <f>SUM($W$4:W58, $M$4:M58)</f>
        <v>439633.33333333337</v>
      </c>
      <c r="BM58" s="283">
        <f>BL58/Resources!$B$4</f>
        <v>15701.190476190477</v>
      </c>
      <c r="BN58" s="283">
        <f>SUM($P$4:P58,$Q$4:Q58)</f>
        <v>1116063.3333333333</v>
      </c>
      <c r="BO58" s="292">
        <f>BN58/Resources!$B$5</f>
        <v>41335.679012345674</v>
      </c>
    </row>
    <row r="59" spans="1:67" ht="19" x14ac:dyDescent="0.25">
      <c r="A59" s="34">
        <f t="shared" si="8"/>
        <v>42921</v>
      </c>
      <c r="B59" s="47">
        <f>SUMIFS(Collection!$J:$J, Collection!$A:$A, $A59, Collection!$B:$B, B$2)</f>
        <v>0</v>
      </c>
      <c r="C59" s="47">
        <f>SUMIFS(Collection!$J:$J, Collection!$A:$A, $A59, Collection!$B:$B, C$2)</f>
        <v>0</v>
      </c>
      <c r="D59" s="47">
        <f>SUMIFS(Collection!$J:$J, Collection!$A:$A, $A59, Collection!$B:$B, D$2)</f>
        <v>0</v>
      </c>
      <c r="E59" s="47">
        <f>SUMIFS(Collection!$J:$J, Collection!$A:$A, $A59, Collection!$B:$B, E$2)</f>
        <v>0</v>
      </c>
      <c r="F59" s="47">
        <f>SUMIFS(Collection!$J:$J, Collection!$A:$A, $A59, Collection!$B:$B, F$2)</f>
        <v>416.66666666666669</v>
      </c>
      <c r="G59" s="47">
        <f>SUMIFS(Collection!$J:$J, Collection!$A:$A, $A59, Collection!$B:$B, G$2)</f>
        <v>0</v>
      </c>
      <c r="H59" s="47">
        <f>SUMIFS(Collection!$J:$J, Collection!$A:$A, $A59, Collection!$B:$B, H$2)</f>
        <v>0</v>
      </c>
      <c r="I59" s="47">
        <f>SUMIFS(Collection!$J:$J, Collection!$A:$A, $A59, Collection!$B:$B, I$2)</f>
        <v>0</v>
      </c>
      <c r="J59" s="47">
        <f>SUMIFS(Collection!$J:$J, Collection!$A:$A, $A59, Collection!$B:$B, J$2)</f>
        <v>0</v>
      </c>
      <c r="K59" s="47">
        <f>SUMIFS(Collection!$J:$J, Collection!$A:$A, $A59, Collection!$B:$B, K$2)</f>
        <v>0</v>
      </c>
      <c r="L59" s="47">
        <f>SUMIFS(Collection!$J:$J, Collection!$A:$A, $A59, Collection!$B:$B, L$2)</f>
        <v>0</v>
      </c>
      <c r="M59" s="47">
        <f>SUMIFS(Collection!$J:$J, Collection!$A:$A, $A59, Collection!$B:$B, M$2)</f>
        <v>0</v>
      </c>
      <c r="N59" s="47">
        <f>SUMIFS(Collection!$J:$J, Collection!$A:$A, $A59, Collection!$B:$B, N$2)</f>
        <v>0</v>
      </c>
      <c r="O59" s="47">
        <f>SUMIFS(Collection!$J:$J, Collection!$A:$A, $A59, Collection!$B:$B, O$2)</f>
        <v>0</v>
      </c>
      <c r="P59" s="47">
        <f>SUMIFS(Collection!$J:$J, Collection!$A:$A, $A59, Collection!$B:$B, P$2)</f>
        <v>0</v>
      </c>
      <c r="Q59" s="47">
        <f>SUMIFS(Collection!$J:$J, Collection!$A:$A, $A59, Collection!$B:$B, Q$2)</f>
        <v>0</v>
      </c>
      <c r="R59" s="47">
        <f>SUMIFS(Collection!$J:$J, Collection!$A:$A, $A59, Collection!$B:$B, R$2)</f>
        <v>0</v>
      </c>
      <c r="S59" s="47">
        <f>SUMIFS(Collection!$J:$J, Collection!$A:$A, $A59, Collection!$B:$B, S$2)</f>
        <v>0</v>
      </c>
      <c r="T59" s="47">
        <f>SUMIFS(Collection!$J:$J, Collection!$A:$A, $A59, Collection!$B:$B, T$2)</f>
        <v>0</v>
      </c>
      <c r="U59" s="47">
        <f>SUMIFS(Collection!$J:$J, Collection!$A:$A, $A59, Collection!$B:$B, U$2)</f>
        <v>0</v>
      </c>
      <c r="V59" s="47">
        <f>SUMIFS(Collection!$J:$J, Collection!$A:$A, $A59, Collection!$B:$B, V$2)</f>
        <v>0</v>
      </c>
      <c r="W59" s="47">
        <f>SUMIFS(Collection!$J:$J, Collection!$A:$A, $A59, Collection!$B:$B, W$2)</f>
        <v>0</v>
      </c>
      <c r="X59" s="47">
        <f>SUMIFS(Collection!$J:$J, Collection!$A:$A, $A59, Collection!$B:$B, X$2)</f>
        <v>0</v>
      </c>
      <c r="Y59" s="47">
        <f>SUMIFS(Collection!$J:$J, Collection!$A:$A, $A59, Collection!$B:$B, Y$2)</f>
        <v>0</v>
      </c>
      <c r="Z59" s="47"/>
      <c r="AA59" s="47">
        <f t="shared" si="0"/>
        <v>0</v>
      </c>
      <c r="AB59" s="47">
        <f t="shared" si="1"/>
        <v>0</v>
      </c>
      <c r="AC59" s="47">
        <f t="shared" si="2"/>
        <v>0</v>
      </c>
      <c r="AD59" s="47">
        <f t="shared" si="3"/>
        <v>416.66666666666669</v>
      </c>
      <c r="AE59" s="47">
        <f t="shared" si="4"/>
        <v>0</v>
      </c>
      <c r="AF59" s="47">
        <f t="shared" si="5"/>
        <v>0</v>
      </c>
      <c r="AG59" s="47">
        <f t="shared" si="6"/>
        <v>0</v>
      </c>
      <c r="AH59" s="283">
        <f t="shared" si="7"/>
        <v>0</v>
      </c>
      <c r="AJ59" s="283">
        <f>SUM($S$4:S59)</f>
        <v>959265</v>
      </c>
      <c r="AK59" s="283">
        <f>AJ59/Resources!$B$10</f>
        <v>79938.75</v>
      </c>
      <c r="AL59" s="283">
        <f>SUM($Y$4:Y59)</f>
        <v>105066.66666666667</v>
      </c>
      <c r="AM59" s="290">
        <f>AL59/Resources!$B$11</f>
        <v>8755.5555555555566</v>
      </c>
      <c r="AN59" s="283">
        <f>SUM($L$4:L59)</f>
        <v>705188.33333333337</v>
      </c>
      <c r="AO59" s="283">
        <f>AN59/Resources!$B$12</f>
        <v>47012.555555555555</v>
      </c>
      <c r="AP59" s="283">
        <f>SUM($R$4:R59)</f>
        <v>939467.77777777775</v>
      </c>
      <c r="AQ59" s="283">
        <f>AP59/Resources!$B$13</f>
        <v>93946.777777777781</v>
      </c>
      <c r="AR59" s="283"/>
      <c r="AS59" s="283"/>
      <c r="AT59" s="283"/>
      <c r="AU59" s="283"/>
      <c r="AV59" s="283"/>
      <c r="AW59" s="283"/>
      <c r="AX59" s="283"/>
      <c r="AY59" s="283"/>
      <c r="AZ59" s="283">
        <f>SUM($I$4:I59,$K$4:K59)</f>
        <v>2115476.666666667</v>
      </c>
      <c r="BA59" s="283">
        <f>AZ59/Resources!$B$6</f>
        <v>66108.645833333343</v>
      </c>
      <c r="BB59" s="283">
        <f>SUM($D$4:D59,$G$4:G59)</f>
        <v>2178386.666666667</v>
      </c>
      <c r="BC59" s="283">
        <f>BB59/Resources!$B$7</f>
        <v>72612.888888888905</v>
      </c>
      <c r="BD59" s="283">
        <f>SUM($C$4:C59,$H$4:H59)</f>
        <v>2373206.6666666665</v>
      </c>
      <c r="BE59" s="295">
        <f>BD59/Resources!$B$8</f>
        <v>91277.179487179485</v>
      </c>
      <c r="BF59" s="283">
        <f>SUM($B$4:B59,$F$4:F59)</f>
        <v>3196483.333333333</v>
      </c>
      <c r="BG59" s="283">
        <f>BF59/Resources!$B$9</f>
        <v>103112.36559139784</v>
      </c>
      <c r="BH59" s="283">
        <f>SUM($X$4:X59,$E$4:E59)</f>
        <v>1180775.5555555557</v>
      </c>
      <c r="BI59" s="283">
        <f>BH59/Resources!$B$2</f>
        <v>49198.981481481489</v>
      </c>
      <c r="BJ59" s="283">
        <f>SUM($V$4:V59,$T$4:T59)</f>
        <v>277708.33333333331</v>
      </c>
      <c r="BK59" s="283">
        <f>BJ59/Resources!$B$3</f>
        <v>10681.089743589742</v>
      </c>
      <c r="BL59" s="283">
        <f>SUM($W$4:W59, $M$4:M59)</f>
        <v>439633.33333333337</v>
      </c>
      <c r="BM59" s="283">
        <f>BL59/Resources!$B$4</f>
        <v>15701.190476190477</v>
      </c>
      <c r="BN59" s="283">
        <f>SUM($P$4:P59,$Q$4:Q59)</f>
        <v>1116063.3333333333</v>
      </c>
      <c r="BO59" s="292">
        <f>BN59/Resources!$B$5</f>
        <v>41335.679012345674</v>
      </c>
    </row>
    <row r="60" spans="1:67" ht="19" x14ac:dyDescent="0.25">
      <c r="A60" s="34">
        <f t="shared" si="8"/>
        <v>42922</v>
      </c>
      <c r="B60" s="47">
        <f>SUMIFS(Collection!$J:$J, Collection!$A:$A, $A60, Collection!$B:$B, B$2)</f>
        <v>0</v>
      </c>
      <c r="C60" s="47">
        <f>SUMIFS(Collection!$J:$J, Collection!$A:$A, $A60, Collection!$B:$B, C$2)</f>
        <v>0</v>
      </c>
      <c r="D60" s="47">
        <f>SUMIFS(Collection!$J:$J, Collection!$A:$A, $A60, Collection!$B:$B, D$2)</f>
        <v>0</v>
      </c>
      <c r="E60" s="47">
        <f>SUMIFS(Collection!$J:$J, Collection!$A:$A, $A60, Collection!$B:$B, E$2)</f>
        <v>0</v>
      </c>
      <c r="F60" s="47">
        <f>SUMIFS(Collection!$J:$J, Collection!$A:$A, $A60, Collection!$B:$B, F$2)</f>
        <v>266666.66666666663</v>
      </c>
      <c r="G60" s="47">
        <f>SUMIFS(Collection!$J:$J, Collection!$A:$A, $A60, Collection!$B:$B, G$2)</f>
        <v>0</v>
      </c>
      <c r="H60" s="47">
        <f>SUMIFS(Collection!$J:$J, Collection!$A:$A, $A60, Collection!$B:$B, H$2)</f>
        <v>0</v>
      </c>
      <c r="I60" s="47">
        <f>SUMIFS(Collection!$J:$J, Collection!$A:$A, $A60, Collection!$B:$B, I$2)</f>
        <v>0</v>
      </c>
      <c r="J60" s="47">
        <f>SUMIFS(Collection!$J:$J, Collection!$A:$A, $A60, Collection!$B:$B, J$2)</f>
        <v>0</v>
      </c>
      <c r="K60" s="47">
        <f>SUMIFS(Collection!$J:$J, Collection!$A:$A, $A60, Collection!$B:$B, K$2)</f>
        <v>0</v>
      </c>
      <c r="L60" s="47">
        <f>SUMIFS(Collection!$J:$J, Collection!$A:$A, $A60, Collection!$B:$B, L$2)</f>
        <v>0</v>
      </c>
      <c r="M60" s="47">
        <f>SUMIFS(Collection!$J:$J, Collection!$A:$A, $A60, Collection!$B:$B, M$2)</f>
        <v>0</v>
      </c>
      <c r="N60" s="47">
        <f>SUMIFS(Collection!$J:$J, Collection!$A:$A, $A60, Collection!$B:$B, N$2)</f>
        <v>0</v>
      </c>
      <c r="O60" s="47">
        <f>SUMIFS(Collection!$J:$J, Collection!$A:$A, $A60, Collection!$B:$B, O$2)</f>
        <v>0</v>
      </c>
      <c r="P60" s="47">
        <f>SUMIFS(Collection!$J:$J, Collection!$A:$A, $A60, Collection!$B:$B, P$2)</f>
        <v>0</v>
      </c>
      <c r="Q60" s="47">
        <f>SUMIFS(Collection!$J:$J, Collection!$A:$A, $A60, Collection!$B:$B, Q$2)</f>
        <v>0</v>
      </c>
      <c r="R60" s="47">
        <f>SUMIFS(Collection!$J:$J, Collection!$A:$A, $A60, Collection!$B:$B, R$2)</f>
        <v>0</v>
      </c>
      <c r="S60" s="47">
        <f>SUMIFS(Collection!$J:$J, Collection!$A:$A, $A60, Collection!$B:$B, S$2)</f>
        <v>0</v>
      </c>
      <c r="T60" s="47">
        <f>SUMIFS(Collection!$J:$J, Collection!$A:$A, $A60, Collection!$B:$B, T$2)</f>
        <v>0</v>
      </c>
      <c r="U60" s="47">
        <f>SUMIFS(Collection!$J:$J, Collection!$A:$A, $A60, Collection!$B:$B, U$2)</f>
        <v>0</v>
      </c>
      <c r="V60" s="47">
        <f>SUMIFS(Collection!$J:$J, Collection!$A:$A, $A60, Collection!$B:$B, V$2)</f>
        <v>0</v>
      </c>
      <c r="W60" s="47">
        <f>SUMIFS(Collection!$J:$J, Collection!$A:$A, $A60, Collection!$B:$B, W$2)</f>
        <v>0</v>
      </c>
      <c r="X60" s="47">
        <f>SUMIFS(Collection!$J:$J, Collection!$A:$A, $A60, Collection!$B:$B, X$2)</f>
        <v>0</v>
      </c>
      <c r="Y60" s="47">
        <f>SUMIFS(Collection!$J:$J, Collection!$A:$A, $A60, Collection!$B:$B, Y$2)</f>
        <v>66.666666666666657</v>
      </c>
      <c r="Z60" s="47"/>
      <c r="AA60" s="47">
        <f t="shared" si="0"/>
        <v>0</v>
      </c>
      <c r="AB60" s="47">
        <f t="shared" si="1"/>
        <v>0</v>
      </c>
      <c r="AC60" s="47">
        <f t="shared" si="2"/>
        <v>0</v>
      </c>
      <c r="AD60" s="47">
        <f t="shared" si="3"/>
        <v>266666.66666666663</v>
      </c>
      <c r="AE60" s="47">
        <f t="shared" si="4"/>
        <v>0</v>
      </c>
      <c r="AF60" s="47">
        <f t="shared" si="5"/>
        <v>0</v>
      </c>
      <c r="AG60" s="47">
        <f t="shared" si="6"/>
        <v>0</v>
      </c>
      <c r="AH60" s="283">
        <f t="shared" si="7"/>
        <v>0</v>
      </c>
      <c r="AJ60" s="283"/>
      <c r="AK60" s="283"/>
      <c r="AL60" s="283"/>
      <c r="AM60" s="283"/>
      <c r="AN60" s="283"/>
      <c r="AO60" s="283"/>
      <c r="AP60" s="283"/>
      <c r="AQ60" s="283"/>
      <c r="AR60" s="283"/>
      <c r="AS60" s="283"/>
      <c r="AT60" s="283"/>
      <c r="AU60" s="283"/>
      <c r="AV60" s="283"/>
      <c r="AW60" s="283"/>
      <c r="AX60" s="283"/>
      <c r="AY60" s="283"/>
      <c r="AZ60" s="283">
        <f>SUM($I$4:I60,$K$4:K60)</f>
        <v>2115476.666666667</v>
      </c>
      <c r="BA60" s="283">
        <f>AZ60/Resources!$B$6</f>
        <v>66108.645833333343</v>
      </c>
      <c r="BB60" s="283">
        <f>SUM($D$4:D60,$G$4:G60)</f>
        <v>2178386.666666667</v>
      </c>
      <c r="BC60" s="283">
        <f>BB60/Resources!$B$7</f>
        <v>72612.888888888905</v>
      </c>
      <c r="BD60" s="283">
        <f>SUM($C$4:C60,$H$4:H60)</f>
        <v>2373206.6666666665</v>
      </c>
      <c r="BE60" s="295">
        <f>BD60/Resources!$B$8</f>
        <v>91277.179487179485</v>
      </c>
      <c r="BF60" s="283">
        <f>SUM($B$4:B60,$F$4:F60)</f>
        <v>3463149.9999999995</v>
      </c>
      <c r="BG60" s="283">
        <f>BF60/Resources!$B$9</f>
        <v>111714.51612903224</v>
      </c>
      <c r="BH60" s="283">
        <f>SUM($X$4:X60,$E$4:E60)</f>
        <v>1180775.5555555557</v>
      </c>
      <c r="BI60" s="283">
        <f>BH60/Resources!$B$2</f>
        <v>49198.981481481489</v>
      </c>
      <c r="BJ60" s="283">
        <f>SUM($V$4:V60,$T$4:T60)</f>
        <v>277708.33333333331</v>
      </c>
      <c r="BK60" s="283">
        <f>BJ60/Resources!$B$3</f>
        <v>10681.089743589742</v>
      </c>
      <c r="BL60" s="283">
        <f>SUM($W$4:W60, $M$4:M60)</f>
        <v>439633.33333333337</v>
      </c>
      <c r="BM60" s="283">
        <f>BL60/Resources!$B$4</f>
        <v>15701.190476190477</v>
      </c>
      <c r="BN60" s="283">
        <f>SUM($P$4:P60,$Q$4:Q60)</f>
        <v>1116063.3333333333</v>
      </c>
      <c r="BO60" s="292">
        <f>BN60/Resources!$B$5</f>
        <v>41335.679012345674</v>
      </c>
    </row>
    <row r="61" spans="1:67" ht="19" x14ac:dyDescent="0.25">
      <c r="A61" s="34">
        <f t="shared" si="8"/>
        <v>42923</v>
      </c>
      <c r="B61" s="47">
        <f>SUMIFS(Collection!$J:$J, Collection!$A:$A, $A61, Collection!$B:$B, B$2)</f>
        <v>0</v>
      </c>
      <c r="C61" s="47">
        <f>SUMIFS(Collection!$J:$J, Collection!$A:$A, $A61, Collection!$B:$B, C$2)</f>
        <v>0</v>
      </c>
      <c r="D61" s="47">
        <f>SUMIFS(Collection!$J:$J, Collection!$A:$A, $A61, Collection!$B:$B, D$2)</f>
        <v>0</v>
      </c>
      <c r="E61" s="47">
        <f>SUMIFS(Collection!$J:$J, Collection!$A:$A, $A61, Collection!$B:$B, E$2)</f>
        <v>0</v>
      </c>
      <c r="F61" s="47">
        <f>SUMIFS(Collection!$J:$J, Collection!$A:$A, $A61, Collection!$B:$B, F$2)</f>
        <v>0</v>
      </c>
      <c r="G61" s="47">
        <f>SUMIFS(Collection!$J:$J, Collection!$A:$A, $A61, Collection!$B:$B, G$2)</f>
        <v>0</v>
      </c>
      <c r="H61" s="47">
        <f>SUMIFS(Collection!$J:$J, Collection!$A:$A, $A61, Collection!$B:$B, H$2)</f>
        <v>0</v>
      </c>
      <c r="I61" s="47">
        <f>SUMIFS(Collection!$J:$J, Collection!$A:$A, $A61, Collection!$B:$B, I$2)</f>
        <v>0</v>
      </c>
      <c r="J61" s="47">
        <f>SUMIFS(Collection!$J:$J, Collection!$A:$A, $A61, Collection!$B:$B, J$2)</f>
        <v>0</v>
      </c>
      <c r="K61" s="47">
        <f>SUMIFS(Collection!$J:$J, Collection!$A:$A, $A61, Collection!$B:$B, K$2)</f>
        <v>0</v>
      </c>
      <c r="L61" s="47">
        <f>SUMIFS(Collection!$J:$J, Collection!$A:$A, $A61, Collection!$B:$B, L$2)</f>
        <v>0</v>
      </c>
      <c r="M61" s="47">
        <f>SUMIFS(Collection!$J:$J, Collection!$A:$A, $A61, Collection!$B:$B, M$2)</f>
        <v>0</v>
      </c>
      <c r="N61" s="47">
        <f>SUMIFS(Collection!$J:$J, Collection!$A:$A, $A61, Collection!$B:$B, N$2)</f>
        <v>0</v>
      </c>
      <c r="O61" s="47">
        <f>SUMIFS(Collection!$J:$J, Collection!$A:$A, $A61, Collection!$B:$B, O$2)</f>
        <v>0</v>
      </c>
      <c r="P61" s="47">
        <f>SUMIFS(Collection!$J:$J, Collection!$A:$A, $A61, Collection!$B:$B, P$2)</f>
        <v>0</v>
      </c>
      <c r="Q61" s="47">
        <f>SUMIFS(Collection!$J:$J, Collection!$A:$A, $A61, Collection!$B:$B, Q$2)</f>
        <v>0</v>
      </c>
      <c r="R61" s="47">
        <f>SUMIFS(Collection!$J:$J, Collection!$A:$A, $A61, Collection!$B:$B, R$2)</f>
        <v>0</v>
      </c>
      <c r="S61" s="47">
        <f>SUMIFS(Collection!$J:$J, Collection!$A:$A, $A61, Collection!$B:$B, S$2)</f>
        <v>0</v>
      </c>
      <c r="T61" s="47">
        <f>SUMIFS(Collection!$J:$J, Collection!$A:$A, $A61, Collection!$B:$B, T$2)</f>
        <v>0</v>
      </c>
      <c r="U61" s="47">
        <f>SUMIFS(Collection!$J:$J, Collection!$A:$A, $A61, Collection!$B:$B, U$2)</f>
        <v>0</v>
      </c>
      <c r="V61" s="47">
        <f>SUMIFS(Collection!$J:$J, Collection!$A:$A, $A61, Collection!$B:$B, V$2)</f>
        <v>0</v>
      </c>
      <c r="W61" s="47">
        <f>SUMIFS(Collection!$J:$J, Collection!$A:$A, $A61, Collection!$B:$B, W$2)</f>
        <v>0</v>
      </c>
      <c r="X61" s="47">
        <f>SUMIFS(Collection!$J:$J, Collection!$A:$A, $A61, Collection!$B:$B, X$2)</f>
        <v>0</v>
      </c>
      <c r="Y61" s="47">
        <f>SUMIFS(Collection!$J:$J, Collection!$A:$A, $A61, Collection!$B:$B, Y$2)</f>
        <v>0</v>
      </c>
      <c r="Z61" s="47"/>
      <c r="AA61" s="47">
        <f t="shared" si="0"/>
        <v>0</v>
      </c>
      <c r="AB61" s="47">
        <f t="shared" si="1"/>
        <v>0</v>
      </c>
      <c r="AC61" s="47">
        <f t="shared" si="2"/>
        <v>0</v>
      </c>
      <c r="AD61" s="47">
        <f t="shared" si="3"/>
        <v>0</v>
      </c>
      <c r="AE61" s="47">
        <f t="shared" si="4"/>
        <v>0</v>
      </c>
      <c r="AF61" s="47">
        <f t="shared" si="5"/>
        <v>0</v>
      </c>
      <c r="AG61" s="47">
        <f t="shared" si="6"/>
        <v>0</v>
      </c>
      <c r="AH61" s="283">
        <f t="shared" si="7"/>
        <v>0</v>
      </c>
      <c r="AJ61" s="283"/>
      <c r="AK61" s="283"/>
      <c r="AL61" s="283"/>
      <c r="AM61" s="283"/>
      <c r="AN61" s="283"/>
      <c r="AO61" s="283"/>
      <c r="AP61" s="283"/>
      <c r="AQ61" s="283"/>
      <c r="AR61" s="283"/>
      <c r="AS61" s="283"/>
      <c r="AT61" s="283"/>
      <c r="AU61" s="283"/>
      <c r="AV61" s="283"/>
      <c r="AW61" s="283"/>
      <c r="AX61" s="283"/>
      <c r="AY61" s="283"/>
      <c r="AZ61" s="283">
        <f>SUM($I$4:I61,$K$4:K61)</f>
        <v>2115476.666666667</v>
      </c>
      <c r="BA61" s="283">
        <f>AZ61/Resources!$B$6</f>
        <v>66108.645833333343</v>
      </c>
      <c r="BB61" s="283">
        <f>SUM($D$4:D61,$G$4:G61)</f>
        <v>2178386.666666667</v>
      </c>
      <c r="BC61" s="283">
        <f>BB61/Resources!$B$7</f>
        <v>72612.888888888905</v>
      </c>
      <c r="BD61" s="283">
        <f>SUM($C$4:C61,$H$4:H61)</f>
        <v>2373206.6666666665</v>
      </c>
      <c r="BE61" s="295">
        <f>BD61/Resources!$B$8</f>
        <v>91277.179487179485</v>
      </c>
      <c r="BF61" s="283">
        <f>SUM($B$4:B61,$F$4:F61)</f>
        <v>3463149.9999999995</v>
      </c>
      <c r="BG61" s="283">
        <f>BF61/Resources!$B$9</f>
        <v>111714.51612903224</v>
      </c>
      <c r="BH61" s="283">
        <f>SUM($X$4:X61,$E$4:E61)</f>
        <v>1180775.5555555557</v>
      </c>
      <c r="BI61" s="283">
        <f>BH61/Resources!$B$2</f>
        <v>49198.981481481489</v>
      </c>
      <c r="BJ61" s="283">
        <f>SUM($V$4:V61,$T$4:T61)</f>
        <v>277708.33333333331</v>
      </c>
      <c r="BK61" s="283">
        <f>BJ61/Resources!$B$3</f>
        <v>10681.089743589742</v>
      </c>
      <c r="BL61" s="283">
        <f>SUM($W$4:W61, $M$4:M61)</f>
        <v>439633.33333333337</v>
      </c>
      <c r="BM61" s="283">
        <f>BL61/Resources!$B$4</f>
        <v>15701.190476190477</v>
      </c>
      <c r="BN61" s="283">
        <f>SUM($P$4:P61,$Q$4:Q61)</f>
        <v>1116063.3333333333</v>
      </c>
      <c r="BO61" s="292">
        <f>BN61/Resources!$B$5</f>
        <v>41335.679012345674</v>
      </c>
    </row>
    <row r="62" spans="1:67" ht="19" x14ac:dyDescent="0.25">
      <c r="A62" s="34">
        <f t="shared" si="8"/>
        <v>42924</v>
      </c>
      <c r="B62" s="47">
        <f>SUMIFS(Collection!$J:$J, Collection!$A:$A, $A62, Collection!$B:$B, B$2)</f>
        <v>0</v>
      </c>
      <c r="C62" s="47">
        <f>SUMIFS(Collection!$J:$J, Collection!$A:$A, $A62, Collection!$B:$B, C$2)</f>
        <v>0</v>
      </c>
      <c r="D62" s="47">
        <f>SUMIFS(Collection!$J:$J, Collection!$A:$A, $A62, Collection!$B:$B, D$2)</f>
        <v>0</v>
      </c>
      <c r="E62" s="47">
        <f>SUMIFS(Collection!$J:$J, Collection!$A:$A, $A62, Collection!$B:$B, E$2)</f>
        <v>0</v>
      </c>
      <c r="F62" s="47">
        <f>SUMIFS(Collection!$J:$J, Collection!$A:$A, $A62, Collection!$B:$B, F$2)</f>
        <v>0</v>
      </c>
      <c r="G62" s="47">
        <f>SUMIFS(Collection!$J:$J, Collection!$A:$A, $A62, Collection!$B:$B, G$2)</f>
        <v>0</v>
      </c>
      <c r="H62" s="47">
        <f>SUMIFS(Collection!$J:$J, Collection!$A:$A, $A62, Collection!$B:$B, H$2)</f>
        <v>0</v>
      </c>
      <c r="I62" s="47">
        <f>SUMIFS(Collection!$J:$J, Collection!$A:$A, $A62, Collection!$B:$B, I$2)</f>
        <v>0</v>
      </c>
      <c r="J62" s="47">
        <f>SUMIFS(Collection!$J:$J, Collection!$A:$A, $A62, Collection!$B:$B, J$2)</f>
        <v>0</v>
      </c>
      <c r="K62" s="47">
        <f>SUMIFS(Collection!$J:$J, Collection!$A:$A, $A62, Collection!$B:$B, K$2)</f>
        <v>0</v>
      </c>
      <c r="L62" s="47">
        <f>SUMIFS(Collection!$J:$J, Collection!$A:$A, $A62, Collection!$B:$B, L$2)</f>
        <v>0</v>
      </c>
      <c r="M62" s="47">
        <f>SUMIFS(Collection!$J:$J, Collection!$A:$A, $A62, Collection!$B:$B, M$2)</f>
        <v>0</v>
      </c>
      <c r="N62" s="47">
        <f>SUMIFS(Collection!$J:$J, Collection!$A:$A, $A62, Collection!$B:$B, N$2)</f>
        <v>0</v>
      </c>
      <c r="O62" s="47">
        <f>SUMIFS(Collection!$J:$J, Collection!$A:$A, $A62, Collection!$B:$B, O$2)</f>
        <v>0</v>
      </c>
      <c r="P62" s="47">
        <f>SUMIFS(Collection!$J:$J, Collection!$A:$A, $A62, Collection!$B:$B, P$2)</f>
        <v>0</v>
      </c>
      <c r="Q62" s="47">
        <f>SUMIFS(Collection!$J:$J, Collection!$A:$A, $A62, Collection!$B:$B, Q$2)</f>
        <v>0</v>
      </c>
      <c r="R62" s="47">
        <f>SUMIFS(Collection!$J:$J, Collection!$A:$A, $A62, Collection!$B:$B, R$2)</f>
        <v>0</v>
      </c>
      <c r="S62" s="47">
        <f>SUMIFS(Collection!$J:$J, Collection!$A:$A, $A62, Collection!$B:$B, S$2)</f>
        <v>0</v>
      </c>
      <c r="T62" s="47">
        <f>SUMIFS(Collection!$J:$J, Collection!$A:$A, $A62, Collection!$B:$B, T$2)</f>
        <v>0</v>
      </c>
      <c r="U62" s="47">
        <f>SUMIFS(Collection!$J:$J, Collection!$A:$A, $A62, Collection!$B:$B, U$2)</f>
        <v>0</v>
      </c>
      <c r="V62" s="47">
        <f>SUMIFS(Collection!$J:$J, Collection!$A:$A, $A62, Collection!$B:$B, V$2)</f>
        <v>0</v>
      </c>
      <c r="W62" s="47">
        <f>SUMIFS(Collection!$J:$J, Collection!$A:$A, $A62, Collection!$B:$B, W$2)</f>
        <v>0</v>
      </c>
      <c r="X62" s="47">
        <f>SUMIFS(Collection!$J:$J, Collection!$A:$A, $A62, Collection!$B:$B, X$2)</f>
        <v>0</v>
      </c>
      <c r="Y62" s="47">
        <f>SUMIFS(Collection!$J:$J, Collection!$A:$A, $A62, Collection!$B:$B, Y$2)</f>
        <v>0</v>
      </c>
      <c r="Z62" s="47"/>
      <c r="AA62" s="47">
        <f t="shared" si="0"/>
        <v>0</v>
      </c>
      <c r="AB62" s="47">
        <f t="shared" si="1"/>
        <v>0</v>
      </c>
      <c r="AC62" s="47">
        <f t="shared" si="2"/>
        <v>0</v>
      </c>
      <c r="AD62" s="47">
        <f t="shared" si="3"/>
        <v>0</v>
      </c>
      <c r="AE62" s="47">
        <f t="shared" si="4"/>
        <v>0</v>
      </c>
      <c r="AF62" s="47">
        <f t="shared" si="5"/>
        <v>0</v>
      </c>
      <c r="AG62" s="47">
        <f t="shared" si="6"/>
        <v>0</v>
      </c>
      <c r="AH62" s="283">
        <f t="shared" si="7"/>
        <v>0</v>
      </c>
      <c r="AJ62" s="283"/>
      <c r="AK62" s="283"/>
      <c r="AL62" s="283"/>
      <c r="AM62" s="283"/>
      <c r="AN62" s="283"/>
      <c r="AO62" s="283"/>
      <c r="AP62" s="283"/>
      <c r="AQ62" s="283"/>
      <c r="AR62" s="283"/>
      <c r="AS62" s="283"/>
      <c r="AT62" s="283"/>
      <c r="AU62" s="283"/>
      <c r="AV62" s="283"/>
      <c r="AW62" s="283"/>
      <c r="AX62" s="283"/>
      <c r="AY62" s="283"/>
      <c r="AZ62" s="283">
        <f>SUM($I$4:I62,$K$4:K62)</f>
        <v>2115476.666666667</v>
      </c>
      <c r="BA62" s="283">
        <f>AZ62/Resources!$B$6</f>
        <v>66108.645833333343</v>
      </c>
      <c r="BB62" s="283">
        <f>SUM($D$4:D62,$G$4:G62)</f>
        <v>2178386.666666667</v>
      </c>
      <c r="BC62" s="283">
        <f>BB62/Resources!$B$7</f>
        <v>72612.888888888905</v>
      </c>
      <c r="BD62" s="283">
        <f>SUM($C$4:C62,$H$4:H62)</f>
        <v>2373206.6666666665</v>
      </c>
      <c r="BE62" s="295">
        <f>BD62/Resources!$B$8</f>
        <v>91277.179487179485</v>
      </c>
      <c r="BF62" s="283">
        <f>SUM($B$4:B62,$F$4:F62)</f>
        <v>3463149.9999999995</v>
      </c>
      <c r="BG62" s="283">
        <f>BF62/Resources!$B$9</f>
        <v>111714.51612903224</v>
      </c>
      <c r="BH62" s="283">
        <f>SUM($X$4:X62,$E$4:E62)</f>
        <v>1180775.5555555557</v>
      </c>
      <c r="BI62" s="283">
        <f>BH62/Resources!$B$2</f>
        <v>49198.981481481489</v>
      </c>
      <c r="BJ62" s="283">
        <f>SUM($V$4:V62,$T$4:T62)</f>
        <v>277708.33333333331</v>
      </c>
      <c r="BK62" s="283">
        <f>BJ62/Resources!$B$3</f>
        <v>10681.089743589742</v>
      </c>
      <c r="BL62" s="283">
        <f>SUM($W$4:W62, $M$4:M62)</f>
        <v>439633.33333333337</v>
      </c>
      <c r="BM62" s="283">
        <f>BL62/Resources!$B$4</f>
        <v>15701.190476190477</v>
      </c>
      <c r="BN62" s="283">
        <f>SUM($P$4:P62,$Q$4:Q62)</f>
        <v>1116063.3333333333</v>
      </c>
      <c r="BO62" s="292">
        <f>BN62/Resources!$B$5</f>
        <v>41335.679012345674</v>
      </c>
    </row>
    <row r="63" spans="1:67" ht="19" x14ac:dyDescent="0.25">
      <c r="A63" s="34">
        <f t="shared" si="8"/>
        <v>42925</v>
      </c>
      <c r="B63" s="47">
        <f>SUMIFS(Collection!$J:$J, Collection!$A:$A, $A63, Collection!$B:$B, B$2)</f>
        <v>0</v>
      </c>
      <c r="C63" s="47">
        <f>SUMIFS(Collection!$J:$J, Collection!$A:$A, $A63, Collection!$B:$B, C$2)</f>
        <v>0</v>
      </c>
      <c r="D63" s="47">
        <f>SUMIFS(Collection!$J:$J, Collection!$A:$A, $A63, Collection!$B:$B, D$2)</f>
        <v>0</v>
      </c>
      <c r="E63" s="47">
        <f>SUMIFS(Collection!$J:$J, Collection!$A:$A, $A63, Collection!$B:$B, E$2)</f>
        <v>0</v>
      </c>
      <c r="F63" s="47">
        <f>SUMIFS(Collection!$J:$J, Collection!$A:$A, $A63, Collection!$B:$B, F$2)</f>
        <v>0</v>
      </c>
      <c r="G63" s="47">
        <f>SUMIFS(Collection!$J:$J, Collection!$A:$A, $A63, Collection!$B:$B, G$2)</f>
        <v>0</v>
      </c>
      <c r="H63" s="47">
        <f>SUMIFS(Collection!$J:$J, Collection!$A:$A, $A63, Collection!$B:$B, H$2)</f>
        <v>0</v>
      </c>
      <c r="I63" s="47">
        <f>SUMIFS(Collection!$J:$J, Collection!$A:$A, $A63, Collection!$B:$B, I$2)</f>
        <v>0</v>
      </c>
      <c r="J63" s="47">
        <f>SUMIFS(Collection!$J:$J, Collection!$A:$A, $A63, Collection!$B:$B, J$2)</f>
        <v>0</v>
      </c>
      <c r="K63" s="47">
        <f>SUMIFS(Collection!$J:$J, Collection!$A:$A, $A63, Collection!$B:$B, K$2)</f>
        <v>0</v>
      </c>
      <c r="L63" s="47">
        <f>SUMIFS(Collection!$J:$J, Collection!$A:$A, $A63, Collection!$B:$B, L$2)</f>
        <v>0</v>
      </c>
      <c r="M63" s="47">
        <f>SUMIFS(Collection!$J:$J, Collection!$A:$A, $A63, Collection!$B:$B, M$2)</f>
        <v>0</v>
      </c>
      <c r="N63" s="47">
        <f>SUMIFS(Collection!$J:$J, Collection!$A:$A, $A63, Collection!$B:$B, N$2)</f>
        <v>0</v>
      </c>
      <c r="O63" s="47">
        <f>SUMIFS(Collection!$J:$J, Collection!$A:$A, $A63, Collection!$B:$B, O$2)</f>
        <v>0</v>
      </c>
      <c r="P63" s="47">
        <f>SUMIFS(Collection!$J:$J, Collection!$A:$A, $A63, Collection!$B:$B, P$2)</f>
        <v>0</v>
      </c>
      <c r="Q63" s="47">
        <f>SUMIFS(Collection!$J:$J, Collection!$A:$A, $A63, Collection!$B:$B, Q$2)</f>
        <v>0</v>
      </c>
      <c r="R63" s="47">
        <f>SUMIFS(Collection!$J:$J, Collection!$A:$A, $A63, Collection!$B:$B, R$2)</f>
        <v>0</v>
      </c>
      <c r="S63" s="47">
        <f>SUMIFS(Collection!$J:$J, Collection!$A:$A, $A63, Collection!$B:$B, S$2)</f>
        <v>0</v>
      </c>
      <c r="T63" s="47">
        <f>SUMIFS(Collection!$J:$J, Collection!$A:$A, $A63, Collection!$B:$B, T$2)</f>
        <v>0</v>
      </c>
      <c r="U63" s="47">
        <f>SUMIFS(Collection!$J:$J, Collection!$A:$A, $A63, Collection!$B:$B, U$2)</f>
        <v>0</v>
      </c>
      <c r="V63" s="47">
        <f>SUMIFS(Collection!$J:$J, Collection!$A:$A, $A63, Collection!$B:$B, V$2)</f>
        <v>0</v>
      </c>
      <c r="W63" s="47">
        <f>SUMIFS(Collection!$J:$J, Collection!$A:$A, $A63, Collection!$B:$B, W$2)</f>
        <v>0</v>
      </c>
      <c r="X63" s="47">
        <f>SUMIFS(Collection!$J:$J, Collection!$A:$A, $A63, Collection!$B:$B, X$2)</f>
        <v>0</v>
      </c>
      <c r="Y63" s="47">
        <f>SUMIFS(Collection!$J:$J, Collection!$A:$A, $A63, Collection!$B:$B, Y$2)</f>
        <v>0</v>
      </c>
      <c r="Z63" s="47"/>
      <c r="AA63" s="47">
        <f t="shared" si="0"/>
        <v>0</v>
      </c>
      <c r="AB63" s="47">
        <f t="shared" si="1"/>
        <v>0</v>
      </c>
      <c r="AC63" s="47">
        <f t="shared" si="2"/>
        <v>0</v>
      </c>
      <c r="AD63" s="47">
        <f t="shared" si="3"/>
        <v>0</v>
      </c>
      <c r="AE63" s="47">
        <f t="shared" si="4"/>
        <v>0</v>
      </c>
      <c r="AF63" s="47">
        <f t="shared" si="5"/>
        <v>0</v>
      </c>
      <c r="AG63" s="47">
        <f t="shared" si="6"/>
        <v>0</v>
      </c>
      <c r="AH63" s="283">
        <f t="shared" si="7"/>
        <v>0</v>
      </c>
      <c r="AJ63" s="283"/>
      <c r="AK63" s="283"/>
      <c r="AL63" s="283"/>
      <c r="AM63" s="283"/>
      <c r="AN63" s="283"/>
      <c r="AO63" s="283"/>
      <c r="AP63" s="283"/>
      <c r="AQ63" s="283"/>
      <c r="AR63" s="283"/>
      <c r="AS63" s="283"/>
      <c r="AT63" s="283"/>
      <c r="AU63" s="283"/>
      <c r="AV63" s="283"/>
      <c r="AW63" s="283"/>
      <c r="AX63" s="283"/>
      <c r="AY63" s="283"/>
      <c r="AZ63" s="283">
        <f>SUM($I$4:I63,$K$4:K63)</f>
        <v>2115476.666666667</v>
      </c>
      <c r="BA63" s="283">
        <f>AZ63/Resources!$B$6</f>
        <v>66108.645833333343</v>
      </c>
      <c r="BB63" s="283">
        <f>SUM($D$4:D63,$G$4:G63)</f>
        <v>2178386.666666667</v>
      </c>
      <c r="BC63" s="283">
        <f>BB63/Resources!$B$7</f>
        <v>72612.888888888905</v>
      </c>
      <c r="BD63" s="283">
        <f>SUM($C$4:C63,$H$4:H63)</f>
        <v>2373206.6666666665</v>
      </c>
      <c r="BE63" s="295">
        <f>BD63/Resources!$B$8</f>
        <v>91277.179487179485</v>
      </c>
      <c r="BF63" s="283">
        <f>SUM($B$4:B63,$F$4:F63)</f>
        <v>3463149.9999999995</v>
      </c>
      <c r="BG63" s="283">
        <f>BF63/Resources!$B$9</f>
        <v>111714.51612903224</v>
      </c>
      <c r="BH63" s="283">
        <f>SUM($X$4:X63,$E$4:E63)</f>
        <v>1180775.5555555557</v>
      </c>
      <c r="BI63" s="283">
        <f>BH63/Resources!$B$2</f>
        <v>49198.981481481489</v>
      </c>
      <c r="BJ63" s="283">
        <f>SUM($V$4:V63,$T$4:T63)</f>
        <v>277708.33333333331</v>
      </c>
      <c r="BK63" s="283">
        <f>BJ63/Resources!$B$3</f>
        <v>10681.089743589742</v>
      </c>
      <c r="BL63" s="283">
        <f>SUM($W$4:W63, $M$4:M63)</f>
        <v>439633.33333333337</v>
      </c>
      <c r="BM63" s="283">
        <f>BL63/Resources!$B$4</f>
        <v>15701.190476190477</v>
      </c>
      <c r="BN63" s="283">
        <f>SUM($P$4:P63,$Q$4:Q63)</f>
        <v>1116063.3333333333</v>
      </c>
      <c r="BO63" s="292">
        <f>BN63/Resources!$B$5</f>
        <v>41335.679012345674</v>
      </c>
    </row>
    <row r="64" spans="1:67" ht="19" x14ac:dyDescent="0.25">
      <c r="A64" s="34">
        <f t="shared" si="8"/>
        <v>42926</v>
      </c>
      <c r="B64" s="47">
        <f>SUMIFS(Collection!$J:$J, Collection!$A:$A, $A64, Collection!$B:$B, B$2)</f>
        <v>200</v>
      </c>
      <c r="C64" s="47">
        <f>SUMIFS(Collection!$J:$J, Collection!$A:$A, $A64, Collection!$B:$B, C$2)</f>
        <v>0</v>
      </c>
      <c r="D64" s="47">
        <f>SUMIFS(Collection!$J:$J, Collection!$A:$A, $A64, Collection!$B:$B, D$2)</f>
        <v>0</v>
      </c>
      <c r="E64" s="47">
        <f>SUMIFS(Collection!$J:$J, Collection!$A:$A, $A64, Collection!$B:$B, E$2)</f>
        <v>302933.33333333337</v>
      </c>
      <c r="F64" s="47">
        <f>SUMIFS(Collection!$J:$J, Collection!$A:$A, $A64, Collection!$B:$B, F$2)</f>
        <v>0</v>
      </c>
      <c r="G64" s="47">
        <f>SUMIFS(Collection!$J:$J, Collection!$A:$A, $A64, Collection!$B:$B, G$2)</f>
        <v>0</v>
      </c>
      <c r="H64" s="47">
        <f>SUMIFS(Collection!$J:$J, Collection!$A:$A, $A64, Collection!$B:$B, H$2)</f>
        <v>0</v>
      </c>
      <c r="I64" s="47">
        <f>SUMIFS(Collection!$J:$J, Collection!$A:$A, $A64, Collection!$B:$B, I$2)</f>
        <v>0</v>
      </c>
      <c r="J64" s="47">
        <f>SUMIFS(Collection!$J:$J, Collection!$A:$A, $A64, Collection!$B:$B, J$2)</f>
        <v>0</v>
      </c>
      <c r="K64" s="47">
        <f>SUMIFS(Collection!$J:$J, Collection!$A:$A, $A64, Collection!$B:$B, K$2)</f>
        <v>0</v>
      </c>
      <c r="L64" s="47">
        <f>SUMIFS(Collection!$J:$J, Collection!$A:$A, $A64, Collection!$B:$B, L$2)</f>
        <v>0</v>
      </c>
      <c r="M64" s="47">
        <f>SUMIFS(Collection!$J:$J, Collection!$A:$A, $A64, Collection!$B:$B, M$2)</f>
        <v>208.33333333333334</v>
      </c>
      <c r="N64" s="47">
        <f>SUMIFS(Collection!$J:$J, Collection!$A:$A, $A64, Collection!$B:$B, N$2)</f>
        <v>0</v>
      </c>
      <c r="O64" s="47">
        <f>SUMIFS(Collection!$J:$J, Collection!$A:$A, $A64, Collection!$B:$B, O$2)</f>
        <v>0</v>
      </c>
      <c r="P64" s="47">
        <f>SUMIFS(Collection!$J:$J, Collection!$A:$A, $A64, Collection!$B:$B, P$2)</f>
        <v>0</v>
      </c>
      <c r="Q64" s="47">
        <f>SUMIFS(Collection!$J:$J, Collection!$A:$A, $A64, Collection!$B:$B, Q$2)</f>
        <v>0</v>
      </c>
      <c r="R64" s="47">
        <f>SUMIFS(Collection!$J:$J, Collection!$A:$A, $A64, Collection!$B:$B, R$2)</f>
        <v>0</v>
      </c>
      <c r="S64" s="47">
        <f>SUMIFS(Collection!$J:$J, Collection!$A:$A, $A64, Collection!$B:$B, S$2)</f>
        <v>0</v>
      </c>
      <c r="T64" s="47">
        <f>SUMIFS(Collection!$J:$J, Collection!$A:$A, $A64, Collection!$B:$B, T$2)</f>
        <v>0</v>
      </c>
      <c r="U64" s="47">
        <f>SUMIFS(Collection!$J:$J, Collection!$A:$A, $A64, Collection!$B:$B, U$2)</f>
        <v>0</v>
      </c>
      <c r="V64" s="47">
        <f>SUMIFS(Collection!$J:$J, Collection!$A:$A, $A64, Collection!$B:$B, V$2)</f>
        <v>0</v>
      </c>
      <c r="W64" s="47">
        <f>SUMIFS(Collection!$J:$J, Collection!$A:$A, $A64, Collection!$B:$B, W$2)</f>
        <v>0</v>
      </c>
      <c r="X64" s="47">
        <f>SUMIFS(Collection!$J:$J, Collection!$A:$A, $A64, Collection!$B:$B, X$2)</f>
        <v>0</v>
      </c>
      <c r="Y64" s="47">
        <f>SUMIFS(Collection!$J:$J, Collection!$A:$A, $A64, Collection!$B:$B, Y$2)</f>
        <v>0</v>
      </c>
      <c r="Z64" s="47"/>
      <c r="AA64" s="47">
        <f t="shared" si="0"/>
        <v>0</v>
      </c>
      <c r="AB64" s="47">
        <f t="shared" si="1"/>
        <v>0</v>
      </c>
      <c r="AC64" s="47">
        <f t="shared" si="2"/>
        <v>0</v>
      </c>
      <c r="AD64" s="47">
        <f t="shared" si="3"/>
        <v>200</v>
      </c>
      <c r="AE64" s="47">
        <f t="shared" si="4"/>
        <v>302933.33333333337</v>
      </c>
      <c r="AF64" s="47">
        <f t="shared" si="5"/>
        <v>0</v>
      </c>
      <c r="AG64" s="47">
        <f t="shared" si="6"/>
        <v>208.33333333333334</v>
      </c>
      <c r="AH64" s="283">
        <f t="shared" si="7"/>
        <v>0</v>
      </c>
      <c r="AJ64" s="283"/>
      <c r="AK64" s="283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3"/>
      <c r="AX64" s="283"/>
      <c r="AY64" s="283"/>
      <c r="AZ64" s="283">
        <f>SUM($I$4:I64,$K$4:K64)</f>
        <v>2115476.666666667</v>
      </c>
      <c r="BA64" s="283">
        <f>AZ64/Resources!$B$6</f>
        <v>66108.645833333343</v>
      </c>
      <c r="BB64" s="283">
        <f>SUM($D$4:D64,$G$4:G64)</f>
        <v>2178386.666666667</v>
      </c>
      <c r="BC64" s="283">
        <f>BB64/Resources!$B$7</f>
        <v>72612.888888888905</v>
      </c>
      <c r="BD64" s="283">
        <f>SUM($C$4:C64,$H$4:H64)</f>
        <v>2373206.6666666665</v>
      </c>
      <c r="BE64" s="295">
        <f>BD64/Resources!$B$8</f>
        <v>91277.179487179485</v>
      </c>
      <c r="BF64" s="283">
        <f>SUM($B$4:B64,$F$4:F64)</f>
        <v>3463349.9999999995</v>
      </c>
      <c r="BG64" s="283">
        <f>BF64/Resources!$B$9</f>
        <v>111720.96774193547</v>
      </c>
      <c r="BH64" s="283">
        <f>SUM($X$4:X64,$E$4:E64)</f>
        <v>1483708.888888889</v>
      </c>
      <c r="BI64" s="283">
        <f>BH64/Resources!$B$2</f>
        <v>61821.203703703708</v>
      </c>
      <c r="BJ64" s="283">
        <f>SUM($V$4:V64,$T$4:T64)</f>
        <v>277708.33333333331</v>
      </c>
      <c r="BK64" s="283">
        <f>BJ64/Resources!$B$3</f>
        <v>10681.089743589742</v>
      </c>
      <c r="BL64" s="283">
        <f>SUM($W$4:W64, $M$4:M64)</f>
        <v>439841.66666666669</v>
      </c>
      <c r="BM64" s="283">
        <f>BL64/Resources!$B$4</f>
        <v>15708.630952380952</v>
      </c>
      <c r="BN64" s="283">
        <f>SUM($P$4:P64,$Q$4:Q64)</f>
        <v>1116063.3333333333</v>
      </c>
      <c r="BO64" s="292">
        <f>BN64/Resources!$B$5</f>
        <v>41335.679012345674</v>
      </c>
    </row>
    <row r="65" spans="1:67" ht="19" x14ac:dyDescent="0.25">
      <c r="A65" s="34">
        <f t="shared" si="8"/>
        <v>42927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283"/>
      <c r="AJ65" s="283"/>
      <c r="AK65" s="283"/>
      <c r="AL65" s="283"/>
      <c r="AM65" s="283"/>
      <c r="AN65" s="283"/>
      <c r="AO65" s="283"/>
      <c r="AP65" s="283"/>
      <c r="AQ65" s="283"/>
      <c r="AR65" s="283"/>
      <c r="AS65" s="283"/>
      <c r="AT65" s="283"/>
      <c r="AU65" s="283"/>
      <c r="AV65" s="283"/>
      <c r="AW65" s="283"/>
      <c r="AX65" s="283"/>
      <c r="AY65" s="283"/>
      <c r="AZ65" s="283">
        <f>SUM($I$4:I65,$K$4:K65)</f>
        <v>2115476.666666667</v>
      </c>
      <c r="BA65" s="283">
        <f>AZ65/Resources!$B$6</f>
        <v>66108.645833333343</v>
      </c>
      <c r="BB65" s="283">
        <f>SUM($D$4:D65,$G$4:G65)</f>
        <v>2178386.666666667</v>
      </c>
      <c r="BC65" s="283">
        <f>BB65/Resources!$B$7</f>
        <v>72612.888888888905</v>
      </c>
      <c r="BD65" s="283">
        <f>SUM($C$4:C65,$H$4:H65)</f>
        <v>2373206.6666666665</v>
      </c>
      <c r="BE65" s="295">
        <f>BD65/Resources!$B$8</f>
        <v>91277.179487179485</v>
      </c>
      <c r="BF65" s="283">
        <f>SUM($B$4:B65,$F$4:F65)</f>
        <v>3463349.9999999995</v>
      </c>
      <c r="BG65" s="283">
        <f>BF65/Resources!$B$9</f>
        <v>111720.96774193547</v>
      </c>
      <c r="BH65" s="283">
        <f>SUM($X$4:X65,$E$4:E65)</f>
        <v>1483708.888888889</v>
      </c>
      <c r="BI65" s="283">
        <f>BH65/Resources!$B$2</f>
        <v>61821.203703703708</v>
      </c>
      <c r="BJ65" s="283">
        <f>SUM($V$4:V65,$T$4:T65)</f>
        <v>277708.33333333331</v>
      </c>
      <c r="BK65" s="283">
        <f>BJ65/Resources!$B$3</f>
        <v>10681.089743589742</v>
      </c>
      <c r="BL65" s="283">
        <f>SUM($W$4:W65, $M$4:M65)</f>
        <v>439841.66666666669</v>
      </c>
      <c r="BM65" s="283">
        <f>BL65/Resources!$B$4</f>
        <v>15708.630952380952</v>
      </c>
      <c r="BN65" s="283">
        <f>SUM($P$4:P65,$Q$4:Q65)</f>
        <v>1116063.3333333333</v>
      </c>
      <c r="BO65" s="292">
        <f>BN65/Resources!$B$5</f>
        <v>41335.679012345674</v>
      </c>
    </row>
    <row r="66" spans="1:67" ht="19" x14ac:dyDescent="0.25">
      <c r="A66" s="34">
        <f t="shared" si="8"/>
        <v>42928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283"/>
      <c r="AJ66" s="283"/>
      <c r="AK66" s="283"/>
      <c r="AL66" s="283"/>
      <c r="AM66" s="283"/>
      <c r="AN66" s="283"/>
      <c r="AO66" s="283"/>
      <c r="AP66" s="283"/>
      <c r="AQ66" s="283"/>
      <c r="AR66" s="283"/>
      <c r="AS66" s="283"/>
      <c r="AT66" s="283"/>
      <c r="AU66" s="283"/>
      <c r="AV66" s="283"/>
      <c r="AW66" s="283"/>
      <c r="AX66" s="283"/>
      <c r="AY66" s="283"/>
      <c r="AZ66" s="283">
        <f>SUM($I$4:I66,$K$4:K66)</f>
        <v>2115476.666666667</v>
      </c>
      <c r="BA66" s="283">
        <f>AZ66/Resources!$B$6</f>
        <v>66108.645833333343</v>
      </c>
      <c r="BB66" s="283">
        <f>SUM($D$4:D66,$G$4:G66)</f>
        <v>2178386.666666667</v>
      </c>
      <c r="BC66" s="283">
        <f>BB66/Resources!$B$7</f>
        <v>72612.888888888905</v>
      </c>
      <c r="BD66" s="283">
        <f>SUM($C$4:C66,$H$4:H66)</f>
        <v>2373206.6666666665</v>
      </c>
      <c r="BE66" s="295">
        <f>BD66/Resources!$B$8</f>
        <v>91277.179487179485</v>
      </c>
      <c r="BF66" s="283">
        <f>SUM($B$4:B66,$F$4:F66)</f>
        <v>3463349.9999999995</v>
      </c>
      <c r="BG66" s="283">
        <f>BF66/Resources!$B$9</f>
        <v>111720.96774193547</v>
      </c>
      <c r="BH66" s="283">
        <f>SUM($X$4:X66,$E$4:E66)</f>
        <v>1483708.888888889</v>
      </c>
      <c r="BI66" s="283">
        <f>BH66/Resources!$B$2</f>
        <v>61821.203703703708</v>
      </c>
      <c r="BJ66" s="283">
        <f>SUM($V$4:V66,$T$4:T66)</f>
        <v>277708.33333333331</v>
      </c>
      <c r="BK66" s="283">
        <f>BJ66/Resources!$B$3</f>
        <v>10681.089743589742</v>
      </c>
      <c r="BL66" s="283">
        <f>SUM($W$4:W66, $M$4:M66)</f>
        <v>439841.66666666669</v>
      </c>
      <c r="BM66" s="283">
        <f>BL66/Resources!$B$4</f>
        <v>15708.630952380952</v>
      </c>
      <c r="BN66" s="283">
        <f>SUM($P$4:P66,$Q$4:Q66)</f>
        <v>1116063.3333333333</v>
      </c>
      <c r="BO66" s="292">
        <f>BN66/Resources!$B$5</f>
        <v>41335.679012345674</v>
      </c>
    </row>
    <row r="67" spans="1:67" ht="19" x14ac:dyDescent="0.25">
      <c r="A67" s="34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283"/>
      <c r="AJ67" s="283"/>
      <c r="AK67" s="283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3"/>
      <c r="AX67" s="283"/>
      <c r="AY67" s="283"/>
      <c r="AZ67" s="283">
        <f>SUM($I$4:I67,$K$4:K67)</f>
        <v>2115476.666666667</v>
      </c>
      <c r="BA67" s="283">
        <f>AZ67/Resources!$B$6</f>
        <v>66108.645833333343</v>
      </c>
      <c r="BB67" s="283">
        <f>SUM($D$4:D67,$G$4:G67)</f>
        <v>2178386.666666667</v>
      </c>
      <c r="BC67" s="283">
        <f>BB67/Resources!$B$7</f>
        <v>72612.888888888905</v>
      </c>
      <c r="BD67" s="283">
        <f>SUM($C$4:C67,$H$4:H67)</f>
        <v>2373206.6666666665</v>
      </c>
      <c r="BE67" s="295">
        <f>BD67/Resources!$B$8</f>
        <v>91277.179487179485</v>
      </c>
      <c r="BF67" s="283">
        <f>SUM($B$4:B67,$F$4:F67)</f>
        <v>3463349.9999999995</v>
      </c>
      <c r="BG67" s="283">
        <f>BF67/Resources!$B$9</f>
        <v>111720.96774193547</v>
      </c>
      <c r="BH67" s="283">
        <f>SUM($X$4:X67,$E$4:E67)</f>
        <v>1483708.888888889</v>
      </c>
      <c r="BI67" s="283">
        <f>BH67/Resources!$B$2</f>
        <v>61821.203703703708</v>
      </c>
      <c r="BJ67" s="283">
        <f>SUM($V$4:V67,$T$4:T67)</f>
        <v>277708.33333333331</v>
      </c>
      <c r="BK67" s="283">
        <f>BJ67/Resources!$B$3</f>
        <v>10681.089743589742</v>
      </c>
      <c r="BL67" s="283">
        <f>SUM($W$4:W67, $M$4:M67)</f>
        <v>439841.66666666669</v>
      </c>
      <c r="BM67" s="283">
        <f>BL67/Resources!$B$4</f>
        <v>15708.630952380952</v>
      </c>
      <c r="BN67" s="283">
        <f>SUM($P$4:P67,$Q$4:Q67)</f>
        <v>1116063.3333333333</v>
      </c>
      <c r="BO67" s="292">
        <f>BN67/Resources!$B$5</f>
        <v>41335.679012345674</v>
      </c>
    </row>
    <row r="68" spans="1:67" ht="19" x14ac:dyDescent="0.25">
      <c r="A68" s="34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283"/>
      <c r="AJ68" s="283"/>
      <c r="AK68" s="283"/>
      <c r="AL68" s="283"/>
      <c r="AM68" s="283"/>
      <c r="AN68" s="283"/>
      <c r="AO68" s="283"/>
      <c r="AP68" s="283"/>
      <c r="AQ68" s="283"/>
      <c r="AR68" s="283"/>
      <c r="AS68" s="283"/>
      <c r="AT68" s="283"/>
      <c r="AU68" s="283"/>
      <c r="AV68" s="283"/>
      <c r="AW68" s="283"/>
      <c r="AX68" s="283"/>
      <c r="AY68" s="283"/>
      <c r="AZ68" s="283">
        <f>SUM($I$4:I68,$K$4:K68)</f>
        <v>2115476.666666667</v>
      </c>
      <c r="BA68" s="283">
        <f>AZ68/Resources!$B$6</f>
        <v>66108.645833333343</v>
      </c>
      <c r="BB68" s="283">
        <f>SUM($D$4:D68,$G$4:G68)</f>
        <v>2178386.666666667</v>
      </c>
      <c r="BC68" s="283">
        <f>BB68/Resources!$B$7</f>
        <v>72612.888888888905</v>
      </c>
      <c r="BD68" s="283">
        <f>SUM($C$4:C68,$H$4:H68)</f>
        <v>2373206.6666666665</v>
      </c>
      <c r="BE68" s="295">
        <f>BD68/Resources!$B$8</f>
        <v>91277.179487179485</v>
      </c>
      <c r="BF68" s="283">
        <f>SUM($B$4:B68,$F$4:F68)</f>
        <v>3463349.9999999995</v>
      </c>
      <c r="BG68" s="283">
        <f>BF68/Resources!$B$9</f>
        <v>111720.96774193547</v>
      </c>
      <c r="BH68" s="283">
        <f>SUM($X$4:X68,$E$4:E68)</f>
        <v>1483708.888888889</v>
      </c>
      <c r="BI68" s="283">
        <f>BH68/Resources!$B$2</f>
        <v>61821.203703703708</v>
      </c>
      <c r="BJ68" s="283">
        <f>SUM($V$4:V68,$T$4:T68)</f>
        <v>277708.33333333331</v>
      </c>
      <c r="BK68" s="283">
        <f>BJ68/Resources!$B$3</f>
        <v>10681.089743589742</v>
      </c>
      <c r="BL68" s="283">
        <f>SUM($W$4:W68, $M$4:M68)</f>
        <v>439841.66666666669</v>
      </c>
      <c r="BM68" s="283">
        <f>BL68/Resources!$B$4</f>
        <v>15708.630952380952</v>
      </c>
      <c r="BN68" s="283">
        <f>SUM($P$4:P68,$Q$4:Q68)</f>
        <v>1116063.3333333333</v>
      </c>
      <c r="BO68" s="292">
        <f>BN68/Resources!$B$5</f>
        <v>41335.679012345674</v>
      </c>
    </row>
    <row r="69" spans="1:67" x14ac:dyDescent="0.2">
      <c r="A69" s="34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283"/>
      <c r="AJ69" s="283"/>
      <c r="AK69" s="283"/>
      <c r="AL69" s="283"/>
      <c r="AM69" s="283"/>
      <c r="AN69" s="283"/>
      <c r="AO69" s="283"/>
      <c r="AP69" s="283"/>
      <c r="AQ69" s="283"/>
      <c r="AR69" s="283"/>
      <c r="AS69" s="283"/>
      <c r="AT69" s="283"/>
      <c r="AU69" s="283"/>
      <c r="AV69" s="283"/>
      <c r="AW69" s="283"/>
      <c r="AX69" s="283"/>
      <c r="AY69" s="283"/>
      <c r="AZ69" s="283"/>
      <c r="BA69" s="283"/>
      <c r="BB69" s="283"/>
      <c r="BC69" s="283"/>
      <c r="BD69" s="283"/>
      <c r="BE69" s="283"/>
      <c r="BF69" s="283"/>
      <c r="BG69" s="283"/>
      <c r="BH69" s="283"/>
      <c r="BI69" s="283"/>
      <c r="BJ69" s="283"/>
      <c r="BK69" s="283"/>
      <c r="BL69" s="283"/>
      <c r="BM69" s="283"/>
      <c r="BN69" s="283"/>
    </row>
    <row r="70" spans="1:67" x14ac:dyDescent="0.2">
      <c r="A70" s="34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283"/>
      <c r="AJ70" s="283"/>
      <c r="AK70" s="283"/>
      <c r="AL70" s="283"/>
      <c r="AM70" s="283"/>
      <c r="AN70" s="283"/>
      <c r="AO70" s="283"/>
      <c r="AP70" s="283"/>
      <c r="AQ70" s="283"/>
      <c r="AR70" s="283"/>
      <c r="AS70" s="283"/>
      <c r="AT70" s="283"/>
      <c r="AU70" s="283"/>
      <c r="AV70" s="283"/>
      <c r="AW70" s="283"/>
      <c r="AX70" s="283"/>
      <c r="AY70" s="283"/>
      <c r="AZ70" s="283"/>
      <c r="BA70" s="283"/>
      <c r="BB70" s="283"/>
      <c r="BC70" s="283"/>
      <c r="BD70" s="283"/>
      <c r="BE70" s="283"/>
      <c r="BF70" s="283"/>
      <c r="BG70" s="283"/>
      <c r="BH70" s="283"/>
      <c r="BI70" s="283"/>
      <c r="BJ70" s="283"/>
      <c r="BK70" s="283"/>
      <c r="BL70" s="283"/>
      <c r="BM70" s="283"/>
      <c r="BN70" s="283"/>
    </row>
    <row r="71" spans="1:67" x14ac:dyDescent="0.2">
      <c r="A71" s="34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283"/>
      <c r="AJ71" s="283"/>
      <c r="AK71" s="283"/>
      <c r="AL71" s="283"/>
      <c r="AM71" s="283"/>
      <c r="AN71" s="283"/>
      <c r="AO71" s="283"/>
      <c r="AP71" s="283"/>
      <c r="AQ71" s="283"/>
      <c r="AR71" s="283"/>
      <c r="AS71" s="283"/>
      <c r="AT71" s="283"/>
      <c r="AU71" s="283"/>
      <c r="AV71" s="283"/>
      <c r="AW71" s="283"/>
      <c r="AX71" s="283"/>
      <c r="AY71" s="283"/>
      <c r="AZ71" s="283"/>
      <c r="BA71" s="283"/>
      <c r="BB71" s="283"/>
      <c r="BC71" s="283"/>
      <c r="BD71" s="283"/>
      <c r="BE71" s="283"/>
      <c r="BF71" s="283"/>
      <c r="BG71" s="283"/>
      <c r="BH71" s="283"/>
      <c r="BI71" s="283"/>
      <c r="BJ71" s="283"/>
      <c r="BK71" s="283"/>
      <c r="BL71" s="283"/>
      <c r="BM71" s="283"/>
      <c r="BN71" s="283"/>
    </row>
    <row r="72" spans="1:67" x14ac:dyDescent="0.2">
      <c r="A72" s="34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283"/>
      <c r="AJ72" s="283"/>
      <c r="AK72" s="283"/>
      <c r="AL72" s="283"/>
      <c r="AM72" s="283"/>
      <c r="AN72" s="283"/>
      <c r="AO72" s="283"/>
      <c r="AP72" s="283"/>
      <c r="AQ72" s="283"/>
      <c r="AR72" s="283"/>
      <c r="AS72" s="283"/>
      <c r="AT72" s="283"/>
      <c r="AU72" s="283"/>
      <c r="AV72" s="283"/>
      <c r="AW72" s="283"/>
      <c r="AX72" s="283"/>
      <c r="AY72" s="283"/>
      <c r="AZ72" s="283"/>
      <c r="BA72" s="283"/>
      <c r="BB72" s="283"/>
      <c r="BC72" s="283"/>
      <c r="BD72" s="283"/>
      <c r="BE72" s="283"/>
      <c r="BF72" s="283"/>
      <c r="BG72" s="283"/>
      <c r="BH72" s="283"/>
      <c r="BI72" s="283"/>
      <c r="BJ72" s="283"/>
      <c r="BK72" s="283"/>
      <c r="BL72" s="283"/>
      <c r="BM72" s="283"/>
      <c r="BN72" s="283"/>
    </row>
    <row r="73" spans="1:67" x14ac:dyDescent="0.2">
      <c r="A73" s="34"/>
      <c r="BE73" s="283"/>
    </row>
    <row r="74" spans="1:67" x14ac:dyDescent="0.2">
      <c r="A74" s="34"/>
    </row>
    <row r="75" spans="1:67" x14ac:dyDescent="0.2">
      <c r="A75" s="34"/>
    </row>
    <row r="76" spans="1:67" x14ac:dyDescent="0.2">
      <c r="A76" s="34"/>
    </row>
    <row r="77" spans="1:67" x14ac:dyDescent="0.2">
      <c r="A77" s="34"/>
    </row>
    <row r="78" spans="1:67" x14ac:dyDescent="0.2">
      <c r="A78" s="34"/>
    </row>
    <row r="79" spans="1:67" x14ac:dyDescent="0.2">
      <c r="A79" s="34"/>
    </row>
    <row r="80" spans="1:67" x14ac:dyDescent="0.2">
      <c r="A80" s="34"/>
    </row>
    <row r="81" spans="1:1" x14ac:dyDescent="0.2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showRuler="0" workbookViewId="0">
      <pane ySplit="560" topLeftCell="A2" activePane="bottomLeft"/>
      <selection activeCell="J152" sqref="J152"/>
      <selection pane="bottomLeft" activeCell="I32" sqref="I32:I33"/>
    </sheetView>
  </sheetViews>
  <sheetFormatPr baseColWidth="10" defaultRowHeight="16" x14ac:dyDescent="0.2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2" customFormat="1" ht="17" thickBot="1" x14ac:dyDescent="0.25">
      <c r="A1" s="52" t="s">
        <v>80</v>
      </c>
      <c r="B1" s="52" t="s">
        <v>269</v>
      </c>
      <c r="C1" s="52" t="s">
        <v>270</v>
      </c>
      <c r="D1" s="52" t="s">
        <v>268</v>
      </c>
      <c r="E1" s="52" t="s">
        <v>1</v>
      </c>
      <c r="F1" s="52" t="s">
        <v>127</v>
      </c>
      <c r="G1" s="52" t="s">
        <v>128</v>
      </c>
      <c r="H1" s="52" t="s">
        <v>130</v>
      </c>
      <c r="I1" s="53" t="s">
        <v>131</v>
      </c>
      <c r="J1" s="52" t="s">
        <v>132</v>
      </c>
      <c r="K1" s="252" t="s">
        <v>295</v>
      </c>
      <c r="M1" s="52" t="s">
        <v>291</v>
      </c>
    </row>
    <row r="2" spans="1:13" s="19" customFormat="1" x14ac:dyDescent="0.2">
      <c r="A2" s="18">
        <v>42884</v>
      </c>
      <c r="B2" s="248" t="s">
        <v>271</v>
      </c>
      <c r="C2" s="19" t="s">
        <v>129</v>
      </c>
      <c r="D2" s="19" t="s">
        <v>272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5">
        <f>H2/((0.1*3*3)/1000)</f>
        <v>112777.77777777777</v>
      </c>
      <c r="J2" s="19">
        <v>70</v>
      </c>
      <c r="K2" s="116">
        <f t="shared" ref="K2:K12" si="1">(I2-$I$13)^2</f>
        <v>124987.246199375</v>
      </c>
    </row>
    <row r="3" spans="1:13" s="23" customFormat="1" x14ac:dyDescent="0.2">
      <c r="A3" s="22">
        <v>42884</v>
      </c>
      <c r="B3" s="249" t="s">
        <v>271</v>
      </c>
      <c r="C3" s="23">
        <v>8</v>
      </c>
      <c r="E3" s="23" t="s">
        <v>294</v>
      </c>
      <c r="F3" s="23">
        <v>92</v>
      </c>
      <c r="G3" s="23">
        <v>111</v>
      </c>
      <c r="H3" s="23">
        <f t="shared" si="0"/>
        <v>101.5</v>
      </c>
      <c r="I3" s="116">
        <f t="shared" ref="I3:I29" si="2">H3/((0.1*3*3)/1000)</f>
        <v>112777.77777777777</v>
      </c>
      <c r="J3" s="23">
        <v>70</v>
      </c>
      <c r="K3" s="116">
        <f t="shared" si="1"/>
        <v>124987.246199375</v>
      </c>
    </row>
    <row r="4" spans="1:13" s="23" customFormat="1" x14ac:dyDescent="0.2">
      <c r="A4" s="22">
        <v>42884</v>
      </c>
      <c r="B4" s="249" t="s">
        <v>271</v>
      </c>
      <c r="C4" s="23">
        <v>13</v>
      </c>
      <c r="D4" s="23" t="s">
        <v>273</v>
      </c>
      <c r="E4" s="23" t="s">
        <v>294</v>
      </c>
      <c r="F4" s="23">
        <v>109</v>
      </c>
      <c r="G4" s="23">
        <v>105</v>
      </c>
      <c r="H4" s="23">
        <f t="shared" si="0"/>
        <v>107</v>
      </c>
      <c r="I4" s="116">
        <f t="shared" si="2"/>
        <v>118888.88888888888</v>
      </c>
      <c r="J4" s="23">
        <v>70</v>
      </c>
      <c r="K4" s="116">
        <f t="shared" si="1"/>
        <v>33149678.604223918</v>
      </c>
    </row>
    <row r="5" spans="1:13" s="23" customFormat="1" x14ac:dyDescent="0.2">
      <c r="A5" s="22">
        <v>42884</v>
      </c>
      <c r="B5" s="249" t="s">
        <v>271</v>
      </c>
      <c r="C5" s="23">
        <v>3</v>
      </c>
      <c r="E5" s="23" t="s">
        <v>294</v>
      </c>
      <c r="F5" s="23">
        <v>96</v>
      </c>
      <c r="G5" s="23">
        <v>118</v>
      </c>
      <c r="H5" s="23">
        <f t="shared" si="0"/>
        <v>107</v>
      </c>
      <c r="I5" s="116">
        <f t="shared" si="2"/>
        <v>118888.88888888888</v>
      </c>
      <c r="J5" s="23">
        <v>70</v>
      </c>
      <c r="K5" s="116">
        <f t="shared" si="1"/>
        <v>33149678.604223918</v>
      </c>
    </row>
    <row r="6" spans="1:13" s="23" customFormat="1" x14ac:dyDescent="0.2">
      <c r="A6" s="22">
        <v>42884</v>
      </c>
      <c r="B6" s="249" t="s">
        <v>271</v>
      </c>
      <c r="C6" s="23">
        <v>5</v>
      </c>
      <c r="D6" s="23" t="s">
        <v>274</v>
      </c>
      <c r="E6" s="23" t="s">
        <v>294</v>
      </c>
      <c r="F6" s="23">
        <v>91</v>
      </c>
      <c r="G6" s="23">
        <v>92</v>
      </c>
      <c r="H6" s="23">
        <f t="shared" si="0"/>
        <v>91.5</v>
      </c>
      <c r="I6" s="116">
        <f t="shared" si="2"/>
        <v>101666.66666666666</v>
      </c>
      <c r="J6" s="23">
        <v>70</v>
      </c>
      <c r="K6" s="116">
        <f t="shared" si="1"/>
        <v>131438118.5593309</v>
      </c>
    </row>
    <row r="7" spans="1:13" s="23" customFormat="1" x14ac:dyDescent="0.2">
      <c r="A7" s="22">
        <v>42884</v>
      </c>
      <c r="B7" s="249" t="s">
        <v>271</v>
      </c>
      <c r="C7" s="23">
        <v>16</v>
      </c>
      <c r="E7" s="23" t="s">
        <v>294</v>
      </c>
      <c r="F7" s="23">
        <v>107</v>
      </c>
      <c r="G7" s="23">
        <v>106</v>
      </c>
      <c r="H7" s="23">
        <f t="shared" si="0"/>
        <v>106.5</v>
      </c>
      <c r="I7" s="116">
        <f t="shared" si="2"/>
        <v>118333.33333333333</v>
      </c>
      <c r="J7" s="23">
        <v>70</v>
      </c>
      <c r="K7" s="116">
        <f t="shared" si="1"/>
        <v>27061014.182226259</v>
      </c>
    </row>
    <row r="8" spans="1:13" s="23" customFormat="1" x14ac:dyDescent="0.2">
      <c r="A8" s="22">
        <v>42884</v>
      </c>
      <c r="B8" s="249" t="s">
        <v>271</v>
      </c>
      <c r="C8" s="23">
        <v>9</v>
      </c>
      <c r="E8" s="23" t="s">
        <v>294</v>
      </c>
      <c r="F8" s="23">
        <v>113</v>
      </c>
      <c r="G8" s="23">
        <v>111</v>
      </c>
      <c r="H8" s="23">
        <f t="shared" si="0"/>
        <v>112</v>
      </c>
      <c r="I8" s="116">
        <f t="shared" si="2"/>
        <v>124444.44444444444</v>
      </c>
      <c r="J8" s="23">
        <v>70</v>
      </c>
      <c r="K8" s="116">
        <f t="shared" si="1"/>
        <v>127986940.10815209</v>
      </c>
    </row>
    <row r="9" spans="1:13" s="23" customFormat="1" x14ac:dyDescent="0.2">
      <c r="A9" s="22">
        <v>42884</v>
      </c>
      <c r="B9" s="249" t="s">
        <v>271</v>
      </c>
      <c r="C9" s="23">
        <v>10</v>
      </c>
      <c r="E9" s="23" t="s">
        <v>294</v>
      </c>
      <c r="F9" s="23">
        <v>98</v>
      </c>
      <c r="G9" s="23">
        <v>100</v>
      </c>
      <c r="H9" s="23">
        <f t="shared" si="0"/>
        <v>99</v>
      </c>
      <c r="I9" s="116">
        <f t="shared" si="2"/>
        <v>109999.99999999999</v>
      </c>
      <c r="J9" s="23">
        <v>70</v>
      </c>
      <c r="K9" s="116">
        <f t="shared" si="1"/>
        <v>9805121.9263341352</v>
      </c>
    </row>
    <row r="10" spans="1:13" s="23" customFormat="1" x14ac:dyDescent="0.2">
      <c r="A10" s="22">
        <v>42884</v>
      </c>
      <c r="B10" s="249" t="s">
        <v>271</v>
      </c>
      <c r="C10" s="23">
        <v>12</v>
      </c>
      <c r="E10" s="23" t="s">
        <v>294</v>
      </c>
      <c r="F10" s="23">
        <v>74</v>
      </c>
      <c r="G10" s="23">
        <v>113</v>
      </c>
      <c r="H10" s="23">
        <f>AVERAGE(F10:G10)</f>
        <v>93.5</v>
      </c>
      <c r="I10" s="116">
        <f t="shared" si="2"/>
        <v>103888.88888888888</v>
      </c>
      <c r="J10" s="23">
        <v>70</v>
      </c>
      <c r="K10" s="116">
        <f t="shared" si="1"/>
        <v>85422405.87695156</v>
      </c>
    </row>
    <row r="11" spans="1:13" s="23" customFormat="1" x14ac:dyDescent="0.2">
      <c r="A11" s="22">
        <v>42884</v>
      </c>
      <c r="B11" s="249" t="s">
        <v>271</v>
      </c>
      <c r="C11" s="23">
        <v>11</v>
      </c>
      <c r="D11" s="23" t="s">
        <v>275</v>
      </c>
      <c r="E11" s="23" t="s">
        <v>294</v>
      </c>
      <c r="F11" s="23">
        <v>96</v>
      </c>
      <c r="G11" s="23">
        <v>100</v>
      </c>
      <c r="H11" s="23">
        <f>AVERAGE(F11:G11)</f>
        <v>98</v>
      </c>
      <c r="I11" s="116">
        <f t="shared" si="2"/>
        <v>108888.88888888888</v>
      </c>
      <c r="J11" s="23">
        <v>70</v>
      </c>
      <c r="K11" s="116">
        <f t="shared" si="1"/>
        <v>17998163.452709012</v>
      </c>
    </row>
    <row r="12" spans="1:13" s="23" customFormat="1" x14ac:dyDescent="0.2">
      <c r="A12" s="22">
        <v>42884</v>
      </c>
      <c r="B12" s="249" t="s">
        <v>271</v>
      </c>
      <c r="C12" s="23">
        <v>7</v>
      </c>
      <c r="D12" s="23" t="s">
        <v>276</v>
      </c>
      <c r="E12" s="23" t="s">
        <v>294</v>
      </c>
      <c r="F12" s="23">
        <v>110</v>
      </c>
      <c r="G12" s="23">
        <v>95</v>
      </c>
      <c r="H12" s="23">
        <f>AVERAGE(F12:G12)</f>
        <v>102.5</v>
      </c>
      <c r="I12" s="116">
        <f t="shared" si="2"/>
        <v>113888.88888888888</v>
      </c>
      <c r="J12" s="23">
        <v>70</v>
      </c>
      <c r="K12" s="116">
        <f t="shared" si="1"/>
        <v>573921.02846646425</v>
      </c>
    </row>
    <row r="13" spans="1:13" s="27" customFormat="1" ht="17" thickBot="1" x14ac:dyDescent="0.25">
      <c r="A13" s="26"/>
      <c r="B13" s="250"/>
      <c r="H13" s="251" t="s">
        <v>130</v>
      </c>
      <c r="I13" s="252">
        <f>AVERAGE(I2:I12)</f>
        <v>113131.31313131313</v>
      </c>
      <c r="J13" s="255" t="s">
        <v>296</v>
      </c>
      <c r="K13" s="252">
        <f>AVERAGE(K2:K12)</f>
        <v>42439546.985001549</v>
      </c>
      <c r="L13" s="255" t="s">
        <v>297</v>
      </c>
      <c r="M13" s="252">
        <f>SQRT(K13)</f>
        <v>6514.5642206521807</v>
      </c>
    </row>
    <row r="14" spans="1:13" s="19" customFormat="1" x14ac:dyDescent="0.2">
      <c r="A14" s="18">
        <v>42917</v>
      </c>
      <c r="B14" s="248" t="s">
        <v>271</v>
      </c>
      <c r="C14" s="19" t="s">
        <v>292</v>
      </c>
      <c r="D14" s="19" t="s">
        <v>272</v>
      </c>
      <c r="F14" s="19">
        <v>54</v>
      </c>
      <c r="G14" s="19">
        <v>71</v>
      </c>
      <c r="H14" s="19">
        <f t="shared" ref="H14:H29" si="3">AVERAGE(F14:G14)</f>
        <v>62.5</v>
      </c>
      <c r="I14" s="115">
        <f t="shared" si="2"/>
        <v>69444.444444444438</v>
      </c>
      <c r="J14" s="19">
        <v>65</v>
      </c>
      <c r="K14" s="116">
        <f t="shared" ref="K14:K21" si="4">(I14-$I$22)^2</f>
        <v>39062500</v>
      </c>
    </row>
    <row r="15" spans="1:13" s="23" customFormat="1" x14ac:dyDescent="0.2">
      <c r="A15" s="22">
        <v>42917</v>
      </c>
      <c r="B15" s="249" t="s">
        <v>271</v>
      </c>
      <c r="C15" s="23" t="s">
        <v>292</v>
      </c>
      <c r="D15" s="23" t="s">
        <v>276</v>
      </c>
      <c r="F15" s="23">
        <v>68</v>
      </c>
      <c r="G15" s="23">
        <v>71</v>
      </c>
      <c r="H15" s="23">
        <f t="shared" si="3"/>
        <v>69.5</v>
      </c>
      <c r="I15" s="116">
        <f t="shared" si="2"/>
        <v>77222.222222222219</v>
      </c>
      <c r="J15" s="23">
        <v>65</v>
      </c>
      <c r="K15" s="116">
        <f t="shared" si="4"/>
        <v>2334104.9382716147</v>
      </c>
    </row>
    <row r="16" spans="1:13" s="23" customFormat="1" x14ac:dyDescent="0.2">
      <c r="A16" s="22">
        <v>42917</v>
      </c>
      <c r="B16" s="249" t="s">
        <v>271</v>
      </c>
      <c r="C16" s="23" t="s">
        <v>292</v>
      </c>
      <c r="D16" s="23" t="s">
        <v>277</v>
      </c>
      <c r="F16" s="23">
        <v>71</v>
      </c>
      <c r="G16" s="23">
        <v>67</v>
      </c>
      <c r="H16" s="23">
        <f t="shared" si="3"/>
        <v>69</v>
      </c>
      <c r="I16" s="116">
        <f t="shared" si="2"/>
        <v>76666.666666666657</v>
      </c>
      <c r="J16" s="23">
        <v>65</v>
      </c>
      <c r="K16" s="116">
        <f t="shared" si="4"/>
        <v>945216.04938270978</v>
      </c>
    </row>
    <row r="17" spans="1:13" s="23" customFormat="1" x14ac:dyDescent="0.2">
      <c r="A17" s="22">
        <v>42917</v>
      </c>
      <c r="B17" s="249" t="s">
        <v>271</v>
      </c>
      <c r="C17" s="23" t="s">
        <v>292</v>
      </c>
      <c r="D17" s="23" t="s">
        <v>278</v>
      </c>
      <c r="F17" s="23">
        <v>54</v>
      </c>
      <c r="G17" s="23">
        <v>78</v>
      </c>
      <c r="H17" s="23">
        <f t="shared" si="3"/>
        <v>66</v>
      </c>
      <c r="I17" s="116">
        <f t="shared" si="2"/>
        <v>73333.333333333328</v>
      </c>
      <c r="J17" s="23">
        <v>65</v>
      </c>
      <c r="K17" s="116">
        <f t="shared" si="4"/>
        <v>5574845.6790123377</v>
      </c>
    </row>
    <row r="18" spans="1:13" s="23" customFormat="1" x14ac:dyDescent="0.2">
      <c r="A18" s="22">
        <v>42917</v>
      </c>
      <c r="B18" s="249" t="s">
        <v>271</v>
      </c>
      <c r="C18" s="23" t="s">
        <v>292</v>
      </c>
      <c r="D18" s="23" t="s">
        <v>279</v>
      </c>
      <c r="F18" s="23">
        <v>59</v>
      </c>
      <c r="G18" s="23">
        <v>68</v>
      </c>
      <c r="H18" s="23">
        <f t="shared" si="3"/>
        <v>63.5</v>
      </c>
      <c r="I18" s="116">
        <f t="shared" si="2"/>
        <v>70555.555555555547</v>
      </c>
      <c r="J18" s="23">
        <v>65</v>
      </c>
      <c r="K18" s="116">
        <f t="shared" si="4"/>
        <v>26408179.012345694</v>
      </c>
    </row>
    <row r="19" spans="1:13" s="23" customFormat="1" x14ac:dyDescent="0.2">
      <c r="A19" s="22">
        <v>42917</v>
      </c>
      <c r="B19" s="249" t="s">
        <v>271</v>
      </c>
      <c r="C19" s="23" t="s">
        <v>292</v>
      </c>
      <c r="D19" s="23" t="s">
        <v>280</v>
      </c>
      <c r="F19" s="23">
        <v>81</v>
      </c>
      <c r="G19" s="23">
        <v>60</v>
      </c>
      <c r="H19" s="23">
        <f t="shared" si="3"/>
        <v>70.5</v>
      </c>
      <c r="I19" s="116">
        <f t="shared" si="2"/>
        <v>78333.333333333328</v>
      </c>
      <c r="J19" s="23">
        <v>65</v>
      </c>
      <c r="K19" s="116">
        <f t="shared" si="4"/>
        <v>6963734.5679012435</v>
      </c>
    </row>
    <row r="20" spans="1:13" s="23" customFormat="1" x14ac:dyDescent="0.2">
      <c r="A20" s="22">
        <v>42917</v>
      </c>
      <c r="B20" s="249" t="s">
        <v>271</v>
      </c>
      <c r="C20" s="23" t="s">
        <v>292</v>
      </c>
      <c r="D20" s="23" t="s">
        <v>281</v>
      </c>
      <c r="F20" s="23">
        <v>77</v>
      </c>
      <c r="G20" s="23">
        <v>58</v>
      </c>
      <c r="H20" s="23">
        <f t="shared" si="3"/>
        <v>67.5</v>
      </c>
      <c r="I20" s="116">
        <f t="shared" si="2"/>
        <v>75000</v>
      </c>
      <c r="J20" s="23">
        <v>65</v>
      </c>
      <c r="K20" s="116">
        <f t="shared" si="4"/>
        <v>482253.08641974413</v>
      </c>
    </row>
    <row r="21" spans="1:13" s="23" customFormat="1" x14ac:dyDescent="0.2">
      <c r="A21" s="22">
        <v>42917</v>
      </c>
      <c r="B21" s="249" t="s">
        <v>271</v>
      </c>
      <c r="C21" s="23" t="s">
        <v>292</v>
      </c>
      <c r="D21" s="23" t="s">
        <v>282</v>
      </c>
      <c r="F21" s="23">
        <v>74</v>
      </c>
      <c r="G21" s="23">
        <v>79</v>
      </c>
      <c r="H21" s="23">
        <f t="shared" si="3"/>
        <v>76.5</v>
      </c>
      <c r="I21" s="116">
        <f t="shared" si="2"/>
        <v>84999.999999999985</v>
      </c>
      <c r="J21" s="23">
        <v>65</v>
      </c>
      <c r="K21" s="116">
        <f t="shared" si="4"/>
        <v>86593364.197530717</v>
      </c>
    </row>
    <row r="22" spans="1:13" s="27" customFormat="1" ht="17" thickBot="1" x14ac:dyDescent="0.25">
      <c r="A22" s="26"/>
      <c r="B22" s="250"/>
      <c r="C22" s="23"/>
      <c r="H22" s="251" t="s">
        <v>130</v>
      </c>
      <c r="I22" s="252">
        <f>AVERAGE(I14:I21)</f>
        <v>75694.444444444438</v>
      </c>
      <c r="J22" s="255" t="s">
        <v>296</v>
      </c>
      <c r="K22" s="252">
        <f>AVERAGE(K14:K21)</f>
        <v>21045524.691358007</v>
      </c>
      <c r="L22" s="255" t="s">
        <v>297</v>
      </c>
      <c r="M22" s="252">
        <f>SQRT(K22)</f>
        <v>4587.5401569204823</v>
      </c>
    </row>
    <row r="23" spans="1:13" s="19" customFormat="1" x14ac:dyDescent="0.2">
      <c r="A23" s="18">
        <v>42917</v>
      </c>
      <c r="B23" s="248" t="s">
        <v>290</v>
      </c>
      <c r="C23" s="19" t="s">
        <v>293</v>
      </c>
      <c r="D23" s="19" t="s">
        <v>283</v>
      </c>
      <c r="F23" s="19">
        <v>54</v>
      </c>
      <c r="G23" s="19">
        <v>61</v>
      </c>
      <c r="H23" s="19">
        <f t="shared" si="3"/>
        <v>57.5</v>
      </c>
      <c r="I23" s="115">
        <f t="shared" si="2"/>
        <v>63888.888888888883</v>
      </c>
      <c r="J23" s="19">
        <v>120</v>
      </c>
      <c r="K23" s="116">
        <f t="shared" ref="K23:K29" si="5">(I23-$I$30)^2</f>
        <v>93751574.703955784</v>
      </c>
    </row>
    <row r="24" spans="1:13" s="23" customFormat="1" x14ac:dyDescent="0.2">
      <c r="A24" s="22">
        <v>42917</v>
      </c>
      <c r="B24" s="249" t="s">
        <v>290</v>
      </c>
      <c r="C24" s="254" t="s">
        <v>293</v>
      </c>
      <c r="D24" s="23" t="s">
        <v>284</v>
      </c>
      <c r="F24" s="23">
        <v>51</v>
      </c>
      <c r="G24" s="23">
        <v>53</v>
      </c>
      <c r="H24" s="23">
        <f t="shared" si="3"/>
        <v>52</v>
      </c>
      <c r="I24" s="116">
        <f t="shared" si="2"/>
        <v>57777.777777777774</v>
      </c>
      <c r="J24" s="23">
        <v>120</v>
      </c>
      <c r="K24" s="116">
        <f t="shared" si="5"/>
        <v>12755102.040816385</v>
      </c>
    </row>
    <row r="25" spans="1:13" s="23" customFormat="1" x14ac:dyDescent="0.2">
      <c r="A25" s="22">
        <v>42917</v>
      </c>
      <c r="B25" s="249" t="s">
        <v>290</v>
      </c>
      <c r="C25" s="254" t="s">
        <v>293</v>
      </c>
      <c r="D25" s="23" t="s">
        <v>285</v>
      </c>
      <c r="F25" s="23">
        <v>51</v>
      </c>
      <c r="G25" s="23">
        <v>48</v>
      </c>
      <c r="H25" s="23">
        <f t="shared" si="3"/>
        <v>49.5</v>
      </c>
      <c r="I25" s="116">
        <f t="shared" si="2"/>
        <v>54999.999999999993</v>
      </c>
      <c r="J25" s="23">
        <v>120</v>
      </c>
      <c r="K25" s="116">
        <f t="shared" si="5"/>
        <v>629881.58226254268</v>
      </c>
    </row>
    <row r="26" spans="1:13" s="23" customFormat="1" x14ac:dyDescent="0.2">
      <c r="A26" s="22">
        <v>42917</v>
      </c>
      <c r="B26" s="249" t="s">
        <v>290</v>
      </c>
      <c r="C26" s="254" t="s">
        <v>293</v>
      </c>
      <c r="D26" s="23" t="s">
        <v>286</v>
      </c>
      <c r="F26" s="23">
        <v>46</v>
      </c>
      <c r="G26" s="23">
        <v>52</v>
      </c>
      <c r="H26" s="23">
        <f t="shared" si="3"/>
        <v>49</v>
      </c>
      <c r="I26" s="116">
        <f t="shared" si="2"/>
        <v>54444.444444444438</v>
      </c>
      <c r="J26" s="23">
        <v>120</v>
      </c>
      <c r="K26" s="116">
        <f t="shared" si="5"/>
        <v>56689.342403630922</v>
      </c>
    </row>
    <row r="27" spans="1:13" s="23" customFormat="1" x14ac:dyDescent="0.2">
      <c r="A27" s="22">
        <v>42917</v>
      </c>
      <c r="B27" s="249" t="s">
        <v>290</v>
      </c>
      <c r="C27" s="254" t="s">
        <v>293</v>
      </c>
      <c r="D27" s="23" t="s">
        <v>287</v>
      </c>
      <c r="F27" s="23">
        <v>46</v>
      </c>
      <c r="G27" s="23">
        <v>38</v>
      </c>
      <c r="H27" s="23">
        <f t="shared" si="3"/>
        <v>42</v>
      </c>
      <c r="I27" s="116">
        <f t="shared" si="2"/>
        <v>46666.666666666664</v>
      </c>
      <c r="J27" s="23">
        <v>120</v>
      </c>
      <c r="K27" s="116">
        <f t="shared" si="5"/>
        <v>56846812.799193598</v>
      </c>
    </row>
    <row r="28" spans="1:13" s="23" customFormat="1" x14ac:dyDescent="0.2">
      <c r="A28" s="22">
        <v>42917</v>
      </c>
      <c r="B28" s="249" t="s">
        <v>290</v>
      </c>
      <c r="C28" s="254" t="s">
        <v>293</v>
      </c>
      <c r="D28" s="23" t="s">
        <v>288</v>
      </c>
      <c r="F28" s="23">
        <v>55</v>
      </c>
      <c r="G28" s="23">
        <v>31</v>
      </c>
      <c r="H28" s="23">
        <f t="shared" si="3"/>
        <v>43</v>
      </c>
      <c r="I28" s="116">
        <f t="shared" si="2"/>
        <v>47777.777777777774</v>
      </c>
      <c r="J28" s="23">
        <v>120</v>
      </c>
      <c r="K28" s="116">
        <f t="shared" si="5"/>
        <v>41326530.612244792</v>
      </c>
    </row>
    <row r="29" spans="1:13" s="23" customFormat="1" x14ac:dyDescent="0.2">
      <c r="A29" s="22">
        <v>42917</v>
      </c>
      <c r="B29" s="249" t="s">
        <v>290</v>
      </c>
      <c r="C29" s="254" t="s">
        <v>293</v>
      </c>
      <c r="D29" s="23" t="s">
        <v>289</v>
      </c>
      <c r="F29" s="23">
        <v>58</v>
      </c>
      <c r="G29" s="23">
        <v>39</v>
      </c>
      <c r="H29" s="23">
        <f t="shared" si="3"/>
        <v>48.5</v>
      </c>
      <c r="I29" s="116">
        <f t="shared" si="2"/>
        <v>53888.888888888883</v>
      </c>
      <c r="J29" s="23">
        <v>120</v>
      </c>
      <c r="K29" s="116">
        <f t="shared" si="5"/>
        <v>100781.05316200129</v>
      </c>
    </row>
    <row r="30" spans="1:13" s="27" customFormat="1" ht="17" thickBot="1" x14ac:dyDescent="0.25">
      <c r="A30" s="253"/>
      <c r="H30" s="251" t="s">
        <v>130</v>
      </c>
      <c r="I30" s="252">
        <f>AVERAGE(I23:I29)</f>
        <v>54206.349206349194</v>
      </c>
      <c r="J30" s="255" t="s">
        <v>296</v>
      </c>
      <c r="K30" s="252">
        <f>AVERAGE(K23:K29)</f>
        <v>29352481.733434107</v>
      </c>
      <c r="L30" s="255" t="s">
        <v>297</v>
      </c>
      <c r="M30" s="252">
        <f>SQRT(K30)</f>
        <v>5417.7930685320671</v>
      </c>
    </row>
    <row r="32" spans="1:13" x14ac:dyDescent="0.2">
      <c r="I32" s="17">
        <f>AVERAGE(I14:I21,I23:I29)</f>
        <v>65666.666666666657</v>
      </c>
    </row>
    <row r="33" spans="9:9" x14ac:dyDescent="0.2">
      <c r="I33" s="17">
        <f>STDEV(I14:I21,I23:I29)</f>
        <v>12240.606663851238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showRuler="0" workbookViewId="0">
      <selection activeCell="J152" sqref="J152"/>
    </sheetView>
  </sheetViews>
  <sheetFormatPr baseColWidth="10" defaultRowHeight="16" x14ac:dyDescent="0.2"/>
  <cols>
    <col min="1" max="1" width="18.33203125" style="17" customWidth="1"/>
    <col min="2" max="2" width="23.6640625" style="287" customWidth="1"/>
  </cols>
  <sheetData>
    <row r="1" spans="1:4" x14ac:dyDescent="0.2">
      <c r="A1" s="88" t="s">
        <v>136</v>
      </c>
      <c r="B1" s="287" t="s">
        <v>330</v>
      </c>
    </row>
    <row r="2" spans="1:4" ht="17" customHeight="1" x14ac:dyDescent="0.25">
      <c r="A2" t="s">
        <v>104</v>
      </c>
      <c r="B2">
        <f>11+13</f>
        <v>24</v>
      </c>
      <c r="C2" s="15"/>
      <c r="D2" s="15"/>
    </row>
    <row r="3" spans="1:4" x14ac:dyDescent="0.2">
      <c r="A3" t="s">
        <v>85</v>
      </c>
      <c r="B3">
        <f>14+12</f>
        <v>26</v>
      </c>
    </row>
    <row r="4" spans="1:4" x14ac:dyDescent="0.2">
      <c r="A4" t="s">
        <v>83</v>
      </c>
      <c r="B4">
        <f>14+14</f>
        <v>28</v>
      </c>
      <c r="C4" s="51"/>
      <c r="D4" s="51"/>
    </row>
    <row r="5" spans="1:4" x14ac:dyDescent="0.2">
      <c r="A5" t="s">
        <v>84</v>
      </c>
      <c r="B5">
        <f>13+14</f>
        <v>27</v>
      </c>
    </row>
    <row r="6" spans="1:4" x14ac:dyDescent="0.2">
      <c r="A6" t="s">
        <v>77</v>
      </c>
      <c r="B6">
        <f>15+17</f>
        <v>32</v>
      </c>
      <c r="C6" s="51"/>
      <c r="D6" s="51"/>
    </row>
    <row r="7" spans="1:4" x14ac:dyDescent="0.2">
      <c r="A7" t="s">
        <v>87</v>
      </c>
      <c r="B7">
        <f>15+15</f>
        <v>30</v>
      </c>
    </row>
    <row r="8" spans="1:4" x14ac:dyDescent="0.2">
      <c r="A8" t="s">
        <v>74</v>
      </c>
      <c r="B8">
        <f>11+15</f>
        <v>26</v>
      </c>
    </row>
    <row r="9" spans="1:4" x14ac:dyDescent="0.2">
      <c r="A9" t="s">
        <v>86</v>
      </c>
      <c r="B9">
        <f>16+15</f>
        <v>31</v>
      </c>
    </row>
    <row r="10" spans="1:4" x14ac:dyDescent="0.2">
      <c r="A10" t="s">
        <v>21</v>
      </c>
      <c r="B10">
        <f>5+3+4</f>
        <v>12</v>
      </c>
      <c r="C10" s="51"/>
      <c r="D10" s="51"/>
    </row>
    <row r="11" spans="1:4" x14ac:dyDescent="0.2">
      <c r="A11" t="s">
        <v>118</v>
      </c>
      <c r="B11">
        <f>4+3+5</f>
        <v>12</v>
      </c>
    </row>
    <row r="12" spans="1:4" x14ac:dyDescent="0.2">
      <c r="A12" t="s">
        <v>108</v>
      </c>
      <c r="B12">
        <f>4+5+6</f>
        <v>15</v>
      </c>
    </row>
    <row r="13" spans="1:4" x14ac:dyDescent="0.2">
      <c r="A13" t="s">
        <v>88</v>
      </c>
      <c r="B13">
        <f>1+6+3</f>
        <v>10</v>
      </c>
    </row>
    <row r="14" spans="1:4" x14ac:dyDescent="0.2">
      <c r="A14" t="s">
        <v>46</v>
      </c>
      <c r="B14">
        <f>34+38+39</f>
        <v>111</v>
      </c>
    </row>
    <row r="15" spans="1:4" x14ac:dyDescent="0.2">
      <c r="A15" t="s">
        <v>38</v>
      </c>
      <c r="B15">
        <f>33+35+33</f>
        <v>101</v>
      </c>
    </row>
    <row r="16" spans="1:4" x14ac:dyDescent="0.2">
      <c r="A16" t="s">
        <v>20</v>
      </c>
      <c r="B16">
        <f>33+39+26</f>
        <v>98</v>
      </c>
    </row>
    <row r="17" spans="1:4" x14ac:dyDescent="0.2">
      <c r="A17" t="s">
        <v>17</v>
      </c>
      <c r="B17">
        <f>37+30+38</f>
        <v>105</v>
      </c>
    </row>
    <row r="18" spans="1:4" x14ac:dyDescent="0.2">
      <c r="C18" s="51"/>
      <c r="D18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showRuler="0" topLeftCell="I45" workbookViewId="0">
      <selection activeCell="I61" sqref="I61"/>
    </sheetView>
  </sheetViews>
  <sheetFormatPr baseColWidth="10" defaultRowHeight="16" x14ac:dyDescent="0.2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17" customWidth="1"/>
    <col min="11" max="11" width="12.1640625" style="218" customWidth="1"/>
    <col min="12" max="12" width="15.1640625" bestFit="1" customWidth="1"/>
    <col min="13" max="13" width="15.1640625" style="17" bestFit="1" customWidth="1"/>
  </cols>
  <sheetData>
    <row r="1" spans="1:13" x14ac:dyDescent="0.2">
      <c r="A1" s="215" t="s">
        <v>298</v>
      </c>
    </row>
    <row r="2" spans="1:13" s="52" customFormat="1" x14ac:dyDescent="0.2">
      <c r="A2" s="52" t="s">
        <v>80</v>
      </c>
      <c r="B2" s="52" t="s">
        <v>299</v>
      </c>
      <c r="C2" s="52" t="s">
        <v>300</v>
      </c>
      <c r="D2" s="52" t="s">
        <v>301</v>
      </c>
      <c r="J2" s="216"/>
      <c r="K2" s="219"/>
      <c r="M2" s="53"/>
    </row>
    <row r="23" spans="1:13" s="52" customFormat="1" ht="17" thickBot="1" x14ac:dyDescent="0.25">
      <c r="A23" s="215" t="s">
        <v>225</v>
      </c>
      <c r="J23" s="216"/>
      <c r="K23" s="219"/>
      <c r="M23" s="53"/>
    </row>
    <row r="24" spans="1:13" s="52" customFormat="1" ht="30" customHeight="1" x14ac:dyDescent="0.2">
      <c r="A24" s="202" t="s">
        <v>80</v>
      </c>
      <c r="B24" s="52" t="s">
        <v>226</v>
      </c>
      <c r="C24" s="52" t="s">
        <v>127</v>
      </c>
      <c r="D24" s="52" t="s">
        <v>128</v>
      </c>
      <c r="E24" s="52" t="s">
        <v>228</v>
      </c>
      <c r="F24" s="52" t="s">
        <v>229</v>
      </c>
      <c r="G24" s="52" t="s">
        <v>230</v>
      </c>
      <c r="H24" s="52" t="s">
        <v>231</v>
      </c>
      <c r="I24" s="52" t="s">
        <v>232</v>
      </c>
      <c r="J24" s="216" t="s">
        <v>233</v>
      </c>
      <c r="K24" s="220" t="s">
        <v>234</v>
      </c>
      <c r="L24" s="52" t="s">
        <v>254</v>
      </c>
      <c r="M24" s="53" t="s">
        <v>255</v>
      </c>
    </row>
    <row r="25" spans="1:13" s="52" customFormat="1" x14ac:dyDescent="0.2">
      <c r="A25" s="202"/>
      <c r="J25" s="216"/>
      <c r="K25" s="223" t="s">
        <v>243</v>
      </c>
      <c r="M25" s="53"/>
    </row>
    <row r="26" spans="1:13" x14ac:dyDescent="0.2">
      <c r="A26" s="16">
        <v>42901</v>
      </c>
      <c r="B26" t="s">
        <v>235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18">
        <f>(100000*800)/I26</f>
        <v>33.222591362126238</v>
      </c>
      <c r="K26" s="221">
        <f>13*J26</f>
        <v>431.89368770764111</v>
      </c>
    </row>
    <row r="27" spans="1:13" x14ac:dyDescent="0.2">
      <c r="A27" s="16">
        <v>42902</v>
      </c>
      <c r="B27" t="s">
        <v>235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18">
        <f>(100000*800)/I27</f>
        <v>33.670033670033668</v>
      </c>
      <c r="K27" s="221">
        <f>13*J27</f>
        <v>437.7104377104377</v>
      </c>
    </row>
    <row r="28" spans="1:13" x14ac:dyDescent="0.2">
      <c r="A28" s="16">
        <v>42903</v>
      </c>
      <c r="B28" t="s">
        <v>227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18">
        <f>(100000*800)/I28</f>
        <v>48.426150121065376</v>
      </c>
      <c r="K28" s="221">
        <f>13*J28</f>
        <v>629.53995157384986</v>
      </c>
    </row>
    <row r="29" spans="1:13" x14ac:dyDescent="0.2">
      <c r="A29" s="16">
        <v>42904</v>
      </c>
      <c r="B29" t="s">
        <v>236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18">
        <f t="shared" ref="J29:J42" si="2">(100000*800)/I29</f>
        <v>52.840158520475555</v>
      </c>
      <c r="K29" s="221">
        <f>13*J29</f>
        <v>686.9220607661822</v>
      </c>
    </row>
    <row r="30" spans="1:13" x14ac:dyDescent="0.2">
      <c r="A30" s="16"/>
      <c r="H30" s="17"/>
      <c r="I30" s="17"/>
      <c r="J30" s="218"/>
      <c r="K30" s="223" t="s">
        <v>242</v>
      </c>
    </row>
    <row r="31" spans="1:13" x14ac:dyDescent="0.2">
      <c r="A31" s="16">
        <v>42905</v>
      </c>
      <c r="B31" t="s">
        <v>241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18">
        <f t="shared" si="2"/>
        <v>38.910505836575872</v>
      </c>
      <c r="K31" s="222">
        <f>((100000*1000)/I31)*18</f>
        <v>875.48638132295719</v>
      </c>
    </row>
    <row r="32" spans="1:13" x14ac:dyDescent="0.2">
      <c r="A32" s="16">
        <v>42906</v>
      </c>
      <c r="B32" t="s">
        <v>244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18">
        <f t="shared" si="2"/>
        <v>37.002775208140612</v>
      </c>
      <c r="K32" s="222">
        <f t="shared" ref="K32:K42" si="3">((100000*1000)/I32)*18</f>
        <v>832.56244218316374</v>
      </c>
    </row>
    <row r="33" spans="1:15" x14ac:dyDescent="0.2">
      <c r="A33" s="16">
        <v>42908</v>
      </c>
      <c r="B33" t="s">
        <v>248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18">
        <f t="shared" si="2"/>
        <v>22.831050228310502</v>
      </c>
      <c r="K33" s="222">
        <f t="shared" si="3"/>
        <v>513.69863013698625</v>
      </c>
    </row>
    <row r="34" spans="1:15" x14ac:dyDescent="0.2">
      <c r="A34" s="16">
        <v>42909</v>
      </c>
      <c r="B34" t="s">
        <v>248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>AVERAGE(C34:G34)</f>
        <v>350.4</v>
      </c>
      <c r="I34" s="17">
        <f>(H34*9)/0.0009</f>
        <v>3504000</v>
      </c>
      <c r="J34" s="218">
        <f>(100000*800)/I34</f>
        <v>22.831050228310502</v>
      </c>
      <c r="K34" s="222">
        <f>((100000*1000)/I34)*18</f>
        <v>513.69863013698625</v>
      </c>
      <c r="L34" t="s">
        <v>265</v>
      </c>
    </row>
    <row r="35" spans="1:15" x14ac:dyDescent="0.2">
      <c r="A35" s="16">
        <v>42910</v>
      </c>
      <c r="B35" t="s">
        <v>267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18">
        <f t="shared" si="2"/>
        <v>44.052863436123346</v>
      </c>
      <c r="K35" s="222">
        <f t="shared" si="3"/>
        <v>991.18942731277525</v>
      </c>
    </row>
    <row r="36" spans="1:15" x14ac:dyDescent="0.2">
      <c r="A36" s="16">
        <v>42912</v>
      </c>
      <c r="B36" t="s">
        <v>249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18">
        <f t="shared" si="2"/>
        <v>22.922636103151863</v>
      </c>
      <c r="K36" s="222">
        <f t="shared" si="3"/>
        <v>515.75931232091693</v>
      </c>
    </row>
    <row r="37" spans="1:15" x14ac:dyDescent="0.2">
      <c r="A37" s="16">
        <v>42914</v>
      </c>
      <c r="B37" t="s">
        <v>251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18">
        <f t="shared" si="2"/>
        <v>26.702269692923899</v>
      </c>
      <c r="K37" s="222">
        <f t="shared" si="3"/>
        <v>600.80106809078768</v>
      </c>
    </row>
    <row r="38" spans="1:15" x14ac:dyDescent="0.2">
      <c r="A38" s="16">
        <v>42915</v>
      </c>
      <c r="B38" t="s">
        <v>253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18">
        <f t="shared" si="2"/>
        <v>76.775431861804208</v>
      </c>
      <c r="K38" s="222">
        <f t="shared" si="3"/>
        <v>1727.4472168905947</v>
      </c>
      <c r="L38">
        <v>1900</v>
      </c>
      <c r="M38" s="17">
        <f>L38*I38/19.7</f>
        <v>100497461.92893402</v>
      </c>
    </row>
    <row r="39" spans="1:15" x14ac:dyDescent="0.2">
      <c r="A39" s="16">
        <v>42917</v>
      </c>
      <c r="B39" t="s">
        <v>256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17">
        <f t="shared" si="2"/>
        <v>77.777777777777771</v>
      </c>
      <c r="K39" s="221">
        <f t="shared" si="3"/>
        <v>1749.9999999999998</v>
      </c>
      <c r="L39" s="150">
        <f>(M39*I39)/(18+M39/1000)</f>
        <v>98205312.275664046</v>
      </c>
      <c r="M39" s="17">
        <v>1900</v>
      </c>
      <c r="N39">
        <v>114</v>
      </c>
      <c r="O39">
        <v>108</v>
      </c>
    </row>
    <row r="40" spans="1:15" x14ac:dyDescent="0.2">
      <c r="A40" s="16">
        <v>42919</v>
      </c>
      <c r="B40" t="s">
        <v>261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17">
        <f t="shared" si="2"/>
        <v>22.818026240730177</v>
      </c>
      <c r="K40" s="221">
        <f t="shared" si="3"/>
        <v>513.40559041642894</v>
      </c>
      <c r="L40" s="150">
        <f>(M40*I40)/(18+M40/1000)</f>
        <v>0</v>
      </c>
    </row>
    <row r="41" spans="1:15" x14ac:dyDescent="0.2">
      <c r="A41" s="16">
        <v>42921</v>
      </c>
      <c r="B41" t="s">
        <v>263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17">
        <f t="shared" si="2"/>
        <v>31.176929072486359</v>
      </c>
      <c r="K41" s="221">
        <f t="shared" si="3"/>
        <v>701.48090413094314</v>
      </c>
    </row>
    <row r="42" spans="1:15" x14ac:dyDescent="0.2">
      <c r="A42" s="16">
        <v>42922</v>
      </c>
      <c r="B42" t="s">
        <v>263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17">
        <f t="shared" si="2"/>
        <v>50.505050505050498</v>
      </c>
      <c r="K42" s="221">
        <f t="shared" si="3"/>
        <v>1136.3636363636363</v>
      </c>
    </row>
    <row r="43" spans="1:15" x14ac:dyDescent="0.2">
      <c r="A43" s="16">
        <v>42924</v>
      </c>
      <c r="B43" t="s">
        <v>306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17">
        <f>(100000*800)/I43</f>
        <v>41.594454072790292</v>
      </c>
      <c r="K43" s="221">
        <f>((100000*1000)/I43)*18</f>
        <v>935.87521663778148</v>
      </c>
      <c r="L43">
        <v>1000</v>
      </c>
    </row>
    <row r="44" spans="1:15" x14ac:dyDescent="0.2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1"/>
    </row>
    <row r="45" spans="1:15" x14ac:dyDescent="0.2">
      <c r="A45" s="16"/>
      <c r="J45" s="270"/>
      <c r="K45" s="271"/>
      <c r="L45" s="23"/>
      <c r="M45" s="116"/>
    </row>
    <row r="46" spans="1:15" x14ac:dyDescent="0.2">
      <c r="A46" s="16"/>
      <c r="C46">
        <f>(44*B44)</f>
        <v>160</v>
      </c>
      <c r="J46" s="270"/>
      <c r="K46" s="271"/>
      <c r="L46" s="23"/>
      <c r="M46" s="116"/>
    </row>
    <row r="47" spans="1:15" x14ac:dyDescent="0.2">
      <c r="A47" s="16"/>
      <c r="J47" s="270"/>
      <c r="K47" s="271"/>
      <c r="L47" s="23"/>
      <c r="M47" s="116"/>
    </row>
    <row r="48" spans="1:15" x14ac:dyDescent="0.2">
      <c r="A48" s="16"/>
      <c r="J48" s="270"/>
      <c r="K48" s="271"/>
      <c r="L48" s="23"/>
      <c r="M48" s="116"/>
    </row>
    <row r="49" spans="1:14" ht="17" thickBot="1" x14ac:dyDescent="0.25">
      <c r="A49" s="268" t="s">
        <v>309</v>
      </c>
      <c r="J49" s="270"/>
      <c r="K49" s="271"/>
      <c r="L49" s="23"/>
      <c r="M49" s="116"/>
    </row>
    <row r="50" spans="1:14" s="217" customFormat="1" ht="46" customHeight="1" x14ac:dyDescent="0.2">
      <c r="A50" s="269" t="s">
        <v>310</v>
      </c>
      <c r="B50" s="217" t="s">
        <v>311</v>
      </c>
      <c r="C50" s="217" t="s">
        <v>319</v>
      </c>
      <c r="D50" s="217" t="s">
        <v>320</v>
      </c>
      <c r="E50" s="217" t="s">
        <v>321</v>
      </c>
      <c r="F50" s="217" t="s">
        <v>312</v>
      </c>
      <c r="G50" s="217" t="s">
        <v>313</v>
      </c>
      <c r="H50" s="217" t="s">
        <v>322</v>
      </c>
      <c r="I50" s="217" t="s">
        <v>323</v>
      </c>
      <c r="J50" s="274"/>
      <c r="K50" s="351" t="s">
        <v>382</v>
      </c>
      <c r="L50" s="275" t="s">
        <v>326</v>
      </c>
      <c r="M50" s="276" t="s">
        <v>327</v>
      </c>
      <c r="N50" s="271"/>
    </row>
    <row r="51" spans="1:14" x14ac:dyDescent="0.2">
      <c r="A51" t="s">
        <v>74</v>
      </c>
      <c r="B51" t="s">
        <v>314</v>
      </c>
      <c r="C51">
        <v>160</v>
      </c>
      <c r="D51">
        <v>45</v>
      </c>
      <c r="E51">
        <v>30</v>
      </c>
      <c r="F51">
        <v>2</v>
      </c>
      <c r="G51">
        <v>1</v>
      </c>
      <c r="H51" s="103">
        <f>SUM(F51:G51)/(C51-D51-E51)</f>
        <v>3.5294117647058823E-2</v>
      </c>
      <c r="J51" s="277" t="s">
        <v>74</v>
      </c>
      <c r="K51" s="303">
        <f>SUM(F51:G55)</f>
        <v>31</v>
      </c>
      <c r="L51" s="272">
        <f>AVERAGE(H51:H55)</f>
        <v>7.2969187675070019E-2</v>
      </c>
      <c r="M51" s="278">
        <f>SUM(F51:G54)/800</f>
        <v>0.03</v>
      </c>
      <c r="N51" s="116"/>
    </row>
    <row r="52" spans="1:14" x14ac:dyDescent="0.2">
      <c r="A52" t="s">
        <v>74</v>
      </c>
      <c r="B52" t="s">
        <v>315</v>
      </c>
      <c r="C52">
        <v>160</v>
      </c>
      <c r="D52">
        <v>45</v>
      </c>
      <c r="E52">
        <v>31</v>
      </c>
      <c r="F52">
        <v>0</v>
      </c>
      <c r="G52">
        <v>1</v>
      </c>
      <c r="H52" s="103">
        <f t="shared" ref="H52:H70" si="4">SUM(F52:G52)/(C52-D52-E52)</f>
        <v>1.1904761904761904E-2</v>
      </c>
      <c r="J52" s="279" t="s">
        <v>77</v>
      </c>
      <c r="K52" s="352">
        <f>SUM(F56:G60)</f>
        <v>275</v>
      </c>
      <c r="L52" s="272">
        <f>AVERAGE(H56:H60)</f>
        <v>0.64705882352941191</v>
      </c>
      <c r="M52" s="278">
        <f>SUM(F56:G60)/800</f>
        <v>0.34375</v>
      </c>
      <c r="N52" s="116"/>
    </row>
    <row r="53" spans="1:14" x14ac:dyDescent="0.2">
      <c r="A53" t="s">
        <v>74</v>
      </c>
      <c r="B53" t="s">
        <v>316</v>
      </c>
      <c r="C53">
        <v>160</v>
      </c>
      <c r="D53">
        <v>45</v>
      </c>
      <c r="E53">
        <v>30</v>
      </c>
      <c r="F53">
        <v>0</v>
      </c>
      <c r="G53">
        <v>0</v>
      </c>
      <c r="H53" s="103">
        <f t="shared" si="4"/>
        <v>0</v>
      </c>
      <c r="J53" s="279" t="s">
        <v>86</v>
      </c>
      <c r="K53" s="352">
        <f>SUM(F61:G65)</f>
        <v>4</v>
      </c>
      <c r="L53" s="273">
        <f>AVERAGE(H61:H65)</f>
        <v>9.4117647058823521E-3</v>
      </c>
      <c r="M53" s="278">
        <f>SUM(F61:G65)/800</f>
        <v>5.0000000000000001E-3</v>
      </c>
      <c r="N53" s="116"/>
    </row>
    <row r="54" spans="1:14" ht="17" thickBot="1" x14ac:dyDescent="0.25">
      <c r="A54" t="s">
        <v>74</v>
      </c>
      <c r="B54" t="s">
        <v>317</v>
      </c>
      <c r="C54">
        <v>160</v>
      </c>
      <c r="D54">
        <v>45</v>
      </c>
      <c r="E54">
        <v>30</v>
      </c>
      <c r="F54">
        <v>17</v>
      </c>
      <c r="G54">
        <v>3</v>
      </c>
      <c r="H54" s="103">
        <f t="shared" si="4"/>
        <v>0.23529411764705882</v>
      </c>
      <c r="J54" s="280" t="s">
        <v>87</v>
      </c>
      <c r="K54" s="353">
        <f>SUM(F66:G70)</f>
        <v>96</v>
      </c>
      <c r="L54" s="281">
        <f>AVERAGE(H66:H70)</f>
        <v>0.22588235294117648</v>
      </c>
      <c r="M54" s="282">
        <f>SUM(F66:G70)/800</f>
        <v>0.12</v>
      </c>
      <c r="N54" s="116"/>
    </row>
    <row r="55" spans="1:14" x14ac:dyDescent="0.2">
      <c r="A55" t="s">
        <v>74</v>
      </c>
      <c r="B55" t="s">
        <v>318</v>
      </c>
      <c r="C55">
        <v>160</v>
      </c>
      <c r="D55">
        <v>45</v>
      </c>
      <c r="E55">
        <v>30</v>
      </c>
      <c r="F55">
        <v>7</v>
      </c>
      <c r="G55">
        <v>0</v>
      </c>
      <c r="H55" s="103">
        <f t="shared" si="4"/>
        <v>8.2352941176470587E-2</v>
      </c>
      <c r="J55" s="270"/>
      <c r="K55" s="271"/>
      <c r="L55" s="23"/>
      <c r="M55" s="116"/>
    </row>
    <row r="56" spans="1:14" x14ac:dyDescent="0.2">
      <c r="A56" t="s">
        <v>77</v>
      </c>
      <c r="B56" t="s">
        <v>314</v>
      </c>
      <c r="C56">
        <v>160</v>
      </c>
      <c r="D56">
        <v>45</v>
      </c>
      <c r="E56">
        <v>30</v>
      </c>
      <c r="F56">
        <v>25</v>
      </c>
      <c r="G56">
        <v>17</v>
      </c>
      <c r="H56" s="103">
        <f t="shared" si="4"/>
        <v>0.49411764705882355</v>
      </c>
      <c r="J56" s="270"/>
      <c r="K56" s="271"/>
      <c r="L56" s="23"/>
      <c r="M56" s="116"/>
    </row>
    <row r="57" spans="1:14" x14ac:dyDescent="0.2">
      <c r="A57" t="s">
        <v>77</v>
      </c>
      <c r="B57" t="s">
        <v>315</v>
      </c>
      <c r="C57">
        <v>160</v>
      </c>
      <c r="D57">
        <v>45</v>
      </c>
      <c r="E57">
        <v>30</v>
      </c>
      <c r="F57">
        <v>51</v>
      </c>
      <c r="G57">
        <v>20</v>
      </c>
      <c r="H57" s="103">
        <f t="shared" si="4"/>
        <v>0.83529411764705885</v>
      </c>
      <c r="J57" s="270"/>
      <c r="K57" s="271"/>
      <c r="L57" s="23"/>
      <c r="M57" s="116"/>
    </row>
    <row r="58" spans="1:14" x14ac:dyDescent="0.2">
      <c r="A58" t="s">
        <v>77</v>
      </c>
      <c r="B58" t="s">
        <v>316</v>
      </c>
      <c r="C58">
        <v>160</v>
      </c>
      <c r="D58">
        <v>45</v>
      </c>
      <c r="E58">
        <v>30</v>
      </c>
      <c r="F58">
        <v>120</v>
      </c>
      <c r="G58">
        <v>33</v>
      </c>
      <c r="H58" s="103">
        <f>SUM(F58:G58)/(C58-D58-E58)</f>
        <v>1.8</v>
      </c>
      <c r="J58" s="270"/>
      <c r="K58" s="271"/>
      <c r="L58" s="23"/>
      <c r="M58" s="116"/>
    </row>
    <row r="59" spans="1:14" x14ac:dyDescent="0.2">
      <c r="A59" t="s">
        <v>77</v>
      </c>
      <c r="B59" t="s">
        <v>317</v>
      </c>
      <c r="C59">
        <v>160</v>
      </c>
      <c r="D59">
        <v>45</v>
      </c>
      <c r="E59">
        <v>30</v>
      </c>
      <c r="F59">
        <v>9</v>
      </c>
      <c r="G59">
        <v>0</v>
      </c>
      <c r="H59" s="103">
        <f t="shared" si="4"/>
        <v>0.10588235294117647</v>
      </c>
      <c r="J59" s="270"/>
      <c r="K59" s="271"/>
      <c r="L59" s="23"/>
      <c r="M59" s="116"/>
    </row>
    <row r="60" spans="1:14" x14ac:dyDescent="0.2">
      <c r="A60" t="s">
        <v>77</v>
      </c>
      <c r="B60" t="s">
        <v>318</v>
      </c>
      <c r="C60">
        <v>160</v>
      </c>
      <c r="D60">
        <v>45</v>
      </c>
      <c r="E60">
        <v>30</v>
      </c>
      <c r="F60">
        <v>0</v>
      </c>
      <c r="G60">
        <v>0</v>
      </c>
      <c r="H60" s="103">
        <f t="shared" si="4"/>
        <v>0</v>
      </c>
    </row>
    <row r="61" spans="1:14" x14ac:dyDescent="0.2">
      <c r="A61" t="s">
        <v>73</v>
      </c>
      <c r="B61" t="s">
        <v>314</v>
      </c>
      <c r="C61">
        <v>160</v>
      </c>
      <c r="D61">
        <v>45</v>
      </c>
      <c r="E61">
        <v>30</v>
      </c>
      <c r="F61">
        <v>0</v>
      </c>
      <c r="G61">
        <v>0</v>
      </c>
      <c r="H61" s="103">
        <f t="shared" si="4"/>
        <v>0</v>
      </c>
    </row>
    <row r="62" spans="1:14" x14ac:dyDescent="0.2">
      <c r="A62" t="s">
        <v>73</v>
      </c>
      <c r="B62" t="s">
        <v>315</v>
      </c>
      <c r="C62">
        <v>160</v>
      </c>
      <c r="D62">
        <v>45</v>
      </c>
      <c r="E62">
        <v>30</v>
      </c>
      <c r="F62">
        <v>0</v>
      </c>
      <c r="G62">
        <v>0</v>
      </c>
      <c r="H62" s="103">
        <f t="shared" si="4"/>
        <v>0</v>
      </c>
      <c r="I62" t="s">
        <v>324</v>
      </c>
    </row>
    <row r="63" spans="1:14" x14ac:dyDescent="0.2">
      <c r="A63" t="s">
        <v>73</v>
      </c>
      <c r="B63" t="s">
        <v>316</v>
      </c>
      <c r="C63">
        <v>160</v>
      </c>
      <c r="D63">
        <v>45</v>
      </c>
      <c r="E63">
        <v>16</v>
      </c>
      <c r="F63">
        <v>0</v>
      </c>
      <c r="G63">
        <v>0</v>
      </c>
      <c r="H63" s="103">
        <f t="shared" si="4"/>
        <v>0</v>
      </c>
      <c r="I63" t="s">
        <v>324</v>
      </c>
    </row>
    <row r="64" spans="1:14" x14ac:dyDescent="0.2">
      <c r="A64" t="s">
        <v>73</v>
      </c>
      <c r="B64" t="s">
        <v>317</v>
      </c>
      <c r="C64">
        <v>160</v>
      </c>
      <c r="D64">
        <v>45</v>
      </c>
      <c r="E64">
        <v>30</v>
      </c>
      <c r="F64">
        <v>0</v>
      </c>
      <c r="G64">
        <v>0</v>
      </c>
      <c r="H64" s="103">
        <f t="shared" si="4"/>
        <v>0</v>
      </c>
    </row>
    <row r="65" spans="1:9" x14ac:dyDescent="0.2">
      <c r="A65" t="s">
        <v>73</v>
      </c>
      <c r="B65" t="s">
        <v>318</v>
      </c>
      <c r="C65">
        <v>160</v>
      </c>
      <c r="D65">
        <v>45</v>
      </c>
      <c r="E65">
        <v>30</v>
      </c>
      <c r="F65">
        <v>4</v>
      </c>
      <c r="G65">
        <v>0</v>
      </c>
      <c r="H65" s="103">
        <f t="shared" si="4"/>
        <v>4.7058823529411764E-2</v>
      </c>
    </row>
    <row r="66" spans="1:9" x14ac:dyDescent="0.2">
      <c r="A66" t="s">
        <v>72</v>
      </c>
      <c r="B66" t="s">
        <v>314</v>
      </c>
      <c r="C66">
        <v>160</v>
      </c>
      <c r="D66">
        <v>45</v>
      </c>
      <c r="E66">
        <v>30</v>
      </c>
      <c r="F66">
        <v>2</v>
      </c>
      <c r="G66">
        <v>3</v>
      </c>
      <c r="H66" s="103">
        <f t="shared" si="4"/>
        <v>5.8823529411764705E-2</v>
      </c>
    </row>
    <row r="67" spans="1:9" x14ac:dyDescent="0.2">
      <c r="A67" t="s">
        <v>72</v>
      </c>
      <c r="B67" t="s">
        <v>315</v>
      </c>
      <c r="C67">
        <v>160</v>
      </c>
      <c r="D67">
        <v>45</v>
      </c>
      <c r="E67">
        <v>30</v>
      </c>
      <c r="F67">
        <v>19</v>
      </c>
      <c r="G67">
        <v>5</v>
      </c>
      <c r="H67" s="103">
        <f t="shared" si="4"/>
        <v>0.28235294117647058</v>
      </c>
    </row>
    <row r="68" spans="1:9" x14ac:dyDescent="0.2">
      <c r="A68" t="s">
        <v>72</v>
      </c>
      <c r="B68" t="s">
        <v>316</v>
      </c>
      <c r="C68">
        <v>160</v>
      </c>
      <c r="D68">
        <v>45</v>
      </c>
      <c r="E68">
        <v>30</v>
      </c>
      <c r="F68">
        <v>40</v>
      </c>
      <c r="G68">
        <v>22</v>
      </c>
      <c r="H68" s="103">
        <f t="shared" si="4"/>
        <v>0.72941176470588232</v>
      </c>
    </row>
    <row r="69" spans="1:9" x14ac:dyDescent="0.2">
      <c r="A69" t="s">
        <v>72</v>
      </c>
      <c r="B69" t="s">
        <v>317</v>
      </c>
      <c r="C69">
        <v>160</v>
      </c>
      <c r="D69">
        <v>45</v>
      </c>
      <c r="E69">
        <v>30</v>
      </c>
      <c r="F69">
        <v>3</v>
      </c>
      <c r="G69">
        <v>2</v>
      </c>
      <c r="H69" s="103">
        <f t="shared" si="4"/>
        <v>5.8823529411764705E-2</v>
      </c>
    </row>
    <row r="70" spans="1:9" x14ac:dyDescent="0.2">
      <c r="A70" t="s">
        <v>72</v>
      </c>
      <c r="B70" t="s">
        <v>318</v>
      </c>
      <c r="C70">
        <v>160</v>
      </c>
      <c r="D70">
        <v>45</v>
      </c>
      <c r="E70">
        <v>4</v>
      </c>
      <c r="F70">
        <v>0</v>
      </c>
      <c r="G70">
        <v>0</v>
      </c>
      <c r="H70" s="103">
        <f t="shared" si="4"/>
        <v>0</v>
      </c>
      <c r="I70" t="s">
        <v>325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showRuler="0" workbookViewId="0">
      <selection activeCell="J152" sqref="J152"/>
    </sheetView>
  </sheetViews>
  <sheetFormatPr baseColWidth="10" defaultRowHeight="16" x14ac:dyDescent="0.2"/>
  <sheetData>
    <row r="1" spans="1:2" x14ac:dyDescent="0.2">
      <c r="A1" t="s">
        <v>80</v>
      </c>
      <c r="B1" t="s">
        <v>266</v>
      </c>
    </row>
    <row r="2" spans="1:2" x14ac:dyDescent="0.2">
      <c r="A2" s="247">
        <v>42908</v>
      </c>
      <c r="B2">
        <v>17</v>
      </c>
    </row>
    <row r="3" spans="1:2" x14ac:dyDescent="0.2">
      <c r="A3" s="247">
        <v>42909</v>
      </c>
      <c r="B3">
        <v>17</v>
      </c>
    </row>
    <row r="4" spans="1:2" x14ac:dyDescent="0.2">
      <c r="A4" s="247">
        <v>42910</v>
      </c>
      <c r="B4">
        <v>17.5</v>
      </c>
    </row>
    <row r="5" spans="1:2" x14ac:dyDescent="0.2">
      <c r="A5" s="247">
        <v>42914</v>
      </c>
      <c r="B5">
        <v>16.7</v>
      </c>
    </row>
    <row r="6" spans="1:2" x14ac:dyDescent="0.2">
      <c r="A6" s="247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Ruler="0" topLeftCell="N144" zoomScale="75" zoomScaleNormal="75" zoomScalePageLayoutView="75" workbookViewId="0">
      <selection activeCell="J152" sqref="J152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Summary-info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9-month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dcterms:created xsi:type="dcterms:W3CDTF">2017-05-24T04:00:27Z</dcterms:created>
  <dcterms:modified xsi:type="dcterms:W3CDTF">2018-12-07T03:44:40Z</dcterms:modified>
</cp:coreProperties>
</file>