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60" yWindow="0" windowWidth="24640" windowHeight="15460" tabRatio="1000" activeTab="1"/>
  </bookViews>
  <sheets>
    <sheet name="Collection" sheetId="1" r:id="rId1"/>
    <sheet name="Bucket Counts" sheetId="2" r:id="rId2"/>
    <sheet name="Total Larvae to Date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5" i="4" l="1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I118" i="4"/>
  <c r="I117" i="4"/>
  <c r="I116" i="4"/>
  <c r="I115" i="4"/>
  <c r="I113" i="4"/>
  <c r="I112" i="4"/>
  <c r="I111" i="4"/>
  <c r="I110" i="4"/>
  <c r="I125" i="4"/>
  <c r="I124" i="4"/>
  <c r="I123" i="4"/>
  <c r="I122" i="4"/>
  <c r="I121" i="4"/>
  <c r="I120" i="4"/>
  <c r="I119" i="4"/>
  <c r="I114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X10" i="4"/>
  <c r="W13" i="4"/>
  <c r="W12" i="4"/>
  <c r="W11" i="4"/>
  <c r="W10" i="4"/>
  <c r="X13" i="4"/>
  <c r="X12" i="4"/>
  <c r="X11" i="4"/>
  <c r="K53" i="10"/>
  <c r="K54" i="10"/>
  <c r="K52" i="10"/>
  <c r="K51" i="10"/>
  <c r="L51" i="4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L28" i="4"/>
  <c r="L29" i="4"/>
  <c r="M2" i="4"/>
  <c r="N2" i="4"/>
  <c r="O2" i="4"/>
  <c r="Q2" i="4"/>
  <c r="X2" i="4"/>
  <c r="Q72" i="4"/>
  <c r="R2" i="4"/>
  <c r="W2" i="4"/>
  <c r="V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Q83" i="4"/>
  <c r="P13" i="4"/>
  <c r="R13" i="4"/>
  <c r="L47" i="4"/>
  <c r="M13" i="4"/>
  <c r="N13" i="4"/>
  <c r="Q13" i="4"/>
  <c r="V13" i="4"/>
  <c r="Q82" i="4"/>
  <c r="P12" i="4"/>
  <c r="R12" i="4"/>
  <c r="L46" i="4"/>
  <c r="M12" i="4"/>
  <c r="N12" i="4"/>
  <c r="O12" i="4"/>
  <c r="Q12" i="4"/>
  <c r="V12" i="4"/>
  <c r="Q81" i="4"/>
  <c r="P11" i="4"/>
  <c r="R11" i="4"/>
  <c r="L45" i="4"/>
  <c r="M11" i="4"/>
  <c r="N11" i="4"/>
  <c r="O11" i="4"/>
  <c r="Q11" i="4"/>
  <c r="V11" i="4"/>
  <c r="Q80" i="4"/>
  <c r="P10" i="4"/>
  <c r="R10" i="4"/>
  <c r="L44" i="4"/>
  <c r="M10" i="4"/>
  <c r="N10" i="4"/>
  <c r="Q10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C5" i="4"/>
  <c r="K3" i="4"/>
  <c r="AD389" i="2"/>
  <c r="AD513" i="2"/>
  <c r="AD581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AC829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25" i="2"/>
  <c r="Z633" i="2"/>
  <c r="Z629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19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P442" i="2"/>
  <c r="P441" i="2"/>
  <c r="P440" i="2"/>
  <c r="P346" i="2"/>
  <c r="Q345" i="2"/>
  <c r="Q346" i="2"/>
  <c r="P345" i="2"/>
  <c r="AC573" i="2"/>
  <c r="AC577" i="2"/>
  <c r="AC585" i="2"/>
  <c r="AC589" i="2"/>
  <c r="AC593" i="2"/>
  <c r="AC597" i="2"/>
  <c r="AC601" i="2"/>
  <c r="AC605" i="2"/>
  <c r="AC609" i="2"/>
  <c r="AC613" i="2"/>
  <c r="AC617" i="2"/>
  <c r="AC621" i="2"/>
  <c r="AC629" i="2"/>
  <c r="AC633" i="2"/>
  <c r="AD573" i="2"/>
  <c r="AC381" i="2"/>
  <c r="AC385" i="2"/>
  <c r="AC393" i="2"/>
  <c r="AC397" i="2"/>
  <c r="AC401" i="2"/>
  <c r="AC405" i="2"/>
  <c r="AC409" i="2"/>
  <c r="AC413" i="2"/>
  <c r="AC417" i="2"/>
  <c r="AC421" i="2"/>
  <c r="AC425" i="2"/>
  <c r="AC429" i="2"/>
  <c r="AC433" i="2"/>
  <c r="AC437" i="2"/>
  <c r="AD381" i="2"/>
  <c r="AC317" i="2"/>
  <c r="AC321" i="2"/>
  <c r="AC325" i="2"/>
  <c r="AC329" i="2"/>
  <c r="AC333" i="2"/>
  <c r="AC337" i="2"/>
  <c r="AC341" i="2"/>
  <c r="AC345" i="2"/>
  <c r="AC349" i="2"/>
  <c r="AC353" i="2"/>
  <c r="AC357" i="2"/>
  <c r="AC361" i="2"/>
  <c r="AC365" i="2"/>
  <c r="AC369" i="2"/>
  <c r="AC373" i="2"/>
  <c r="AC377" i="2"/>
  <c r="AD317" i="2"/>
  <c r="AC253" i="2"/>
  <c r="AC257" i="2"/>
  <c r="AC261" i="2"/>
  <c r="AC265" i="2"/>
  <c r="AC269" i="2"/>
  <c r="AC273" i="2"/>
  <c r="AC277" i="2"/>
  <c r="AC281" i="2"/>
  <c r="AC285" i="2"/>
  <c r="AC289" i="2"/>
  <c r="AC293" i="2"/>
  <c r="AC297" i="2"/>
  <c r="AC301" i="2"/>
  <c r="AC305" i="2"/>
  <c r="AC309" i="2"/>
  <c r="AC313" i="2"/>
  <c r="AD253" i="2"/>
  <c r="AC193" i="2"/>
  <c r="AC197" i="2"/>
  <c r="AC201" i="2"/>
  <c r="AC205" i="2"/>
  <c r="AC209" i="2"/>
  <c r="AC213" i="2"/>
  <c r="AC217" i="2"/>
  <c r="AC221" i="2"/>
  <c r="AC225" i="2"/>
  <c r="AC229" i="2"/>
  <c r="AC233" i="2"/>
  <c r="AC237" i="2"/>
  <c r="AC241" i="2"/>
  <c r="AC245" i="2"/>
  <c r="AC249" i="2"/>
  <c r="AD193" i="2"/>
  <c r="AA805" i="2"/>
  <c r="Y829" i="2"/>
  <c r="AB829" i="2"/>
  <c r="Y717" i="2"/>
  <c r="AB717" i="2"/>
  <c r="AC717" i="2"/>
  <c r="Y681" i="2"/>
  <c r="AB681" i="2"/>
  <c r="AC681" i="2"/>
  <c r="AC701" i="2"/>
  <c r="AC705" i="2"/>
  <c r="AC709" i="2"/>
  <c r="AC713" i="2"/>
  <c r="AC721" i="2"/>
  <c r="AC725" i="2"/>
  <c r="AC729" i="2"/>
  <c r="AC733" i="2"/>
  <c r="AC737" i="2"/>
  <c r="AC741" i="2"/>
  <c r="AC745" i="2"/>
  <c r="AC749" i="2"/>
  <c r="AC753" i="2"/>
  <c r="AC757" i="2"/>
  <c r="AC761" i="2"/>
  <c r="AC389" i="2"/>
  <c r="AC441" i="2"/>
  <c r="AC445" i="2"/>
  <c r="AC449" i="2"/>
  <c r="AC453" i="2"/>
  <c r="AC457" i="2"/>
  <c r="AC461" i="2"/>
  <c r="AC465" i="2"/>
  <c r="AC469" i="2"/>
  <c r="AC473" i="2"/>
  <c r="AC477" i="2"/>
  <c r="AC481" i="2"/>
  <c r="AC485" i="2"/>
  <c r="AC489" i="2"/>
  <c r="AC493" i="2"/>
  <c r="AC497" i="2"/>
  <c r="AC501" i="2"/>
  <c r="AC505" i="2"/>
  <c r="AC509" i="2"/>
  <c r="AC513" i="2"/>
  <c r="AC517" i="2"/>
  <c r="AC521" i="2"/>
  <c r="AC525" i="2"/>
  <c r="AC529" i="2"/>
  <c r="AC533" i="2"/>
  <c r="AC537" i="2"/>
  <c r="AC541" i="2"/>
  <c r="AC545" i="2"/>
  <c r="AC549" i="2"/>
  <c r="AC553" i="2"/>
  <c r="AC557" i="2"/>
  <c r="AC561" i="2"/>
  <c r="AC565" i="2"/>
  <c r="AC569" i="2"/>
  <c r="AC581" i="2"/>
  <c r="AC625" i="2"/>
  <c r="AC637" i="2"/>
  <c r="AC641" i="2"/>
  <c r="AC645" i="2"/>
  <c r="AC649" i="2"/>
  <c r="AC653" i="2"/>
  <c r="AC657" i="2"/>
  <c r="AC661" i="2"/>
  <c r="AC665" i="2"/>
  <c r="AC669" i="2"/>
  <c r="AC673" i="2"/>
  <c r="AC677" i="2"/>
  <c r="AC685" i="2"/>
  <c r="AC689" i="2"/>
  <c r="AC693" i="2"/>
  <c r="AC697" i="2"/>
  <c r="AC765" i="2"/>
  <c r="AC769" i="2"/>
  <c r="AC773" i="2"/>
  <c r="AC777" i="2"/>
  <c r="AC781" i="2"/>
  <c r="AC785" i="2"/>
  <c r="AC789" i="2"/>
  <c r="AC793" i="2"/>
  <c r="AC797" i="2"/>
  <c r="AC801" i="2"/>
  <c r="AC805" i="2"/>
  <c r="AC809" i="2"/>
  <c r="AC813" i="2"/>
  <c r="AC817" i="2"/>
  <c r="AC821" i="2"/>
  <c r="AC825" i="2"/>
  <c r="AC833" i="2"/>
  <c r="AC837" i="2"/>
  <c r="AC841" i="2"/>
  <c r="AC845" i="2"/>
  <c r="AC849" i="2"/>
  <c r="AC853" i="2"/>
  <c r="AC857" i="2"/>
  <c r="AC861" i="2"/>
  <c r="AC865" i="2"/>
  <c r="AC869" i="2"/>
  <c r="AC873" i="2"/>
  <c r="AC877" i="2"/>
  <c r="AC881" i="2"/>
  <c r="AC885" i="2"/>
  <c r="AC889" i="2"/>
  <c r="AC893" i="2"/>
  <c r="AC897" i="2"/>
  <c r="AC901" i="2"/>
  <c r="AC905" i="2"/>
  <c r="AC909" i="2"/>
  <c r="AC913" i="2"/>
  <c r="AC917" i="2"/>
  <c r="AC921" i="2"/>
  <c r="AC925" i="2"/>
  <c r="AC929" i="2"/>
  <c r="AA925" i="2"/>
  <c r="Y925" i="2"/>
  <c r="AB925" i="2"/>
  <c r="AA921" i="2"/>
  <c r="Y921" i="2"/>
  <c r="AB921" i="2"/>
  <c r="AA917" i="2"/>
  <c r="Y917" i="2"/>
  <c r="AB917" i="2"/>
  <c r="AB913" i="2"/>
  <c r="AA913" i="2"/>
  <c r="Y913" i="2"/>
  <c r="AA909" i="2"/>
  <c r="Y909" i="2"/>
  <c r="AB909" i="2"/>
  <c r="AA905" i="2"/>
  <c r="Y905" i="2"/>
  <c r="AB905" i="2"/>
  <c r="AA901" i="2"/>
  <c r="Y901" i="2"/>
  <c r="AB901" i="2"/>
  <c r="AA897" i="2"/>
  <c r="Y897" i="2"/>
  <c r="AB897" i="2"/>
  <c r="AA893" i="2"/>
  <c r="Y893" i="2"/>
  <c r="AB893" i="2"/>
  <c r="AA889" i="2"/>
  <c r="Y889" i="2"/>
  <c r="AB889" i="2"/>
  <c r="AA885" i="2"/>
  <c r="Y885" i="2"/>
  <c r="AB885" i="2"/>
  <c r="AA881" i="2"/>
  <c r="Y881" i="2"/>
  <c r="AB881" i="2"/>
  <c r="AB877" i="2"/>
  <c r="AA877" i="2"/>
  <c r="Y877" i="2"/>
  <c r="AA873" i="2"/>
  <c r="Y873" i="2"/>
  <c r="AB873" i="2"/>
  <c r="AA869" i="2"/>
  <c r="Y869" i="2"/>
  <c r="AB869" i="2"/>
  <c r="AA865" i="2"/>
  <c r="Y865" i="2"/>
  <c r="AB865" i="2"/>
  <c r="AA861" i="2"/>
  <c r="Y861" i="2"/>
  <c r="AB861" i="2"/>
  <c r="AA857" i="2"/>
  <c r="Y857" i="2"/>
  <c r="AB857" i="2"/>
  <c r="AA853" i="2"/>
  <c r="Y853" i="2"/>
  <c r="AB853" i="2"/>
  <c r="AA849" i="2"/>
  <c r="Y849" i="2"/>
  <c r="AB849" i="2"/>
  <c r="AA845" i="2"/>
  <c r="Y845" i="2"/>
  <c r="AB845" i="2"/>
  <c r="AA841" i="2"/>
  <c r="Y841" i="2"/>
  <c r="AB841" i="2"/>
  <c r="AA837" i="2"/>
  <c r="Y837" i="2"/>
  <c r="AB837" i="2"/>
  <c r="AA833" i="2"/>
  <c r="Y833" i="2"/>
  <c r="AB833" i="2"/>
  <c r="AA829" i="2"/>
  <c r="AA825" i="2"/>
  <c r="Y825" i="2"/>
  <c r="AB825" i="2"/>
  <c r="Y821" i="2"/>
  <c r="AB821" i="2"/>
  <c r="AA821" i="2"/>
  <c r="AA817" i="2"/>
  <c r="Y817" i="2"/>
  <c r="AB817" i="2"/>
  <c r="AA813" i="2"/>
  <c r="Y813" i="2"/>
  <c r="AB813" i="2"/>
  <c r="AA809" i="2"/>
  <c r="Y809" i="2"/>
  <c r="AB809" i="2"/>
  <c r="Y805" i="2"/>
  <c r="AB805" i="2"/>
  <c r="AA801" i="2"/>
  <c r="Y801" i="2"/>
  <c r="AB801" i="2"/>
  <c r="AA797" i="2"/>
  <c r="Y797" i="2"/>
  <c r="AB797" i="2"/>
  <c r="AA793" i="2"/>
  <c r="Y793" i="2"/>
  <c r="AB793" i="2"/>
  <c r="AA789" i="2"/>
  <c r="Y789" i="2"/>
  <c r="AB789" i="2"/>
  <c r="AA785" i="2"/>
  <c r="Y785" i="2"/>
  <c r="AB785" i="2"/>
  <c r="AA781" i="2"/>
  <c r="Y781" i="2"/>
  <c r="AB781" i="2"/>
  <c r="AA777" i="2"/>
  <c r="Y777" i="2"/>
  <c r="AB777" i="2"/>
  <c r="AA773" i="2"/>
  <c r="Y773" i="2"/>
  <c r="AB773" i="2"/>
  <c r="AA769" i="2"/>
  <c r="Y769" i="2"/>
  <c r="AB769" i="2"/>
  <c r="Y765" i="2"/>
  <c r="AB765" i="2"/>
  <c r="AA765" i="2"/>
  <c r="AA761" i="2"/>
  <c r="Y761" i="2"/>
  <c r="AB761" i="2"/>
  <c r="AA757" i="2"/>
  <c r="Y757" i="2"/>
  <c r="AB757" i="2"/>
  <c r="AA753" i="2"/>
  <c r="Y753" i="2"/>
  <c r="AB753" i="2"/>
  <c r="AA749" i="2"/>
  <c r="Y749" i="2"/>
  <c r="AB749" i="2"/>
  <c r="AA745" i="2"/>
  <c r="Y745" i="2"/>
  <c r="AB745" i="2"/>
  <c r="AA741" i="2"/>
  <c r="Y741" i="2"/>
  <c r="AB741" i="2"/>
  <c r="AA737" i="2"/>
  <c r="Y737" i="2"/>
  <c r="AB737" i="2"/>
  <c r="AA733" i="2"/>
  <c r="Y733" i="2"/>
  <c r="AB733" i="2"/>
  <c r="AA729" i="2"/>
  <c r="Y729" i="2"/>
  <c r="AB729" i="2"/>
  <c r="AA725" i="2"/>
  <c r="Y725" i="2"/>
  <c r="AB725" i="2"/>
  <c r="AA721" i="2"/>
  <c r="Y721" i="2"/>
  <c r="AB721" i="2"/>
  <c r="AA717" i="2"/>
  <c r="AA713" i="2"/>
  <c r="Y713" i="2"/>
  <c r="AB713" i="2"/>
  <c r="AA709" i="2"/>
  <c r="Y709" i="2"/>
  <c r="AB709" i="2"/>
  <c r="AA705" i="2"/>
  <c r="Y705" i="2"/>
  <c r="AB705" i="2"/>
  <c r="Y701" i="2"/>
  <c r="AB701" i="2"/>
  <c r="AA701" i="2"/>
  <c r="AB585" i="2"/>
  <c r="AA697" i="2"/>
  <c r="Y697" i="2"/>
  <c r="AB697" i="2"/>
  <c r="AA693" i="2"/>
  <c r="Y693" i="2"/>
  <c r="AB693" i="2"/>
  <c r="AA689" i="2"/>
  <c r="Y689" i="2"/>
  <c r="AB689" i="2"/>
  <c r="AA685" i="2"/>
  <c r="Y685" i="2"/>
  <c r="AB685" i="2"/>
  <c r="AA681" i="2"/>
  <c r="AA677" i="2"/>
  <c r="Y677" i="2"/>
  <c r="AB677" i="2"/>
  <c r="AA673" i="2"/>
  <c r="Y673" i="2"/>
  <c r="AB673" i="2"/>
  <c r="AA669" i="2"/>
  <c r="Y669" i="2"/>
  <c r="AB669" i="2"/>
  <c r="AA665" i="2"/>
  <c r="Y665" i="2"/>
  <c r="AB665" i="2"/>
  <c r="AA661" i="2"/>
  <c r="Y661" i="2"/>
  <c r="AB661" i="2"/>
  <c r="AA657" i="2"/>
  <c r="Y657" i="2"/>
  <c r="AB657" i="2"/>
  <c r="AA653" i="2"/>
  <c r="Y653" i="2"/>
  <c r="AB653" i="2"/>
  <c r="AA649" i="2"/>
  <c r="Y649" i="2"/>
  <c r="AB649" i="2"/>
  <c r="AA645" i="2"/>
  <c r="Y645" i="2"/>
  <c r="AB645" i="2"/>
  <c r="AA641" i="2"/>
  <c r="Y641" i="2"/>
  <c r="AB641" i="2"/>
  <c r="AB637" i="2"/>
  <c r="AA637" i="2"/>
  <c r="Y637" i="2"/>
  <c r="Y613" i="2"/>
  <c r="AA633" i="2"/>
  <c r="Y633" i="2"/>
  <c r="AB633" i="2"/>
  <c r="AA629" i="2"/>
  <c r="Y629" i="2"/>
  <c r="AB629" i="2"/>
  <c r="AA625" i="2"/>
  <c r="Y625" i="2"/>
  <c r="AB625" i="2"/>
  <c r="AA621" i="2"/>
  <c r="Y621" i="2"/>
  <c r="AB621" i="2"/>
  <c r="AA617" i="2"/>
  <c r="Y617" i="2"/>
  <c r="AB617" i="2"/>
  <c r="AA613" i="2"/>
  <c r="AB613" i="2"/>
  <c r="AA609" i="2"/>
  <c r="Y609" i="2"/>
  <c r="AB609" i="2"/>
  <c r="AA605" i="2"/>
  <c r="Y605" i="2"/>
  <c r="AB605" i="2"/>
  <c r="AA601" i="2"/>
  <c r="Y601" i="2"/>
  <c r="AB601" i="2"/>
  <c r="AA597" i="2"/>
  <c r="Y597" i="2"/>
  <c r="AB597" i="2"/>
  <c r="AA593" i="2"/>
  <c r="Y593" i="2"/>
  <c r="AB593" i="2"/>
  <c r="AA589" i="2"/>
  <c r="Y589" i="2"/>
  <c r="AB589" i="2"/>
  <c r="AA585" i="2"/>
  <c r="Y585" i="2"/>
  <c r="AA581" i="2"/>
  <c r="Y581" i="2"/>
  <c r="AB581" i="2"/>
  <c r="AA577" i="2"/>
  <c r="Y577" i="2"/>
  <c r="AB577" i="2"/>
  <c r="Y573" i="2"/>
  <c r="AB573" i="2"/>
  <c r="AA573" i="2"/>
  <c r="AA541" i="2"/>
  <c r="AA521" i="2"/>
  <c r="AA569" i="2"/>
  <c r="Y569" i="2"/>
  <c r="AB569" i="2"/>
  <c r="AA565" i="2"/>
  <c r="Y565" i="2"/>
  <c r="AB565" i="2"/>
  <c r="AA561" i="2"/>
  <c r="Y561" i="2"/>
  <c r="AB561" i="2"/>
  <c r="AA557" i="2"/>
  <c r="Y557" i="2"/>
  <c r="AB557" i="2"/>
  <c r="AA553" i="2"/>
  <c r="Y553" i="2"/>
  <c r="AB553" i="2"/>
  <c r="AA549" i="2"/>
  <c r="Y549" i="2"/>
  <c r="AB549" i="2"/>
  <c r="AA545" i="2"/>
  <c r="Y545" i="2"/>
  <c r="AB545" i="2"/>
  <c r="Y541" i="2"/>
  <c r="AB541" i="2"/>
  <c r="AA537" i="2"/>
  <c r="Y537" i="2"/>
  <c r="AB537" i="2"/>
  <c r="AA533" i="2"/>
  <c r="Y533" i="2"/>
  <c r="AB533" i="2"/>
  <c r="AA529" i="2"/>
  <c r="Y529" i="2"/>
  <c r="AB529" i="2"/>
  <c r="AA525" i="2"/>
  <c r="Y525" i="2"/>
  <c r="AB525" i="2"/>
  <c r="Y521" i="2"/>
  <c r="AB521" i="2"/>
  <c r="AA517" i="2"/>
  <c r="Y517" i="2"/>
  <c r="AB517" i="2"/>
  <c r="AA513" i="2"/>
  <c r="Y513" i="2"/>
  <c r="AB513" i="2"/>
  <c r="AB509" i="2"/>
  <c r="AA509" i="2"/>
  <c r="Y509" i="2"/>
  <c r="AA465" i="2"/>
  <c r="AA505" i="2"/>
  <c r="Y505" i="2"/>
  <c r="AB505" i="2"/>
  <c r="AA501" i="2"/>
  <c r="Y501" i="2"/>
  <c r="AB501" i="2"/>
  <c r="AA497" i="2"/>
  <c r="Y497" i="2"/>
  <c r="AB497" i="2"/>
  <c r="AA493" i="2"/>
  <c r="Y493" i="2"/>
  <c r="AB493" i="2"/>
  <c r="AA489" i="2"/>
  <c r="Y489" i="2"/>
  <c r="AB489" i="2"/>
  <c r="AA485" i="2"/>
  <c r="Y485" i="2"/>
  <c r="AB485" i="2"/>
  <c r="AA481" i="2"/>
  <c r="Y481" i="2"/>
  <c r="AB481" i="2"/>
  <c r="AA477" i="2"/>
  <c r="Y477" i="2"/>
  <c r="AB477" i="2"/>
  <c r="AA473" i="2"/>
  <c r="Y473" i="2"/>
  <c r="AB473" i="2"/>
  <c r="AA469" i="2"/>
  <c r="Y469" i="2"/>
  <c r="AB469" i="2"/>
  <c r="Y465" i="2"/>
  <c r="AB465" i="2"/>
  <c r="AA461" i="2"/>
  <c r="Y461" i="2"/>
  <c r="AB461" i="2"/>
  <c r="AA457" i="2"/>
  <c r="Y457" i="2"/>
  <c r="AB457" i="2"/>
  <c r="AA453" i="2"/>
  <c r="Y453" i="2"/>
  <c r="AB453" i="2"/>
  <c r="AA449" i="2"/>
  <c r="Y449" i="2"/>
  <c r="AB449" i="2"/>
  <c r="Y445" i="2"/>
  <c r="AB445" i="2"/>
  <c r="AA445" i="2"/>
  <c r="AA441" i="2"/>
  <c r="Y441" i="2"/>
  <c r="AB441" i="2"/>
  <c r="AA437" i="2"/>
  <c r="Y437" i="2"/>
  <c r="AB437" i="2"/>
  <c r="AA433" i="2"/>
  <c r="Y433" i="2"/>
  <c r="AB433" i="2"/>
  <c r="AA429" i="2"/>
  <c r="Y429" i="2"/>
  <c r="AB429" i="2"/>
  <c r="AA425" i="2"/>
  <c r="Y425" i="2"/>
  <c r="AB425" i="2"/>
  <c r="AA421" i="2"/>
  <c r="Y421" i="2"/>
  <c r="AB421" i="2"/>
  <c r="AA417" i="2"/>
  <c r="Y417" i="2"/>
  <c r="AB417" i="2"/>
  <c r="AA413" i="2"/>
  <c r="Y413" i="2"/>
  <c r="AB413" i="2"/>
  <c r="AA409" i="2"/>
  <c r="Y409" i="2"/>
  <c r="AB409" i="2"/>
  <c r="AA405" i="2"/>
  <c r="Y405" i="2"/>
  <c r="AB405" i="2"/>
  <c r="AA401" i="2"/>
  <c r="Y401" i="2"/>
  <c r="AB401" i="2"/>
  <c r="AA397" i="2"/>
  <c r="Y397" i="2"/>
  <c r="AB397" i="2"/>
  <c r="AA393" i="2"/>
  <c r="Y393" i="2"/>
  <c r="AB393" i="2"/>
  <c r="AA389" i="2"/>
  <c r="Y389" i="2"/>
  <c r="AB389" i="2"/>
  <c r="AA385" i="2"/>
  <c r="Y385" i="2"/>
  <c r="AB385" i="2"/>
  <c r="AB381" i="2"/>
  <c r="AA381" i="2"/>
  <c r="Y381" i="2"/>
  <c r="Y345" i="2"/>
  <c r="AA377" i="2"/>
  <c r="Y377" i="2"/>
  <c r="AB377" i="2"/>
  <c r="AA373" i="2"/>
  <c r="Y373" i="2"/>
  <c r="AB373" i="2"/>
  <c r="AA369" i="2"/>
  <c r="Y369" i="2"/>
  <c r="AB369" i="2"/>
  <c r="AA365" i="2"/>
  <c r="Y365" i="2"/>
  <c r="AB365" i="2"/>
  <c r="AA361" i="2"/>
  <c r="Y361" i="2"/>
  <c r="AB361" i="2"/>
  <c r="AA357" i="2"/>
  <c r="Y357" i="2"/>
  <c r="AB357" i="2"/>
  <c r="AA353" i="2"/>
  <c r="Y353" i="2"/>
  <c r="AB353" i="2"/>
  <c r="AA349" i="2"/>
  <c r="Y349" i="2"/>
  <c r="AB349" i="2"/>
  <c r="AA345" i="2"/>
  <c r="AB345" i="2"/>
  <c r="AA341" i="2"/>
  <c r="Y341" i="2"/>
  <c r="AB341" i="2"/>
  <c r="AA337" i="2"/>
  <c r="Y337" i="2"/>
  <c r="AB337" i="2"/>
  <c r="AA333" i="2"/>
  <c r="Y333" i="2"/>
  <c r="AB333" i="2"/>
  <c r="AA329" i="2"/>
  <c r="Y329" i="2"/>
  <c r="AB329" i="2"/>
  <c r="AA325" i="2"/>
  <c r="Y325" i="2"/>
  <c r="AB325" i="2"/>
  <c r="AA321" i="2"/>
  <c r="Y321" i="2"/>
  <c r="AB321" i="2"/>
  <c r="Y317" i="2"/>
  <c r="AB317" i="2"/>
  <c r="AA317" i="2"/>
  <c r="AA277" i="2"/>
  <c r="Y253" i="2"/>
  <c r="AB253" i="2"/>
  <c r="AA253" i="2"/>
  <c r="AA313" i="2"/>
  <c r="Y313" i="2"/>
  <c r="AB313" i="2"/>
  <c r="AA309" i="2"/>
  <c r="Y309" i="2"/>
  <c r="AB309" i="2"/>
  <c r="AA305" i="2"/>
  <c r="Y305" i="2"/>
  <c r="AB305" i="2"/>
  <c r="AA301" i="2"/>
  <c r="Y301" i="2"/>
  <c r="AB301" i="2"/>
  <c r="AA297" i="2"/>
  <c r="Y297" i="2"/>
  <c r="AB297" i="2"/>
  <c r="AA293" i="2"/>
  <c r="Y293" i="2"/>
  <c r="AB293" i="2"/>
  <c r="AA289" i="2"/>
  <c r="Y289" i="2"/>
  <c r="AB289" i="2"/>
  <c r="AA285" i="2"/>
  <c r="Y285" i="2"/>
  <c r="AB285" i="2"/>
  <c r="AA281" i="2"/>
  <c r="Y281" i="2"/>
  <c r="AB281" i="2"/>
  <c r="Y277" i="2"/>
  <c r="AB277" i="2"/>
  <c r="AA273" i="2"/>
  <c r="Y273" i="2"/>
  <c r="AB273" i="2"/>
  <c r="AA269" i="2"/>
  <c r="Y269" i="2"/>
  <c r="AB269" i="2"/>
  <c r="AA265" i="2"/>
  <c r="Y265" i="2"/>
  <c r="AB265" i="2"/>
  <c r="AA261" i="2"/>
  <c r="Y261" i="2"/>
  <c r="AB261" i="2"/>
  <c r="AA257" i="2"/>
  <c r="Y257" i="2"/>
  <c r="AB257" i="2"/>
  <c r="Y237" i="2"/>
  <c r="Y249" i="2"/>
  <c r="AB249" i="2"/>
  <c r="AB245" i="2"/>
  <c r="AB241" i="2"/>
  <c r="AB237" i="2"/>
  <c r="AB233" i="2"/>
  <c r="P171" i="2"/>
  <c r="Y229" i="2"/>
  <c r="AB229" i="2"/>
  <c r="AB225" i="2"/>
  <c r="AB221" i="2"/>
  <c r="Y217" i="2"/>
  <c r="AB217" i="2"/>
  <c r="Y213" i="2"/>
  <c r="AB213" i="2"/>
  <c r="Y209" i="2"/>
  <c r="AB209" i="2"/>
  <c r="AB205" i="2"/>
  <c r="AB201" i="2"/>
  <c r="Y197" i="2"/>
  <c r="AB197" i="2"/>
  <c r="Y193" i="2"/>
  <c r="AB193" i="2"/>
  <c r="AA249" i="2"/>
  <c r="AA245" i="2"/>
  <c r="Y245" i="2"/>
  <c r="AA241" i="2"/>
  <c r="Y241" i="2"/>
  <c r="AA237" i="2"/>
  <c r="AA233" i="2"/>
  <c r="Y233" i="2"/>
  <c r="AA229" i="2"/>
  <c r="AA225" i="2"/>
  <c r="Y225" i="2"/>
  <c r="AA221" i="2"/>
  <c r="Y221" i="2"/>
  <c r="AA217" i="2"/>
  <c r="AA213" i="2"/>
  <c r="AA209" i="2"/>
  <c r="AA205" i="2"/>
  <c r="Y205" i="2"/>
  <c r="AA201" i="2"/>
  <c r="Y201" i="2"/>
  <c r="AA197" i="2"/>
  <c r="AA193" i="2"/>
  <c r="P928" i="2"/>
  <c r="Q928" i="2"/>
  <c r="R928" i="2"/>
  <c r="P927" i="2"/>
  <c r="Q927" i="2"/>
  <c r="R927" i="2"/>
  <c r="P925" i="2"/>
  <c r="P926" i="2"/>
  <c r="Q925" i="2"/>
  <c r="Q926" i="2"/>
  <c r="S926" i="2"/>
  <c r="R926" i="2"/>
  <c r="S925" i="2"/>
  <c r="R925" i="2"/>
  <c r="P924" i="2"/>
  <c r="Q924" i="2"/>
  <c r="R924" i="2"/>
  <c r="P923" i="2"/>
  <c r="Q923" i="2"/>
  <c r="R923" i="2"/>
  <c r="P921" i="2"/>
  <c r="P922" i="2"/>
  <c r="Q921" i="2"/>
  <c r="Q922" i="2"/>
  <c r="S922" i="2"/>
  <c r="R922" i="2"/>
  <c r="S921" i="2"/>
  <c r="R921" i="2"/>
  <c r="P920" i="2"/>
  <c r="Q920" i="2"/>
  <c r="R920" i="2"/>
  <c r="P919" i="2"/>
  <c r="Q919" i="2"/>
  <c r="R919" i="2"/>
  <c r="P917" i="2"/>
  <c r="P918" i="2"/>
  <c r="Q917" i="2"/>
  <c r="Q918" i="2"/>
  <c r="S918" i="2"/>
  <c r="R918" i="2"/>
  <c r="S917" i="2"/>
  <c r="R917" i="2"/>
  <c r="P916" i="2"/>
  <c r="Q916" i="2"/>
  <c r="R916" i="2"/>
  <c r="P915" i="2"/>
  <c r="Q915" i="2"/>
  <c r="R915" i="2"/>
  <c r="P913" i="2"/>
  <c r="P914" i="2"/>
  <c r="Q913" i="2"/>
  <c r="Q914" i="2"/>
  <c r="S914" i="2"/>
  <c r="R914" i="2"/>
  <c r="S913" i="2"/>
  <c r="R913" i="2"/>
  <c r="P907" i="2"/>
  <c r="P896" i="2"/>
  <c r="Q896" i="2"/>
  <c r="R896" i="2"/>
  <c r="P895" i="2"/>
  <c r="Q895" i="2"/>
  <c r="R895" i="2"/>
  <c r="P894" i="2"/>
  <c r="Q894" i="2"/>
  <c r="R894" i="2"/>
  <c r="P893" i="2"/>
  <c r="Q893" i="2"/>
  <c r="R893" i="2"/>
  <c r="Q892" i="2"/>
  <c r="P892" i="2"/>
  <c r="Q889" i="2"/>
  <c r="P889" i="2"/>
  <c r="Q885" i="2"/>
  <c r="P885" i="2"/>
  <c r="R877" i="2"/>
  <c r="P912" i="2"/>
  <c r="Q912" i="2"/>
  <c r="R912" i="2"/>
  <c r="P911" i="2"/>
  <c r="Q911" i="2"/>
  <c r="R911" i="2"/>
  <c r="P909" i="2"/>
  <c r="P910" i="2"/>
  <c r="Q909" i="2"/>
  <c r="Q910" i="2"/>
  <c r="S910" i="2"/>
  <c r="R910" i="2"/>
  <c r="S909" i="2"/>
  <c r="R909" i="2"/>
  <c r="P908" i="2"/>
  <c r="Q908" i="2"/>
  <c r="R908" i="2"/>
  <c r="Q907" i="2"/>
  <c r="R907" i="2"/>
  <c r="P905" i="2"/>
  <c r="P906" i="2"/>
  <c r="Q905" i="2"/>
  <c r="Q906" i="2"/>
  <c r="S906" i="2"/>
  <c r="R906" i="2"/>
  <c r="S905" i="2"/>
  <c r="R905" i="2"/>
  <c r="P904" i="2"/>
  <c r="Q904" i="2"/>
  <c r="R904" i="2"/>
  <c r="P903" i="2"/>
  <c r="Q903" i="2"/>
  <c r="R903" i="2"/>
  <c r="P901" i="2"/>
  <c r="P902" i="2"/>
  <c r="Q901" i="2"/>
  <c r="Q902" i="2"/>
  <c r="S902" i="2"/>
  <c r="R902" i="2"/>
  <c r="S901" i="2"/>
  <c r="R901" i="2"/>
  <c r="P900" i="2"/>
  <c r="Q900" i="2"/>
  <c r="R900" i="2"/>
  <c r="P899" i="2"/>
  <c r="Q899" i="2"/>
  <c r="R899" i="2"/>
  <c r="P897" i="2"/>
  <c r="P898" i="2"/>
  <c r="Q897" i="2"/>
  <c r="Q898" i="2"/>
  <c r="S898" i="2"/>
  <c r="R898" i="2"/>
  <c r="S897" i="2"/>
  <c r="R897" i="2"/>
  <c r="R892" i="2"/>
  <c r="R891" i="2"/>
  <c r="P890" i="2"/>
  <c r="Q890" i="2"/>
  <c r="S890" i="2"/>
  <c r="R890" i="2"/>
  <c r="S889" i="2"/>
  <c r="R889" i="2"/>
  <c r="P888" i="2"/>
  <c r="Q888" i="2"/>
  <c r="R888" i="2"/>
  <c r="P887" i="2"/>
  <c r="Q887" i="2"/>
  <c r="R887" i="2"/>
  <c r="P886" i="2"/>
  <c r="Q886" i="2"/>
  <c r="S886" i="2"/>
  <c r="R886" i="2"/>
  <c r="S885" i="2"/>
  <c r="R885" i="2"/>
  <c r="P884" i="2"/>
  <c r="Q884" i="2"/>
  <c r="R884" i="2"/>
  <c r="P883" i="2"/>
  <c r="Q883" i="2"/>
  <c r="R883" i="2"/>
  <c r="S882" i="2"/>
  <c r="R882" i="2"/>
  <c r="S881" i="2"/>
  <c r="R881" i="2"/>
  <c r="P880" i="2"/>
  <c r="Q880" i="2"/>
  <c r="R880" i="2"/>
  <c r="P879" i="2"/>
  <c r="Q879" i="2"/>
  <c r="R879" i="2"/>
  <c r="P878" i="2"/>
  <c r="Q878" i="2"/>
  <c r="S878" i="2"/>
  <c r="R878" i="2"/>
  <c r="S877" i="2"/>
  <c r="Q876" i="2"/>
  <c r="P876" i="2"/>
  <c r="Q875" i="2"/>
  <c r="P875" i="2"/>
  <c r="Q874" i="2"/>
  <c r="P874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2" i="2"/>
  <c r="P862" i="2"/>
  <c r="Q860" i="2"/>
  <c r="P860" i="2"/>
  <c r="Q859" i="2"/>
  <c r="P859" i="2"/>
  <c r="Q858" i="2"/>
  <c r="P858" i="2"/>
  <c r="Q857" i="2"/>
  <c r="P857" i="2"/>
  <c r="Q856" i="2"/>
  <c r="P856" i="2"/>
  <c r="Q854" i="2"/>
  <c r="P854" i="2"/>
  <c r="Q853" i="2"/>
  <c r="P853" i="2"/>
  <c r="Q852" i="2"/>
  <c r="P852" i="2"/>
  <c r="Q851" i="2"/>
  <c r="P851" i="2"/>
  <c r="Q850" i="2"/>
  <c r="P850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8" i="2"/>
  <c r="P838" i="2"/>
  <c r="Q837" i="2"/>
  <c r="P837" i="2"/>
  <c r="Q836" i="2"/>
  <c r="P836" i="2"/>
  <c r="Q835" i="2"/>
  <c r="P835" i="2"/>
  <c r="Q834" i="2"/>
  <c r="P834" i="2"/>
  <c r="Q832" i="2"/>
  <c r="P832" i="2"/>
  <c r="Q831" i="2"/>
  <c r="P831" i="2"/>
  <c r="Q830" i="2"/>
  <c r="P830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S834" i="2"/>
  <c r="R876" i="2"/>
  <c r="R875" i="2"/>
  <c r="S874" i="2"/>
  <c r="R874" i="2"/>
  <c r="S873" i="2"/>
  <c r="R873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R834" i="2"/>
  <c r="S833" i="2"/>
  <c r="R833" i="2"/>
  <c r="R832" i="2"/>
  <c r="R831" i="2"/>
  <c r="S830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P704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9" i="2"/>
  <c r="P740" i="2"/>
  <c r="P742" i="2"/>
  <c r="P743" i="2"/>
  <c r="P744" i="2"/>
  <c r="P745" i="2"/>
  <c r="P746" i="2"/>
  <c r="P747" i="2"/>
  <c r="P748" i="2"/>
  <c r="P750" i="2"/>
  <c r="P752" i="2"/>
  <c r="P753" i="2"/>
  <c r="P754" i="2"/>
  <c r="P755" i="2"/>
  <c r="P756" i="2"/>
  <c r="P757" i="2"/>
  <c r="P758" i="2"/>
  <c r="P759" i="2"/>
  <c r="P760" i="2"/>
  <c r="P763" i="2"/>
  <c r="P764" i="2"/>
  <c r="P766" i="2"/>
  <c r="P767" i="2"/>
  <c r="P768" i="2"/>
  <c r="P769" i="2"/>
  <c r="P770" i="2"/>
  <c r="P771" i="2"/>
  <c r="P772" i="2"/>
  <c r="P774" i="2"/>
  <c r="P775" i="2"/>
  <c r="P776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8" i="2"/>
  <c r="P799" i="2"/>
  <c r="P800" i="2"/>
  <c r="P803" i="2"/>
  <c r="P804" i="2"/>
  <c r="P805" i="2"/>
  <c r="P806" i="2"/>
  <c r="P807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Q809" i="2"/>
  <c r="Q772" i="2"/>
  <c r="Q771" i="2"/>
  <c r="Q770" i="2"/>
  <c r="Q769" i="2"/>
  <c r="Q768" i="2"/>
  <c r="Q767" i="2"/>
  <c r="Q766" i="2"/>
  <c r="Q820" i="2"/>
  <c r="R820" i="2"/>
  <c r="Q819" i="2"/>
  <c r="R819" i="2"/>
  <c r="Q817" i="2"/>
  <c r="Q818" i="2"/>
  <c r="S818" i="2"/>
  <c r="R818" i="2"/>
  <c r="S817" i="2"/>
  <c r="R817" i="2"/>
  <c r="Q816" i="2"/>
  <c r="R816" i="2"/>
  <c r="Q815" i="2"/>
  <c r="R815" i="2"/>
  <c r="Q814" i="2"/>
  <c r="S814" i="2"/>
  <c r="R814" i="2"/>
  <c r="S813" i="2"/>
  <c r="R813" i="2"/>
  <c r="Q812" i="2"/>
  <c r="R812" i="2"/>
  <c r="Q811" i="2"/>
  <c r="R811" i="2"/>
  <c r="Q810" i="2"/>
  <c r="S810" i="2"/>
  <c r="R810" i="2"/>
  <c r="S809" i="2"/>
  <c r="R809" i="2"/>
  <c r="R808" i="2"/>
  <c r="Q807" i="2"/>
  <c r="R807" i="2"/>
  <c r="Q805" i="2"/>
  <c r="Q806" i="2"/>
  <c r="S806" i="2"/>
  <c r="R806" i="2"/>
  <c r="S805" i="2"/>
  <c r="R805" i="2"/>
  <c r="Q804" i="2"/>
  <c r="R804" i="2"/>
  <c r="Q803" i="2"/>
  <c r="R803" i="2"/>
  <c r="S802" i="2"/>
  <c r="R802" i="2"/>
  <c r="S801" i="2"/>
  <c r="R801" i="2"/>
  <c r="Q800" i="2"/>
  <c r="R800" i="2"/>
  <c r="Q799" i="2"/>
  <c r="R799" i="2"/>
  <c r="Q798" i="2"/>
  <c r="S798" i="2"/>
  <c r="R798" i="2"/>
  <c r="S797" i="2"/>
  <c r="R797" i="2"/>
  <c r="Q796" i="2"/>
  <c r="R796" i="2"/>
  <c r="Q795" i="2"/>
  <c r="R795" i="2"/>
  <c r="Q793" i="2"/>
  <c r="Q794" i="2"/>
  <c r="S794" i="2"/>
  <c r="R794" i="2"/>
  <c r="S793" i="2"/>
  <c r="R793" i="2"/>
  <c r="Q792" i="2"/>
  <c r="R792" i="2"/>
  <c r="Q791" i="2"/>
  <c r="R791" i="2"/>
  <c r="Q789" i="2"/>
  <c r="Q790" i="2"/>
  <c r="S790" i="2"/>
  <c r="R790" i="2"/>
  <c r="S789" i="2"/>
  <c r="R789" i="2"/>
  <c r="Q788" i="2"/>
  <c r="R788" i="2"/>
  <c r="Q787" i="2"/>
  <c r="R787" i="2"/>
  <c r="Q785" i="2"/>
  <c r="Q786" i="2"/>
  <c r="S786" i="2"/>
  <c r="R786" i="2"/>
  <c r="S785" i="2"/>
  <c r="R785" i="2"/>
  <c r="Q784" i="2"/>
  <c r="R784" i="2"/>
  <c r="Q783" i="2"/>
  <c r="R783" i="2"/>
  <c r="Q781" i="2"/>
  <c r="Q782" i="2"/>
  <c r="S782" i="2"/>
  <c r="R782" i="2"/>
  <c r="S781" i="2"/>
  <c r="R781" i="2"/>
  <c r="R780" i="2"/>
  <c r="Q779" i="2"/>
  <c r="R779" i="2"/>
  <c r="Q778" i="2"/>
  <c r="S778" i="2"/>
  <c r="R778" i="2"/>
  <c r="S777" i="2"/>
  <c r="R777" i="2"/>
  <c r="Q776" i="2"/>
  <c r="R776" i="2"/>
  <c r="Q775" i="2"/>
  <c r="R775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M54" i="10"/>
  <c r="M53" i="10"/>
  <c r="M52" i="10"/>
  <c r="M51" i="10"/>
  <c r="H58" i="10"/>
  <c r="H61" i="10"/>
  <c r="H62" i="10"/>
  <c r="H63" i="10"/>
  <c r="H64" i="10"/>
  <c r="H65" i="10"/>
  <c r="L53" i="10"/>
  <c r="H66" i="10"/>
  <c r="H67" i="10"/>
  <c r="H68" i="10"/>
  <c r="H69" i="10"/>
  <c r="H70" i="10"/>
  <c r="L54" i="10"/>
  <c r="H56" i="10"/>
  <c r="H57" i="10"/>
  <c r="H59" i="10"/>
  <c r="H60" i="10"/>
  <c r="L52" i="10"/>
  <c r="H51" i="10"/>
  <c r="H52" i="10"/>
  <c r="H53" i="10"/>
  <c r="H54" i="10"/>
  <c r="H55" i="10"/>
  <c r="L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8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54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D82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2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8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sharedStrings.xml><?xml version="1.0" encoding="utf-8"?>
<sst xmlns="http://schemas.openxmlformats.org/spreadsheetml/2006/main" count="2302" uniqueCount="398">
  <si>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</si>
  <si>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</si>
  <si>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</si>
  <si>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</si>
  <si>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</si>
  <si>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</si>
  <si>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</si>
  <si>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</si>
  <si>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</si>
  <si>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</si>
  <si>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</si>
  <si>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</si>
  <si>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</si>
  <si>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</si>
  <si>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</si>
  <si>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</si>
  <si>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</si>
  <si>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</si>
  <si>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</si>
  <si>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</si>
  <si>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</si>
  <si>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</si>
  <si>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</si>
  <si>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</si>
  <si>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</si>
  <si>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</si>
  <si>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</si>
  <si>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</si>
  <si>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</si>
  <si>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</si>
  <si>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</si>
  <si>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</si>
  <si>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</si>
  <si>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</si>
  <si>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</si>
  <si>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</si>
  <si>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</si>
  <si>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</si>
  <si>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</si>
  <si>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</si>
  <si>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</si>
  <si>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</si>
  <si>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</si>
  <si>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</si>
  <si>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</si>
  <si>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</si>
  <si>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</si>
  <si>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</si>
  <si>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</si>
  <si>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</si>
  <si>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</si>
  <si>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</si>
  <si>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</si>
  <si>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</si>
  <si>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</si>
  <si>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</si>
  <si>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</si>
  <si>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</si>
  <si>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</si>
  <si>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</si>
  <si>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</si>
  <si>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</si>
  <si>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</si>
  <si>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</si>
  <si>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</si>
  <si>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</si>
  <si>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</si>
  <si>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</si>
  <si>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</si>
  <si>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</si>
  <si>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</si>
  <si>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</si>
  <si>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</si>
  <si>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</si>
  <si>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</si>
  <si>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</si>
  <si>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</si>
  <si>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</si>
  <si>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</si>
  <si>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</si>
  <si>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</si>
  <si>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</si>
  <si>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</si>
  <si>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</si>
  <si>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</si>
  <si>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</si>
  <si>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</si>
  <si>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</si>
  <si>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</si>
  <si>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</si>
  <si>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</si>
  <si>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</si>
  <si>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</si>
  <si>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</si>
  <si>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</si>
  <si>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</si>
  <si>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</si>
  <si>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</si>
  <si>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</si>
  <si>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</si>
  <si>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</si>
  <si>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</si>
  <si>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</si>
  <si>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</si>
  <si>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</si>
  <si>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</si>
  <si>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</si>
  <si>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</si>
  <si>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</si>
  <si>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</si>
  <si>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</si>
  <si>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</si>
  <si>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</si>
  <si>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</si>
  <si>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</si>
  <si>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</si>
  <si>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</si>
  <si>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</si>
  <si>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</si>
  <si>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</si>
  <si>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</si>
  <si>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</si>
  <si>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</si>
  <si>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</si>
  <si>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</si>
  <si>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</si>
  <si>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</si>
  <si>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</si>
  <si>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</si>
  <si>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</si>
  <si>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</si>
  <si>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</si>
  <si>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</si>
  <si>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</si>
  <si>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</si>
  <si>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</si>
  <si>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</si>
  <si>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</si>
  <si>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</si>
  <si>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</si>
  <si>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</si>
  <si>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</si>
  <si>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</si>
  <si>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</si>
  <si>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</si>
  <si>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</si>
  <si>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</si>
  <si>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</si>
  <si>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</si>
  <si>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</si>
  <si>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</si>
  <si>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</si>
  <si>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</si>
  <si>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</si>
  <si>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</si>
  <si>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</si>
  <si>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</si>
  <si>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</si>
  <si>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</si>
  <si>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</si>
  <si>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</si>
  <si>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</si>
  <si>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</si>
  <si>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</si>
  <si>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</si>
  <si>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</si>
  <si>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</si>
  <si>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</si>
  <si>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</si>
  <si>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</si>
  <si>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</si>
  <si>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</si>
  <si>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</si>
  <si>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</si>
  <si>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</si>
  <si>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</si>
  <si>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</si>
  <si>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</si>
  <si>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</si>
  <si>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</si>
  <si>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</si>
  <si>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</si>
  <si>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</si>
  <si>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</si>
  <si>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</si>
  <si>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</si>
  <si>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</si>
  <si>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</si>
  <si>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</si>
  <si>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</si>
  <si>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</si>
  <si>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</si>
  <si>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</si>
  <si>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</si>
  <si>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</si>
  <si>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</si>
  <si>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</si>
  <si>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</si>
  <si>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</si>
  <si>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</si>
  <si>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</si>
  <si>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</si>
  <si>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</si>
  <si>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</si>
  <si>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</si>
  <si>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</si>
  <si>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</si>
  <si>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</si>
  <si>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</si>
  <si>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</si>
  <si>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</si>
  <si>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</si>
  <si>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</si>
  <si>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</si>
  <si>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</si>
  <si>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</si>
  <si>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</si>
  <si>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</si>
  <si>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</si>
  <si>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</si>
  <si>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</si>
  <si>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</si>
  <si>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</si>
  <si>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</si>
  <si>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</si>
  <si>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</si>
  <si>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</si>
  <si>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</si>
  <si>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</si>
  <si>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</si>
  <si>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</si>
  <si>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</si>
  <si>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</si>
  <si>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</si>
  <si>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</si>
  <si>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</si>
  <si>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</si>
  <si>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</si>
  <si>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</si>
  <si>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</si>
  <si>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</si>
  <si>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</si>
  <si>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</si>
  <si>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</si>
  <si>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</si>
  <si>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</si>
  <si>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</si>
  <si>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</si>
  <si>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</si>
  <si>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</si>
  <si>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</si>
  <si>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</si>
  <si>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</si>
  <si>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</si>
  <si>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</si>
  <si>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</si>
  <si>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</si>
  <si>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</si>
  <si>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</si>
  <si>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</si>
  <si>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</si>
  <si>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</si>
  <si>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</si>
  <si>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</si>
  <si>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</si>
  <si>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</si>
  <si>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</si>
  <si>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</si>
  <si>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</si>
  <si>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</si>
  <si>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</si>
  <si>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</si>
  <si>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</si>
  <si>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</si>
  <si>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</si>
  <si>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</si>
  <si>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</si>
  <si>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</si>
  <si>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</si>
  <si>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</si>
  <si>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</si>
  <si>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</si>
  <si>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</si>
  <si>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</si>
  <si>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</si>
  <si>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</si>
  <si>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</si>
  <si>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</si>
  <si>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</si>
  <si>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</si>
  <si>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</si>
  <si>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</si>
  <si>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</si>
  <si>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</si>
  <si>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</si>
  <si>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</si>
  <si>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</si>
  <si>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</si>
  <si>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</si>
  <si>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</si>
  <si>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</si>
  <si>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</si>
  <si>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</si>
  <si>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</si>
  <si>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</si>
  <si>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</si>
  <si>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</si>
  <si>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</si>
  <si>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</si>
  <si>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</si>
  <si>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</si>
  <si>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</si>
  <si>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</si>
  <si>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</si>
  <si>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</si>
  <si>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</si>
  <si>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</si>
  <si>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</si>
  <si>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</si>
  <si>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</si>
  <si>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</si>
  <si>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</si>
  <si>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</si>
  <si>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</si>
  <si>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</si>
  <si>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</si>
  <si>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</si>
  <si>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</si>
  <si>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</si>
  <si>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</si>
  <si>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</si>
  <si>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</si>
  <si>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</si>
  <si>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</si>
  <si>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</si>
  <si>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</si>
  <si>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</si>
  <si>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</si>
  <si>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</si>
  <si>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</si>
  <si>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</si>
  <si>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</si>
  <si>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</si>
  <si>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</si>
  <si>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</si>
  <si>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</si>
  <si>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</si>
  <si>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</si>
  <si>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</si>
  <si>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</si>
  <si>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</si>
  <si>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</si>
  <si>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</si>
  <si>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</si>
  <si>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</si>
  <si>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</si>
  <si>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</si>
  <si>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</si>
  <si>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</si>
  <si>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</si>
  <si>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</si>
  <si>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Final # Stocked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</si>
  <si>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</si>
  <si>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</si>
  <si>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</si>
  <si>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</si>
  <si>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</si>
  <si>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</si>
  <si>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</si>
  <si>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</si>
  <si>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# new stocked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</si>
  <si>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</si>
  <si>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</si>
  <si>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</si>
  <si>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</si>
  <si>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</si>
  <si>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</si>
  <si>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SN-10 Low -GE</t>
  </si>
  <si>
    <t>SN-6 Low GE</t>
  </si>
  <si>
    <t>SN-10 Ambient GE</t>
  </si>
  <si>
    <t>SN-6 Ambient GE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</si>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</sst>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653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92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6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4" fillId="0" borderId="0" xfId="0" applyFont="1" applyBorder="1"/>
    <xf numFmtId="168" fontId="0" fillId="7" borderId="17" xfId="260" applyNumberFormat="1" applyFont="1" applyFill="1" applyBorder="1"/>
    <xf numFmtId="168" fontId="0" fillId="8" borderId="18" xfId="260" applyNumberFormat="1" applyFont="1" applyFill="1" applyBorder="1"/>
    <xf numFmtId="168" fontId="0" fillId="9" borderId="18" xfId="260" applyNumberFormat="1" applyFont="1" applyFill="1" applyBorder="1"/>
    <xf numFmtId="168" fontId="0" fillId="7" borderId="18" xfId="260" applyNumberFormat="1" applyFont="1" applyFill="1" applyBorder="1"/>
    <xf numFmtId="168" fontId="0" fillId="10" borderId="19" xfId="260" applyNumberFormat="1" applyFont="1" applyFill="1" applyBorder="1"/>
    <xf numFmtId="10" fontId="0" fillId="7" borderId="1" xfId="260" applyNumberFormat="1" applyFont="1" applyFill="1" applyBorder="1"/>
    <xf numFmtId="10" fontId="0" fillId="8" borderId="3" xfId="260" applyNumberFormat="1" applyFont="1" applyFill="1" applyBorder="1"/>
    <xf numFmtId="10" fontId="0" fillId="9" borderId="3" xfId="260" applyNumberFormat="1" applyFont="1" applyFill="1" applyBorder="1"/>
    <xf numFmtId="10" fontId="0" fillId="10" borderId="4" xfId="260" applyNumberFormat="1" applyFont="1" applyFill="1" applyBorder="1"/>
    <xf numFmtId="10" fontId="0" fillId="7" borderId="1" xfId="0" applyNumberFormat="1" applyFill="1" applyBorder="1"/>
    <xf numFmtId="10" fontId="0" fillId="8" borderId="3" xfId="0" applyNumberFormat="1" applyFill="1" applyBorder="1"/>
    <xf numFmtId="10" fontId="0" fillId="9" borderId="3" xfId="0" applyNumberFormat="1" applyFill="1" applyBorder="1"/>
    <xf numFmtId="10" fontId="0" fillId="10" borderId="4" xfId="0" applyNumberFormat="1" applyFill="1" applyBorder="1"/>
    <xf numFmtId="10" fontId="0" fillId="7" borderId="3" xfId="260" applyNumberFormat="1" applyFont="1" applyFill="1" applyBorder="1"/>
    <xf numFmtId="168" fontId="0" fillId="7" borderId="17" xfId="0" applyNumberFormat="1" applyFill="1" applyBorder="1"/>
    <xf numFmtId="168" fontId="0" fillId="8" borderId="18" xfId="0" applyNumberFormat="1" applyFill="1" applyBorder="1"/>
    <xf numFmtId="168" fontId="0" fillId="9" borderId="18" xfId="0" applyNumberFormat="1" applyFill="1" applyBorder="1"/>
    <xf numFmtId="168" fontId="0" fillId="10" borderId="19" xfId="0" applyNumberFormat="1" applyFill="1" applyBorder="1"/>
    <xf numFmtId="10" fontId="4" fillId="7" borderId="2" xfId="260" applyNumberFormat="1" applyFont="1" applyFill="1" applyBorder="1"/>
    <xf numFmtId="10" fontId="4" fillId="8" borderId="0" xfId="260" applyNumberFormat="1" applyFont="1" applyFill="1" applyBorder="1"/>
    <xf numFmtId="10" fontId="4" fillId="9" borderId="0" xfId="260" applyNumberFormat="1" applyFont="1" applyFill="1" applyBorder="1"/>
    <xf numFmtId="10" fontId="4" fillId="10" borderId="5" xfId="260" applyNumberFormat="1" applyFont="1" applyFill="1" applyBorder="1"/>
    <xf numFmtId="10" fontId="4" fillId="7" borderId="0" xfId="260" applyNumberFormat="1" applyFont="1" applyFill="1" applyBorder="1"/>
    <xf numFmtId="0" fontId="8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7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7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164" fontId="0" fillId="2" borderId="14" xfId="0" applyNumberFormat="1" applyFill="1" applyBorder="1" applyAlignment="1">
      <alignment horizontal="right"/>
    </xf>
    <xf numFmtId="0" fontId="0" fillId="2" borderId="10" xfId="0" applyNumberFormat="1" applyFill="1" applyBorder="1"/>
    <xf numFmtId="0" fontId="5" fillId="0" borderId="0" xfId="0" applyFont="1" applyAlignment="1">
      <alignment horizontal="right" wrapText="1"/>
    </xf>
    <xf numFmtId="164" fontId="8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5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8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167" fontId="0" fillId="0" borderId="0" xfId="0" applyNumberFormat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</cellXfs>
  <cellStyles count="265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278712"/>
        <c:axId val="-209804741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293432"/>
        <c:axId val="-2102287736"/>
      </c:scatterChart>
      <c:catAx>
        <c:axId val="-210227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047416"/>
        <c:crosses val="autoZero"/>
        <c:auto val="1"/>
        <c:lblAlgn val="ctr"/>
        <c:lblOffset val="100"/>
        <c:noMultiLvlLbl val="0"/>
      </c:catAx>
      <c:valAx>
        <c:axId val="-2098047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2278712"/>
        <c:crosses val="autoZero"/>
        <c:crossBetween val="between"/>
        <c:majorUnit val="0.0001"/>
      </c:valAx>
      <c:valAx>
        <c:axId val="-210228773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02293432"/>
        <c:crosses val="max"/>
        <c:crossBetween val="midCat"/>
      </c:valAx>
      <c:valAx>
        <c:axId val="-21022934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2287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595288"/>
        <c:axId val="-2086597240"/>
      </c:barChart>
      <c:dateAx>
        <c:axId val="-208659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6597240"/>
        <c:crosses val="autoZero"/>
        <c:auto val="1"/>
        <c:lblOffset val="100"/>
        <c:baseTimeUnit val="days"/>
        <c:minorUnit val="1.0"/>
        <c:minorTimeUnit val="days"/>
      </c:dateAx>
      <c:valAx>
        <c:axId val="-20865972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6595288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621432"/>
        <c:axId val="-2086624632"/>
      </c:barChart>
      <c:dateAx>
        <c:axId val="-208662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6624632"/>
        <c:crosses val="autoZero"/>
        <c:auto val="1"/>
        <c:lblOffset val="100"/>
        <c:baseTimeUnit val="days"/>
        <c:minorUnit val="1.0"/>
        <c:minorTimeUnit val="days"/>
      </c:dateAx>
      <c:valAx>
        <c:axId val="-208662463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6621432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471032"/>
        <c:axId val="-2124939384"/>
      </c:scatterChart>
      <c:valAx>
        <c:axId val="-212447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9384"/>
        <c:crosses val="autoZero"/>
        <c:crossBetween val="midCat"/>
        <c:minorUnit val="1.0"/>
      </c:valAx>
      <c:valAx>
        <c:axId val="-212493938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447103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46840"/>
        <c:axId val="-2087348792"/>
      </c:scatterChart>
      <c:valAx>
        <c:axId val="-208734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7348792"/>
        <c:crosses val="autoZero"/>
        <c:crossBetween val="midCat"/>
        <c:minorUnit val="1.0"/>
      </c:valAx>
      <c:valAx>
        <c:axId val="-208734879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734684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81976"/>
        <c:axId val="-2081778776"/>
      </c:scatterChart>
      <c:valAx>
        <c:axId val="-2081781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1778776"/>
        <c:crosses val="autoZero"/>
        <c:crossBetween val="midCat"/>
        <c:minorUnit val="1.0"/>
      </c:valAx>
      <c:valAx>
        <c:axId val="-208177877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178197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41480"/>
        <c:axId val="-2081738280"/>
      </c:scatterChart>
      <c:valAx>
        <c:axId val="-208174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1738280"/>
        <c:crosses val="autoZero"/>
        <c:crossBetween val="midCat"/>
        <c:minorUnit val="1.0"/>
      </c:valAx>
      <c:valAx>
        <c:axId val="-208173828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174148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66584"/>
        <c:axId val="-2087368392"/>
      </c:scatterChart>
      <c:valAx>
        <c:axId val="-2087366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7368392"/>
        <c:crosses val="autoZero"/>
        <c:crossBetween val="midCat"/>
        <c:minorUnit val="1.0"/>
      </c:valAx>
      <c:valAx>
        <c:axId val="-208736839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736658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92312"/>
        <c:axId val="-2087394264"/>
      </c:scatterChart>
      <c:valAx>
        <c:axId val="-2087392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7394264"/>
        <c:crosses val="autoZero"/>
        <c:crossBetween val="midCat"/>
        <c:minorUnit val="1.0"/>
      </c:valAx>
      <c:valAx>
        <c:axId val="-208739426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739231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415816"/>
        <c:axId val="-2087417768"/>
      </c:scatterChart>
      <c:valAx>
        <c:axId val="-208741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7417768"/>
        <c:crosses val="autoZero"/>
        <c:crossBetween val="midCat"/>
        <c:minorUnit val="1.0"/>
      </c:valAx>
      <c:valAx>
        <c:axId val="-208741776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741581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438312"/>
        <c:axId val="-2087440264"/>
      </c:scatterChart>
      <c:valAx>
        <c:axId val="-2087438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7440264"/>
        <c:crosses val="autoZero"/>
        <c:crossBetween val="midCat"/>
        <c:minorUnit val="1.0"/>
      </c:valAx>
      <c:valAx>
        <c:axId val="-208744026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743831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367768"/>
        <c:axId val="-2102375864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389656"/>
        <c:axId val="-2102378088"/>
      </c:scatterChart>
      <c:catAx>
        <c:axId val="-210236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375864"/>
        <c:crosses val="autoZero"/>
        <c:auto val="1"/>
        <c:lblAlgn val="ctr"/>
        <c:lblOffset val="100"/>
        <c:noMultiLvlLbl val="0"/>
      </c:catAx>
      <c:valAx>
        <c:axId val="-2102375864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02367768"/>
        <c:crosses val="autoZero"/>
        <c:crossBetween val="between"/>
      </c:valAx>
      <c:valAx>
        <c:axId val="-210237808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02389656"/>
        <c:crosses val="max"/>
        <c:crossBetween val="midCat"/>
      </c:valAx>
      <c:valAx>
        <c:axId val="-21023896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2378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Ostrea</a:t>
            </a:r>
            <a:r>
              <a:rPr lang="en-US" baseline="0"/>
              <a:t> lurida survival rate, </a:t>
            </a:r>
          </a:p>
          <a:p>
            <a:pPr>
              <a:defRPr/>
            </a:pPr>
            <a:r>
              <a:rPr lang="en-US" baseline="0"/>
              <a:t>larvae -&gt; juvenile</a:t>
            </a:r>
            <a:endParaRPr lang="en-US"/>
          </a:p>
        </c:rich>
      </c:tx>
      <c:layout>
        <c:manualLayout>
          <c:xMode val="edge"/>
          <c:yMode val="edge"/>
          <c:x val="0.408712951100491"/>
          <c:y val="0.0523917995444191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3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4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5"/>
            <c:invertIfNegative val="0"/>
            <c:bubble3D val="0"/>
            <c:spPr>
              <a:solidFill>
                <a:srgbClr val="E46C0A"/>
              </a:solidFill>
            </c:spPr>
          </c:dPt>
          <c:dPt>
            <c:idx val="6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8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9"/>
            <c:invertIfNegative val="0"/>
            <c:bubble3D val="0"/>
            <c:spPr>
              <a:solidFill>
                <a:srgbClr val="E46C0A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9BBB59"/>
              </a:solidFill>
            </c:spPr>
          </c:dPt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('Total Larvae to Date'!$J$2:$J$9,'Total Larvae to Date'!$J$14:$J$17)</c:f>
              <c:strCache>
                <c:ptCount val="12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K-10 Ambient</c:v>
                </c:pt>
                <c:pt idx="9">
                  <c:v>K-10 Low</c:v>
                </c:pt>
                <c:pt idx="10">
                  <c:v>K-6 Ambient</c:v>
                </c:pt>
                <c:pt idx="11">
                  <c:v>K-6 Low</c:v>
                </c:pt>
              </c:strCache>
            </c:strRef>
          </c:cat>
          <c:val>
            <c:numRef>
              <c:f>('Total Larvae to Date'!$X$2:$X$9,'Total Larvae to Date'!$X$14:$X$17)</c:f>
              <c:numCache>
                <c:formatCode>0.000%</c:formatCode>
                <c:ptCount val="12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  <c:pt idx="4">
                  <c:v>7.61739367583915E-5</c:v>
                </c:pt>
                <c:pt idx="5">
                  <c:v>5.41352685689342E-5</c:v>
                </c:pt>
                <c:pt idx="6">
                  <c:v>0.000294091877978829</c:v>
                </c:pt>
                <c:pt idx="7">
                  <c:v>0.000409082537087242</c:v>
                </c:pt>
                <c:pt idx="8">
                  <c:v>0.00082369310276287</c:v>
                </c:pt>
                <c:pt idx="9">
                  <c:v>0.000550823224874334</c:v>
                </c:pt>
                <c:pt idx="10">
                  <c:v>0.00111652290489379</c:v>
                </c:pt>
                <c:pt idx="11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463352"/>
        <c:axId val="-2087465160"/>
      </c:barChart>
      <c:catAx>
        <c:axId val="-208746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65160"/>
        <c:crosses val="autoZero"/>
        <c:auto val="1"/>
        <c:lblAlgn val="ctr"/>
        <c:lblOffset val="100"/>
        <c:noMultiLvlLbl val="0"/>
      </c:catAx>
      <c:valAx>
        <c:axId val="-2087465160"/>
        <c:scaling>
          <c:orientation val="minMax"/>
          <c:max val="0.012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208746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Date'!$AG$18:$AG$21</c:f>
              <c:numCache>
                <c:formatCode>0%</c:formatCode>
                <c:ptCount val="4"/>
                <c:pt idx="0" formatCode="0.0%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986456"/>
        <c:axId val="-209798340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72088"/>
        <c:axId val="-2097977768"/>
      </c:scatterChart>
      <c:catAx>
        <c:axId val="-209798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983400"/>
        <c:crosses val="autoZero"/>
        <c:auto val="1"/>
        <c:lblAlgn val="ctr"/>
        <c:lblOffset val="100"/>
        <c:noMultiLvlLbl val="0"/>
      </c:catAx>
      <c:valAx>
        <c:axId val="-209798340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97986456"/>
        <c:crosses val="autoZero"/>
        <c:crossBetween val="between"/>
      </c:valAx>
      <c:valAx>
        <c:axId val="-2097977768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97972088"/>
        <c:crosses val="max"/>
        <c:crossBetween val="midCat"/>
        <c:minorUnit val="5.0"/>
      </c:valAx>
      <c:valAx>
        <c:axId val="-20979720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7977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919752"/>
        <c:axId val="-209791669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05352"/>
        <c:axId val="-2097911064"/>
      </c:scatterChart>
      <c:catAx>
        <c:axId val="-209791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916696"/>
        <c:crosses val="autoZero"/>
        <c:auto val="1"/>
        <c:lblAlgn val="ctr"/>
        <c:lblOffset val="100"/>
        <c:noMultiLvlLbl val="0"/>
      </c:catAx>
      <c:valAx>
        <c:axId val="-209791669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97919752"/>
        <c:crosses val="autoZero"/>
        <c:crossBetween val="between"/>
      </c:valAx>
      <c:valAx>
        <c:axId val="-2097911064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97905352"/>
        <c:crosses val="max"/>
        <c:crossBetween val="midCat"/>
        <c:minorUnit val="5.0"/>
      </c:valAx>
      <c:valAx>
        <c:axId val="-20979053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7911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Date'!$AG$10:$AG$13</c:f>
              <c:numCache>
                <c:formatCode>0.00%</c:formatCode>
                <c:ptCount val="4"/>
                <c:pt idx="0">
                  <c:v>0.00501353535145595</c:v>
                </c:pt>
                <c:pt idx="1">
                  <c:v>0.00394247912952194</c:v>
                </c:pt>
                <c:pt idx="2">
                  <c:v>0.013509487298039</c:v>
                </c:pt>
                <c:pt idx="3">
                  <c:v>0.00437397378250654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7865640"/>
        <c:axId val="-209786247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Date'!$AH$10:$AH$13</c:f>
              <c:numCache>
                <c:formatCode>_(* #,##0_);_(* \(#,##0\);_(* "-"??_);_(@_)</c:formatCode>
                <c:ptCount val="4"/>
                <c:pt idx="0">
                  <c:v>269869.4444444444</c:v>
                </c:pt>
                <c:pt idx="1">
                  <c:v>300065.0</c:v>
                </c:pt>
                <c:pt idx="2">
                  <c:v>48928.57777777778</c:v>
                </c:pt>
                <c:pt idx="3">
                  <c:v>227710.5555555556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97851304"/>
        <c:axId val="-2097856984"/>
      </c:scatterChart>
      <c:catAx>
        <c:axId val="-209786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862472"/>
        <c:crosses val="autoZero"/>
        <c:auto val="1"/>
        <c:lblAlgn val="ctr"/>
        <c:lblOffset val="100"/>
        <c:noMultiLvlLbl val="0"/>
      </c:catAx>
      <c:valAx>
        <c:axId val="-20978624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97865640"/>
        <c:crosses val="autoZero"/>
        <c:crossBetween val="between"/>
      </c:valAx>
      <c:valAx>
        <c:axId val="-2097856984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97851304"/>
        <c:crosses val="max"/>
        <c:crossBetween val="midCat"/>
        <c:minorUnit val="5.0"/>
      </c:valAx>
      <c:valAx>
        <c:axId val="-20978513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7856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829112"/>
        <c:axId val="-2105059144"/>
      </c:barChart>
      <c:dateAx>
        <c:axId val="-2104829112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-2105059144"/>
        <c:crosses val="autoZero"/>
        <c:auto val="1"/>
        <c:lblOffset val="100"/>
        <c:baseTimeUnit val="days"/>
        <c:minorUnit val="1.0"/>
        <c:minorTimeUnit val="days"/>
      </c:dateAx>
      <c:valAx>
        <c:axId val="-210505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0482911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302232"/>
        <c:axId val="-2087303848"/>
      </c:barChart>
      <c:dateAx>
        <c:axId val="-208730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7303848"/>
        <c:crosses val="autoZero"/>
        <c:auto val="1"/>
        <c:lblOffset val="100"/>
        <c:baseTimeUnit val="days"/>
        <c:minorUnit val="1.0"/>
        <c:minorTimeUnit val="days"/>
      </c:dateAx>
      <c:valAx>
        <c:axId val="-208730384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730223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818024"/>
        <c:axId val="-2081814840"/>
      </c:barChart>
      <c:dateAx>
        <c:axId val="-208181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1814840"/>
        <c:crosses val="autoZero"/>
        <c:auto val="1"/>
        <c:lblOffset val="100"/>
        <c:baseTimeUnit val="days"/>
        <c:minorUnit val="1.0"/>
        <c:minorTimeUnit val="days"/>
      </c:dateAx>
      <c:valAx>
        <c:axId val="-20818148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1818024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569752"/>
        <c:axId val="-2086571560"/>
      </c:barChart>
      <c:dateAx>
        <c:axId val="-2086569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6571560"/>
        <c:crosses val="autoZero"/>
        <c:auto val="1"/>
        <c:lblOffset val="100"/>
        <c:baseTimeUnit val="days"/>
        <c:minorUnit val="1.0"/>
        <c:minorTimeUnit val="days"/>
      </c:dateAx>
      <c:valAx>
        <c:axId val="-2086571560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6569752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165100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topLeftCell="F1" workbookViewId="0">
      <pane ySplit="2080" topLeftCell="A93" activePane="bottomLeft"/>
      <selection activeCell="T1" sqref="T1:T1048576"/>
      <selection pane="bottomLeft" activeCell="P32" sqref="P32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bestFit="1" customWidth="1"/>
    <col min="5" max="5" width="10.83203125" style="12"/>
    <col min="6" max="6" width="10.5" style="12" bestFit="1" customWidth="1"/>
    <col min="7" max="8" width="10.33203125" style="12" bestFit="1" customWidth="1"/>
    <col min="9" max="9" width="10.6640625" style="13" bestFit="1" customWidth="1"/>
    <col min="10" max="10" width="12.5" style="13" customWidth="1"/>
    <col min="11" max="11" width="10.1640625" style="12" customWidth="1"/>
    <col min="12" max="13" width="10.5" style="144" customWidth="1"/>
    <col min="14" max="14" width="13.5" style="12" customWidth="1"/>
    <col min="15" max="15" width="13.5" style="13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2" t="s">
        <v>11</v>
      </c>
      <c r="M1" s="142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0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3" t="s">
        <v>18</v>
      </c>
      <c r="M2" s="143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3" t="s">
        <v>18</v>
      </c>
      <c r="M3" s="143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3" t="s">
        <v>18</v>
      </c>
      <c r="M4" s="143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3" t="s">
        <v>18</v>
      </c>
      <c r="M5" s="143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3" t="s">
        <v>18</v>
      </c>
      <c r="M6" s="143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3" t="s">
        <v>18</v>
      </c>
      <c r="M7" s="143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3" t="s">
        <v>18</v>
      </c>
      <c r="M8" s="143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3" t="s">
        <v>18</v>
      </c>
      <c r="M9" s="143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3" t="s">
        <v>18</v>
      </c>
      <c r="M10" s="143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3" t="s">
        <v>18</v>
      </c>
      <c r="M11" s="143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3" t="s">
        <v>18</v>
      </c>
      <c r="M12" s="143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3" t="s">
        <v>18</v>
      </c>
      <c r="M13" s="143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3" t="s">
        <v>18</v>
      </c>
      <c r="M14" s="143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3" t="s">
        <v>18</v>
      </c>
      <c r="M15" s="143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3" t="s">
        <v>18</v>
      </c>
      <c r="M16" s="143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3" t="s">
        <v>18</v>
      </c>
      <c r="M17" s="143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3" t="s">
        <v>18</v>
      </c>
      <c r="M18" s="143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3" t="s">
        <v>18</v>
      </c>
      <c r="M19" s="143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3" t="s">
        <v>18</v>
      </c>
      <c r="M20" s="143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3" t="s">
        <v>18</v>
      </c>
      <c r="M21" s="143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3" t="s">
        <v>18</v>
      </c>
      <c r="M22" s="143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3" t="s">
        <v>18</v>
      </c>
      <c r="M23" s="143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3" t="s">
        <v>18</v>
      </c>
      <c r="M24" s="143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3" t="s">
        <v>18</v>
      </c>
      <c r="M25" s="143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3" t="s">
        <v>18</v>
      </c>
      <c r="M26" s="143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3" t="s">
        <v>18</v>
      </c>
      <c r="M27" s="143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3" t="s">
        <v>18</v>
      </c>
      <c r="M28" s="143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3" t="s">
        <v>18</v>
      </c>
      <c r="M29" s="143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3" t="s">
        <v>18</v>
      </c>
      <c r="M30" s="143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3" t="s">
        <v>18</v>
      </c>
      <c r="M31" s="143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3" t="s">
        <v>18</v>
      </c>
      <c r="M32" s="143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3"/>
      <c r="M33" s="143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3"/>
      <c r="M34" s="143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3"/>
      <c r="M35" s="143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3">
        <v>80640</v>
      </c>
      <c r="M36" s="143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3"/>
      <c r="M37" s="143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3"/>
      <c r="M38" s="143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3"/>
      <c r="M39" s="143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3"/>
      <c r="M40" s="143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3"/>
      <c r="M41" s="143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3"/>
      <c r="M42" s="143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3"/>
      <c r="M43" s="143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3"/>
      <c r="M44" s="143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3"/>
      <c r="M45" s="143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3"/>
      <c r="M46" s="143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3"/>
      <c r="M47" s="143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3"/>
      <c r="M48" s="143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3"/>
      <c r="M49" s="143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3"/>
      <c r="M50" s="143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3"/>
      <c r="M51" s="143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3"/>
      <c r="M52" s="143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3"/>
      <c r="M53" s="143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3"/>
      <c r="M54" s="143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3"/>
      <c r="M55" s="143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3"/>
      <c r="M56" s="143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3"/>
      <c r="M57" s="143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3"/>
      <c r="M58" s="143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3"/>
      <c r="M59" s="143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3"/>
      <c r="M60" s="143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3"/>
      <c r="M61" s="143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3"/>
      <c r="M62" s="143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3"/>
      <c r="M63" s="143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3"/>
      <c r="M64" s="143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3"/>
      <c r="M65" s="143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3">
        <v>50000</v>
      </c>
      <c r="M66" s="143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3">
        <v>25000</v>
      </c>
      <c r="M67" s="143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3">
        <v>50000</v>
      </c>
      <c r="M68" s="143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3"/>
      <c r="M69" s="143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3"/>
      <c r="M70" s="143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3">
        <v>50000</v>
      </c>
      <c r="M71" s="143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3">
        <v>50000</v>
      </c>
      <c r="M72" s="143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3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3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4">
        <v>50000</v>
      </c>
      <c r="M76" s="145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4">
        <v>50000</v>
      </c>
      <c r="M77" s="143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4">
        <v>50000</v>
      </c>
      <c r="M78" s="143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4">
        <v>50000</v>
      </c>
      <c r="M79" s="145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4">
        <v>32000</v>
      </c>
      <c r="M80" s="145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4">
        <v>30000</v>
      </c>
      <c r="M81" s="145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4">
        <v>32000</v>
      </c>
      <c r="M82" s="145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4">
        <v>47000</v>
      </c>
      <c r="M83" s="145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4">
        <v>25000</v>
      </c>
      <c r="M84" s="145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4">
        <v>50000</v>
      </c>
      <c r="M85" s="145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4">
        <v>50000</v>
      </c>
      <c r="M86" s="145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5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5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5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5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5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5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5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5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4">
        <v>50000</v>
      </c>
      <c r="M95" s="145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4">
        <v>50000</v>
      </c>
      <c r="M96" s="145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4">
        <v>25000</v>
      </c>
      <c r="M97" s="145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5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5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4">
        <v>50000</v>
      </c>
      <c r="M100" s="145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5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4">
        <v>50000</v>
      </c>
      <c r="M102" s="145">
        <f t="shared" si="8"/>
        <v>103.02197802197803</v>
      </c>
      <c r="N102" s="12">
        <v>150</v>
      </c>
      <c r="O102" s="13">
        <f t="shared" si="9"/>
        <v>72800</v>
      </c>
      <c r="P102" s="12" t="s">
        <v>147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4">
        <v>50000</v>
      </c>
      <c r="M103" s="145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4">
        <v>50000</v>
      </c>
      <c r="M104" s="145">
        <f t="shared" si="8"/>
        <v>119.04761904761905</v>
      </c>
      <c r="N104" s="12">
        <v>150</v>
      </c>
      <c r="O104" s="13">
        <f t="shared" si="9"/>
        <v>63000</v>
      </c>
      <c r="P104" s="12" t="s">
        <v>148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4">
        <v>30000</v>
      </c>
      <c r="M105" s="145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149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4">
        <v>50000</v>
      </c>
      <c r="M106" s="145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151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5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5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5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4">
        <v>70000</v>
      </c>
      <c r="M110" s="145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150</v>
      </c>
      <c r="Q110" s="13">
        <v>15000</v>
      </c>
      <c r="T110" s="14" t="s">
        <v>152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4">
        <v>50000</v>
      </c>
      <c r="M111" s="145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159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4">
        <v>50000</v>
      </c>
      <c r="M112" s="145">
        <f t="shared" si="11"/>
        <v>308.64197530864197</v>
      </c>
      <c r="N112" s="12">
        <v>325</v>
      </c>
      <c r="O112" s="13">
        <f t="shared" si="9"/>
        <v>52650</v>
      </c>
      <c r="P112" s="12" t="s">
        <v>158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4">
        <v>50000</v>
      </c>
      <c r="M113" s="145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155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4">
        <v>50000</v>
      </c>
      <c r="M114" s="145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153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4">
        <v>50000</v>
      </c>
      <c r="M115" s="145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156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4">
        <v>50000</v>
      </c>
      <c r="M116" s="145">
        <f t="shared" si="11"/>
        <v>124.17218543046357</v>
      </c>
      <c r="N116" s="12">
        <v>150</v>
      </c>
      <c r="O116" s="13">
        <f t="shared" si="9"/>
        <v>60400</v>
      </c>
      <c r="P116" s="12" t="s">
        <v>157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4">
        <v>50000</v>
      </c>
      <c r="M117" s="145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154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4">
        <v>50000</v>
      </c>
      <c r="M118" s="145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164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5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5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4">
        <v>50000</v>
      </c>
      <c r="M121" s="145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166</v>
      </c>
      <c r="Q121" s="13">
        <f t="shared" si="12"/>
        <v>126883.33333333334</v>
      </c>
      <c r="T121" s="14" t="s">
        <v>165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4">
        <v>50000</v>
      </c>
      <c r="M122" s="145">
        <f t="shared" si="11"/>
        <v>306.12244897959181</v>
      </c>
      <c r="N122" s="12">
        <v>300</v>
      </c>
      <c r="O122" s="13">
        <f t="shared" si="9"/>
        <v>49000</v>
      </c>
      <c r="P122" s="12" t="s">
        <v>169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4">
        <v>50000</v>
      </c>
      <c r="M123" s="145">
        <f t="shared" si="11"/>
        <v>490.19607843137254</v>
      </c>
      <c r="N123" s="12">
        <v>500</v>
      </c>
      <c r="O123" s="13">
        <f t="shared" si="9"/>
        <v>51000</v>
      </c>
      <c r="P123" s="12" t="s">
        <v>168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5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4">
        <v>70000</v>
      </c>
      <c r="M125" s="145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167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4">
        <v>20000</v>
      </c>
      <c r="M126" s="145">
        <f t="shared" si="11"/>
        <v>350.87719298245617</v>
      </c>
      <c r="N126" s="12">
        <v>300</v>
      </c>
      <c r="O126" s="13">
        <f t="shared" si="9"/>
        <v>17100</v>
      </c>
      <c r="P126" s="12" t="s">
        <v>176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5">
        <f t="shared" si="11"/>
        <v>0</v>
      </c>
      <c r="O127" s="13">
        <f t="shared" si="9"/>
        <v>0</v>
      </c>
      <c r="P127" s="12" t="s">
        <v>175</v>
      </c>
      <c r="Q127" s="13">
        <f t="shared" si="12"/>
        <v>6300</v>
      </c>
      <c r="T127" s="14" t="s">
        <v>173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5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5">
        <f t="shared" si="11"/>
        <v>0</v>
      </c>
      <c r="O129" s="13">
        <f t="shared" si="9"/>
        <v>0</v>
      </c>
      <c r="P129" s="12" t="s">
        <v>174</v>
      </c>
      <c r="Q129" s="13">
        <f t="shared" si="12"/>
        <v>9866.6666666666679</v>
      </c>
      <c r="T129" s="14" t="s">
        <v>173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5">
        <f t="shared" si="11"/>
        <v>0</v>
      </c>
      <c r="N130" s="12">
        <v>250</v>
      </c>
      <c r="O130" s="13">
        <f t="shared" si="9"/>
        <v>88166.666666666672</v>
      </c>
      <c r="P130" s="12" t="s">
        <v>179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5">
        <f t="shared" si="11"/>
        <v>0</v>
      </c>
      <c r="N131" s="12">
        <v>625</v>
      </c>
      <c r="O131" s="13">
        <f t="shared" si="9"/>
        <v>38750</v>
      </c>
      <c r="P131" s="12" t="s">
        <v>180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5">
        <f t="shared" si="11"/>
        <v>0</v>
      </c>
      <c r="N132" s="12">
        <v>275</v>
      </c>
      <c r="O132" s="13">
        <f t="shared" si="9"/>
        <v>77183.333333333343</v>
      </c>
      <c r="P132" s="12" t="s">
        <v>181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5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5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5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4">
        <v>50000</v>
      </c>
      <c r="M136" s="145">
        <f t="shared" si="11"/>
        <v>276.7527675276753</v>
      </c>
      <c r="N136" s="12">
        <v>300</v>
      </c>
      <c r="O136" s="13">
        <f t="shared" si="9"/>
        <v>54200</v>
      </c>
      <c r="P136" s="12" t="s">
        <v>186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5">
        <f t="shared" si="11"/>
        <v>0</v>
      </c>
      <c r="O137" s="13">
        <f t="shared" si="9"/>
        <v>0</v>
      </c>
      <c r="P137" s="12" t="s">
        <v>184</v>
      </c>
      <c r="Q137" s="13">
        <f t="shared" si="12"/>
        <v>1280</v>
      </c>
      <c r="T137" s="14" t="s">
        <v>189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4">
        <v>50000</v>
      </c>
      <c r="M138" s="145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183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5">
        <f t="shared" si="11"/>
        <v>0</v>
      </c>
      <c r="O139" s="13">
        <f t="shared" si="9"/>
        <v>0</v>
      </c>
      <c r="P139" s="12" t="s">
        <v>185</v>
      </c>
      <c r="Q139" s="13">
        <f t="shared" si="12"/>
        <v>2800</v>
      </c>
      <c r="T139" s="14" t="s">
        <v>190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4">
        <v>50000</v>
      </c>
      <c r="M140" s="145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182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188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5">
        <f t="shared" si="11"/>
        <v>0</v>
      </c>
      <c r="N141" s="12">
        <v>250</v>
      </c>
      <c r="O141" s="13">
        <f t="shared" si="9"/>
        <v>53333.333333333336</v>
      </c>
      <c r="P141" s="12" t="s">
        <v>192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188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5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191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188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5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188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5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188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5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5">
        <f t="shared" si="15"/>
        <v>0</v>
      </c>
      <c r="N146" s="12">
        <v>400</v>
      </c>
      <c r="O146" s="13">
        <f t="shared" si="9"/>
        <v>57866.666666666664</v>
      </c>
      <c r="P146" s="12" t="s">
        <v>195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5">
        <f t="shared" si="15"/>
        <v>0</v>
      </c>
      <c r="N147" s="12">
        <v>300</v>
      </c>
      <c r="O147" s="13">
        <f t="shared" si="9"/>
        <v>39000</v>
      </c>
      <c r="P147" s="12" t="s">
        <v>196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5">
        <f t="shared" si="15"/>
        <v>0</v>
      </c>
      <c r="N148" s="12">
        <v>175</v>
      </c>
      <c r="O148" s="13">
        <f t="shared" si="9"/>
        <v>79566.666666666672</v>
      </c>
      <c r="P148" s="12" t="s">
        <v>194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5">
        <f t="shared" si="15"/>
        <v>0</v>
      </c>
      <c r="N149" s="12">
        <v>150</v>
      </c>
      <c r="O149" s="13">
        <f t="shared" si="9"/>
        <v>134800</v>
      </c>
      <c r="P149" s="12" t="s">
        <v>193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5">
        <f t="shared" si="15"/>
        <v>0</v>
      </c>
      <c r="N150" s="12">
        <v>650</v>
      </c>
      <c r="O150" s="13">
        <f t="shared" si="9"/>
        <v>47233.333333333336</v>
      </c>
      <c r="P150" s="12" t="s">
        <v>198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5">
        <f t="shared" si="15"/>
        <v>0</v>
      </c>
      <c r="N151" s="12">
        <v>500</v>
      </c>
      <c r="O151" s="13">
        <f t="shared" si="9"/>
        <v>48666.666666666664</v>
      </c>
      <c r="P151" s="12" t="s">
        <v>199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5">
        <f t="shared" si="15"/>
        <v>0</v>
      </c>
      <c r="N152" s="12">
        <v>300</v>
      </c>
      <c r="O152" s="13">
        <f t="shared" si="9"/>
        <v>48000</v>
      </c>
      <c r="P152" s="12" t="s">
        <v>200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5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197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5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5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5">
        <f t="shared" si="15"/>
        <v>0</v>
      </c>
      <c r="N156" s="12">
        <v>200</v>
      </c>
      <c r="O156" s="13">
        <f t="shared" si="9"/>
        <v>58800</v>
      </c>
      <c r="P156" s="12" t="s">
        <v>202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5">
        <f t="shared" si="15"/>
        <v>0</v>
      </c>
      <c r="N157" s="12">
        <v>300</v>
      </c>
      <c r="O157" s="13">
        <f t="shared" si="9"/>
        <v>45400</v>
      </c>
      <c r="P157" s="12" t="s">
        <v>201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4">
        <v>30000</v>
      </c>
      <c r="M158" s="145">
        <f t="shared" si="15"/>
        <v>505.61797752808985</v>
      </c>
      <c r="N158" s="12">
        <v>525</v>
      </c>
      <c r="O158" s="13">
        <f t="shared" si="9"/>
        <v>31150</v>
      </c>
      <c r="P158" s="12" t="s">
        <v>227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4">
        <v>100000</v>
      </c>
      <c r="M159" s="145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226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5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5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5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5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4">
        <v>50000</v>
      </c>
      <c r="M164" s="145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225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5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4">
        <v>50000</v>
      </c>
      <c r="M166" s="145">
        <f t="shared" si="15"/>
        <v>258.62068965517238</v>
      </c>
      <c r="N166" s="12">
        <v>300</v>
      </c>
      <c r="O166" s="13">
        <f t="shared" si="18"/>
        <v>58000</v>
      </c>
      <c r="P166" s="12" t="s">
        <v>224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4">
        <v>50000</v>
      </c>
      <c r="M167" s="145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241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4">
        <v>50000</v>
      </c>
      <c r="M168" s="145">
        <f t="shared" si="15"/>
        <v>250</v>
      </c>
      <c r="N168" s="12">
        <v>250</v>
      </c>
      <c r="O168" s="13">
        <f t="shared" si="18"/>
        <v>50000</v>
      </c>
      <c r="P168" s="12" t="s">
        <v>240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4">
        <v>50000</v>
      </c>
      <c r="M169" s="145">
        <f t="shared" si="15"/>
        <v>176.05633802816902</v>
      </c>
      <c r="N169" s="12">
        <v>210</v>
      </c>
      <c r="O169" s="13">
        <f t="shared" si="18"/>
        <v>59640</v>
      </c>
      <c r="P169" s="12" t="s">
        <v>242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4">
        <v>50000</v>
      </c>
      <c r="M170" s="145">
        <f t="shared" si="15"/>
        <v>245.09803921568627</v>
      </c>
      <c r="N170" s="12">
        <v>275</v>
      </c>
      <c r="O170" s="13">
        <f t="shared" si="18"/>
        <v>56100</v>
      </c>
      <c r="P170" s="12" t="s">
        <v>243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4">
        <v>50000</v>
      </c>
      <c r="M171" s="145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5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5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5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5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4">
        <v>50000</v>
      </c>
      <c r="M176" s="145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248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5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5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5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5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5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5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5">
        <f t="shared" si="20"/>
        <v>0</v>
      </c>
      <c r="N183" s="12">
        <v>650</v>
      </c>
      <c r="O183" s="13">
        <f t="shared" si="18"/>
        <v>77566.666666666657</v>
      </c>
      <c r="P183" s="12" t="s">
        <v>255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5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4">
        <v>50000</v>
      </c>
      <c r="M185" s="145">
        <f t="shared" si="20"/>
        <v>203.2520325203252</v>
      </c>
      <c r="N185" s="12">
        <v>300</v>
      </c>
      <c r="O185" s="13">
        <f t="shared" si="18"/>
        <v>73800</v>
      </c>
      <c r="P185" s="12" t="s">
        <v>265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5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5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5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5">
        <f t="shared" si="20"/>
        <v>0</v>
      </c>
      <c r="N189" s="12">
        <v>600</v>
      </c>
      <c r="O189" s="13">
        <f t="shared" si="18"/>
        <v>200000</v>
      </c>
      <c r="P189" s="12" t="s">
        <v>267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5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5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5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5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5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5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5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5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5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5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5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5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5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5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5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5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5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5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5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5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5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5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5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5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5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5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5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5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5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5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5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5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5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5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5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5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5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5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5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5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5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5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5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5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5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5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5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5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5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5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5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5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5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5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5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5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5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5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5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5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5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5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5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5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5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5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5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5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5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5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5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5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5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5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5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5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5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5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5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5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5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5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5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5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5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5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5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5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5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5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5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5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5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5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5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5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5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5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5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5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5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5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5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5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5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5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5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5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5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5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5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5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5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zoomScale="80" zoomScaleNormal="80" zoomScalePageLayoutView="80" workbookViewId="0">
      <selection activeCell="D37" sqref="D37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Q33" sqref="Q3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9"/>
  <sheetViews>
    <sheetView tabSelected="1" zoomScale="90" zoomScaleNormal="90" zoomScalePageLayoutView="90" workbookViewId="0">
      <pane ySplit="1140" topLeftCell="A920" activePane="bottomLeft"/>
      <selection activeCell="R1" sqref="R1:X1048576"/>
      <selection pane="bottomLeft" activeCell="P931" sqref="P931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customWidth="1"/>
    <col min="5" max="5" width="10.83203125" hidden="1" customWidth="1"/>
    <col min="6" max="6" width="10.83203125" style="1" hidden="1" customWidth="1"/>
    <col min="7" max="7" width="13.33203125" hidden="1" customWidth="1"/>
    <col min="8" max="15" width="10.83203125" hidden="1" customWidth="1"/>
    <col min="16" max="17" width="16.33203125" style="17" customWidth="1"/>
    <col min="18" max="18" width="19.83203125" style="105" hidden="1" customWidth="1"/>
    <col min="19" max="19" width="16.33203125" style="104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0.83203125" style="1" customWidth="1"/>
    <col min="26" max="26" width="14.1640625" style="368" customWidth="1"/>
    <col min="27" max="27" width="12.1640625" style="17" customWidth="1"/>
    <col min="28" max="28" width="16" style="17" customWidth="1"/>
    <col min="29" max="29" width="16.1640625" customWidth="1"/>
  </cols>
  <sheetData>
    <row r="1" spans="1:30" s="15" customFormat="1" ht="50" customHeight="1" thickBot="1">
      <c r="A1" s="15" t="s">
        <v>80</v>
      </c>
      <c r="B1" s="15" t="s">
        <v>82</v>
      </c>
      <c r="C1" s="15" t="s">
        <v>160</v>
      </c>
      <c r="D1" s="15" t="s">
        <v>1</v>
      </c>
      <c r="E1" s="15" t="s">
        <v>2</v>
      </c>
      <c r="F1" s="15" t="s">
        <v>68</v>
      </c>
      <c r="G1" s="15" t="s">
        <v>204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P1" s="116" t="s">
        <v>162</v>
      </c>
      <c r="Q1" s="116" t="s">
        <v>214</v>
      </c>
      <c r="R1" s="166" t="s">
        <v>215</v>
      </c>
      <c r="S1" s="166" t="s">
        <v>219</v>
      </c>
      <c r="T1" s="15" t="s">
        <v>81</v>
      </c>
      <c r="U1" s="15" t="s">
        <v>205</v>
      </c>
      <c r="V1" s="15" t="s">
        <v>69</v>
      </c>
      <c r="W1" s="15" t="s">
        <v>356</v>
      </c>
      <c r="Y1" s="349" t="s">
        <v>1</v>
      </c>
      <c r="Z1" s="354" t="s">
        <v>368</v>
      </c>
      <c r="AA1" s="116" t="s">
        <v>369</v>
      </c>
      <c r="AB1" s="116" t="s">
        <v>370</v>
      </c>
      <c r="AC1" s="15" t="s">
        <v>367</v>
      </c>
      <c r="AD1" s="15" t="s">
        <v>371</v>
      </c>
    </row>
    <row r="2" spans="1:30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7"/>
      <c r="S2" s="176"/>
      <c r="U2" s="21">
        <f>SUM(P2:P4)</f>
        <v>55333.333333333343</v>
      </c>
      <c r="V2" s="21" t="e">
        <f>(200000-U2)/#REF!</f>
        <v>#REF!</v>
      </c>
      <c r="Y2" s="20"/>
      <c r="Z2" s="355"/>
      <c r="AA2" s="117"/>
      <c r="AB2" s="117"/>
    </row>
    <row r="3" spans="1:30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68"/>
      <c r="S3" s="177"/>
      <c r="U3" s="25" t="s">
        <v>70</v>
      </c>
      <c r="V3" s="25" t="e">
        <f>(200000-U3)/#REF!</f>
        <v>#VALUE!</v>
      </c>
      <c r="Y3" s="24"/>
      <c r="Z3" s="356"/>
      <c r="AA3" s="118"/>
      <c r="AB3" s="118"/>
    </row>
    <row r="4" spans="1:30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68"/>
      <c r="S4" s="177"/>
      <c r="U4" s="25" t="s">
        <v>70</v>
      </c>
      <c r="V4" s="25" t="e">
        <f>(200000-U4)/#REF!</f>
        <v>#VALUE!</v>
      </c>
      <c r="Y4" s="24"/>
      <c r="Z4" s="356"/>
      <c r="AA4" s="118"/>
      <c r="AB4" s="118"/>
    </row>
    <row r="5" spans="1:30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68"/>
      <c r="S5" s="177"/>
      <c r="U5" s="25">
        <f>SUM(P5:P7)</f>
        <v>124133.33333333333</v>
      </c>
      <c r="V5" s="25" t="e">
        <f>(200000-U5)/#REF!</f>
        <v>#REF!</v>
      </c>
      <c r="Y5" s="24"/>
      <c r="Z5" s="356"/>
      <c r="AA5" s="118"/>
      <c r="AB5" s="118"/>
    </row>
    <row r="6" spans="1:30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68"/>
      <c r="S6" s="177"/>
      <c r="U6" s="25" t="s">
        <v>70</v>
      </c>
      <c r="V6" s="25" t="e">
        <f>(200000-U6)/#REF!</f>
        <v>#VALUE!</v>
      </c>
      <c r="Y6" s="24"/>
      <c r="Z6" s="356"/>
      <c r="AA6" s="118"/>
      <c r="AB6" s="118"/>
    </row>
    <row r="7" spans="1:30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68"/>
      <c r="S7" s="177"/>
      <c r="U7" s="25" t="s">
        <v>70</v>
      </c>
      <c r="V7" s="25" t="e">
        <f>(200000-U7)/#REF!</f>
        <v>#VALUE!</v>
      </c>
      <c r="Y7" s="24"/>
      <c r="Z7" s="356"/>
      <c r="AA7" s="118"/>
      <c r="AB7" s="118"/>
    </row>
    <row r="8" spans="1:30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68"/>
      <c r="S8" s="177"/>
      <c r="U8" s="25">
        <f>SUM(P8:P10)</f>
        <v>35533.333333333336</v>
      </c>
      <c r="V8" s="25" t="e">
        <f>(200000-U8)/#REF!</f>
        <v>#REF!</v>
      </c>
      <c r="Y8" s="24"/>
      <c r="Z8" s="356"/>
      <c r="AA8" s="118"/>
      <c r="AB8" s="118"/>
    </row>
    <row r="9" spans="1:30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68"/>
      <c r="S9" s="177"/>
      <c r="U9" s="25" t="s">
        <v>70</v>
      </c>
      <c r="V9" s="25" t="e">
        <f>(200000-U9)/#REF!</f>
        <v>#VALUE!</v>
      </c>
      <c r="Y9" s="24"/>
      <c r="Z9" s="356"/>
      <c r="AA9" s="118"/>
      <c r="AB9" s="118"/>
    </row>
    <row r="10" spans="1:30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68"/>
      <c r="S10" s="177"/>
      <c r="T10" s="23">
        <v>16</v>
      </c>
      <c r="U10" s="25" t="s">
        <v>70</v>
      </c>
      <c r="V10" s="25" t="e">
        <f>(200000-U10)/#REF!</f>
        <v>#VALUE!</v>
      </c>
      <c r="Y10" s="24"/>
      <c r="Z10" s="356"/>
      <c r="AA10" s="118"/>
      <c r="AB10" s="118"/>
    </row>
    <row r="11" spans="1:30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68"/>
      <c r="S11" s="177"/>
      <c r="T11" s="23">
        <v>5</v>
      </c>
      <c r="U11" s="25">
        <f>P11</f>
        <v>145600</v>
      </c>
      <c r="V11" s="25" t="e">
        <f>(200000-U11)/#REF!</f>
        <v>#REF!</v>
      </c>
      <c r="Y11" s="24"/>
      <c r="Z11" s="356"/>
      <c r="AA11" s="118"/>
      <c r="AB11" s="118"/>
    </row>
    <row r="12" spans="1:30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68"/>
      <c r="S12" s="177"/>
      <c r="T12" s="23">
        <v>7</v>
      </c>
      <c r="U12" s="25">
        <f>P12</f>
        <v>189000</v>
      </c>
      <c r="V12" s="25" t="e">
        <f>(200000-U12)/#REF!</f>
        <v>#REF!</v>
      </c>
      <c r="Y12" s="24"/>
      <c r="Z12" s="356"/>
      <c r="AA12" s="118"/>
      <c r="AB12" s="118"/>
    </row>
    <row r="13" spans="1:30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68"/>
      <c r="S13" s="177"/>
      <c r="T13" s="23">
        <v>12</v>
      </c>
      <c r="U13" s="25">
        <f>P13</f>
        <v>49600</v>
      </c>
      <c r="V13" s="25" t="e">
        <f>(200000-U13)/#REF!</f>
        <v>#REF!</v>
      </c>
      <c r="Y13" s="24"/>
      <c r="Z13" s="356"/>
      <c r="AA13" s="118"/>
      <c r="AB13" s="118"/>
    </row>
    <row r="14" spans="1:30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68"/>
      <c r="S14" s="177"/>
      <c r="T14" s="23">
        <v>13</v>
      </c>
      <c r="U14" s="25">
        <f>P14+U15</f>
        <v>135800</v>
      </c>
      <c r="V14" s="25" t="e">
        <f>(200000-U14)/#REF!</f>
        <v>#REF!</v>
      </c>
      <c r="Y14" s="24"/>
      <c r="Z14" s="356"/>
      <c r="AA14" s="118"/>
      <c r="AB14" s="118"/>
    </row>
    <row r="15" spans="1:30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68"/>
      <c r="S15" s="177"/>
      <c r="T15" s="23">
        <v>13</v>
      </c>
      <c r="U15" s="25"/>
      <c r="V15" s="25"/>
      <c r="Y15" s="24"/>
      <c r="Z15" s="356"/>
      <c r="AA15" s="118"/>
      <c r="AB15" s="118"/>
    </row>
    <row r="16" spans="1:30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68"/>
      <c r="S16" s="177"/>
      <c r="T16" s="23">
        <v>11</v>
      </c>
      <c r="U16" s="25">
        <f>P16</f>
        <v>121666.66666666667</v>
      </c>
      <c r="V16" s="25" t="e">
        <f>(200000-U16)/#REF!</f>
        <v>#REF!</v>
      </c>
      <c r="Y16" s="24"/>
      <c r="Z16" s="356"/>
      <c r="AA16" s="118"/>
      <c r="AB16" s="118"/>
    </row>
    <row r="17" spans="1:28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68"/>
      <c r="S17" s="177"/>
      <c r="U17" s="25">
        <f>P17</f>
        <v>15400</v>
      </c>
      <c r="V17" s="25" t="e">
        <f>(200000-U17)/#REF!</f>
        <v>#REF!</v>
      </c>
      <c r="Y17" s="24"/>
      <c r="Z17" s="356"/>
      <c r="AA17" s="118"/>
      <c r="AB17" s="118"/>
    </row>
    <row r="18" spans="1:28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68"/>
      <c r="S18" s="177"/>
      <c r="U18" s="25">
        <f>P18</f>
        <v>82333.333333333328</v>
      </c>
      <c r="V18" s="25" t="e">
        <f>(200000-U18)/#REF!</f>
        <v>#REF!</v>
      </c>
      <c r="Y18" s="24"/>
      <c r="Z18" s="356"/>
      <c r="AA18" s="118"/>
      <c r="AB18" s="118"/>
    </row>
    <row r="19" spans="1:28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 t="shared" si="0"/>
        <v>#DIV/0!</v>
      </c>
      <c r="Q19" s="119"/>
      <c r="R19" s="169"/>
      <c r="S19" s="178"/>
      <c r="U19" s="29"/>
      <c r="V19" s="29"/>
      <c r="Y19" s="28"/>
      <c r="Z19" s="357"/>
      <c r="AA19" s="119"/>
      <c r="AB19" s="119"/>
    </row>
    <row r="20" spans="1:28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7"/>
      <c r="S20" s="176"/>
      <c r="T20" s="19">
        <v>11</v>
      </c>
      <c r="U20" s="21">
        <f t="shared" ref="U20:U25" si="1">P20</f>
        <v>118400</v>
      </c>
      <c r="V20" s="21">
        <f>(200000-U20)/4</f>
        <v>20400</v>
      </c>
      <c r="Y20" s="20"/>
      <c r="Z20" s="355"/>
      <c r="AA20" s="117"/>
      <c r="AB20" s="117"/>
    </row>
    <row r="21" spans="1:28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68"/>
      <c r="S21" s="177"/>
      <c r="T21" s="23">
        <v>8</v>
      </c>
      <c r="U21" s="25">
        <f t="shared" si="1"/>
        <v>12000</v>
      </c>
      <c r="V21" s="25">
        <f>(200000-U21)/4</f>
        <v>47000</v>
      </c>
      <c r="Y21" s="24"/>
      <c r="Z21" s="356"/>
      <c r="AA21" s="118"/>
      <c r="AB21" s="118"/>
    </row>
    <row r="22" spans="1:28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68"/>
      <c r="S22" s="177"/>
      <c r="T22" s="23">
        <v>16</v>
      </c>
      <c r="U22" s="25">
        <f t="shared" si="1"/>
        <v>97600</v>
      </c>
      <c r="V22" s="25">
        <f t="shared" ref="V22:V34" si="2">(200000-U22)/4</f>
        <v>25600</v>
      </c>
      <c r="Y22" s="24"/>
      <c r="Z22" s="356"/>
      <c r="AA22" s="118"/>
      <c r="AB22" s="118"/>
    </row>
    <row r="23" spans="1:28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68"/>
      <c r="S23" s="177"/>
      <c r="T23" s="23">
        <v>13</v>
      </c>
      <c r="U23" s="25">
        <f t="shared" si="1"/>
        <v>97600</v>
      </c>
      <c r="V23" s="25">
        <f t="shared" si="2"/>
        <v>25600</v>
      </c>
      <c r="Y23" s="24"/>
      <c r="Z23" s="356"/>
      <c r="AA23" s="118"/>
      <c r="AB23" s="118"/>
    </row>
    <row r="24" spans="1:28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68"/>
      <c r="S24" s="177"/>
      <c r="T24" s="23">
        <v>3</v>
      </c>
      <c r="U24" s="25">
        <f t="shared" si="1"/>
        <v>69866.666666666657</v>
      </c>
      <c r="V24" s="25">
        <f t="shared" si="2"/>
        <v>32533.333333333336</v>
      </c>
      <c r="Y24" s="24"/>
      <c r="Z24" s="356"/>
      <c r="AA24" s="118"/>
      <c r="AB24" s="118"/>
    </row>
    <row r="25" spans="1:28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68"/>
      <c r="S25" s="177"/>
      <c r="T25" s="23">
        <v>5</v>
      </c>
      <c r="U25" s="25">
        <f t="shared" si="1"/>
        <v>112000</v>
      </c>
      <c r="V25" s="25">
        <f t="shared" si="2"/>
        <v>22000</v>
      </c>
      <c r="Y25" s="24"/>
      <c r="Z25" s="356"/>
      <c r="AA25" s="118"/>
      <c r="AB25" s="118"/>
    </row>
    <row r="26" spans="1:28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68"/>
      <c r="S26" s="177"/>
      <c r="T26" s="23">
        <v>12</v>
      </c>
      <c r="U26" s="25">
        <f>P26+P28</f>
        <v>150666.66666666666</v>
      </c>
      <c r="V26" s="25">
        <f t="shared" si="2"/>
        <v>12333.333333333336</v>
      </c>
      <c r="Y26" s="24"/>
      <c r="Z26" s="356"/>
      <c r="AA26" s="118"/>
      <c r="AB26" s="118"/>
    </row>
    <row r="27" spans="1:28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68"/>
      <c r="S27" s="177"/>
      <c r="T27" s="23">
        <v>7</v>
      </c>
      <c r="U27" s="25">
        <f>P27</f>
        <v>179400</v>
      </c>
      <c r="V27" s="25">
        <f t="shared" si="2"/>
        <v>5150</v>
      </c>
      <c r="Y27" s="24"/>
      <c r="Z27" s="356"/>
      <c r="AA27" s="118"/>
      <c r="AB27" s="118"/>
    </row>
    <row r="28" spans="1:28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68"/>
      <c r="S28" s="177"/>
      <c r="T28" s="23">
        <v>12</v>
      </c>
      <c r="U28" s="25"/>
      <c r="V28" s="25"/>
      <c r="Y28" s="24"/>
      <c r="Z28" s="356"/>
      <c r="AA28" s="118"/>
      <c r="AB28" s="118"/>
    </row>
    <row r="29" spans="1:28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68"/>
      <c r="S29" s="177"/>
      <c r="T29" s="23">
        <v>10</v>
      </c>
      <c r="U29" s="25">
        <f t="shared" ref="U29:U34" si="3">P29</f>
        <v>100100</v>
      </c>
      <c r="V29" s="25">
        <f t="shared" si="2"/>
        <v>24975</v>
      </c>
      <c r="Y29" s="24"/>
      <c r="Z29" s="356"/>
      <c r="AA29" s="118"/>
      <c r="AB29" s="118"/>
    </row>
    <row r="30" spans="1:28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68"/>
      <c r="S30" s="177"/>
      <c r="T30" s="23">
        <v>17</v>
      </c>
      <c r="U30" s="25">
        <f t="shared" si="3"/>
        <v>20666.666666666668</v>
      </c>
      <c r="V30" s="25">
        <f t="shared" si="2"/>
        <v>44833.333333333336</v>
      </c>
      <c r="Y30" s="24"/>
      <c r="Z30" s="356"/>
      <c r="AA30" s="118"/>
      <c r="AB30" s="118"/>
    </row>
    <row r="31" spans="1:28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68"/>
      <c r="S31" s="177"/>
      <c r="T31" s="23">
        <v>18</v>
      </c>
      <c r="U31" s="25">
        <f t="shared" si="3"/>
        <v>80000</v>
      </c>
      <c r="V31" s="25">
        <f t="shared" si="2"/>
        <v>30000</v>
      </c>
      <c r="Y31" s="24"/>
      <c r="Z31" s="356"/>
      <c r="AA31" s="118"/>
      <c r="AB31" s="118"/>
    </row>
    <row r="32" spans="1:28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68"/>
      <c r="S32" s="177"/>
      <c r="T32" s="23">
        <v>19</v>
      </c>
      <c r="U32" s="25">
        <f t="shared" si="3"/>
        <v>71466.666666666657</v>
      </c>
      <c r="V32" s="25">
        <f t="shared" si="2"/>
        <v>32133.333333333336</v>
      </c>
      <c r="Y32" s="24"/>
      <c r="Z32" s="356"/>
      <c r="AA32" s="118"/>
      <c r="AB32" s="118"/>
    </row>
    <row r="33" spans="1:28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68"/>
      <c r="S33" s="177"/>
      <c r="T33" s="23">
        <v>20</v>
      </c>
      <c r="U33" s="25">
        <f t="shared" si="3"/>
        <v>71400</v>
      </c>
      <c r="V33" s="25">
        <f t="shared" si="2"/>
        <v>32150</v>
      </c>
      <c r="Y33" s="24"/>
      <c r="Z33" s="356"/>
      <c r="AA33" s="118"/>
      <c r="AB33" s="118"/>
    </row>
    <row r="34" spans="1:28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69"/>
      <c r="S34" s="178"/>
      <c r="T34" s="27">
        <v>22</v>
      </c>
      <c r="U34" s="29">
        <f t="shared" si="3"/>
        <v>86933.333333333343</v>
      </c>
      <c r="V34" s="29">
        <f t="shared" si="2"/>
        <v>28266.666666666664</v>
      </c>
      <c r="Y34" s="28"/>
      <c r="Z34" s="357"/>
      <c r="AA34" s="119"/>
      <c r="AB34" s="119"/>
    </row>
    <row r="35" spans="1:28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/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79"/>
      <c r="T35" s="62">
        <v>3</v>
      </c>
      <c r="U35" s="65"/>
      <c r="V35" s="65"/>
      <c r="Y35" s="89"/>
      <c r="Z35" s="358"/>
      <c r="AA35" s="120"/>
      <c r="AB35" s="120"/>
    </row>
    <row r="36" spans="1:28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/>
      <c r="P36" s="120">
        <f t="shared" ref="P36:P49" si="4">(AVERAGE(I36,K36,M36)/G36)*H36</f>
        <v>32666.666666666668</v>
      </c>
      <c r="Q36" s="120">
        <f t="shared" ref="Q36:Q99" si="5">(AVERAGE(J36,L36,N36)/G36)*H36</f>
        <v>85750</v>
      </c>
      <c r="R36" s="106">
        <f t="shared" ref="R36:R99" si="6">P36/(P36+Q36)</f>
        <v>0.27586206896551724</v>
      </c>
      <c r="S36" s="179"/>
      <c r="T36" s="62">
        <v>5</v>
      </c>
      <c r="U36" s="65"/>
      <c r="V36" s="65"/>
      <c r="Y36" s="89"/>
      <c r="Z36" s="358"/>
      <c r="AA36" s="120"/>
      <c r="AB36" s="120"/>
    </row>
    <row r="37" spans="1:28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/>
      <c r="P37" s="120">
        <f t="shared" si="4"/>
        <v>37866.666666666672</v>
      </c>
      <c r="Q37" s="120">
        <f t="shared" si="5"/>
        <v>123200</v>
      </c>
      <c r="R37" s="106">
        <f t="shared" si="6"/>
        <v>0.23509933774834438</v>
      </c>
      <c r="S37" s="179"/>
      <c r="T37" s="62">
        <v>7</v>
      </c>
      <c r="U37" s="65"/>
      <c r="V37" s="65"/>
      <c r="Y37" s="89"/>
      <c r="Z37" s="358"/>
      <c r="AA37" s="120"/>
      <c r="AB37" s="120"/>
    </row>
    <row r="38" spans="1:28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/>
      <c r="P38" s="120">
        <f t="shared" si="4"/>
        <v>36800</v>
      </c>
      <c r="Q38" s="120">
        <f t="shared" si="5"/>
        <v>26133.333333333332</v>
      </c>
      <c r="R38" s="106">
        <f t="shared" si="6"/>
        <v>0.5847457627118644</v>
      </c>
      <c r="S38" s="179"/>
      <c r="T38" s="62">
        <v>8</v>
      </c>
      <c r="U38" s="65"/>
      <c r="V38" s="65"/>
      <c r="Y38" s="89"/>
      <c r="Z38" s="358"/>
      <c r="AA38" s="120"/>
      <c r="AB38" s="120"/>
    </row>
    <row r="39" spans="1:28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/>
      <c r="P39" s="120">
        <f t="shared" si="4"/>
        <v>77333.333333333343</v>
      </c>
      <c r="Q39" s="120">
        <f t="shared" si="5"/>
        <v>4266.6666666666661</v>
      </c>
      <c r="R39" s="106">
        <f t="shared" si="6"/>
        <v>0.94771241830065356</v>
      </c>
      <c r="S39" s="179"/>
      <c r="T39" s="62">
        <v>7</v>
      </c>
      <c r="U39" s="65"/>
      <c r="V39" s="65"/>
      <c r="Y39" s="89"/>
      <c r="Z39" s="358"/>
      <c r="AA39" s="120"/>
      <c r="AB39" s="120"/>
    </row>
    <row r="40" spans="1:28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/>
      <c r="P40" s="120">
        <f t="shared" si="4"/>
        <v>35200</v>
      </c>
      <c r="Q40" s="120">
        <f t="shared" si="5"/>
        <v>76266.666666666657</v>
      </c>
      <c r="R40" s="106">
        <f t="shared" si="6"/>
        <v>0.31578947368421056</v>
      </c>
      <c r="S40" s="179"/>
      <c r="T40" s="62">
        <v>10</v>
      </c>
      <c r="U40" s="65"/>
      <c r="V40" s="65"/>
      <c r="Y40" s="89"/>
      <c r="Z40" s="358"/>
      <c r="AA40" s="120"/>
      <c r="AB40" s="120"/>
    </row>
    <row r="41" spans="1:28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/>
      <c r="P41" s="120">
        <f t="shared" si="4"/>
        <v>25600</v>
      </c>
      <c r="Q41" s="120">
        <f t="shared" si="5"/>
        <v>101333.33333333334</v>
      </c>
      <c r="R41" s="106">
        <f t="shared" si="6"/>
        <v>0.20168067226890754</v>
      </c>
      <c r="S41" s="179"/>
      <c r="T41" s="62">
        <v>5</v>
      </c>
      <c r="U41" s="65"/>
      <c r="V41" s="65"/>
      <c r="Y41" s="89"/>
      <c r="Z41" s="358"/>
      <c r="AA41" s="120"/>
      <c r="AB41" s="120"/>
    </row>
    <row r="42" spans="1:28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/>
      <c r="P42" s="120">
        <f t="shared" si="4"/>
        <v>54933.333333333336</v>
      </c>
      <c r="Q42" s="120">
        <f t="shared" si="5"/>
        <v>65066.666666666664</v>
      </c>
      <c r="R42" s="106">
        <f t="shared" si="6"/>
        <v>0.45777777777777778</v>
      </c>
      <c r="S42" s="179"/>
      <c r="T42" s="62">
        <v>12</v>
      </c>
      <c r="U42" s="65"/>
      <c r="V42" s="65"/>
      <c r="Y42" s="89"/>
      <c r="Z42" s="358"/>
      <c r="AA42" s="120"/>
      <c r="AB42" s="120"/>
    </row>
    <row r="43" spans="1:28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/>
      <c r="P43" s="120">
        <f t="shared" si="4"/>
        <v>98666.666666666657</v>
      </c>
      <c r="Q43" s="120">
        <f t="shared" si="5"/>
        <v>136533.33333333331</v>
      </c>
      <c r="R43" s="106">
        <f t="shared" si="6"/>
        <v>0.41950113378684806</v>
      </c>
      <c r="S43" s="179"/>
      <c r="T43" s="62">
        <v>13</v>
      </c>
      <c r="U43" s="65"/>
      <c r="V43" s="65"/>
      <c r="Y43" s="89"/>
      <c r="Z43" s="358"/>
      <c r="AA43" s="120"/>
      <c r="AB43" s="120"/>
    </row>
    <row r="44" spans="1:28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/>
      <c r="P44" s="120">
        <f t="shared" si="4"/>
        <v>19733.333333333336</v>
      </c>
      <c r="Q44" s="120">
        <f t="shared" si="5"/>
        <v>50666.666666666672</v>
      </c>
      <c r="R44" s="106">
        <f t="shared" si="6"/>
        <v>0.28030303030303033</v>
      </c>
      <c r="S44" s="179"/>
      <c r="T44" s="62">
        <v>16</v>
      </c>
      <c r="U44" s="65">
        <f>P44</f>
        <v>19733.333333333336</v>
      </c>
      <c r="V44" s="65"/>
      <c r="Y44" s="89"/>
      <c r="Z44" s="358"/>
      <c r="AA44" s="120"/>
      <c r="AB44" s="120"/>
    </row>
    <row r="45" spans="1:28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/>
      <c r="P45" s="120">
        <f t="shared" si="4"/>
        <v>17600</v>
      </c>
      <c r="Q45" s="120">
        <f t="shared" si="5"/>
        <v>22933.333333333336</v>
      </c>
      <c r="R45" s="106">
        <f t="shared" si="6"/>
        <v>0.43421052631578944</v>
      </c>
      <c r="S45" s="179"/>
      <c r="T45" s="62">
        <v>17</v>
      </c>
      <c r="U45" s="65"/>
      <c r="V45" s="65"/>
      <c r="Y45" s="89"/>
      <c r="Z45" s="358"/>
      <c r="AA45" s="120"/>
      <c r="AB45" s="120"/>
    </row>
    <row r="46" spans="1:28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/>
      <c r="P46" s="120">
        <f t="shared" si="4"/>
        <v>69866.666666666657</v>
      </c>
      <c r="Q46" s="120">
        <f t="shared" si="5"/>
        <v>58666.666666666664</v>
      </c>
      <c r="R46" s="106">
        <f t="shared" si="6"/>
        <v>0.54356846473029041</v>
      </c>
      <c r="S46" s="179"/>
      <c r="T46" s="62">
        <v>18</v>
      </c>
      <c r="Y46" s="89"/>
      <c r="Z46" s="358"/>
      <c r="AA46" s="120"/>
      <c r="AB46" s="120"/>
    </row>
    <row r="47" spans="1:28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/>
      <c r="P47" s="120">
        <f t="shared" si="4"/>
        <v>60266.666666666664</v>
      </c>
      <c r="Q47" s="120">
        <f t="shared" si="5"/>
        <v>6400</v>
      </c>
      <c r="R47" s="106">
        <f t="shared" si="6"/>
        <v>0.90400000000000014</v>
      </c>
      <c r="S47" s="179"/>
      <c r="T47" s="62">
        <v>19</v>
      </c>
      <c r="Y47" s="89"/>
      <c r="Z47" s="358"/>
      <c r="AA47" s="120"/>
      <c r="AB47" s="120"/>
    </row>
    <row r="48" spans="1:28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/>
      <c r="P48" s="120">
        <f t="shared" si="4"/>
        <v>83200</v>
      </c>
      <c r="Q48" s="120">
        <f t="shared" si="5"/>
        <v>10666.666666666668</v>
      </c>
      <c r="R48" s="106">
        <f t="shared" si="6"/>
        <v>0.88636363636363635</v>
      </c>
      <c r="S48" s="179"/>
      <c r="T48" s="62">
        <v>20</v>
      </c>
      <c r="Y48" s="89"/>
      <c r="Z48" s="358"/>
      <c r="AA48" s="120"/>
      <c r="AB48" s="120"/>
    </row>
    <row r="49" spans="1:28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/>
      <c r="P49" s="120">
        <f t="shared" si="4"/>
        <v>96533.333333333343</v>
      </c>
      <c r="Q49" s="120">
        <f t="shared" si="5"/>
        <v>58666.666666666664</v>
      </c>
      <c r="R49" s="106">
        <f t="shared" si="6"/>
        <v>0.62199312714776633</v>
      </c>
      <c r="S49" s="179"/>
      <c r="T49" s="62">
        <v>21</v>
      </c>
      <c r="Y49" s="89"/>
      <c r="Z49" s="358"/>
      <c r="AA49" s="120"/>
      <c r="AB49" s="120"/>
    </row>
    <row r="50" spans="1:28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/>
      <c r="P50" s="120">
        <f>(AVERAGE(I50,K50,M50)/G50)*H50</f>
        <v>74133.333333333343</v>
      </c>
      <c r="Q50" s="120">
        <f t="shared" si="5"/>
        <v>34133.333333333328</v>
      </c>
      <c r="R50" s="106">
        <f t="shared" si="6"/>
        <v>0.68472906403940892</v>
      </c>
      <c r="S50" s="179"/>
      <c r="T50" s="65">
        <v>22</v>
      </c>
      <c r="Y50" s="89"/>
      <c r="Z50" s="358"/>
      <c r="AA50" s="120"/>
      <c r="AB50" s="120"/>
    </row>
    <row r="51" spans="1:28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/>
      <c r="P51" s="121">
        <f>(AVERAGE(I51,K51,M51)/G51)*H51</f>
        <v>4000</v>
      </c>
      <c r="Q51" s="121">
        <f t="shared" si="5"/>
        <v>54400</v>
      </c>
      <c r="R51" s="112">
        <f t="shared" si="6"/>
        <v>6.8493150684931503E-2</v>
      </c>
      <c r="S51" s="115">
        <f>I51/(I51+I52)</f>
        <v>0.25</v>
      </c>
      <c r="T51" s="113"/>
      <c r="Y51" s="111"/>
      <c r="Z51" s="359"/>
      <c r="AA51" s="121"/>
      <c r="AB51" s="121"/>
    </row>
    <row r="52" spans="1:28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/>
      <c r="P52" s="121">
        <f t="shared" ref="P52:P53" si="7">(AVERAGE(I52,K52,M52)/G52)*H52</f>
        <v>12000</v>
      </c>
      <c r="Q52" s="121">
        <f t="shared" si="5"/>
        <v>0</v>
      </c>
      <c r="R52" s="112">
        <f t="shared" si="6"/>
        <v>1</v>
      </c>
      <c r="S52" s="115">
        <f>I52/(I51+I52)</f>
        <v>0.75</v>
      </c>
      <c r="T52" s="113">
        <v>3</v>
      </c>
      <c r="Y52" s="111"/>
      <c r="Z52" s="359"/>
      <c r="AA52" s="121"/>
      <c r="AB52" s="121"/>
    </row>
    <row r="53" spans="1:28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/>
      <c r="P53" s="121">
        <f t="shared" si="7"/>
        <v>0</v>
      </c>
      <c r="Q53" s="121">
        <f t="shared" si="5"/>
        <v>99200</v>
      </c>
      <c r="R53" s="112">
        <f t="shared" si="6"/>
        <v>0</v>
      </c>
      <c r="S53" s="115">
        <f>I53/(I53+I54)</f>
        <v>0</v>
      </c>
      <c r="T53" s="113"/>
      <c r="Y53" s="111"/>
      <c r="Z53" s="359"/>
      <c r="AA53" s="121"/>
      <c r="AB53" s="121"/>
    </row>
    <row r="54" spans="1:28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/>
      <c r="P54" s="121">
        <f>I54/G54*H54</f>
        <v>1600</v>
      </c>
      <c r="Q54" s="121">
        <f t="shared" si="5"/>
        <v>5600</v>
      </c>
      <c r="R54" s="112">
        <f t="shared" si="6"/>
        <v>0.22222222222222221</v>
      </c>
      <c r="S54" s="115">
        <f>I54/(I53+I54)</f>
        <v>1</v>
      </c>
      <c r="T54" s="113">
        <v>5</v>
      </c>
      <c r="Y54" s="111"/>
      <c r="Z54" s="359"/>
      <c r="AA54" s="121"/>
      <c r="AB54" s="121"/>
    </row>
    <row r="55" spans="1:28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/>
      <c r="P55" s="121">
        <f t="shared" ref="P55:P82" si="8">I55/G55*H55</f>
        <v>1600</v>
      </c>
      <c r="Q55" s="121">
        <f t="shared" si="5"/>
        <v>141600</v>
      </c>
      <c r="R55" s="112">
        <f t="shared" si="6"/>
        <v>1.11731843575419E-2</v>
      </c>
      <c r="S55" s="115">
        <f>I55/(I55+I56)</f>
        <v>0.15384615384615385</v>
      </c>
      <c r="Y55" s="111"/>
      <c r="Z55" s="359"/>
      <c r="AA55" s="121"/>
      <c r="AB55" s="121"/>
    </row>
    <row r="56" spans="1:28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/>
      <c r="P56" s="121">
        <f t="shared" si="8"/>
        <v>8800</v>
      </c>
      <c r="Q56" s="121">
        <f t="shared" si="5"/>
        <v>800</v>
      </c>
      <c r="R56" s="112">
        <f t="shared" si="6"/>
        <v>0.91666666666666663</v>
      </c>
      <c r="S56" s="115">
        <f>I56/(I55+I56)</f>
        <v>0.84615384615384615</v>
      </c>
      <c r="T56" s="113">
        <v>7</v>
      </c>
      <c r="Y56" s="111"/>
      <c r="Z56" s="359"/>
      <c r="AA56" s="121"/>
      <c r="AB56" s="121"/>
    </row>
    <row r="57" spans="1:28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/>
      <c r="P57" s="121">
        <f t="shared" si="8"/>
        <v>3200</v>
      </c>
      <c r="Q57" s="121">
        <f t="shared" si="5"/>
        <v>55200</v>
      </c>
      <c r="R57" s="112">
        <f t="shared" si="6"/>
        <v>5.4794520547945202E-2</v>
      </c>
      <c r="S57" s="115">
        <f>I57/(I57+I58)</f>
        <v>4.7619047619047616E-2</v>
      </c>
      <c r="Y57" s="111"/>
      <c r="Z57" s="359"/>
      <c r="AA57" s="121"/>
      <c r="AB57" s="121"/>
    </row>
    <row r="58" spans="1:28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/>
      <c r="P58" s="121">
        <f t="shared" si="8"/>
        <v>64000</v>
      </c>
      <c r="Q58" s="121">
        <f t="shared" si="5"/>
        <v>4800</v>
      </c>
      <c r="R58" s="112">
        <f t="shared" si="6"/>
        <v>0.93023255813953487</v>
      </c>
      <c r="S58" s="115">
        <f>I58/(I57+I58)</f>
        <v>0.95238095238095233</v>
      </c>
      <c r="T58" s="113">
        <v>8</v>
      </c>
      <c r="Y58" s="111"/>
      <c r="Z58" s="359"/>
      <c r="AA58" s="121"/>
      <c r="AB58" s="121"/>
    </row>
    <row r="59" spans="1:28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/>
      <c r="P59" s="121">
        <f t="shared" si="8"/>
        <v>16000</v>
      </c>
      <c r="Q59" s="121">
        <f t="shared" si="5"/>
        <v>12000</v>
      </c>
      <c r="R59" s="112">
        <f t="shared" si="6"/>
        <v>0.5714285714285714</v>
      </c>
      <c r="S59" s="115">
        <f>I59/(I59+I60)</f>
        <v>0.32786885245901637</v>
      </c>
      <c r="T59" s="110" t="s">
        <v>163</v>
      </c>
      <c r="Y59" s="111"/>
      <c r="Z59" s="359"/>
      <c r="AA59" s="121"/>
      <c r="AB59" s="121"/>
    </row>
    <row r="60" spans="1:28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/>
      <c r="P60" s="121">
        <f t="shared" si="8"/>
        <v>32800</v>
      </c>
      <c r="Q60" s="121">
        <f t="shared" si="5"/>
        <v>0</v>
      </c>
      <c r="R60" s="112">
        <f t="shared" si="6"/>
        <v>1</v>
      </c>
      <c r="S60" s="115">
        <f>I60/(I59+I60)</f>
        <v>0.67213114754098358</v>
      </c>
      <c r="T60" s="113">
        <v>7</v>
      </c>
      <c r="Y60" s="111"/>
      <c r="Z60" s="359"/>
      <c r="AA60" s="121"/>
      <c r="AB60" s="121"/>
    </row>
    <row r="61" spans="1:28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/>
      <c r="P61" s="121">
        <f t="shared" si="8"/>
        <v>2400</v>
      </c>
      <c r="Q61" s="121">
        <f t="shared" si="5"/>
        <v>71200</v>
      </c>
      <c r="R61" s="112">
        <f t="shared" si="6"/>
        <v>3.2608695652173912E-2</v>
      </c>
      <c r="S61" s="115">
        <f>I61/(I61+I62)</f>
        <v>0.14285714285714285</v>
      </c>
      <c r="Y61" s="111"/>
      <c r="Z61" s="359"/>
      <c r="AA61" s="121"/>
      <c r="AB61" s="121"/>
    </row>
    <row r="62" spans="1:28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/>
      <c r="P62" s="121">
        <f t="shared" si="8"/>
        <v>14400</v>
      </c>
      <c r="Q62" s="121">
        <f t="shared" si="5"/>
        <v>6400</v>
      </c>
      <c r="R62" s="112">
        <f t="shared" si="6"/>
        <v>0.69230769230769229</v>
      </c>
      <c r="S62" s="115">
        <f>I62/(I61+I62)</f>
        <v>0.8571428571428571</v>
      </c>
      <c r="T62" s="113">
        <v>10</v>
      </c>
      <c r="Y62" s="111"/>
      <c r="Z62" s="359"/>
      <c r="AA62" s="121"/>
      <c r="AB62" s="121"/>
    </row>
    <row r="63" spans="1:28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/>
      <c r="P63" s="121">
        <f t="shared" si="8"/>
        <v>800</v>
      </c>
      <c r="Q63" s="121">
        <f t="shared" si="5"/>
        <v>91200</v>
      </c>
      <c r="R63" s="112">
        <f t="shared" si="6"/>
        <v>8.6956521739130436E-3</v>
      </c>
      <c r="S63" s="115">
        <f>I63/(I63+I64)</f>
        <v>0.25</v>
      </c>
      <c r="Y63" s="111"/>
      <c r="Z63" s="359"/>
      <c r="AA63" s="121"/>
      <c r="AB63" s="121"/>
    </row>
    <row r="64" spans="1:28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/>
      <c r="P64" s="121">
        <f t="shared" si="8"/>
        <v>2400</v>
      </c>
      <c r="Q64" s="121">
        <f t="shared" si="5"/>
        <v>0</v>
      </c>
      <c r="R64" s="112">
        <f t="shared" si="6"/>
        <v>1</v>
      </c>
      <c r="S64" s="115">
        <f>I64/(I63+I64)</f>
        <v>0.75</v>
      </c>
      <c r="T64" s="113">
        <v>5</v>
      </c>
      <c r="Y64" s="111"/>
      <c r="Z64" s="359"/>
      <c r="AA64" s="121"/>
      <c r="AB64" s="121"/>
    </row>
    <row r="65" spans="1:28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/>
      <c r="P65" s="121">
        <f t="shared" si="8"/>
        <v>8000</v>
      </c>
      <c r="Q65" s="121">
        <f t="shared" si="5"/>
        <v>95200</v>
      </c>
      <c r="R65" s="112">
        <f t="shared" si="6"/>
        <v>7.7519379844961239E-2</v>
      </c>
      <c r="S65" s="115">
        <f>I65/(I65+I66)</f>
        <v>0.58823529411764708</v>
      </c>
      <c r="Y65" s="111"/>
      <c r="Z65" s="359"/>
      <c r="AA65" s="121"/>
      <c r="AB65" s="121"/>
    </row>
    <row r="66" spans="1:28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/>
      <c r="P66" s="121">
        <f t="shared" si="8"/>
        <v>5600</v>
      </c>
      <c r="Q66" s="121">
        <f t="shared" si="5"/>
        <v>5600</v>
      </c>
      <c r="R66" s="112">
        <f t="shared" si="6"/>
        <v>0.5</v>
      </c>
      <c r="S66" s="115">
        <f>I66/(I65+I66)</f>
        <v>0.41176470588235292</v>
      </c>
      <c r="T66" s="113">
        <v>12</v>
      </c>
      <c r="Y66" s="111"/>
      <c r="Z66" s="359"/>
      <c r="AA66" s="121"/>
      <c r="AB66" s="121"/>
    </row>
    <row r="67" spans="1:28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/>
      <c r="P67" s="121">
        <f t="shared" si="8"/>
        <v>10400</v>
      </c>
      <c r="Q67" s="121">
        <f t="shared" si="5"/>
        <v>101600</v>
      </c>
      <c r="R67" s="112">
        <f t="shared" si="6"/>
        <v>9.285714285714286E-2</v>
      </c>
      <c r="S67" s="115" t="e">
        <f>I67/(I67+I68)</f>
        <v>#VALUE!</v>
      </c>
      <c r="Y67" s="111"/>
      <c r="Z67" s="359"/>
      <c r="AA67" s="121"/>
      <c r="AB67" s="121"/>
    </row>
    <row r="68" spans="1:28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161</v>
      </c>
      <c r="J68" s="110" t="s">
        <v>161</v>
      </c>
      <c r="O68" s="112"/>
      <c r="P68" s="121" t="e">
        <f t="shared" si="8"/>
        <v>#VALUE!</v>
      </c>
      <c r="Q68" s="121" t="e">
        <f t="shared" si="5"/>
        <v>#DIV/0!</v>
      </c>
      <c r="R68" s="112" t="e">
        <f t="shared" si="6"/>
        <v>#VALUE!</v>
      </c>
      <c r="S68" s="115" t="e">
        <f>I68/(I67+I68)</f>
        <v>#VALUE!</v>
      </c>
      <c r="T68" s="113">
        <v>13</v>
      </c>
      <c r="Y68" s="111"/>
      <c r="Z68" s="359"/>
      <c r="AA68" s="121"/>
      <c r="AB68" s="121"/>
    </row>
    <row r="69" spans="1:28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/>
      <c r="P69" s="121">
        <f t="shared" si="8"/>
        <v>0</v>
      </c>
      <c r="Q69" s="121">
        <f t="shared" si="5"/>
        <v>65600</v>
      </c>
      <c r="R69" s="112">
        <f t="shared" si="6"/>
        <v>0</v>
      </c>
      <c r="S69" s="115">
        <f>I69/(I69+I70)</f>
        <v>0</v>
      </c>
      <c r="Y69" s="111"/>
      <c r="Z69" s="359"/>
      <c r="AA69" s="121"/>
      <c r="AB69" s="121"/>
    </row>
    <row r="70" spans="1:28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/>
      <c r="P70" s="121">
        <f t="shared" si="8"/>
        <v>400</v>
      </c>
      <c r="Q70" s="121">
        <f t="shared" si="5"/>
        <v>2400</v>
      </c>
      <c r="R70" s="112">
        <f t="shared" si="6"/>
        <v>0.14285714285714285</v>
      </c>
      <c r="S70" s="115">
        <f>I70/(I69+I70)</f>
        <v>1</v>
      </c>
      <c r="T70" s="113">
        <v>16</v>
      </c>
      <c r="Y70" s="111"/>
      <c r="Z70" s="359"/>
      <c r="AA70" s="121"/>
      <c r="AB70" s="121"/>
    </row>
    <row r="71" spans="1:28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/>
      <c r="P71" s="121">
        <f t="shared" si="8"/>
        <v>3200</v>
      </c>
      <c r="Q71" s="121">
        <f t="shared" si="5"/>
        <v>32000</v>
      </c>
      <c r="R71" s="112">
        <f t="shared" si="6"/>
        <v>9.0909090909090912E-2</v>
      </c>
      <c r="S71" s="115">
        <f>I71/(I71+I72)</f>
        <v>0.19047619047619047</v>
      </c>
      <c r="Y71" s="111"/>
      <c r="Z71" s="359"/>
      <c r="AA71" s="121"/>
      <c r="AB71" s="121"/>
    </row>
    <row r="72" spans="1:28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/>
      <c r="P72" s="121">
        <f t="shared" si="8"/>
        <v>13600</v>
      </c>
      <c r="Q72" s="121">
        <f t="shared" si="5"/>
        <v>4000</v>
      </c>
      <c r="R72" s="112">
        <f t="shared" si="6"/>
        <v>0.77272727272727271</v>
      </c>
      <c r="S72" s="115">
        <f>I72/(I71+I72)</f>
        <v>0.80952380952380953</v>
      </c>
      <c r="T72" s="113">
        <v>17</v>
      </c>
      <c r="Y72" s="111"/>
      <c r="Z72" s="359"/>
      <c r="AA72" s="121"/>
      <c r="AB72" s="121"/>
    </row>
    <row r="73" spans="1:28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/>
      <c r="P73" s="121">
        <f t="shared" si="8"/>
        <v>4800</v>
      </c>
      <c r="Q73" s="121">
        <f t="shared" si="5"/>
        <v>28000</v>
      </c>
      <c r="R73" s="112">
        <f t="shared" si="6"/>
        <v>0.14634146341463414</v>
      </c>
      <c r="S73" s="115">
        <f>I73/(I73+I74)</f>
        <v>8.9552238805970144E-2</v>
      </c>
      <c r="Y73" s="111"/>
      <c r="Z73" s="359"/>
      <c r="AA73" s="121"/>
      <c r="AB73" s="121"/>
    </row>
    <row r="74" spans="1:28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/>
      <c r="P74" s="121">
        <f t="shared" si="8"/>
        <v>48800</v>
      </c>
      <c r="Q74" s="121">
        <f t="shared" si="5"/>
        <v>2400</v>
      </c>
      <c r="R74" s="112">
        <f t="shared" si="6"/>
        <v>0.953125</v>
      </c>
      <c r="S74" s="115">
        <f>I74/(I73+I74)</f>
        <v>0.91044776119402981</v>
      </c>
      <c r="T74" s="113">
        <v>18</v>
      </c>
      <c r="Y74" s="111"/>
      <c r="Z74" s="359"/>
      <c r="AA74" s="121"/>
      <c r="AB74" s="121"/>
    </row>
    <row r="75" spans="1:28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/>
      <c r="P75" s="121">
        <f t="shared" si="8"/>
        <v>0</v>
      </c>
      <c r="Q75" s="121">
        <f t="shared" si="5"/>
        <v>3200</v>
      </c>
      <c r="R75" s="112">
        <f t="shared" si="6"/>
        <v>0</v>
      </c>
      <c r="S75" s="115" t="e">
        <f>I75/(I75+I76)</f>
        <v>#VALUE!</v>
      </c>
      <c r="Y75" s="111"/>
      <c r="Z75" s="359"/>
      <c r="AA75" s="121"/>
      <c r="AB75" s="121"/>
    </row>
    <row r="76" spans="1:28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161</v>
      </c>
      <c r="J76" s="110" t="s">
        <v>161</v>
      </c>
      <c r="O76" s="112"/>
      <c r="P76" s="121" t="e">
        <f t="shared" si="8"/>
        <v>#VALUE!</v>
      </c>
      <c r="Q76" s="121" t="e">
        <f t="shared" si="5"/>
        <v>#DIV/0!</v>
      </c>
      <c r="R76" s="112" t="e">
        <f t="shared" si="6"/>
        <v>#VALUE!</v>
      </c>
      <c r="S76" s="115" t="e">
        <f>I76/(I75+I76)</f>
        <v>#VALUE!</v>
      </c>
      <c r="T76" s="113">
        <v>19</v>
      </c>
      <c r="Y76" s="111"/>
      <c r="Z76" s="359"/>
      <c r="AA76" s="121"/>
      <c r="AB76" s="121"/>
    </row>
    <row r="77" spans="1:28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/>
      <c r="P77" s="121">
        <f>I77/G77*H77</f>
        <v>16800</v>
      </c>
      <c r="Q77" s="121">
        <f t="shared" si="5"/>
        <v>19200</v>
      </c>
      <c r="R77" s="112">
        <f t="shared" si="6"/>
        <v>0.46666666666666667</v>
      </c>
      <c r="S77" s="115">
        <f>I77/(I77+I78)</f>
        <v>0.80769230769230771</v>
      </c>
      <c r="T77" s="110" t="s">
        <v>163</v>
      </c>
      <c r="Y77" s="111"/>
      <c r="Z77" s="359"/>
      <c r="AA77" s="121"/>
      <c r="AB77" s="121"/>
    </row>
    <row r="78" spans="1:28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/>
      <c r="P78" s="121">
        <f t="shared" si="8"/>
        <v>4000</v>
      </c>
      <c r="Q78" s="121">
        <f t="shared" si="5"/>
        <v>800</v>
      </c>
      <c r="R78" s="112">
        <f t="shared" si="6"/>
        <v>0.83333333333333337</v>
      </c>
      <c r="S78" s="115">
        <f>I78/(I77+I78)</f>
        <v>0.19230769230769232</v>
      </c>
      <c r="T78" s="113">
        <v>20</v>
      </c>
      <c r="Y78" s="111"/>
      <c r="Z78" s="359"/>
      <c r="AA78" s="121"/>
      <c r="AB78" s="121"/>
    </row>
    <row r="79" spans="1:28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/>
      <c r="P79" s="121">
        <f t="shared" si="8"/>
        <v>800</v>
      </c>
      <c r="Q79" s="121">
        <f t="shared" si="5"/>
        <v>141600</v>
      </c>
      <c r="R79" s="112">
        <f t="shared" si="6"/>
        <v>5.6179775280898875E-3</v>
      </c>
      <c r="S79" s="115">
        <f>I79/(I79+I80)</f>
        <v>1.5873015873015872E-2</v>
      </c>
      <c r="Y79" s="111"/>
      <c r="Z79" s="359"/>
      <c r="AA79" s="121"/>
      <c r="AB79" s="121"/>
    </row>
    <row r="80" spans="1:28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/>
      <c r="P80" s="121">
        <f t="shared" si="8"/>
        <v>49600</v>
      </c>
      <c r="Q80" s="121">
        <f t="shared" si="5"/>
        <v>0</v>
      </c>
      <c r="R80" s="112">
        <f t="shared" si="6"/>
        <v>1</v>
      </c>
      <c r="S80" s="115">
        <f>I80/(I79+I80)</f>
        <v>0.98412698412698407</v>
      </c>
      <c r="T80" s="113">
        <v>21</v>
      </c>
      <c r="Y80" s="111"/>
      <c r="Z80" s="359"/>
      <c r="AA80" s="121"/>
      <c r="AB80" s="121"/>
    </row>
    <row r="81" spans="1:28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/>
      <c r="P81" s="121">
        <f t="shared" si="8"/>
        <v>4000</v>
      </c>
      <c r="Q81" s="121">
        <f t="shared" si="5"/>
        <v>46400</v>
      </c>
      <c r="R81" s="112">
        <f t="shared" si="6"/>
        <v>7.9365079365079361E-2</v>
      </c>
      <c r="S81" s="115">
        <f>I81/(I81+I82)</f>
        <v>5.5555555555555552E-2</v>
      </c>
      <c r="T81" s="113"/>
      <c r="Y81" s="111"/>
      <c r="Z81" s="359"/>
      <c r="AA81" s="121"/>
      <c r="AB81" s="121"/>
    </row>
    <row r="82" spans="1:28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/>
      <c r="P82" s="131">
        <f t="shared" si="8"/>
        <v>68000</v>
      </c>
      <c r="Q82" s="131">
        <f t="shared" si="5"/>
        <v>1600</v>
      </c>
      <c r="R82" s="130">
        <f t="shared" si="6"/>
        <v>0.97701149425287359</v>
      </c>
      <c r="S82" s="132">
        <f>I82/(I81+I82)</f>
        <v>0.94444444444444442</v>
      </c>
      <c r="T82" s="133">
        <v>22</v>
      </c>
      <c r="Y82" s="128"/>
      <c r="Z82" s="360"/>
      <c r="AA82" s="131"/>
      <c r="AB82" s="131"/>
    </row>
    <row r="83" spans="1:28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P83" s="351">
        <f>(AVERAGE(I83,K83,M83)/G83)*H83</f>
        <v>115.83333333333333</v>
      </c>
      <c r="Q83" s="122">
        <f t="shared" si="5"/>
        <v>0</v>
      </c>
      <c r="R83" s="160">
        <f t="shared" si="6"/>
        <v>1</v>
      </c>
      <c r="S83" s="173" t="str">
        <f>D83</f>
        <v xml:space="preserve">SN-10 Low </v>
      </c>
      <c r="T83" s="76"/>
      <c r="U83" s="76"/>
      <c r="V83" s="76"/>
      <c r="W83" s="75" t="s">
        <v>211</v>
      </c>
      <c r="Y83" s="86"/>
      <c r="Z83" s="361"/>
      <c r="AA83" s="122"/>
      <c r="AB83" s="122"/>
    </row>
    <row r="84" spans="1:28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9">(AVERAGE(I84,K84,M84)/G84)*H84</f>
        <v>1760</v>
      </c>
      <c r="Q84" s="124">
        <f t="shared" si="5"/>
        <v>0</v>
      </c>
      <c r="R84" s="161">
        <f t="shared" si="6"/>
        <v>1</v>
      </c>
      <c r="S84" s="174">
        <f>(P83+P84+P85)/(P83+P84+P85+Q83+Q84+Q85)</f>
        <v>0.87502557140466053</v>
      </c>
      <c r="T84" s="81"/>
      <c r="U84" s="81"/>
      <c r="V84" s="81"/>
      <c r="Y84" s="87"/>
      <c r="Z84" s="362"/>
      <c r="AA84" s="124"/>
      <c r="AB84" s="124"/>
    </row>
    <row r="85" spans="1:28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9"/>
        <v>37333.333333333328</v>
      </c>
      <c r="Q85" s="124">
        <f t="shared" si="5"/>
        <v>5600</v>
      </c>
      <c r="R85" s="161">
        <f t="shared" si="6"/>
        <v>0.86956521739130432</v>
      </c>
      <c r="S85" s="174"/>
      <c r="T85" s="81"/>
      <c r="U85" s="81"/>
      <c r="V85" s="81"/>
      <c r="Y85" s="87"/>
      <c r="Z85" s="362"/>
      <c r="AA85" s="124"/>
      <c r="AB85" s="124"/>
    </row>
    <row r="86" spans="1:28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9"/>
        <v>38.888888888888886</v>
      </c>
      <c r="Q86" s="124">
        <f t="shared" si="5"/>
        <v>0</v>
      </c>
      <c r="R86" s="161">
        <f t="shared" si="6"/>
        <v>1</v>
      </c>
      <c r="S86" s="174" t="str">
        <f>D86</f>
        <v>NF-6 Low</v>
      </c>
      <c r="T86" s="81"/>
      <c r="U86" s="81"/>
      <c r="V86" s="81"/>
      <c r="Y86" s="87"/>
      <c r="Z86" s="362"/>
      <c r="AA86" s="124"/>
      <c r="AB86" s="124"/>
    </row>
    <row r="87" spans="1:28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9"/>
        <v>70</v>
      </c>
      <c r="Q87" s="124">
        <f t="shared" si="5"/>
        <v>0</v>
      </c>
      <c r="R87" s="161">
        <f t="shared" si="6"/>
        <v>1</v>
      </c>
      <c r="S87" s="174">
        <f>(P86+P87+P88)/(P86+P87+P88+Q86+Q87+Q88)</f>
        <v>0.44459712679575258</v>
      </c>
      <c r="T87" s="81"/>
      <c r="U87" s="81"/>
      <c r="V87" s="81"/>
      <c r="Y87" s="87"/>
      <c r="Z87" s="362"/>
      <c r="AA87" s="124"/>
      <c r="AB87" s="124"/>
    </row>
    <row r="88" spans="1:28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9"/>
        <v>7800</v>
      </c>
      <c r="Q88" s="124">
        <f t="shared" si="5"/>
        <v>9880</v>
      </c>
      <c r="R88" s="161">
        <f t="shared" si="6"/>
        <v>0.44117647058823528</v>
      </c>
      <c r="S88" s="174"/>
      <c r="T88" s="81"/>
      <c r="U88" s="81"/>
      <c r="V88" s="81"/>
      <c r="Y88" s="87"/>
      <c r="Z88" s="362"/>
      <c r="AA88" s="124"/>
      <c r="AB88" s="124"/>
    </row>
    <row r="89" spans="1:28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9"/>
        <v>0</v>
      </c>
      <c r="Q89" s="124">
        <f t="shared" si="5"/>
        <v>0</v>
      </c>
      <c r="R89" s="161" t="e">
        <f t="shared" si="6"/>
        <v>#DIV/0!</v>
      </c>
      <c r="S89" s="174" t="str">
        <f>D89</f>
        <v>SN-10 Ambient</v>
      </c>
      <c r="T89" s="81"/>
      <c r="U89" s="81"/>
      <c r="V89" s="81"/>
      <c r="Y89" s="87"/>
      <c r="Z89" s="362"/>
      <c r="AA89" s="124"/>
      <c r="AB89" s="124"/>
    </row>
    <row r="90" spans="1:28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9"/>
        <v>786.66666666666663</v>
      </c>
      <c r="Q90" s="124">
        <f t="shared" si="5"/>
        <v>393.33333333333331</v>
      </c>
      <c r="R90" s="161">
        <f t="shared" si="6"/>
        <v>0.66666666666666663</v>
      </c>
      <c r="S90" s="174">
        <f>(P89+P90+P91)/(P89+P90+P91+Q89+Q90+Q91)</f>
        <v>0.81344419721278838</v>
      </c>
      <c r="T90" s="81"/>
      <c r="U90" s="81"/>
      <c r="V90" s="81"/>
      <c r="Y90" s="87"/>
      <c r="Z90" s="362"/>
      <c r="AA90" s="124"/>
      <c r="AB90" s="124"/>
    </row>
    <row r="91" spans="1:28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9"/>
        <v>138133.33333333331</v>
      </c>
      <c r="Q91" s="124">
        <f t="shared" si="5"/>
        <v>31466.666666666668</v>
      </c>
      <c r="R91" s="161">
        <f t="shared" si="6"/>
        <v>0.81446540880503149</v>
      </c>
      <c r="S91" s="174"/>
      <c r="T91" s="81"/>
      <c r="U91" s="81"/>
      <c r="V91" s="81"/>
      <c r="Y91" s="87"/>
      <c r="Z91" s="362"/>
      <c r="AA91" s="124"/>
      <c r="AB91" s="124"/>
    </row>
    <row r="92" spans="1:28" s="80" customFormat="1">
      <c r="A92" s="77">
        <v>42891</v>
      </c>
      <c r="B92" s="78">
        <v>12</v>
      </c>
      <c r="C92" s="78"/>
      <c r="D92" s="80" t="s">
        <v>83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9"/>
        <v>90</v>
      </c>
      <c r="Q92" s="124">
        <f t="shared" si="5"/>
        <v>0</v>
      </c>
      <c r="R92" s="161">
        <f t="shared" si="6"/>
        <v>1</v>
      </c>
      <c r="S92" s="174" t="str">
        <f>D92</f>
        <v>NF-10 Low</v>
      </c>
      <c r="T92" s="81"/>
      <c r="U92" s="81"/>
      <c r="V92" s="81"/>
      <c r="Y92" s="87"/>
      <c r="Z92" s="362"/>
      <c r="AA92" s="124"/>
      <c r="AB92" s="124"/>
    </row>
    <row r="93" spans="1:28" s="80" customFormat="1">
      <c r="A93" s="77">
        <v>42891</v>
      </c>
      <c r="B93" s="78">
        <v>12</v>
      </c>
      <c r="C93" s="78"/>
      <c r="D93" s="80" t="s">
        <v>83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9"/>
        <v>840</v>
      </c>
      <c r="Q93" s="124">
        <f t="shared" si="5"/>
        <v>480</v>
      </c>
      <c r="R93" s="161">
        <f t="shared" si="6"/>
        <v>0.63636363636363635</v>
      </c>
      <c r="S93" s="174">
        <f>(P92+P93+P94)/(P92+P93+P94+Q92+Q93+Q94)</f>
        <v>0.81850310665222603</v>
      </c>
      <c r="T93" s="81"/>
      <c r="U93" s="81"/>
      <c r="V93" s="81"/>
      <c r="Y93" s="87"/>
      <c r="Z93" s="362"/>
      <c r="AA93" s="124"/>
      <c r="AB93" s="124"/>
    </row>
    <row r="94" spans="1:28" s="80" customFormat="1">
      <c r="A94" s="77">
        <v>42891</v>
      </c>
      <c r="B94" s="78">
        <v>12</v>
      </c>
      <c r="C94" s="78"/>
      <c r="D94" s="80" t="s">
        <v>83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9"/>
        <v>46933.333333333328</v>
      </c>
      <c r="Q94" s="124">
        <f t="shared" si="5"/>
        <v>10133.333333333332</v>
      </c>
      <c r="R94" s="161">
        <f t="shared" si="6"/>
        <v>0.82242990654205617</v>
      </c>
      <c r="S94" s="174"/>
      <c r="T94" s="81"/>
      <c r="U94" s="81"/>
      <c r="V94" s="81"/>
      <c r="Y94" s="87"/>
      <c r="Z94" s="362"/>
      <c r="AA94" s="124"/>
      <c r="AB94" s="124"/>
    </row>
    <row r="95" spans="1:28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9"/>
        <v>27.222222222222221</v>
      </c>
      <c r="Q95" s="124">
        <f t="shared" si="5"/>
        <v>54.444444444444443</v>
      </c>
      <c r="R95" s="161">
        <f t="shared" si="6"/>
        <v>0.33333333333333337</v>
      </c>
      <c r="S95" s="174" t="str">
        <f>D95</f>
        <v>SN-6 Low</v>
      </c>
      <c r="T95" s="81"/>
      <c r="U95" s="81"/>
      <c r="V95" s="81"/>
      <c r="Y95" s="87"/>
      <c r="Z95" s="362"/>
      <c r="AA95" s="124"/>
      <c r="AB95" s="124"/>
    </row>
    <row r="96" spans="1:28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9"/>
        <v>1819.9999999999998</v>
      </c>
      <c r="Q96" s="124">
        <f t="shared" si="5"/>
        <v>140</v>
      </c>
      <c r="R96" s="161">
        <f t="shared" si="6"/>
        <v>0.9285714285714286</v>
      </c>
      <c r="S96" s="174">
        <f>(P95+P96+P97)/(P95+P96+P97+Q95+Q96+Q97)</f>
        <v>0.83877037362852191</v>
      </c>
      <c r="T96" s="81"/>
      <c r="U96" s="81"/>
      <c r="V96" s="81"/>
      <c r="Y96" s="87"/>
      <c r="Z96" s="362"/>
      <c r="AA96" s="124"/>
      <c r="AB96" s="124"/>
    </row>
    <row r="97" spans="1:28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9"/>
        <v>93500</v>
      </c>
      <c r="Q97" s="124">
        <f t="shared" si="5"/>
        <v>18133.333333333332</v>
      </c>
      <c r="R97" s="161">
        <f t="shared" si="6"/>
        <v>0.83756345177664981</v>
      </c>
      <c r="S97" s="174"/>
      <c r="T97" s="81"/>
      <c r="U97" s="81"/>
      <c r="V97" s="81"/>
      <c r="Y97" s="87"/>
      <c r="Z97" s="362"/>
      <c r="AA97" s="124"/>
      <c r="AB97" s="124"/>
    </row>
    <row r="98" spans="1:28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9"/>
        <v>90</v>
      </c>
      <c r="Q98" s="124">
        <f t="shared" si="5"/>
        <v>45</v>
      </c>
      <c r="R98" s="161">
        <f t="shared" si="6"/>
        <v>0.66666666666666663</v>
      </c>
      <c r="S98" s="174" t="str">
        <f>D98</f>
        <v>NF-6 Ambient</v>
      </c>
      <c r="T98" s="81"/>
      <c r="U98" s="81"/>
      <c r="V98" s="81"/>
      <c r="Y98" s="87"/>
      <c r="Z98" s="362"/>
      <c r="AA98" s="124"/>
      <c r="AB98" s="124"/>
    </row>
    <row r="99" spans="1:28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9"/>
        <v>1485</v>
      </c>
      <c r="Q99" s="124">
        <f t="shared" si="5"/>
        <v>0</v>
      </c>
      <c r="R99" s="161">
        <f t="shared" si="6"/>
        <v>1</v>
      </c>
      <c r="S99" s="174">
        <f>(P98+P99+P100)/(P98+P99+P100+Q98+Q99+Q100)</f>
        <v>0.86138640525692123</v>
      </c>
      <c r="T99" s="81"/>
      <c r="Y99" s="87"/>
      <c r="Z99" s="362"/>
      <c r="AA99" s="124"/>
      <c r="AB99" s="124"/>
    </row>
    <row r="100" spans="1:28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9"/>
        <v>51733.333333333336</v>
      </c>
      <c r="Q100" s="124">
        <f t="shared" ref="Q100:Q163" si="10">(AVERAGE(J100,L100,N100)/G100)*H100</f>
        <v>8533.3333333333321</v>
      </c>
      <c r="R100" s="161">
        <f t="shared" ref="R100:R163" si="11">P100/(P100+Q100)</f>
        <v>0.8584070796460177</v>
      </c>
      <c r="S100" s="174"/>
      <c r="T100" s="81"/>
      <c r="Y100" s="87"/>
      <c r="Z100" s="362"/>
      <c r="AA100" s="124"/>
      <c r="AB100" s="124"/>
    </row>
    <row r="101" spans="1:28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9"/>
        <v>123.33333333333333</v>
      </c>
      <c r="Q101" s="124">
        <f t="shared" si="10"/>
        <v>41.111111111111107</v>
      </c>
      <c r="R101" s="161">
        <f t="shared" si="11"/>
        <v>0.75</v>
      </c>
      <c r="S101" s="174" t="str">
        <f>D101</f>
        <v>SN-6 Ambient</v>
      </c>
      <c r="T101" s="81"/>
      <c r="Y101" s="87"/>
      <c r="Z101" s="362"/>
      <c r="AA101" s="124"/>
      <c r="AB101" s="124"/>
    </row>
    <row r="102" spans="1:28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9"/>
        <v>0</v>
      </c>
      <c r="Q102" s="124">
        <f t="shared" si="10"/>
        <v>0</v>
      </c>
      <c r="R102" s="161" t="e">
        <f t="shared" si="11"/>
        <v>#DIV/0!</v>
      </c>
      <c r="S102" s="174">
        <f>(P101+P102+P103)/(P101+P102+P103+Q101+Q102+Q103)</f>
        <v>0.75958466453674123</v>
      </c>
      <c r="T102" s="81"/>
      <c r="Y102" s="87"/>
      <c r="Z102" s="362"/>
      <c r="AA102" s="124"/>
      <c r="AB102" s="124"/>
    </row>
    <row r="103" spans="1:28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9"/>
        <v>38973.333333333328</v>
      </c>
      <c r="Q103" s="124">
        <f t="shared" si="10"/>
        <v>12333.333333333334</v>
      </c>
      <c r="R103" s="161">
        <f t="shared" si="11"/>
        <v>0.75961538461538458</v>
      </c>
      <c r="S103" s="174"/>
      <c r="T103" s="81"/>
      <c r="Y103" s="87"/>
      <c r="Z103" s="362"/>
      <c r="AA103" s="124"/>
      <c r="AB103" s="124"/>
    </row>
    <row r="104" spans="1:28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9"/>
        <v>0</v>
      </c>
      <c r="Q104" s="124">
        <f t="shared" si="10"/>
        <v>0</v>
      </c>
      <c r="R104" s="161" t="e">
        <f t="shared" si="11"/>
        <v>#DIV/0!</v>
      </c>
      <c r="S104" s="174" t="str">
        <f>D104</f>
        <v>NF-10 Ambient</v>
      </c>
      <c r="Y104" s="87"/>
      <c r="Z104" s="362"/>
      <c r="AA104" s="124"/>
      <c r="AB104" s="124"/>
    </row>
    <row r="105" spans="1:28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9"/>
        <v>1400</v>
      </c>
      <c r="Q105" s="124">
        <f t="shared" si="10"/>
        <v>100</v>
      </c>
      <c r="R105" s="161">
        <f t="shared" si="11"/>
        <v>0.93333333333333335</v>
      </c>
      <c r="S105" s="174">
        <f>(P104+P105+P106)/(P104+P105+P106+Q104+Q105+Q106)</f>
        <v>0.8665880734846253</v>
      </c>
      <c r="Y105" s="87"/>
      <c r="Z105" s="362"/>
      <c r="AA105" s="124"/>
      <c r="AB105" s="124"/>
    </row>
    <row r="106" spans="1:28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9"/>
        <v>57406.666666666672</v>
      </c>
      <c r="Q106" s="124">
        <f t="shared" si="10"/>
        <v>8953.3333333333339</v>
      </c>
      <c r="R106" s="161">
        <f t="shared" si="11"/>
        <v>0.86507936507936511</v>
      </c>
      <c r="S106" s="174"/>
      <c r="Y106" s="87"/>
      <c r="Z106" s="362"/>
      <c r="AA106" s="124"/>
      <c r="AB106" s="124"/>
    </row>
    <row r="107" spans="1:28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346">
        <f t="shared" si="9"/>
        <v>155.55555555555557</v>
      </c>
      <c r="Q107" s="124">
        <f t="shared" si="10"/>
        <v>22.222222222222221</v>
      </c>
      <c r="R107" s="161">
        <f t="shared" si="11"/>
        <v>0.875</v>
      </c>
      <c r="S107" s="174" t="str">
        <f>D107</f>
        <v xml:space="preserve">SN-10 Low </v>
      </c>
      <c r="T107" s="81"/>
      <c r="U107" s="81"/>
      <c r="V107" s="81"/>
      <c r="W107" s="80" t="s">
        <v>170</v>
      </c>
      <c r="Y107" s="87"/>
      <c r="Z107" s="362"/>
      <c r="AA107" s="124"/>
      <c r="AB107" s="124"/>
    </row>
    <row r="108" spans="1:28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9"/>
        <v>933.33333333333326</v>
      </c>
      <c r="Q108" s="124">
        <f t="shared" si="10"/>
        <v>116.66666666666666</v>
      </c>
      <c r="R108" s="161">
        <f t="shared" si="11"/>
        <v>0.88888888888888884</v>
      </c>
      <c r="S108" s="174">
        <f>(P107+P108+P109)/(P107+P108+P109+Q107+Q108+Q109)</f>
        <v>0.32666632564325543</v>
      </c>
      <c r="T108" s="81"/>
      <c r="U108" s="81"/>
      <c r="V108" s="81"/>
      <c r="Y108" s="87"/>
      <c r="Z108" s="362"/>
      <c r="AA108" s="124"/>
      <c r="AB108" s="124"/>
    </row>
    <row r="109" spans="1:28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9"/>
        <v>6006.666666666667</v>
      </c>
      <c r="Q109" s="124">
        <f t="shared" si="10"/>
        <v>14486.666666666666</v>
      </c>
      <c r="R109" s="161">
        <f t="shared" si="11"/>
        <v>0.2931034482758621</v>
      </c>
      <c r="S109" s="174"/>
      <c r="T109" s="81"/>
      <c r="U109" s="81"/>
      <c r="V109" s="81"/>
      <c r="Y109" s="87"/>
      <c r="Z109" s="362"/>
      <c r="AA109" s="124"/>
      <c r="AB109" s="124"/>
    </row>
    <row r="110" spans="1:28" s="80" customFormat="1">
      <c r="A110" s="77">
        <v>42891</v>
      </c>
      <c r="B110" s="78" t="s">
        <v>171</v>
      </c>
      <c r="C110" s="154" t="s">
        <v>212</v>
      </c>
      <c r="D110" s="80" t="s">
        <v>84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9"/>
        <v>0</v>
      </c>
      <c r="Q110" s="124">
        <f t="shared" si="10"/>
        <v>0</v>
      </c>
      <c r="R110" s="161" t="e">
        <f t="shared" si="11"/>
        <v>#DIV/0!</v>
      </c>
      <c r="S110" s="174" t="str">
        <f>D110</f>
        <v>NF-10 Ambient</v>
      </c>
      <c r="T110" s="81"/>
      <c r="U110" s="81"/>
      <c r="V110" s="81"/>
      <c r="Y110" s="87"/>
      <c r="Z110" s="362"/>
      <c r="AA110" s="124"/>
      <c r="AB110" s="124"/>
    </row>
    <row r="111" spans="1:28" s="80" customFormat="1">
      <c r="A111" s="77">
        <v>42891</v>
      </c>
      <c r="B111" s="78" t="s">
        <v>171</v>
      </c>
      <c r="C111" s="154" t="s">
        <v>212</v>
      </c>
      <c r="D111" s="80" t="s">
        <v>84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9"/>
        <v>1603.3333333333333</v>
      </c>
      <c r="Q111" s="124">
        <f t="shared" si="10"/>
        <v>0</v>
      </c>
      <c r="R111" s="161">
        <f t="shared" si="11"/>
        <v>1</v>
      </c>
      <c r="S111" s="174"/>
      <c r="T111" s="81"/>
      <c r="U111" s="81"/>
      <c r="V111" s="81"/>
      <c r="Y111" s="87"/>
      <c r="Z111" s="362"/>
      <c r="AA111" s="124"/>
      <c r="AB111" s="124"/>
    </row>
    <row r="112" spans="1:28" s="80" customFormat="1">
      <c r="A112" s="77">
        <v>42891</v>
      </c>
      <c r="B112" s="78" t="s">
        <v>171</v>
      </c>
      <c r="C112" s="154" t="s">
        <v>212</v>
      </c>
      <c r="D112" s="80" t="s">
        <v>84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9"/>
        <v>48533.333333333328</v>
      </c>
      <c r="Q112" s="124">
        <f t="shared" si="10"/>
        <v>12266.666666666668</v>
      </c>
      <c r="R112" s="161">
        <f t="shared" si="11"/>
        <v>0.79824561403508765</v>
      </c>
      <c r="S112" s="174"/>
      <c r="T112" s="81"/>
      <c r="U112" s="81"/>
      <c r="V112" s="81"/>
      <c r="Y112" s="87"/>
      <c r="Z112" s="362"/>
      <c r="AA112" s="124"/>
      <c r="AB112" s="124"/>
    </row>
    <row r="113" spans="1:28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9"/>
        <v>0</v>
      </c>
      <c r="Q113" s="124">
        <f t="shared" si="10"/>
        <v>0</v>
      </c>
      <c r="R113" s="161" t="e">
        <f t="shared" si="11"/>
        <v>#DIV/0!</v>
      </c>
      <c r="S113" s="174" t="str">
        <f>D113</f>
        <v xml:space="preserve">K-10 Low </v>
      </c>
      <c r="T113" s="81"/>
      <c r="U113" s="81"/>
      <c r="V113" s="81"/>
      <c r="W113" s="80" t="s">
        <v>172</v>
      </c>
      <c r="Y113" s="87"/>
      <c r="Z113" s="362"/>
      <c r="AA113" s="124"/>
      <c r="AB113" s="124"/>
    </row>
    <row r="114" spans="1:28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9"/>
        <v>400</v>
      </c>
      <c r="Q114" s="124">
        <f t="shared" si="10"/>
        <v>133.33333333333331</v>
      </c>
      <c r="R114" s="161">
        <f t="shared" si="11"/>
        <v>0.75000000000000011</v>
      </c>
      <c r="S114" s="174">
        <f>(P113+P114+P115)/(P113+P114+P115+Q113+Q114+Q115)</f>
        <v>9.2578305817003562E-3</v>
      </c>
      <c r="T114" s="81"/>
      <c r="U114" s="81"/>
      <c r="V114" s="81"/>
      <c r="Y114" s="87"/>
      <c r="Z114" s="362"/>
      <c r="AA114" s="124"/>
      <c r="AB114" s="124"/>
    </row>
    <row r="115" spans="1:28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9"/>
        <v>0</v>
      </c>
      <c r="Q115" s="124">
        <f t="shared" si="10"/>
        <v>42673.333333333328</v>
      </c>
      <c r="R115" s="161">
        <f t="shared" si="11"/>
        <v>0</v>
      </c>
      <c r="S115" s="174"/>
      <c r="T115" s="81"/>
      <c r="U115" s="81"/>
      <c r="V115" s="81"/>
      <c r="Y115" s="87"/>
      <c r="Z115" s="362"/>
      <c r="AA115" s="124"/>
      <c r="AB115" s="124"/>
    </row>
    <row r="116" spans="1:28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9"/>
        <v>0</v>
      </c>
      <c r="Q116" s="124">
        <f t="shared" si="10"/>
        <v>0</v>
      </c>
      <c r="R116" s="161" t="e">
        <f t="shared" si="11"/>
        <v>#DIV/0!</v>
      </c>
      <c r="S116" s="174" t="str">
        <f>D116</f>
        <v xml:space="preserve">HL-10 Low </v>
      </c>
      <c r="T116" s="81"/>
      <c r="U116" s="81"/>
      <c r="V116" s="81"/>
      <c r="Y116" s="87"/>
      <c r="Z116" s="362"/>
      <c r="AA116" s="124"/>
      <c r="AB116" s="124"/>
    </row>
    <row r="117" spans="1:28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9"/>
        <v>250</v>
      </c>
      <c r="Q117" s="124">
        <f t="shared" si="10"/>
        <v>0</v>
      </c>
      <c r="R117" s="161">
        <f t="shared" si="11"/>
        <v>1</v>
      </c>
      <c r="S117" s="174">
        <f>(P116+P117+P118)/(P116+P117+P118+Q116+Q117+Q118)</f>
        <v>0.90077017999234077</v>
      </c>
      <c r="T117" s="81"/>
      <c r="U117" s="81"/>
      <c r="V117" s="81"/>
      <c r="Y117" s="87"/>
      <c r="Z117" s="362"/>
      <c r="AA117" s="124"/>
      <c r="AB117" s="124"/>
    </row>
    <row r="118" spans="1:28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9"/>
        <v>70313.333333333328</v>
      </c>
      <c r="Q118" s="124">
        <f t="shared" si="10"/>
        <v>7773.333333333333</v>
      </c>
      <c r="R118" s="161">
        <f t="shared" si="11"/>
        <v>0.90045248868778283</v>
      </c>
      <c r="S118" s="174"/>
      <c r="T118" s="81"/>
      <c r="U118" s="81"/>
      <c r="V118" s="81"/>
      <c r="Y118" s="87"/>
      <c r="Z118" s="362"/>
      <c r="AA118" s="124"/>
      <c r="AB118" s="124"/>
    </row>
    <row r="119" spans="1:28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9"/>
        <v>940</v>
      </c>
      <c r="Q119" s="124">
        <f t="shared" si="10"/>
        <v>208.88888888888889</v>
      </c>
      <c r="R119" s="161">
        <f t="shared" si="11"/>
        <v>0.81818181818181812</v>
      </c>
      <c r="S119" s="174" t="str">
        <f>D119</f>
        <v xml:space="preserve">K-10 Low </v>
      </c>
      <c r="T119" s="81"/>
      <c r="U119" s="81"/>
      <c r="V119" s="81"/>
      <c r="Y119" s="87"/>
      <c r="Z119" s="362"/>
      <c r="AA119" s="124"/>
      <c r="AB119" s="124"/>
    </row>
    <row r="120" spans="1:28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9"/>
        <v>21466.666666666664</v>
      </c>
      <c r="Q120" s="124">
        <f t="shared" si="10"/>
        <v>613.33333333333326</v>
      </c>
      <c r="R120" s="161">
        <f t="shared" si="11"/>
        <v>0.97222222222222232</v>
      </c>
      <c r="S120" s="174">
        <f>(P119+P120+P121)/(P119+P120+P121+Q119+Q120+Q121)</f>
        <v>0.89954659323823527</v>
      </c>
      <c r="T120" s="81"/>
      <c r="U120" s="81"/>
      <c r="V120" s="81"/>
      <c r="Y120" s="87"/>
      <c r="Z120" s="362"/>
      <c r="AA120" s="124"/>
      <c r="AB120" s="124"/>
    </row>
    <row r="121" spans="1:28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9"/>
        <v>74146.666666666657</v>
      </c>
      <c r="Q121" s="124">
        <f t="shared" si="10"/>
        <v>9960</v>
      </c>
      <c r="R121" s="161">
        <f t="shared" si="11"/>
        <v>0.88157894736842102</v>
      </c>
      <c r="S121" s="174"/>
      <c r="T121" s="81"/>
      <c r="U121" s="81"/>
      <c r="V121" s="81"/>
      <c r="Y121" s="87"/>
      <c r="Z121" s="362"/>
      <c r="AA121" s="124"/>
      <c r="AB121" s="124"/>
    </row>
    <row r="122" spans="1:28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9"/>
        <v>0</v>
      </c>
      <c r="Q122" s="124">
        <f t="shared" si="10"/>
        <v>0</v>
      </c>
      <c r="R122" s="161" t="e">
        <f t="shared" si="11"/>
        <v>#DIV/0!</v>
      </c>
      <c r="S122" s="174" t="str">
        <f>D122</f>
        <v>HL-10 Ambient</v>
      </c>
      <c r="T122" s="81"/>
      <c r="U122" s="81"/>
      <c r="V122" s="81"/>
      <c r="Y122" s="87"/>
      <c r="Z122" s="362"/>
      <c r="AA122" s="124"/>
      <c r="AB122" s="124"/>
    </row>
    <row r="123" spans="1:28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9"/>
        <v>3266.666666666667</v>
      </c>
      <c r="Q123" s="124">
        <f t="shared" si="10"/>
        <v>0</v>
      </c>
      <c r="R123" s="161">
        <f t="shared" si="11"/>
        <v>1</v>
      </c>
      <c r="S123" s="174">
        <f>(P122+P123+P124)/(P122+P123+P124+Q122+Q123+Q124)</f>
        <v>0.95704367949088809</v>
      </c>
      <c r="T123" s="81"/>
      <c r="Y123" s="87"/>
      <c r="Z123" s="362"/>
      <c r="AA123" s="124"/>
      <c r="AB123" s="124"/>
    </row>
    <row r="124" spans="1:28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9"/>
        <v>84960</v>
      </c>
      <c r="Q124" s="124">
        <f t="shared" si="10"/>
        <v>3960</v>
      </c>
      <c r="R124" s="161">
        <f t="shared" si="11"/>
        <v>0.95546558704453444</v>
      </c>
      <c r="S124" s="174"/>
      <c r="T124" s="81"/>
      <c r="Y124" s="87"/>
      <c r="Z124" s="362"/>
      <c r="AA124" s="124"/>
      <c r="AB124" s="124"/>
    </row>
    <row r="125" spans="1:28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9"/>
        <v>55.55555555555555</v>
      </c>
      <c r="Q125" s="124">
        <f t="shared" si="10"/>
        <v>0</v>
      </c>
      <c r="R125" s="161">
        <f t="shared" si="11"/>
        <v>1</v>
      </c>
      <c r="S125" s="174" t="str">
        <f>D125</f>
        <v>K-6 Ambient</v>
      </c>
      <c r="T125" s="81"/>
      <c r="Y125" s="87"/>
      <c r="Z125" s="362"/>
      <c r="AA125" s="124"/>
      <c r="AB125" s="124"/>
    </row>
    <row r="126" spans="1:28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9"/>
        <v>3813.333333333333</v>
      </c>
      <c r="Q126" s="124">
        <f t="shared" si="10"/>
        <v>0</v>
      </c>
      <c r="R126" s="161">
        <f t="shared" si="11"/>
        <v>1</v>
      </c>
      <c r="S126" s="174">
        <f>(P125+P126+P127)/(P125+P126+P127+Q125+Q126+Q127)</f>
        <v>0.88352628524299726</v>
      </c>
      <c r="T126" s="81"/>
      <c r="Y126" s="87"/>
      <c r="Z126" s="362"/>
      <c r="AA126" s="124"/>
      <c r="AB126" s="124"/>
    </row>
    <row r="127" spans="1:28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9"/>
        <v>60406.666666666672</v>
      </c>
      <c r="Q127" s="124">
        <f t="shared" si="10"/>
        <v>8473.3333333333339</v>
      </c>
      <c r="R127" s="161">
        <f t="shared" si="11"/>
        <v>0.87698412698412709</v>
      </c>
      <c r="S127" s="174"/>
      <c r="T127" s="81"/>
      <c r="Y127" s="87"/>
      <c r="Z127" s="362"/>
      <c r="AA127" s="124"/>
      <c r="AB127" s="124"/>
    </row>
    <row r="128" spans="1:28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2">(AVERAGE(I128,K128,M128)/G128)*H128</f>
        <v>0</v>
      </c>
      <c r="Q128" s="124">
        <f t="shared" si="10"/>
        <v>0</v>
      </c>
      <c r="R128" s="161" t="e">
        <f t="shared" si="11"/>
        <v>#DIV/0!</v>
      </c>
      <c r="S128" s="174" t="str">
        <f>D128</f>
        <v>K-6 Low</v>
      </c>
      <c r="Y128" s="87"/>
      <c r="Z128" s="362"/>
      <c r="AA128" s="124"/>
      <c r="AB128" s="124"/>
    </row>
    <row r="129" spans="1:29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2"/>
        <v>375</v>
      </c>
      <c r="Q129" s="124">
        <f t="shared" si="10"/>
        <v>0</v>
      </c>
      <c r="R129" s="161">
        <f t="shared" si="11"/>
        <v>1</v>
      </c>
      <c r="S129" s="174">
        <f>(P128+P129+P130)/(P128+P129+P130+Q128+Q129+Q130)</f>
        <v>0.91578947368421049</v>
      </c>
      <c r="Y129" s="87"/>
      <c r="Z129" s="362"/>
      <c r="AA129" s="124"/>
      <c r="AB129" s="124"/>
    </row>
    <row r="130" spans="1:29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0"/>
        <v>200</v>
      </c>
      <c r="R130" s="161">
        <f t="shared" si="11"/>
        <v>0.9</v>
      </c>
      <c r="S130" s="174"/>
      <c r="Y130" s="87"/>
      <c r="Z130" s="362"/>
      <c r="AA130" s="124"/>
      <c r="AB130" s="124"/>
    </row>
    <row r="131" spans="1:29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9"/>
        <v>200</v>
      </c>
      <c r="Q131" s="124">
        <f t="shared" si="10"/>
        <v>0</v>
      </c>
      <c r="R131" s="161">
        <f t="shared" si="11"/>
        <v>1</v>
      </c>
      <c r="S131" s="174" t="str">
        <f>D131</f>
        <v>K-10 Ambient</v>
      </c>
      <c r="Y131" s="87"/>
      <c r="Z131" s="362"/>
      <c r="AA131" s="124"/>
      <c r="AB131" s="124"/>
    </row>
    <row r="132" spans="1:29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9"/>
        <v>17833.333333333332</v>
      </c>
      <c r="Q132" s="124">
        <f t="shared" si="10"/>
        <v>3666.6666666666665</v>
      </c>
      <c r="R132" s="161">
        <f t="shared" si="11"/>
        <v>0.82945736434108519</v>
      </c>
      <c r="S132" s="174">
        <f>(P131+P132+P133)/(P131+P132+P133+Q131+Q132+Q133)</f>
        <v>0.762990335417851</v>
      </c>
      <c r="Y132" s="87"/>
      <c r="Z132" s="362"/>
      <c r="AA132" s="124"/>
      <c r="AB132" s="124"/>
    </row>
    <row r="133" spans="1:29" s="157" customFormat="1">
      <c r="A133" s="155">
        <v>42891</v>
      </c>
      <c r="B133" s="156">
        <v>22</v>
      </c>
      <c r="C133" s="156"/>
      <c r="D133" s="157" t="s">
        <v>17</v>
      </c>
      <c r="E133" s="157">
        <v>7</v>
      </c>
      <c r="F133" s="158">
        <v>100</v>
      </c>
      <c r="G133" s="157">
        <v>0.5</v>
      </c>
      <c r="H133" s="157">
        <v>470</v>
      </c>
      <c r="I133" s="157">
        <v>74</v>
      </c>
      <c r="J133" s="157">
        <v>20</v>
      </c>
      <c r="K133" s="157">
        <v>70</v>
      </c>
      <c r="L133" s="157">
        <v>34</v>
      </c>
      <c r="M133" s="157">
        <v>84</v>
      </c>
      <c r="N133" s="157">
        <v>23</v>
      </c>
      <c r="P133" s="124">
        <f>(AVERAGE(I133,K133,M133)/G133)*H133</f>
        <v>71440</v>
      </c>
      <c r="Q133" s="159">
        <f t="shared" si="10"/>
        <v>24126.666666666668</v>
      </c>
      <c r="R133" s="162">
        <f t="shared" si="11"/>
        <v>0.7475409836065573</v>
      </c>
      <c r="S133" s="174"/>
      <c r="Y133" s="158"/>
      <c r="Z133" s="363"/>
      <c r="AA133" s="159"/>
      <c r="AB133" s="159"/>
    </row>
    <row r="134" spans="1:29" s="85" customFormat="1" ht="16" thickBot="1">
      <c r="A134" s="82">
        <v>42891</v>
      </c>
      <c r="B134" s="83">
        <v>2</v>
      </c>
      <c r="C134" s="83" t="s">
        <v>213</v>
      </c>
      <c r="D134" s="157" t="s">
        <v>17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0"/>
        <v>0</v>
      </c>
      <c r="R134" s="164">
        <f t="shared" si="11"/>
        <v>1</v>
      </c>
      <c r="S134" s="175"/>
      <c r="Y134" s="140"/>
      <c r="Z134" s="364"/>
      <c r="AA134" s="141"/>
      <c r="AB134" s="141"/>
    </row>
    <row r="135" spans="1:29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3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0"/>
        <v>0</v>
      </c>
      <c r="R135" s="163">
        <f t="shared" si="11"/>
        <v>1</v>
      </c>
      <c r="S135" s="180" t="str">
        <f>D135</f>
        <v>SN-6 Low</v>
      </c>
      <c r="Y135" s="347"/>
      <c r="Z135" s="365"/>
      <c r="AA135" s="198"/>
      <c r="AB135" s="198"/>
    </row>
    <row r="136" spans="1:29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3">(AVERAGE(I136,K136,M136)/G136)*H136</f>
        <v>22933.333333333336</v>
      </c>
      <c r="Q136" s="139">
        <f t="shared" si="10"/>
        <v>533.33333333333326</v>
      </c>
      <c r="R136" s="163">
        <f t="shared" si="11"/>
        <v>0.97727272727272729</v>
      </c>
      <c r="S136" s="181">
        <f>(SUM(P135:P138)/(SUM(P135:Q138)))</f>
        <v>0.43924592973436166</v>
      </c>
      <c r="U136" s="65"/>
      <c r="V136" s="65"/>
      <c r="Y136" s="89"/>
      <c r="Z136" s="358"/>
      <c r="AA136" s="120"/>
      <c r="AB136" s="120"/>
    </row>
    <row r="137" spans="1:29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3"/>
        <v>19283.333333333336</v>
      </c>
      <c r="Q137" s="139">
        <f t="shared" si="10"/>
        <v>0</v>
      </c>
      <c r="R137" s="163">
        <f t="shared" si="11"/>
        <v>1</v>
      </c>
      <c r="S137" s="179"/>
      <c r="U137" s="65"/>
      <c r="V137" s="65"/>
      <c r="Y137" s="89"/>
      <c r="Z137" s="358"/>
      <c r="AA137" s="120"/>
      <c r="AB137" s="120"/>
    </row>
    <row r="138" spans="1:29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203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3"/>
        <v>0</v>
      </c>
      <c r="Q138" s="139">
        <f t="shared" si="10"/>
        <v>54000</v>
      </c>
      <c r="R138" s="163">
        <f t="shared" si="11"/>
        <v>0</v>
      </c>
      <c r="S138" s="182"/>
      <c r="U138" s="65"/>
      <c r="V138" s="65"/>
      <c r="Y138" s="89"/>
      <c r="Z138" s="358"/>
      <c r="AA138" s="120"/>
      <c r="AB138" s="120"/>
    </row>
    <row r="139" spans="1:29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3"/>
        <v>0</v>
      </c>
      <c r="Q139" s="139">
        <f t="shared" si="10"/>
        <v>0</v>
      </c>
      <c r="R139" s="163" t="e">
        <f t="shared" si="11"/>
        <v>#DIV/0!</v>
      </c>
      <c r="S139" s="183" t="str">
        <f>D139</f>
        <v>NF-6 Low</v>
      </c>
      <c r="U139" s="65"/>
      <c r="V139" s="65"/>
      <c r="Y139" s="89"/>
      <c r="Z139" s="358"/>
      <c r="AA139" s="120"/>
      <c r="AB139" s="120"/>
    </row>
    <row r="140" spans="1:29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3"/>
        <v>1750</v>
      </c>
      <c r="Q140" s="139">
        <f t="shared" si="10"/>
        <v>700</v>
      </c>
      <c r="R140" s="163">
        <f t="shared" si="11"/>
        <v>0.7142857142857143</v>
      </c>
      <c r="S140" s="181">
        <f>(SUM(P139:P142)/(SUM(P139:Q142)))</f>
        <v>0.37013089418072853</v>
      </c>
      <c r="U140" s="65"/>
      <c r="V140" s="65"/>
      <c r="Y140" s="89"/>
      <c r="Z140" s="358"/>
      <c r="AA140" s="120"/>
      <c r="AB140" s="120"/>
    </row>
    <row r="141" spans="1:29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3"/>
        <v>37000</v>
      </c>
      <c r="Q141" s="139">
        <f t="shared" si="10"/>
        <v>21500</v>
      </c>
      <c r="R141" s="163">
        <f t="shared" si="11"/>
        <v>0.63247863247863245</v>
      </c>
      <c r="S141" s="182"/>
      <c r="U141" s="65"/>
      <c r="V141" s="65"/>
      <c r="Y141" s="89"/>
      <c r="Z141" s="358"/>
      <c r="AA141" s="120"/>
      <c r="AB141" s="120"/>
    </row>
    <row r="142" spans="1:29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203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3"/>
        <v>366.66666666666663</v>
      </c>
      <c r="Q142" s="139">
        <f t="shared" si="10"/>
        <v>44366.666666666672</v>
      </c>
      <c r="R142" s="163">
        <f t="shared" si="11"/>
        <v>8.1967213114754085E-3</v>
      </c>
      <c r="S142" s="182"/>
      <c r="U142" s="65"/>
      <c r="V142" s="65"/>
      <c r="Y142" s="89"/>
      <c r="Z142" s="358"/>
      <c r="AA142" s="120"/>
      <c r="AB142" s="120"/>
    </row>
    <row r="143" spans="1:29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3"/>
        <v>150</v>
      </c>
      <c r="Q143" s="139">
        <f t="shared" si="10"/>
        <v>0</v>
      </c>
      <c r="R143" s="163">
        <f t="shared" si="11"/>
        <v>1</v>
      </c>
      <c r="S143" s="183" t="str">
        <f>D143</f>
        <v>SN-10 Ambient</v>
      </c>
      <c r="U143" s="65"/>
      <c r="V143" s="65"/>
      <c r="Y143" s="89"/>
      <c r="Z143" s="358"/>
      <c r="AA143" s="120"/>
      <c r="AB143" s="120"/>
      <c r="AC143" s="348"/>
    </row>
    <row r="144" spans="1:29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3"/>
        <v>94500</v>
      </c>
      <c r="Q144" s="139">
        <f t="shared" si="10"/>
        <v>1620</v>
      </c>
      <c r="R144" s="163">
        <f t="shared" si="11"/>
        <v>0.9831460674157303</v>
      </c>
      <c r="S144" s="181">
        <f>(SUM(P143:P146)/(SUM(P143:Q146)))</f>
        <v>0.62550352645192298</v>
      </c>
      <c r="U144" s="65"/>
      <c r="V144" s="65"/>
      <c r="Y144" s="89"/>
      <c r="Z144" s="358"/>
      <c r="AA144" s="120"/>
      <c r="AB144" s="120"/>
    </row>
    <row r="145" spans="1:28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3"/>
        <v>51666.666666666672</v>
      </c>
      <c r="Q145" s="139">
        <f t="shared" si="10"/>
        <v>7500</v>
      </c>
      <c r="R145" s="163">
        <f t="shared" si="11"/>
        <v>0.87323943661971837</v>
      </c>
      <c r="S145" s="182"/>
      <c r="U145" s="65"/>
      <c r="V145" s="65"/>
      <c r="Y145" s="89"/>
      <c r="Z145" s="358"/>
      <c r="AA145" s="120"/>
      <c r="AB145" s="120"/>
    </row>
    <row r="146" spans="1:28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203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3"/>
        <v>1200</v>
      </c>
      <c r="Q146" s="139">
        <f t="shared" si="10"/>
        <v>79200</v>
      </c>
      <c r="R146" s="163">
        <f t="shared" si="11"/>
        <v>1.4925373134328358E-2</v>
      </c>
      <c r="S146" s="182"/>
      <c r="U146" s="65"/>
      <c r="V146" s="65"/>
      <c r="Y146" s="89"/>
      <c r="Z146" s="358"/>
      <c r="AA146" s="120"/>
      <c r="AB146" s="120"/>
    </row>
    <row r="147" spans="1:28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3"/>
        <v>613.33333333333326</v>
      </c>
      <c r="Q147" s="139">
        <f t="shared" si="10"/>
        <v>0</v>
      </c>
      <c r="R147" s="163">
        <f t="shared" si="11"/>
        <v>1</v>
      </c>
      <c r="S147" s="183" t="str">
        <f>D147</f>
        <v>NF-6 Ambient</v>
      </c>
      <c r="U147" s="65"/>
      <c r="V147" s="65"/>
      <c r="Y147" s="89"/>
      <c r="Z147" s="358"/>
      <c r="AA147" s="120"/>
      <c r="AB147" s="120"/>
    </row>
    <row r="148" spans="1:28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3"/>
        <v>31166.666666666664</v>
      </c>
      <c r="Q148" s="139">
        <f t="shared" si="10"/>
        <v>566.66666666666663</v>
      </c>
      <c r="R148" s="163">
        <f t="shared" si="11"/>
        <v>0.9821428571428571</v>
      </c>
      <c r="S148" s="181">
        <f>(SUM(P147:P150)/(SUM(P147:Q150)))</f>
        <v>0.71986596457635232</v>
      </c>
      <c r="U148" s="65"/>
      <c r="V148" s="65"/>
      <c r="Y148" s="89"/>
      <c r="Z148" s="358"/>
      <c r="AA148" s="120"/>
      <c r="AB148" s="120"/>
    </row>
    <row r="149" spans="1:28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3"/>
        <v>18346.666666666668</v>
      </c>
      <c r="Q149" s="139">
        <f t="shared" si="10"/>
        <v>1706.6666666666665</v>
      </c>
      <c r="R149" s="163">
        <f t="shared" si="11"/>
        <v>0.91489361702127658</v>
      </c>
      <c r="S149" s="182"/>
      <c r="U149" s="65"/>
      <c r="V149" s="65"/>
      <c r="Y149" s="89"/>
      <c r="Z149" s="358"/>
      <c r="AA149" s="120"/>
      <c r="AB149" s="120"/>
    </row>
    <row r="150" spans="1:28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203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3"/>
        <v>0</v>
      </c>
      <c r="Q150" s="139">
        <f t="shared" si="10"/>
        <v>17233.333333333332</v>
      </c>
      <c r="R150" s="163">
        <f t="shared" si="11"/>
        <v>0</v>
      </c>
      <c r="S150" s="182"/>
      <c r="U150" s="65"/>
      <c r="V150" s="65"/>
      <c r="Y150" s="89"/>
      <c r="Z150" s="358"/>
      <c r="AA150" s="120"/>
      <c r="AB150" s="120"/>
    </row>
    <row r="151" spans="1:28" s="62" customFormat="1">
      <c r="A151" s="134">
        <v>42895</v>
      </c>
      <c r="B151" s="60"/>
      <c r="C151" s="60"/>
      <c r="D151" s="62" t="s">
        <v>74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350">
        <f t="shared" si="13"/>
        <v>326.66666666666663</v>
      </c>
      <c r="Q151" s="139">
        <f t="shared" si="10"/>
        <v>0</v>
      </c>
      <c r="R151" s="163">
        <f t="shared" si="11"/>
        <v>1</v>
      </c>
      <c r="S151" s="183" t="str">
        <f>D151</f>
        <v>SN-10 Low</v>
      </c>
      <c r="U151" s="65"/>
      <c r="V151" s="65"/>
      <c r="Y151" s="89"/>
      <c r="Z151" s="358"/>
      <c r="AA151" s="120"/>
      <c r="AB151" s="120"/>
    </row>
    <row r="152" spans="1:28" s="62" customFormat="1">
      <c r="A152" s="134">
        <v>42895</v>
      </c>
      <c r="B152" s="60"/>
      <c r="C152" s="60"/>
      <c r="D152" s="62" t="s">
        <v>74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3"/>
        <v>34000</v>
      </c>
      <c r="Q152" s="139">
        <f t="shared" si="10"/>
        <v>0</v>
      </c>
      <c r="R152" s="163">
        <f t="shared" si="11"/>
        <v>1</v>
      </c>
      <c r="S152" s="181">
        <f>(SUM(P151:P154)/(SUM(P151:Q154)))</f>
        <v>0.6721273756384889</v>
      </c>
      <c r="Y152" s="89"/>
      <c r="Z152" s="358"/>
      <c r="AA152" s="120"/>
      <c r="AB152" s="120"/>
    </row>
    <row r="153" spans="1:28" s="62" customFormat="1">
      <c r="A153" s="134">
        <v>42895</v>
      </c>
      <c r="B153" s="60"/>
      <c r="C153" s="60"/>
      <c r="D153" s="62" t="s">
        <v>74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3"/>
        <v>14000</v>
      </c>
      <c r="Q153" s="139">
        <f t="shared" si="10"/>
        <v>350</v>
      </c>
      <c r="R153" s="163">
        <f t="shared" si="11"/>
        <v>0.97560975609756095</v>
      </c>
      <c r="S153" s="182"/>
      <c r="Y153" s="89"/>
      <c r="Z153" s="358"/>
      <c r="AA153" s="120"/>
      <c r="AB153" s="120"/>
    </row>
    <row r="154" spans="1:28" s="62" customFormat="1">
      <c r="A154" s="134">
        <v>42895</v>
      </c>
      <c r="B154" s="60"/>
      <c r="C154" s="60"/>
      <c r="D154" s="62" t="s">
        <v>74</v>
      </c>
      <c r="E154" s="62">
        <v>3</v>
      </c>
      <c r="F154" s="89" t="s">
        <v>203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3"/>
        <v>360</v>
      </c>
      <c r="Q154" s="139">
        <f t="shared" si="10"/>
        <v>23400</v>
      </c>
      <c r="R154" s="163">
        <f t="shared" si="11"/>
        <v>1.5151515151515152E-2</v>
      </c>
      <c r="S154" s="182"/>
      <c r="Y154" s="89"/>
      <c r="Z154" s="358"/>
      <c r="AA154" s="120"/>
      <c r="AB154" s="120"/>
    </row>
    <row r="155" spans="1:28" s="62" customFormat="1">
      <c r="A155" s="134">
        <v>42895</v>
      </c>
      <c r="B155" s="60"/>
      <c r="C155" s="60"/>
      <c r="D155" s="62" t="s">
        <v>83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3"/>
        <v>143.33333333333331</v>
      </c>
      <c r="Q155" s="139">
        <f t="shared" si="10"/>
        <v>0</v>
      </c>
      <c r="R155" s="163">
        <f t="shared" si="11"/>
        <v>1</v>
      </c>
      <c r="S155" s="183" t="str">
        <f>D155</f>
        <v>NF-10 Low</v>
      </c>
      <c r="Y155" s="89"/>
      <c r="Z155" s="358"/>
      <c r="AA155" s="120"/>
      <c r="AB155" s="120"/>
    </row>
    <row r="156" spans="1:28" s="62" customFormat="1">
      <c r="A156" s="134">
        <v>42895</v>
      </c>
      <c r="B156" s="60"/>
      <c r="C156" s="60"/>
      <c r="D156" s="62" t="s">
        <v>83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3"/>
        <v>40133.333333333336</v>
      </c>
      <c r="Q156" s="139">
        <f t="shared" si="10"/>
        <v>0</v>
      </c>
      <c r="R156" s="163">
        <f t="shared" si="11"/>
        <v>1</v>
      </c>
      <c r="S156" s="181">
        <f>(SUM(P155:P158)/(SUM(P155:Q158)))</f>
        <v>0.84220869481857819</v>
      </c>
      <c r="Y156" s="89"/>
      <c r="Z156" s="358"/>
      <c r="AA156" s="120"/>
      <c r="AB156" s="120"/>
    </row>
    <row r="157" spans="1:28" s="62" customFormat="1">
      <c r="A157" s="134">
        <v>42895</v>
      </c>
      <c r="B157" s="60"/>
      <c r="C157" s="60"/>
      <c r="D157" s="62" t="s">
        <v>83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3"/>
        <v>18293.333333333332</v>
      </c>
      <c r="Q157" s="139">
        <f t="shared" si="10"/>
        <v>373.33333333333331</v>
      </c>
      <c r="R157" s="163">
        <f t="shared" si="11"/>
        <v>0.98000000000000009</v>
      </c>
      <c r="S157" s="182"/>
      <c r="Y157" s="89"/>
      <c r="Z157" s="358"/>
      <c r="AA157" s="120"/>
      <c r="AB157" s="120"/>
    </row>
    <row r="158" spans="1:28" s="62" customFormat="1">
      <c r="A158" s="59">
        <v>42895</v>
      </c>
      <c r="B158" s="60"/>
      <c r="C158" s="60"/>
      <c r="D158" s="62" t="s">
        <v>83</v>
      </c>
      <c r="E158" s="62">
        <v>3</v>
      </c>
      <c r="F158" s="63" t="s">
        <v>203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3"/>
        <v>0</v>
      </c>
      <c r="Q158" s="139">
        <f t="shared" si="10"/>
        <v>10600</v>
      </c>
      <c r="R158" s="163">
        <f t="shared" si="11"/>
        <v>0</v>
      </c>
      <c r="S158" s="182"/>
      <c r="Y158" s="89"/>
      <c r="Z158" s="358"/>
      <c r="AA158" s="120"/>
      <c r="AB158" s="120"/>
    </row>
    <row r="159" spans="1:28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3"/>
        <v>0</v>
      </c>
      <c r="Q159" s="139">
        <f t="shared" si="10"/>
        <v>0</v>
      </c>
      <c r="R159" s="163" t="e">
        <f t="shared" si="11"/>
        <v>#DIV/0!</v>
      </c>
      <c r="S159" s="184" t="str">
        <f>D159</f>
        <v>HL-6 Low</v>
      </c>
      <c r="U159" s="65"/>
      <c r="V159" s="65"/>
      <c r="Y159" s="89"/>
      <c r="Z159" s="358"/>
      <c r="AA159" s="120"/>
      <c r="AB159" s="120"/>
    </row>
    <row r="160" spans="1:28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3"/>
        <v>64533.333333333336</v>
      </c>
      <c r="Q160" s="139">
        <f t="shared" si="10"/>
        <v>0</v>
      </c>
      <c r="R160" s="163">
        <f t="shared" si="11"/>
        <v>1</v>
      </c>
      <c r="S160" s="182">
        <f>SUM(P159:P160)/(SUM(P159:Q160))</f>
        <v>1</v>
      </c>
      <c r="U160" s="65"/>
      <c r="V160" s="65"/>
      <c r="Y160" s="89"/>
      <c r="Z160" s="358"/>
      <c r="AA160" s="120"/>
      <c r="AB160" s="120"/>
    </row>
    <row r="161" spans="1:28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3"/>
        <v>156.66666666666666</v>
      </c>
      <c r="Q161" s="139">
        <f t="shared" si="10"/>
        <v>0</v>
      </c>
      <c r="R161" s="163">
        <f t="shared" si="11"/>
        <v>1</v>
      </c>
      <c r="S161" s="183" t="str">
        <f>D161</f>
        <v>NF-10 Ambient</v>
      </c>
      <c r="U161" s="65"/>
      <c r="V161" s="65"/>
      <c r="Y161" s="89"/>
      <c r="Z161" s="358"/>
      <c r="AA161" s="120"/>
      <c r="AB161" s="120"/>
    </row>
    <row r="162" spans="1:28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3"/>
        <v>8213.3333333333339</v>
      </c>
      <c r="Q162" s="139">
        <f t="shared" si="10"/>
        <v>586.66666666666663</v>
      </c>
      <c r="R162" s="163">
        <f t="shared" si="11"/>
        <v>0.93333333333333335</v>
      </c>
      <c r="S162" s="181">
        <f>(SUM(P161:P164)/(SUM(P161:Q164)))</f>
        <v>0.78777032514211809</v>
      </c>
      <c r="U162" s="65"/>
      <c r="V162" s="65"/>
      <c r="Y162" s="89"/>
      <c r="Z162" s="358"/>
      <c r="AA162" s="120"/>
      <c r="AB162" s="120"/>
    </row>
    <row r="163" spans="1:28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3"/>
        <v>78933.333333333343</v>
      </c>
      <c r="Q163" s="139">
        <f t="shared" si="10"/>
        <v>3733.3333333333335</v>
      </c>
      <c r="R163" s="163">
        <f t="shared" si="11"/>
        <v>0.95483870967741946</v>
      </c>
      <c r="S163" s="182"/>
      <c r="U163" s="65"/>
      <c r="V163" s="65"/>
      <c r="Y163" s="89"/>
      <c r="Z163" s="358"/>
      <c r="AA163" s="120"/>
      <c r="AB163" s="120"/>
    </row>
    <row r="164" spans="1:28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203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3"/>
        <v>0</v>
      </c>
      <c r="Q164" s="139">
        <f t="shared" ref="Q164:Q227" si="14">(AVERAGE(J164,L164,N164)/G164)*H164</f>
        <v>19200</v>
      </c>
      <c r="R164" s="163">
        <f t="shared" ref="R164:R227" si="15">P164/(P164+Q164)</f>
        <v>0</v>
      </c>
      <c r="S164" s="182"/>
      <c r="U164" s="65"/>
      <c r="V164" s="65"/>
      <c r="Y164" s="89"/>
      <c r="Z164" s="358"/>
      <c r="AA164" s="120"/>
      <c r="AB164" s="120"/>
    </row>
    <row r="165" spans="1:28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3"/>
        <v>0</v>
      </c>
      <c r="Q165" s="139">
        <f t="shared" si="14"/>
        <v>0</v>
      </c>
      <c r="R165" s="163" t="e">
        <f t="shared" si="15"/>
        <v>#DIV/0!</v>
      </c>
      <c r="S165" s="183" t="str">
        <f>D165</f>
        <v>SN-6 Ambient</v>
      </c>
      <c r="U165" s="65"/>
      <c r="V165" s="65"/>
      <c r="Y165" s="89"/>
      <c r="Z165" s="358"/>
      <c r="AA165" s="120"/>
      <c r="AB165" s="120"/>
    </row>
    <row r="166" spans="1:28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3"/>
        <v>666.66666666666674</v>
      </c>
      <c r="Q166" s="139">
        <f t="shared" si="14"/>
        <v>0</v>
      </c>
      <c r="R166" s="163">
        <f t="shared" si="15"/>
        <v>1</v>
      </c>
      <c r="S166" s="181">
        <f>(SUM(P165:P168)/(SUM(P165:Q168)))</f>
        <v>0.21549354618818303</v>
      </c>
      <c r="U166" s="65"/>
      <c r="V166" s="65"/>
      <c r="Y166" s="89"/>
      <c r="Z166" s="358"/>
      <c r="AA166" s="120"/>
      <c r="AB166" s="120"/>
    </row>
    <row r="167" spans="1:28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3"/>
        <v>32000</v>
      </c>
      <c r="Q167" s="139">
        <f t="shared" si="14"/>
        <v>1706.6666666666665</v>
      </c>
      <c r="R167" s="163">
        <f t="shared" si="15"/>
        <v>0.949367088607595</v>
      </c>
      <c r="S167" s="182"/>
      <c r="U167" s="65"/>
      <c r="V167" s="65"/>
      <c r="Y167" s="89"/>
      <c r="Z167" s="358"/>
      <c r="AA167" s="120"/>
      <c r="AB167" s="120"/>
    </row>
    <row r="168" spans="1:28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203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3"/>
        <v>0</v>
      </c>
      <c r="Q168" s="139">
        <f t="shared" si="14"/>
        <v>117216.66666666667</v>
      </c>
      <c r="R168" s="163">
        <f t="shared" si="15"/>
        <v>0</v>
      </c>
      <c r="S168" s="182"/>
      <c r="U168" s="65"/>
      <c r="V168" s="65"/>
      <c r="Y168" s="89"/>
      <c r="Z168" s="358"/>
      <c r="AA168" s="120"/>
      <c r="AB168" s="120"/>
    </row>
    <row r="169" spans="1:28" s="62" customFormat="1">
      <c r="A169" s="134">
        <v>42895</v>
      </c>
      <c r="B169" s="60"/>
      <c r="C169" s="60"/>
      <c r="D169" s="61" t="s">
        <v>20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3"/>
        <v>1400</v>
      </c>
      <c r="Q169" s="139">
        <f t="shared" si="14"/>
        <v>233.33333333333331</v>
      </c>
      <c r="R169" s="163">
        <f t="shared" si="15"/>
        <v>0.85714285714285721</v>
      </c>
      <c r="S169" s="183" t="str">
        <f>D169</f>
        <v>K-10 Low</v>
      </c>
      <c r="U169" s="65"/>
      <c r="V169" s="65"/>
      <c r="Y169" s="89"/>
      <c r="Z169" s="358"/>
      <c r="AA169" s="120"/>
      <c r="AB169" s="120"/>
    </row>
    <row r="170" spans="1:28" s="62" customFormat="1">
      <c r="A170" s="134">
        <v>42895</v>
      </c>
      <c r="B170" s="60"/>
      <c r="C170" s="60"/>
      <c r="D170" s="61" t="s">
        <v>20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3"/>
        <v>11000</v>
      </c>
      <c r="Q170" s="139">
        <f t="shared" si="14"/>
        <v>3333.3333333333335</v>
      </c>
      <c r="R170" s="163">
        <f t="shared" si="15"/>
        <v>0.7674418604651162</v>
      </c>
      <c r="S170" s="181">
        <f>(SUM(P169:P172)/(SUM(P169:Q172)))</f>
        <v>0.54103019538188279</v>
      </c>
      <c r="U170" s="65"/>
      <c r="V170" s="65"/>
      <c r="Y170" s="89"/>
      <c r="Z170" s="358"/>
      <c r="AA170" s="120"/>
      <c r="AB170" s="120"/>
    </row>
    <row r="171" spans="1:28" s="62" customFormat="1">
      <c r="A171" s="134">
        <v>42895</v>
      </c>
      <c r="B171" s="60"/>
      <c r="C171" s="60"/>
      <c r="D171" s="61" t="s">
        <v>20</v>
      </c>
      <c r="E171" s="62">
        <v>5</v>
      </c>
      <c r="F171" s="89">
        <v>100</v>
      </c>
      <c r="G171" s="64">
        <v>0.5</v>
      </c>
      <c r="H171" s="64">
        <v>730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3"/>
        <v>45746.666666666664</v>
      </c>
      <c r="Q171" s="139">
        <f t="shared" si="14"/>
        <v>4380</v>
      </c>
      <c r="R171" s="163">
        <f t="shared" si="15"/>
        <v>0.91262135922330101</v>
      </c>
      <c r="S171" s="182"/>
      <c r="U171" s="65"/>
      <c r="V171" s="65"/>
      <c r="Y171" s="89"/>
      <c r="Z171" s="358"/>
      <c r="AA171" s="120"/>
      <c r="AB171" s="120"/>
    </row>
    <row r="172" spans="1:28" s="62" customFormat="1">
      <c r="A172" s="134">
        <v>42895</v>
      </c>
      <c r="B172" s="60"/>
      <c r="C172" s="60"/>
      <c r="D172" s="61" t="s">
        <v>20</v>
      </c>
      <c r="E172" s="62">
        <v>5</v>
      </c>
      <c r="F172" s="89" t="s">
        <v>203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3"/>
        <v>2773.333333333333</v>
      </c>
      <c r="Q172" s="139">
        <f t="shared" si="14"/>
        <v>43733.333333333328</v>
      </c>
      <c r="R172" s="163">
        <f t="shared" si="15"/>
        <v>5.9633027522935776E-2</v>
      </c>
      <c r="S172" s="182"/>
      <c r="U172" s="65"/>
      <c r="V172" s="65"/>
      <c r="Y172" s="89"/>
      <c r="Z172" s="358"/>
      <c r="AA172" s="120"/>
      <c r="AB172" s="120"/>
    </row>
    <row r="173" spans="1:28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3"/>
        <v>30.555555555555554</v>
      </c>
      <c r="Q173" s="139">
        <f t="shared" si="14"/>
        <v>0</v>
      </c>
      <c r="R173" s="163">
        <f t="shared" si="15"/>
        <v>1</v>
      </c>
      <c r="S173" s="183" t="str">
        <f>D173</f>
        <v>HL-10 Ambient</v>
      </c>
      <c r="U173" s="65"/>
      <c r="V173" s="65"/>
      <c r="Y173" s="89"/>
      <c r="Z173" s="358"/>
      <c r="AA173" s="120"/>
      <c r="AB173" s="120"/>
    </row>
    <row r="174" spans="1:28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3"/>
        <v>49066.666666666672</v>
      </c>
      <c r="Q174" s="139">
        <f t="shared" si="14"/>
        <v>0</v>
      </c>
      <c r="R174" s="163">
        <f t="shared" si="15"/>
        <v>1</v>
      </c>
      <c r="S174" s="181">
        <f>(SUM(P173:P176)/(SUM(P173:Q176)))</f>
        <v>0.89880529579209911</v>
      </c>
      <c r="U174" s="65"/>
      <c r="V174" s="65"/>
      <c r="Y174" s="89"/>
      <c r="Z174" s="358"/>
      <c r="AA174" s="120"/>
      <c r="AB174" s="120"/>
    </row>
    <row r="175" spans="1:28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3"/>
        <v>44400</v>
      </c>
      <c r="Q175" s="139">
        <f t="shared" si="14"/>
        <v>493.33333333333331</v>
      </c>
      <c r="R175" s="163">
        <f t="shared" si="15"/>
        <v>0.98901098901098894</v>
      </c>
      <c r="S175" s="182"/>
      <c r="U175" s="65"/>
      <c r="V175" s="65"/>
      <c r="Y175" s="89"/>
      <c r="Z175" s="358"/>
      <c r="AA175" s="120"/>
      <c r="AB175" s="120"/>
    </row>
    <row r="176" spans="1:28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203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3"/>
        <v>0</v>
      </c>
      <c r="Q176" s="139">
        <f t="shared" si="14"/>
        <v>10033.333333333334</v>
      </c>
      <c r="R176" s="163">
        <f t="shared" si="15"/>
        <v>0</v>
      </c>
      <c r="S176" s="182"/>
      <c r="U176" s="65"/>
      <c r="V176" s="65"/>
      <c r="Y176" s="89"/>
      <c r="Z176" s="358"/>
      <c r="AA176" s="120"/>
      <c r="AB176" s="120"/>
    </row>
    <row r="177" spans="1:28" s="62" customFormat="1">
      <c r="A177" s="134">
        <v>42895</v>
      </c>
      <c r="B177" s="60"/>
      <c r="C177" s="60"/>
      <c r="D177" s="62" t="s">
        <v>109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3"/>
        <v>87.5</v>
      </c>
      <c r="Q177" s="139">
        <f t="shared" si="14"/>
        <v>0</v>
      </c>
      <c r="R177" s="163">
        <f t="shared" si="15"/>
        <v>1</v>
      </c>
      <c r="S177" s="183" t="str">
        <f>D177</f>
        <v>HL-10 Low</v>
      </c>
      <c r="U177" s="65"/>
      <c r="V177" s="65"/>
      <c r="Y177" s="89"/>
      <c r="Z177" s="358"/>
      <c r="AA177" s="120"/>
      <c r="AB177" s="120"/>
    </row>
    <row r="178" spans="1:28" s="62" customFormat="1">
      <c r="A178" s="134">
        <v>42895</v>
      </c>
      <c r="B178" s="60"/>
      <c r="C178" s="60"/>
      <c r="D178" s="62" t="s">
        <v>109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3"/>
        <v>41080</v>
      </c>
      <c r="Q178" s="139">
        <f t="shared" si="14"/>
        <v>0</v>
      </c>
      <c r="R178" s="163">
        <f t="shared" si="15"/>
        <v>1</v>
      </c>
      <c r="S178" s="181">
        <f>(SUM(P177:P180)/(SUM(P177:Q180)))</f>
        <v>0.85446251937349593</v>
      </c>
      <c r="U178" s="65"/>
      <c r="V178" s="65"/>
      <c r="Y178" s="89"/>
      <c r="Z178" s="358"/>
      <c r="AA178" s="120"/>
      <c r="AB178" s="120"/>
    </row>
    <row r="179" spans="1:28" s="62" customFormat="1">
      <c r="A179" s="134">
        <v>42895</v>
      </c>
      <c r="B179" s="60"/>
      <c r="C179" s="60"/>
      <c r="D179" s="62" t="s">
        <v>109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3"/>
        <v>15166.666666666666</v>
      </c>
      <c r="Q179" s="139">
        <f t="shared" si="14"/>
        <v>0</v>
      </c>
      <c r="R179" s="163">
        <f t="shared" si="15"/>
        <v>1</v>
      </c>
      <c r="S179" s="182"/>
      <c r="U179" s="65"/>
      <c r="V179" s="65"/>
      <c r="Y179" s="89"/>
      <c r="Z179" s="358"/>
      <c r="AA179" s="120"/>
      <c r="AB179" s="120"/>
    </row>
    <row r="180" spans="1:28" s="62" customFormat="1">
      <c r="A180" s="134">
        <v>42895</v>
      </c>
      <c r="B180" s="60"/>
      <c r="C180" s="60"/>
      <c r="D180" s="62" t="s">
        <v>109</v>
      </c>
      <c r="E180" s="62">
        <v>6</v>
      </c>
      <c r="F180" s="63" t="s">
        <v>203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3"/>
        <v>175</v>
      </c>
      <c r="Q180" s="139">
        <f t="shared" si="14"/>
        <v>9625</v>
      </c>
      <c r="R180" s="163">
        <f t="shared" si="15"/>
        <v>1.7857142857142856E-2</v>
      </c>
      <c r="S180" s="182"/>
      <c r="U180" s="65"/>
      <c r="V180" s="65"/>
      <c r="Y180" s="89"/>
      <c r="Z180" s="358"/>
      <c r="AA180" s="120"/>
      <c r="AB180" s="120"/>
    </row>
    <row r="181" spans="1:28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3"/>
        <v>2600</v>
      </c>
      <c r="Q181" s="139">
        <f t="shared" si="14"/>
        <v>0</v>
      </c>
      <c r="R181" s="163">
        <f t="shared" si="15"/>
        <v>1</v>
      </c>
      <c r="S181" s="183" t="str">
        <f>D181</f>
        <v>K-10 Ambient</v>
      </c>
      <c r="U181" s="65"/>
      <c r="V181" s="65"/>
      <c r="Y181" s="89"/>
      <c r="Z181" s="358"/>
      <c r="AA181" s="120"/>
      <c r="AB181" s="120"/>
    </row>
    <row r="182" spans="1:28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3"/>
        <v>29166.666666666664</v>
      </c>
      <c r="Q182" s="139">
        <f t="shared" si="14"/>
        <v>0</v>
      </c>
      <c r="R182" s="163">
        <f t="shared" si="15"/>
        <v>1</v>
      </c>
      <c r="S182" s="181">
        <f>(SUM(P181:P184)/(SUM(P181:Q184)))</f>
        <v>0.53214003164556967</v>
      </c>
      <c r="U182" s="65"/>
      <c r="V182" s="65"/>
      <c r="Y182" s="89"/>
      <c r="Z182" s="358"/>
      <c r="AA182" s="120"/>
      <c r="AB182" s="120"/>
    </row>
    <row r="183" spans="1:28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3"/>
        <v>54166.666666666664</v>
      </c>
      <c r="Q183" s="139">
        <f t="shared" si="14"/>
        <v>2600</v>
      </c>
      <c r="R183" s="163">
        <f t="shared" si="15"/>
        <v>0.95419847328244278</v>
      </c>
      <c r="S183" s="182"/>
      <c r="U183" s="65"/>
      <c r="V183" s="65"/>
      <c r="Y183" s="89"/>
      <c r="Z183" s="358"/>
      <c r="AA183" s="120"/>
      <c r="AB183" s="120"/>
    </row>
    <row r="184" spans="1:28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203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3"/>
        <v>3750</v>
      </c>
      <c r="Q184" s="139">
        <f t="shared" si="14"/>
        <v>76250</v>
      </c>
      <c r="R184" s="163">
        <f t="shared" si="15"/>
        <v>4.6875E-2</v>
      </c>
      <c r="S184" s="182"/>
      <c r="U184" s="65"/>
      <c r="V184" s="65"/>
      <c r="Y184" s="89"/>
      <c r="Z184" s="358"/>
      <c r="AA184" s="120"/>
      <c r="AB184" s="120"/>
    </row>
    <row r="185" spans="1:28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3"/>
        <v>1050</v>
      </c>
      <c r="Q185" s="139">
        <f t="shared" si="14"/>
        <v>0</v>
      </c>
      <c r="R185" s="163">
        <f t="shared" si="15"/>
        <v>1</v>
      </c>
      <c r="S185" s="183" t="str">
        <f>D185</f>
        <v>K-6 Ambient</v>
      </c>
      <c r="U185" s="65"/>
      <c r="V185" s="65"/>
      <c r="Y185" s="89"/>
      <c r="Z185" s="358"/>
      <c r="AA185" s="120"/>
      <c r="AB185" s="120"/>
    </row>
    <row r="186" spans="1:28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3"/>
        <v>2166.6666666666665</v>
      </c>
      <c r="Q186" s="139">
        <f t="shared" si="14"/>
        <v>0</v>
      </c>
      <c r="R186" s="163">
        <f t="shared" si="15"/>
        <v>1</v>
      </c>
      <c r="S186" s="181">
        <f>(SUM(P185:P188)/(SUM(P185:Q188)))</f>
        <v>0.64942345380793953</v>
      </c>
      <c r="Y186" s="89"/>
      <c r="Z186" s="358"/>
      <c r="AA186" s="120"/>
      <c r="AB186" s="120"/>
    </row>
    <row r="187" spans="1:28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3"/>
        <v>44280</v>
      </c>
      <c r="Q187" s="139">
        <f t="shared" si="14"/>
        <v>1440</v>
      </c>
      <c r="R187" s="163">
        <f t="shared" si="15"/>
        <v>0.96850393700787396</v>
      </c>
      <c r="S187" s="182"/>
      <c r="Y187" s="89"/>
      <c r="Z187" s="358"/>
      <c r="AA187" s="120"/>
      <c r="AB187" s="120"/>
    </row>
    <row r="188" spans="1:28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203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3"/>
        <v>0</v>
      </c>
      <c r="Q188" s="139">
        <f t="shared" si="14"/>
        <v>24200</v>
      </c>
      <c r="R188" s="163">
        <f t="shared" si="15"/>
        <v>0</v>
      </c>
      <c r="S188" s="182"/>
      <c r="Y188" s="89"/>
      <c r="Z188" s="358"/>
      <c r="AA188" s="120"/>
      <c r="AB188" s="120"/>
    </row>
    <row r="189" spans="1:28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3"/>
        <v>183.33333333333331</v>
      </c>
      <c r="Q189" s="139">
        <f t="shared" si="14"/>
        <v>0</v>
      </c>
      <c r="R189" s="163">
        <f t="shared" si="15"/>
        <v>1</v>
      </c>
      <c r="S189" s="183" t="str">
        <f>D189</f>
        <v>K-6 Low</v>
      </c>
      <c r="Y189" s="89"/>
      <c r="Z189" s="358"/>
      <c r="AA189" s="120"/>
      <c r="AB189" s="120"/>
    </row>
    <row r="190" spans="1:28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3"/>
        <v>1500</v>
      </c>
      <c r="Q190" s="139">
        <f t="shared" si="14"/>
        <v>0</v>
      </c>
      <c r="R190" s="163">
        <f t="shared" si="15"/>
        <v>1</v>
      </c>
      <c r="S190" s="181">
        <f>(SUM(P189:P192)/(SUM(P189:Q192)))</f>
        <v>0.9923641703377386</v>
      </c>
      <c r="Y190" s="89"/>
      <c r="Z190" s="358"/>
      <c r="AA190" s="120"/>
      <c r="AB190" s="120"/>
    </row>
    <row r="191" spans="1:28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3"/>
        <v>53550</v>
      </c>
      <c r="Q191" s="139">
        <f t="shared" si="14"/>
        <v>0</v>
      </c>
      <c r="R191" s="163">
        <f t="shared" si="15"/>
        <v>1</v>
      </c>
      <c r="S191" s="182"/>
      <c r="Y191" s="89"/>
      <c r="Z191" s="358"/>
      <c r="AA191" s="120"/>
      <c r="AB191" s="120"/>
    </row>
    <row r="192" spans="1:28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203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3"/>
        <v>1083.3333333333335</v>
      </c>
      <c r="Q192" s="123">
        <f t="shared" si="14"/>
        <v>433.33333333333331</v>
      </c>
      <c r="R192" s="172">
        <f t="shared" si="15"/>
        <v>0.7142857142857143</v>
      </c>
      <c r="S192" s="196"/>
      <c r="Y192" s="148"/>
      <c r="Z192" s="366"/>
      <c r="AA192" s="149"/>
      <c r="AB192" s="149"/>
    </row>
    <row r="193" spans="1:30" s="146" customFormat="1">
      <c r="A193" s="190">
        <v>42898</v>
      </c>
      <c r="B193" s="191"/>
      <c r="C193" s="191"/>
      <c r="D193" s="147" t="s">
        <v>77</v>
      </c>
      <c r="E193" s="146">
        <v>1</v>
      </c>
      <c r="F193" s="192">
        <v>224</v>
      </c>
      <c r="G193" s="192">
        <v>1</v>
      </c>
      <c r="H193" s="146">
        <v>260</v>
      </c>
      <c r="I193" s="146">
        <v>2</v>
      </c>
      <c r="J193" s="146">
        <v>0</v>
      </c>
      <c r="K193" s="146">
        <v>0</v>
      </c>
      <c r="L193" s="146">
        <v>0</v>
      </c>
      <c r="M193" s="146">
        <v>1</v>
      </c>
      <c r="N193" s="146">
        <v>0</v>
      </c>
      <c r="P193" s="193">
        <f>(AVERAGE(I193,K193,M193)/G193)*H193</f>
        <v>260</v>
      </c>
      <c r="Q193" s="193">
        <f t="shared" si="14"/>
        <v>0</v>
      </c>
      <c r="R193" s="194">
        <f t="shared" si="15"/>
        <v>1</v>
      </c>
      <c r="S193" s="186" t="str">
        <f>D193</f>
        <v>SN-6 Low</v>
      </c>
      <c r="T193" s="195"/>
      <c r="U193" s="195"/>
      <c r="V193" s="195"/>
      <c r="Y193" s="87" t="str">
        <f>D193</f>
        <v>SN-6 Low</v>
      </c>
      <c r="Z193" s="362">
        <f>SUMIFS($P$135:$P$192, $D$135:$D$192, Y193, $F$135:$F$192, "&lt;200") + SUMIFS($Q$135:$Q$192, $D$135:$D$192, Y193, $F$135:$F$192, "&lt;200")</f>
        <v>42750.000000000007</v>
      </c>
      <c r="AA193" s="124">
        <f>SUM(P193:Q196)</f>
        <v>59556.666666666664</v>
      </c>
      <c r="AB193" s="124">
        <f>SUMIFS(Collection!O:O, Collection!B:B, "*" &amp; 'Bucket Counts'!Y193 &amp; "*", Collection!A:A, "&lt;" &amp; 'Bucket Counts'!A193,Collection!A:A,  "&gt;=" &amp; 'Bucket Counts'!$A$135)</f>
        <v>0</v>
      </c>
      <c r="AC193" s="161">
        <f>AA193/(Z193+AB193)</f>
        <v>1.3931384015594539</v>
      </c>
      <c r="AD193" s="370">
        <f>AVERAGE(AC193:AC252)</f>
        <v>0.98152865595374195</v>
      </c>
    </row>
    <row r="194" spans="1:30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16">(AVERAGE(I194,K194,M194)/G194)*H194</f>
        <v>22646.666666666668</v>
      </c>
      <c r="Q194" s="124">
        <f t="shared" si="14"/>
        <v>0</v>
      </c>
      <c r="R194" s="161">
        <f t="shared" si="15"/>
        <v>1</v>
      </c>
      <c r="S194" s="187">
        <f>(SUM(P193:P196)/(SUM(P193:Q196)))</f>
        <v>0.9168858789947949</v>
      </c>
      <c r="T194" s="81"/>
      <c r="U194" s="81"/>
      <c r="V194" s="81"/>
      <c r="Y194" s="87"/>
      <c r="Z194" s="362"/>
      <c r="AA194" s="124"/>
      <c r="AB194" s="124"/>
    </row>
    <row r="195" spans="1:30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16"/>
        <v>30799.999999999996</v>
      </c>
      <c r="Q195" s="124">
        <f t="shared" si="14"/>
        <v>0</v>
      </c>
      <c r="R195" s="161">
        <f t="shared" si="15"/>
        <v>1</v>
      </c>
      <c r="S195" s="185"/>
      <c r="T195" s="81"/>
      <c r="U195" s="81"/>
      <c r="V195" s="81"/>
      <c r="Y195" s="87"/>
      <c r="Z195" s="362"/>
      <c r="AA195" s="124"/>
      <c r="AB195" s="124"/>
    </row>
    <row r="196" spans="1:30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203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16"/>
        <v>900</v>
      </c>
      <c r="Q196" s="124">
        <f t="shared" si="14"/>
        <v>4950</v>
      </c>
      <c r="R196" s="161">
        <f t="shared" si="15"/>
        <v>0.15384615384615385</v>
      </c>
      <c r="S196" s="188"/>
      <c r="T196" s="81"/>
      <c r="U196" s="81"/>
      <c r="V196" s="81"/>
      <c r="Y196" s="87"/>
      <c r="Z196" s="362"/>
      <c r="AA196" s="124"/>
      <c r="AB196" s="124"/>
    </row>
    <row r="197" spans="1:30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16"/>
        <v>150</v>
      </c>
      <c r="Q197" s="124">
        <f t="shared" si="14"/>
        <v>0</v>
      </c>
      <c r="R197" s="161">
        <f t="shared" si="15"/>
        <v>1</v>
      </c>
      <c r="S197" s="189" t="str">
        <f>D197</f>
        <v>NF-6 Low</v>
      </c>
      <c r="T197" s="81"/>
      <c r="U197" s="81"/>
      <c r="V197" s="81"/>
      <c r="Y197" s="87" t="str">
        <f>D197</f>
        <v>NF-6 Low</v>
      </c>
      <c r="Z197" s="362">
        <f>SUMIFS($P$135:$P$192, $D$135:$D$192, Y197, $F$135:$F$192, "&lt;200") + SUMIFS($Q$135:$Q$192, $D$135:$D$192, Y197, $F$135:$F$192, "&lt;200")</f>
        <v>60950</v>
      </c>
      <c r="AA197" s="124">
        <f>SUM(P197:Q200)</f>
        <v>104444.44444444445</v>
      </c>
      <c r="AB197" s="124">
        <f>SUMIFS(Collection!O:O, Collection!B:B, "*" &amp; 'Bucket Counts'!Y197 &amp; "*", Collection!A:A, "&lt;" &amp; 'Bucket Counts'!A197,Collection!A:A,  "&gt;=" &amp; 'Bucket Counts'!$A$135)</f>
        <v>61733.333333333336</v>
      </c>
      <c r="AC197" s="161">
        <f>AA197/(Z197+AB197)</f>
        <v>0.85133360503554767</v>
      </c>
    </row>
    <row r="198" spans="1:30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16"/>
        <v>1944.4444444444446</v>
      </c>
      <c r="Q198" s="124">
        <f t="shared" si="14"/>
        <v>416.66666666666663</v>
      </c>
      <c r="R198" s="161">
        <f t="shared" si="15"/>
        <v>0.82352941176470584</v>
      </c>
      <c r="S198" s="187">
        <f>(SUM(P197:P200)/(SUM(P197:Q200)))</f>
        <v>0.67031914893617017</v>
      </c>
      <c r="T198" s="81"/>
      <c r="U198" s="81"/>
      <c r="V198" s="81"/>
      <c r="Y198" s="87"/>
      <c r="Z198" s="362"/>
      <c r="AA198" s="124"/>
      <c r="AB198" s="124"/>
    </row>
    <row r="199" spans="1:30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16"/>
        <v>67733.333333333343</v>
      </c>
      <c r="Q199" s="124">
        <f t="shared" si="14"/>
        <v>2666.666666666667</v>
      </c>
      <c r="R199" s="161">
        <f t="shared" si="15"/>
        <v>0.96212121212121204</v>
      </c>
      <c r="S199" s="188"/>
      <c r="T199" s="81"/>
      <c r="U199" s="81"/>
      <c r="V199" s="81"/>
      <c r="Y199" s="87"/>
      <c r="Z199" s="362"/>
      <c r="AA199" s="124"/>
      <c r="AB199" s="124"/>
    </row>
    <row r="200" spans="1:30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203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16"/>
        <v>183.33333333333331</v>
      </c>
      <c r="Q200" s="124">
        <f t="shared" si="14"/>
        <v>31350</v>
      </c>
      <c r="R200" s="161">
        <f t="shared" si="15"/>
        <v>5.8139534883720929E-3</v>
      </c>
      <c r="S200" s="188"/>
      <c r="T200" s="81"/>
      <c r="U200" s="81"/>
      <c r="V200" s="81"/>
      <c r="Y200" s="87"/>
      <c r="Z200" s="362"/>
      <c r="AA200" s="124"/>
      <c r="AB200" s="124"/>
    </row>
    <row r="201" spans="1:30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16"/>
        <v>991.66666666666674</v>
      </c>
      <c r="Q201" s="124">
        <f t="shared" si="14"/>
        <v>0</v>
      </c>
      <c r="R201" s="161">
        <f t="shared" si="15"/>
        <v>1</v>
      </c>
      <c r="S201" s="189" t="str">
        <f>D201</f>
        <v>SN-10 Ambient</v>
      </c>
      <c r="T201" s="81"/>
      <c r="U201" s="81"/>
      <c r="V201" s="81"/>
      <c r="Y201" s="87" t="str">
        <f>D201</f>
        <v>SN-10 Ambient</v>
      </c>
      <c r="Z201" s="362">
        <f>SUMIFS($P$135:$P$192, $D$135:$D$192, Y201, $F$135:$F$192, "&lt;200") + SUMIFS($Q$135:$Q$192, $D$135:$D$192, Y201, $F$135:$F$192, "&lt;200")</f>
        <v>155286.66666666669</v>
      </c>
      <c r="AA201" s="124">
        <f>SUM(P201:Q204)</f>
        <v>134158.33333333331</v>
      </c>
      <c r="AB201" s="124">
        <f>SUMIFS(Collection!O:O, Collection!B:B, "*" &amp; 'Bucket Counts'!Y201 &amp; "*", Collection!A:A, "&lt;" &amp; 'Bucket Counts'!A201,Collection!A:A,  "&gt;=" &amp; 'Bucket Counts'!$A$135)</f>
        <v>0</v>
      </c>
      <c r="AC201" s="161">
        <f>AA201/(Z201+AB201)</f>
        <v>0.86393981024342059</v>
      </c>
    </row>
    <row r="202" spans="1:30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16"/>
        <v>100200</v>
      </c>
      <c r="Q202" s="124">
        <f t="shared" si="14"/>
        <v>1200</v>
      </c>
      <c r="R202" s="161">
        <f t="shared" si="15"/>
        <v>0.98816568047337283</v>
      </c>
      <c r="S202" s="187">
        <f>(SUM(P201:P204)/(SUM(P201:Q204)))</f>
        <v>0.8342754208335923</v>
      </c>
      <c r="T202" s="81"/>
      <c r="U202" s="81"/>
      <c r="V202" s="81"/>
      <c r="Y202" s="87"/>
      <c r="Z202" s="362"/>
      <c r="AA202" s="124"/>
      <c r="AB202" s="124"/>
    </row>
    <row r="203" spans="1:30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16"/>
        <v>7733.333333333333</v>
      </c>
      <c r="Q203" s="124">
        <f t="shared" si="14"/>
        <v>6283.333333333333</v>
      </c>
      <c r="R203" s="161">
        <f t="shared" si="15"/>
        <v>0.55172413793103448</v>
      </c>
      <c r="S203" s="188"/>
      <c r="T203" s="81"/>
      <c r="U203" s="81"/>
      <c r="V203" s="81"/>
      <c r="Y203" s="87"/>
      <c r="Z203" s="362"/>
      <c r="AA203" s="124"/>
      <c r="AB203" s="124"/>
    </row>
    <row r="204" spans="1:30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203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16"/>
        <v>3000</v>
      </c>
      <c r="Q204" s="124">
        <f t="shared" si="14"/>
        <v>14750</v>
      </c>
      <c r="R204" s="161">
        <f t="shared" si="15"/>
        <v>0.16901408450704225</v>
      </c>
      <c r="S204" s="188"/>
      <c r="T204" s="81"/>
      <c r="U204" s="81"/>
      <c r="V204" s="81"/>
      <c r="Y204" s="87"/>
      <c r="Z204" s="362"/>
      <c r="AA204" s="124"/>
      <c r="AB204" s="124"/>
    </row>
    <row r="205" spans="1:30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16"/>
        <v>2010</v>
      </c>
      <c r="Q205" s="124">
        <f t="shared" si="14"/>
        <v>0</v>
      </c>
      <c r="R205" s="161">
        <f t="shared" si="15"/>
        <v>1</v>
      </c>
      <c r="S205" s="189" t="str">
        <f>D205</f>
        <v>NF-6 Ambient</v>
      </c>
      <c r="T205" s="81"/>
      <c r="U205" s="81"/>
      <c r="V205" s="81"/>
      <c r="Y205" s="87" t="str">
        <f>D205</f>
        <v>NF-6 Ambient</v>
      </c>
      <c r="Z205" s="362">
        <f>SUMIFS($P$135:$P$192, $D$135:$D$192, Y205, $F$135:$F$192, "&lt;200") + SUMIFS($Q$135:$Q$192, $D$135:$D$192, Y205, $F$135:$F$192, "&lt;200")</f>
        <v>51786.666666666664</v>
      </c>
      <c r="AA205" s="124">
        <f>SUM(P205:Q208)</f>
        <v>51813.333333333336</v>
      </c>
      <c r="AB205" s="124">
        <f>SUMIFS(Collection!O:O, Collection!B:B, "*" &amp; 'Bucket Counts'!Y205 &amp; "*", Collection!A:A, "&lt;" &amp; 'Bucket Counts'!A205,Collection!A:A,  "&gt;=" &amp; 'Bucket Counts'!$A$135)</f>
        <v>0</v>
      </c>
      <c r="AC205" s="161">
        <f>AA205/(Z205+AB205)</f>
        <v>1.0005149330587024</v>
      </c>
    </row>
    <row r="206" spans="1:30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16"/>
        <v>35400</v>
      </c>
      <c r="Q206" s="124">
        <f t="shared" si="14"/>
        <v>1200</v>
      </c>
      <c r="R206" s="161">
        <f t="shared" si="15"/>
        <v>0.96721311475409832</v>
      </c>
      <c r="S206" s="187">
        <f>(SUM(P205:P208)/(SUM(P205:Q208)))</f>
        <v>0.88979670612454964</v>
      </c>
      <c r="T206" s="81"/>
      <c r="U206" s="81"/>
      <c r="V206" s="81"/>
      <c r="Y206" s="87"/>
      <c r="Z206" s="362"/>
      <c r="AA206" s="124"/>
      <c r="AB206" s="124"/>
    </row>
    <row r="207" spans="1:30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16"/>
        <v>8313.3333333333339</v>
      </c>
      <c r="Q207" s="124">
        <f t="shared" si="14"/>
        <v>773.33333333333326</v>
      </c>
      <c r="R207" s="161">
        <f t="shared" si="15"/>
        <v>0.91489361702127658</v>
      </c>
      <c r="S207" s="188"/>
      <c r="T207" s="81"/>
      <c r="U207" s="81"/>
      <c r="V207" s="81"/>
      <c r="Y207" s="87"/>
      <c r="Z207" s="362"/>
      <c r="AA207" s="124"/>
      <c r="AB207" s="124"/>
    </row>
    <row r="208" spans="1:30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203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16"/>
        <v>380</v>
      </c>
      <c r="Q208" s="124">
        <f t="shared" si="14"/>
        <v>3736.666666666667</v>
      </c>
      <c r="R208" s="161">
        <f t="shared" si="15"/>
        <v>9.2307692307692299E-2</v>
      </c>
      <c r="S208" s="188"/>
      <c r="T208" s="81"/>
      <c r="U208" s="81"/>
      <c r="V208" s="81"/>
      <c r="Y208" s="87"/>
      <c r="Z208" s="362"/>
      <c r="AA208" s="124"/>
      <c r="AB208" s="124"/>
    </row>
    <row r="209" spans="1:29" s="80" customFormat="1">
      <c r="A209" s="77">
        <v>42898</v>
      </c>
      <c r="B209" s="78"/>
      <c r="C209" s="78"/>
      <c r="D209" s="79" t="s">
        <v>74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346">
        <f t="shared" si="16"/>
        <v>3750.0000000000005</v>
      </c>
      <c r="Q209" s="124">
        <f t="shared" si="14"/>
        <v>0</v>
      </c>
      <c r="R209" s="161">
        <f t="shared" si="15"/>
        <v>1</v>
      </c>
      <c r="S209" s="189" t="str">
        <f>D209</f>
        <v>SN-10 Low</v>
      </c>
      <c r="T209" s="81"/>
      <c r="U209" s="81"/>
      <c r="V209" s="81"/>
      <c r="Y209" s="87" t="str">
        <f>D209</f>
        <v>SN-10 Low</v>
      </c>
      <c r="Z209" s="362">
        <f>SUMIFS($P$135:$P$192, $D$135:$D$192, Y209, $F$135:$F$192, "&lt;200") + SUMIFS($Q$135:$Q$192, $D$135:$D$192, Y209, $F$135:$F$192, "&lt;200")</f>
        <v>48350</v>
      </c>
      <c r="AA209" s="124">
        <f>SUM(P209:Q212)</f>
        <v>44310.000000000007</v>
      </c>
      <c r="AB209" s="124">
        <f>SUMIFS(Collection!O:O, Collection!B:B, "*" &amp; 'Bucket Counts'!Y209 &amp; "*", Collection!A:A, "&lt;" &amp; 'Bucket Counts'!A209,Collection!A:A,  "&gt;=" &amp; 'Bucket Counts'!$A$135)</f>
        <v>0</v>
      </c>
      <c r="AC209" s="161">
        <f>AA209/(Z209+AB209)</f>
        <v>0.91644260599793193</v>
      </c>
    </row>
    <row r="210" spans="1:29" s="80" customFormat="1">
      <c r="A210" s="77">
        <v>42898</v>
      </c>
      <c r="B210" s="78"/>
      <c r="C210" s="78"/>
      <c r="D210" s="79" t="s">
        <v>74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16"/>
        <v>33120</v>
      </c>
      <c r="Q210" s="124">
        <f t="shared" si="14"/>
        <v>960</v>
      </c>
      <c r="R210" s="161">
        <f t="shared" si="15"/>
        <v>0.971830985915493</v>
      </c>
      <c r="S210" s="187">
        <f>(SUM(P209:P212)/(SUM(P209:Q212)))</f>
        <v>0.90220416760701116</v>
      </c>
      <c r="T210" s="81"/>
      <c r="U210" s="81"/>
      <c r="V210" s="81"/>
      <c r="Y210" s="87"/>
      <c r="Z210" s="362"/>
      <c r="AA210" s="124"/>
      <c r="AB210" s="124"/>
    </row>
    <row r="211" spans="1:29" s="80" customFormat="1">
      <c r="A211" s="77">
        <v>42898</v>
      </c>
      <c r="B211" s="78"/>
      <c r="C211" s="78"/>
      <c r="D211" s="79" t="s">
        <v>74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16"/>
        <v>2773.333333333333</v>
      </c>
      <c r="Q211" s="124">
        <f t="shared" si="14"/>
        <v>1040</v>
      </c>
      <c r="R211" s="161">
        <f t="shared" si="15"/>
        <v>0.72727272727272729</v>
      </c>
      <c r="S211" s="188"/>
      <c r="T211" s="81"/>
      <c r="U211" s="81"/>
      <c r="V211" s="81"/>
      <c r="Y211" s="87"/>
      <c r="Z211" s="362"/>
      <c r="AA211" s="124"/>
      <c r="AB211" s="124"/>
    </row>
    <row r="212" spans="1:29" s="80" customFormat="1">
      <c r="A212" s="77">
        <v>42898</v>
      </c>
      <c r="B212" s="78"/>
      <c r="C212" s="78"/>
      <c r="D212" s="79" t="s">
        <v>74</v>
      </c>
      <c r="E212" s="80">
        <v>3</v>
      </c>
      <c r="F212" s="87" t="s">
        <v>203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16"/>
        <v>333.33333333333331</v>
      </c>
      <c r="Q212" s="124">
        <f t="shared" si="14"/>
        <v>2333.3333333333335</v>
      </c>
      <c r="R212" s="161">
        <f t="shared" si="15"/>
        <v>0.12499999999999997</v>
      </c>
      <c r="S212" s="188"/>
      <c r="T212" s="81"/>
      <c r="U212" s="81"/>
      <c r="V212" s="81"/>
      <c r="Y212" s="87"/>
      <c r="Z212" s="362"/>
      <c r="AA212" s="124"/>
      <c r="AB212" s="124"/>
    </row>
    <row r="213" spans="1:29" s="80" customFormat="1">
      <c r="A213" s="77">
        <v>42898</v>
      </c>
      <c r="B213" s="78"/>
      <c r="C213" s="78"/>
      <c r="D213" s="80" t="s">
        <v>83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16"/>
        <v>300</v>
      </c>
      <c r="Q213" s="124">
        <f t="shared" si="14"/>
        <v>0</v>
      </c>
      <c r="R213" s="161">
        <f t="shared" si="15"/>
        <v>1</v>
      </c>
      <c r="S213" s="189" t="str">
        <f>D213</f>
        <v>NF-10 Low</v>
      </c>
      <c r="T213" s="81"/>
      <c r="U213" s="81"/>
      <c r="V213" s="81"/>
      <c r="Y213" s="87" t="str">
        <f>D213</f>
        <v>NF-10 Low</v>
      </c>
      <c r="Z213" s="362">
        <f>SUMIFS($P$135:$P$192, $D$135:$D$192, Y213, $F$135:$F$192, "&lt;200") + SUMIFS($Q$135:$Q$192, $D$135:$D$192, Y213, $F$135:$F$192, "&lt;200")</f>
        <v>58800.000000000007</v>
      </c>
      <c r="AA213" s="124">
        <f>SUM(P213:Q216)</f>
        <v>49230.000000000007</v>
      </c>
      <c r="AB213" s="124">
        <f>SUMIFS(Collection!O:O, Collection!B:B, "*" &amp; 'Bucket Counts'!Y213 &amp; "*", Collection!A:A, "&lt;" &amp; 'Bucket Counts'!A213,Collection!A:A,  "&gt;=" &amp; 'Bucket Counts'!$A$135)</f>
        <v>0</v>
      </c>
      <c r="AC213" s="161">
        <f>AA213/(Z213+AB213)</f>
        <v>0.83724489795918366</v>
      </c>
    </row>
    <row r="214" spans="1:29" s="80" customFormat="1">
      <c r="A214" s="77">
        <v>42898</v>
      </c>
      <c r="B214" s="78"/>
      <c r="C214" s="78"/>
      <c r="D214" s="80" t="s">
        <v>83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16"/>
        <v>44280</v>
      </c>
      <c r="Q214" s="124">
        <f t="shared" si="14"/>
        <v>0</v>
      </c>
      <c r="R214" s="161">
        <f t="shared" si="15"/>
        <v>1</v>
      </c>
      <c r="S214" s="187">
        <f>(SUM(P213:P216)/(SUM(P213:Q216)))</f>
        <v>0.96783803913602817</v>
      </c>
      <c r="T214" s="81"/>
      <c r="Y214" s="87"/>
      <c r="Z214" s="362"/>
      <c r="AA214" s="124"/>
      <c r="AB214" s="124"/>
    </row>
    <row r="215" spans="1:29" s="80" customFormat="1">
      <c r="A215" s="77">
        <v>42898</v>
      </c>
      <c r="B215" s="78"/>
      <c r="C215" s="78"/>
      <c r="D215" s="80" t="s">
        <v>83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16"/>
        <v>2833.3333333333335</v>
      </c>
      <c r="Q215" s="124">
        <f t="shared" si="14"/>
        <v>1000</v>
      </c>
      <c r="R215" s="161">
        <f t="shared" si="15"/>
        <v>0.73913043478260876</v>
      </c>
      <c r="S215" s="188"/>
      <c r="T215" s="81"/>
      <c r="Y215" s="87"/>
      <c r="Z215" s="362"/>
      <c r="AA215" s="124"/>
      <c r="AB215" s="124"/>
    </row>
    <row r="216" spans="1:29" s="80" customFormat="1">
      <c r="A216" s="77">
        <v>42898</v>
      </c>
      <c r="B216" s="78"/>
      <c r="C216" s="78"/>
      <c r="D216" s="80" t="s">
        <v>83</v>
      </c>
      <c r="E216" s="80">
        <v>3</v>
      </c>
      <c r="F216" s="87" t="s">
        <v>203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16"/>
        <v>233.33333333333331</v>
      </c>
      <c r="Q216" s="124">
        <f t="shared" si="14"/>
        <v>583.33333333333337</v>
      </c>
      <c r="R216" s="161">
        <f t="shared" si="15"/>
        <v>0.28571428571428564</v>
      </c>
      <c r="S216" s="188"/>
      <c r="T216" s="81"/>
      <c r="Y216" s="87"/>
      <c r="Z216" s="362"/>
      <c r="AA216" s="124"/>
      <c r="AB216" s="124"/>
    </row>
    <row r="217" spans="1:29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16"/>
        <v>0</v>
      </c>
      <c r="Q217" s="124">
        <f t="shared" si="14"/>
        <v>0</v>
      </c>
      <c r="R217" s="161" t="e">
        <f t="shared" si="15"/>
        <v>#DIV/0!</v>
      </c>
      <c r="S217" s="186" t="str">
        <f>D217</f>
        <v>HL-6 Low</v>
      </c>
      <c r="T217" s="81"/>
      <c r="W217" s="80" t="s">
        <v>187</v>
      </c>
      <c r="Y217" s="87" t="str">
        <f>D217</f>
        <v>HL-6 Low</v>
      </c>
      <c r="Z217" s="362">
        <f>SUMIFS($P$135:$P$192, $D$135:$D$192, Y217, $F$135:$F$192, "&lt;200") + SUMIFS($Q$135:$Q$192, $D$135:$D$192, Y217, $F$135:$F$192, "&lt;200")</f>
        <v>64533.333333333336</v>
      </c>
      <c r="AA217" s="124">
        <f>SUM(P217:Q220)</f>
        <v>72976.666666666657</v>
      </c>
      <c r="AB217" s="124">
        <f>SUMIFS(Collection!O:O, Collection!B:B, "*" &amp; 'Bucket Counts'!Y217 &amp; "*", Collection!A:A, "&lt;" &amp; 'Bucket Counts'!A217,Collection!A:A,  "&gt;=" &amp; 'Bucket Counts'!$A$135)</f>
        <v>0</v>
      </c>
      <c r="AC217" s="161">
        <f>AA217/(Z217+AB217)</f>
        <v>1.130836776859504</v>
      </c>
    </row>
    <row r="218" spans="1:29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16"/>
        <v>0</v>
      </c>
      <c r="Q218" s="124">
        <f t="shared" si="14"/>
        <v>0</v>
      </c>
      <c r="R218" s="161" t="e">
        <f t="shared" si="15"/>
        <v>#DIV/0!</v>
      </c>
      <c r="S218" s="187">
        <f>(SUM(P217:P220)/(SUM(P217:Q220)))</f>
        <v>0.97478646142602654</v>
      </c>
      <c r="T218" s="81"/>
      <c r="Y218" s="87"/>
      <c r="Z218" s="362"/>
      <c r="AA218" s="124"/>
      <c r="AB218" s="124"/>
    </row>
    <row r="219" spans="1:29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16"/>
        <v>70766.666666666657</v>
      </c>
      <c r="Q219" s="124">
        <f t="shared" si="14"/>
        <v>1100</v>
      </c>
      <c r="R219" s="161">
        <f t="shared" si="15"/>
        <v>0.98469387755102045</v>
      </c>
      <c r="S219" s="185"/>
      <c r="T219" s="81"/>
      <c r="Y219" s="87"/>
      <c r="Z219" s="362"/>
      <c r="AA219" s="124"/>
      <c r="AB219" s="124"/>
    </row>
    <row r="220" spans="1:29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203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16"/>
        <v>370</v>
      </c>
      <c r="Q220" s="124">
        <f t="shared" si="14"/>
        <v>740</v>
      </c>
      <c r="R220" s="161">
        <f t="shared" si="15"/>
        <v>0.33333333333333331</v>
      </c>
      <c r="S220" s="188"/>
      <c r="T220" s="81"/>
      <c r="Y220" s="87"/>
      <c r="Z220" s="362"/>
      <c r="AA220" s="124"/>
      <c r="AB220" s="124"/>
    </row>
    <row r="221" spans="1:29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16"/>
        <v>600</v>
      </c>
      <c r="Q221" s="124">
        <f t="shared" si="14"/>
        <v>0</v>
      </c>
      <c r="R221" s="161">
        <f t="shared" si="15"/>
        <v>1</v>
      </c>
      <c r="S221" s="189" t="str">
        <f>D221</f>
        <v>NF-10 Ambient</v>
      </c>
      <c r="Y221" s="87" t="str">
        <f>D221</f>
        <v>NF-10 Ambient</v>
      </c>
      <c r="Z221" s="362">
        <f>SUMIFS($P$135:$P$192, $D$135:$D$192, Y221, $F$135:$F$192, "&lt;200") + SUMIFS($Q$135:$Q$192, $D$135:$D$192, Y221, $F$135:$F$192, "&lt;200")</f>
        <v>91466.666666666672</v>
      </c>
      <c r="AA221" s="124">
        <f>SUM(P221:Q224)</f>
        <v>93424.999999999985</v>
      </c>
      <c r="AB221" s="124">
        <f>SUMIFS(Collection!O:O, Collection!B:B, "*" &amp; 'Bucket Counts'!Y221 &amp; "*", Collection!A:A, "&lt;" &amp; 'Bucket Counts'!A221,Collection!A:A,  "&gt;=" &amp; 'Bucket Counts'!$A$135)</f>
        <v>0</v>
      </c>
      <c r="AC221" s="161">
        <f>AA221/(Z221+AB221)</f>
        <v>1.0214103498542273</v>
      </c>
    </row>
    <row r="222" spans="1:29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16"/>
        <v>10166.666666666666</v>
      </c>
      <c r="Q222" s="124">
        <f t="shared" si="14"/>
        <v>0</v>
      </c>
      <c r="R222" s="161">
        <f t="shared" si="15"/>
        <v>1</v>
      </c>
      <c r="S222" s="187">
        <f>(SUM(P221:P224)/(SUM(P221:Q224)))</f>
        <v>0.8967977878868969</v>
      </c>
      <c r="Y222" s="87"/>
      <c r="Z222" s="362"/>
      <c r="AA222" s="124"/>
      <c r="AB222" s="124"/>
    </row>
    <row r="223" spans="1:29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16"/>
        <v>72366.666666666657</v>
      </c>
      <c r="Q223" s="124">
        <f t="shared" si="14"/>
        <v>433.33333333333331</v>
      </c>
      <c r="R223" s="161">
        <f t="shared" si="15"/>
        <v>0.99404761904761907</v>
      </c>
      <c r="S223" s="188"/>
      <c r="Y223" s="87"/>
      <c r="Z223" s="362"/>
      <c r="AA223" s="124"/>
      <c r="AB223" s="124"/>
    </row>
    <row r="224" spans="1:29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203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16"/>
        <v>650</v>
      </c>
      <c r="Q224" s="124">
        <f t="shared" si="14"/>
        <v>9208.3333333333321</v>
      </c>
      <c r="R224" s="161">
        <f t="shared" si="15"/>
        <v>6.5934065934065936E-2</v>
      </c>
      <c r="S224" s="188"/>
      <c r="Y224" s="87"/>
      <c r="Z224" s="362"/>
      <c r="AA224" s="124"/>
      <c r="AB224" s="124"/>
    </row>
    <row r="225" spans="1:29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16"/>
        <v>0</v>
      </c>
      <c r="Q225" s="124">
        <f t="shared" si="14"/>
        <v>0</v>
      </c>
      <c r="R225" s="161" t="e">
        <f t="shared" si="15"/>
        <v>#DIV/0!</v>
      </c>
      <c r="S225" s="189" t="str">
        <f>D225</f>
        <v>SN-6 Ambient</v>
      </c>
      <c r="T225" s="81"/>
      <c r="U225" s="81"/>
      <c r="V225" s="81"/>
      <c r="W225" s="80" t="s">
        <v>170</v>
      </c>
      <c r="Y225" s="87" t="str">
        <f>D225</f>
        <v>SN-6 Ambient</v>
      </c>
      <c r="Z225" s="362">
        <f>SUMIFS($P$135:$P$192, $D$135:$D$192, Y225, $F$135:$F$192, "&lt;200") + SUMIFS($Q$135:$Q$192, $D$135:$D$192, Y225, $F$135:$F$192, "&lt;200")</f>
        <v>34373.333333333336</v>
      </c>
      <c r="AA225" s="124">
        <f>SUM(P225:Q228)</f>
        <v>40693.333333333336</v>
      </c>
      <c r="AB225" s="124">
        <f>SUMIFS(Collection!O:O, Collection!B:B, "*" &amp; 'Bucket Counts'!Y225 &amp; "*", Collection!A:A, "&lt;" &amp; 'Bucket Counts'!A225,Collection!A:A,  "&gt;=" &amp; 'Bucket Counts'!$A$135)</f>
        <v>0</v>
      </c>
      <c r="AC225" s="161">
        <f>AA225/(Z225+AB225)</f>
        <v>1.1838634600465476</v>
      </c>
    </row>
    <row r="226" spans="1:29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16"/>
        <v>17000</v>
      </c>
      <c r="Q226" s="124">
        <f t="shared" si="14"/>
        <v>0</v>
      </c>
      <c r="R226" s="161">
        <f t="shared" si="15"/>
        <v>1</v>
      </c>
      <c r="S226" s="187">
        <f>(SUM(P225:P228)/(SUM(P225:Q228)))</f>
        <v>0.93749999999999989</v>
      </c>
      <c r="T226" s="81"/>
      <c r="U226" s="81"/>
      <c r="V226" s="81"/>
      <c r="Y226" s="87"/>
      <c r="Z226" s="362"/>
      <c r="AA226" s="124"/>
      <c r="AB226" s="124"/>
    </row>
    <row r="227" spans="1:29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16"/>
        <v>20500</v>
      </c>
      <c r="Q227" s="124">
        <f t="shared" si="14"/>
        <v>333.33333333333331</v>
      </c>
      <c r="R227" s="161">
        <f t="shared" si="15"/>
        <v>0.9840000000000001</v>
      </c>
      <c r="S227" s="188"/>
      <c r="T227" s="81"/>
      <c r="U227" s="81"/>
      <c r="V227" s="81"/>
      <c r="Y227" s="87"/>
      <c r="Z227" s="362"/>
      <c r="AA227" s="124"/>
      <c r="AB227" s="124"/>
    </row>
    <row r="228" spans="1:29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203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16"/>
        <v>650</v>
      </c>
      <c r="Q228" s="124">
        <f t="shared" ref="Q228:Q291" si="17">(AVERAGE(J228,L228,N228)/G228)*H228</f>
        <v>2210</v>
      </c>
      <c r="R228" s="161">
        <f t="shared" ref="R228:R291" si="18">P228/(P228+Q228)</f>
        <v>0.22727272727272727</v>
      </c>
      <c r="S228" s="188"/>
      <c r="T228" s="81"/>
      <c r="U228" s="81"/>
      <c r="V228" s="81"/>
      <c r="Y228" s="87"/>
      <c r="Z228" s="362"/>
      <c r="AA228" s="124"/>
      <c r="AB228" s="124"/>
    </row>
    <row r="229" spans="1:29" s="80" customFormat="1">
      <c r="A229" s="77">
        <v>42898</v>
      </c>
      <c r="B229" s="78"/>
      <c r="C229" s="78"/>
      <c r="D229" s="80" t="s">
        <v>20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16"/>
        <v>0</v>
      </c>
      <c r="Q229" s="124">
        <f t="shared" si="17"/>
        <v>0</v>
      </c>
      <c r="R229" s="161" t="e">
        <f t="shared" si="18"/>
        <v>#DIV/0!</v>
      </c>
      <c r="S229" s="189" t="str">
        <f>D229</f>
        <v>K-10 Low</v>
      </c>
      <c r="T229" s="81"/>
      <c r="U229" s="81"/>
      <c r="V229" s="81"/>
      <c r="Y229" s="87" t="str">
        <f>D229</f>
        <v>K-10 Low</v>
      </c>
      <c r="Z229" s="362">
        <f>SUMIFS($P$135:$P$192, $D$135:$D$192, Y229, $F$135:$F$192, "&lt;200") + SUMIFS($Q$135:$Q$192, $D$135:$D$192, Y229, $F$135:$F$192, "&lt;200")</f>
        <v>64460</v>
      </c>
      <c r="AA229" s="124">
        <f>SUM(P229:Q232)</f>
        <v>57186.666666666672</v>
      </c>
      <c r="AB229" s="124">
        <f>SUMIFS(Collection!O:O, Collection!B:B, "*" &amp; 'Bucket Counts'!Y229 &amp; "*", Collection!A:A, "&lt;" &amp; 'Bucket Counts'!A229,Collection!A:A,  "&gt;=" &amp; 'Bucket Counts'!$A$135)</f>
        <v>0</v>
      </c>
      <c r="AC229" s="161">
        <f>AA229/(Z229+AB229)</f>
        <v>0.88716516702864834</v>
      </c>
    </row>
    <row r="230" spans="1:29" s="80" customFormat="1">
      <c r="A230" s="77">
        <v>42898</v>
      </c>
      <c r="B230" s="78"/>
      <c r="C230" s="78"/>
      <c r="D230" s="80" t="s">
        <v>20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16"/>
        <v>3120</v>
      </c>
      <c r="Q230" s="124">
        <f t="shared" si="17"/>
        <v>0</v>
      </c>
      <c r="R230" s="161">
        <f t="shared" si="18"/>
        <v>1</v>
      </c>
      <c r="S230" s="187">
        <f>(SUM(P229:P232)/(SUM(P229:Q232)))</f>
        <v>0.42235952436465379</v>
      </c>
      <c r="T230" s="81"/>
      <c r="U230" s="81"/>
      <c r="V230" s="81"/>
      <c r="Y230" s="87"/>
      <c r="Z230" s="362"/>
      <c r="AA230" s="124"/>
      <c r="AB230" s="124"/>
    </row>
    <row r="231" spans="1:29" s="80" customFormat="1">
      <c r="A231" s="77">
        <v>42898</v>
      </c>
      <c r="B231" s="78"/>
      <c r="C231" s="78"/>
      <c r="D231" s="80" t="s">
        <v>20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16"/>
        <v>20766.666666666668</v>
      </c>
      <c r="Q231" s="124">
        <f t="shared" si="17"/>
        <v>233.33333333333331</v>
      </c>
      <c r="R231" s="161">
        <f t="shared" si="18"/>
        <v>0.98888888888888893</v>
      </c>
      <c r="S231" s="188"/>
      <c r="T231" s="81"/>
      <c r="U231" s="81"/>
      <c r="V231" s="81"/>
      <c r="Y231" s="87"/>
      <c r="Z231" s="362"/>
      <c r="AA231" s="124"/>
      <c r="AB231" s="124"/>
    </row>
    <row r="232" spans="1:29" s="80" customFormat="1">
      <c r="A232" s="77">
        <v>42898</v>
      </c>
      <c r="B232" s="78"/>
      <c r="C232" s="78"/>
      <c r="D232" s="80" t="s">
        <v>20</v>
      </c>
      <c r="E232" s="80">
        <v>5</v>
      </c>
      <c r="F232" s="87" t="s">
        <v>203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16"/>
        <v>266.66666666666663</v>
      </c>
      <c r="Q232" s="124">
        <f t="shared" si="17"/>
        <v>32800</v>
      </c>
      <c r="R232" s="161">
        <f t="shared" si="18"/>
        <v>8.0645161290322578E-3</v>
      </c>
      <c r="S232" s="188"/>
      <c r="T232" s="81"/>
      <c r="U232" s="81"/>
      <c r="V232" s="81"/>
      <c r="Y232" s="87"/>
      <c r="Z232" s="362"/>
      <c r="AA232" s="124"/>
      <c r="AB232" s="124"/>
    </row>
    <row r="233" spans="1:29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16"/>
        <v>1650</v>
      </c>
      <c r="Q233" s="124">
        <f t="shared" si="17"/>
        <v>0</v>
      </c>
      <c r="R233" s="161">
        <f t="shared" si="18"/>
        <v>1</v>
      </c>
      <c r="S233" s="189" t="str">
        <f>D233</f>
        <v>HL-10 Ambient</v>
      </c>
      <c r="T233" s="81"/>
      <c r="U233" s="81"/>
      <c r="V233" s="81"/>
      <c r="W233" s="80" t="s">
        <v>172</v>
      </c>
      <c r="Y233" s="87" t="str">
        <f>D233</f>
        <v>HL-10 Ambient</v>
      </c>
      <c r="Z233" s="362">
        <f>SUMIFS($P$135:$P$192, $D$135:$D$192, Y233, $F$135:$F$192, "&lt;200") + SUMIFS($Q$135:$Q$192, $D$135:$D$192, Y233, $F$135:$F$192, "&lt;200")</f>
        <v>93960</v>
      </c>
      <c r="AA233" s="124">
        <f>SUM(P233:Q236)</f>
        <v>82609.999999999985</v>
      </c>
      <c r="AB233" s="124">
        <f>SUMIFS(Collection!O:O, Collection!B:B, "*" &amp; 'Bucket Counts'!Y233 &amp; "*", Collection!A:A, "&lt;" &amp; 'Bucket Counts'!A233,Collection!A:A,  "&gt;=" &amp; 'Bucket Counts'!$A$135)</f>
        <v>0</v>
      </c>
      <c r="AC233" s="161">
        <f>AA233/(Z233+AB233)</f>
        <v>0.87920391656023822</v>
      </c>
    </row>
    <row r="234" spans="1:29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16"/>
        <v>48816.666666666664</v>
      </c>
      <c r="Q234" s="124">
        <f t="shared" si="17"/>
        <v>0</v>
      </c>
      <c r="R234" s="161">
        <f t="shared" si="18"/>
        <v>1</v>
      </c>
      <c r="S234" s="187">
        <f>(SUM(P233:P236)/(SUM(P233:Q236)))</f>
        <v>0.93576241778638591</v>
      </c>
      <c r="T234" s="81"/>
      <c r="U234" s="81"/>
      <c r="V234" s="81"/>
      <c r="Y234" s="87"/>
      <c r="Z234" s="362"/>
      <c r="AA234" s="124"/>
      <c r="AB234" s="124"/>
    </row>
    <row r="235" spans="1:29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16"/>
        <v>23920</v>
      </c>
      <c r="Q235" s="124">
        <f t="shared" si="17"/>
        <v>173.33333333333331</v>
      </c>
      <c r="R235" s="161">
        <f t="shared" si="18"/>
        <v>0.9928057553956835</v>
      </c>
      <c r="S235" s="188"/>
      <c r="T235" s="81"/>
      <c r="U235" s="81"/>
      <c r="V235" s="81"/>
      <c r="Y235" s="87"/>
      <c r="Z235" s="362"/>
      <c r="AA235" s="124"/>
      <c r="AB235" s="124"/>
    </row>
    <row r="236" spans="1:29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203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16"/>
        <v>2916.666666666667</v>
      </c>
      <c r="Q236" s="124">
        <f t="shared" si="17"/>
        <v>5133.333333333333</v>
      </c>
      <c r="R236" s="161">
        <f t="shared" si="18"/>
        <v>0.3623188405797102</v>
      </c>
      <c r="S236" s="188"/>
      <c r="T236" s="81"/>
      <c r="U236" s="81"/>
      <c r="V236" s="81"/>
      <c r="Y236" s="87"/>
      <c r="Z236" s="362"/>
      <c r="AA236" s="124"/>
      <c r="AB236" s="124"/>
    </row>
    <row r="237" spans="1:29" s="80" customFormat="1">
      <c r="A237" s="77">
        <v>42898</v>
      </c>
      <c r="B237" s="78"/>
      <c r="C237" s="78"/>
      <c r="D237" s="80" t="s">
        <v>109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16"/>
        <v>3410</v>
      </c>
      <c r="Q237" s="124">
        <f t="shared" si="17"/>
        <v>0</v>
      </c>
      <c r="R237" s="161">
        <f t="shared" si="18"/>
        <v>1</v>
      </c>
      <c r="S237" s="189" t="str">
        <f>D237</f>
        <v>HL-10 Low</v>
      </c>
      <c r="T237" s="81"/>
      <c r="U237" s="81"/>
      <c r="V237" s="81"/>
      <c r="Y237" s="87" t="str">
        <f>D237</f>
        <v>HL-10 Low</v>
      </c>
      <c r="Z237" s="362">
        <f>SUMIFS($P$135:$P$192, $D$135:$D$192, Y237, $F$135:$F$192, "&lt;200") + SUMIFS($Q$135:$Q$192, $D$135:$D$192, Y237, $F$135:$F$192, "&lt;200")</f>
        <v>56246.666666666664</v>
      </c>
      <c r="AA237" s="124">
        <f>SUM(P237:Q240)</f>
        <v>106951.66666666667</v>
      </c>
      <c r="AB237" s="124">
        <f>SUMIFS(Collection!O:O, Collection!B:B, "*" &amp; 'Bucket Counts'!Y237 &amp; "*", Collection!A:A, "&lt;" &amp; 'Bucket Counts'!A237,Collection!A:A,  "&gt;=" &amp; 'Bucket Counts'!$A$135)</f>
        <v>54200</v>
      </c>
      <c r="AC237" s="161">
        <f>AA237/(Z237+AB237)</f>
        <v>0.96835576748958785</v>
      </c>
    </row>
    <row r="238" spans="1:29" s="80" customFormat="1">
      <c r="A238" s="77">
        <v>42898</v>
      </c>
      <c r="B238" s="78"/>
      <c r="C238" s="78"/>
      <c r="D238" s="80" t="s">
        <v>109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16"/>
        <v>46666.666666666672</v>
      </c>
      <c r="Q238" s="124">
        <f t="shared" si="17"/>
        <v>0</v>
      </c>
      <c r="R238" s="161">
        <f t="shared" si="18"/>
        <v>1</v>
      </c>
      <c r="S238" s="187">
        <f>(SUM(P237:P240)/(SUM(P237:Q240)))</f>
        <v>0.80832463262221255</v>
      </c>
      <c r="T238" s="81"/>
      <c r="U238" s="81"/>
      <c r="V238" s="81"/>
      <c r="Y238" s="87"/>
      <c r="Z238" s="362"/>
      <c r="AA238" s="124"/>
      <c r="AB238" s="124"/>
    </row>
    <row r="239" spans="1:29" s="80" customFormat="1">
      <c r="A239" s="77">
        <v>42898</v>
      </c>
      <c r="B239" s="78"/>
      <c r="C239" s="78"/>
      <c r="D239" s="80" t="s">
        <v>109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16"/>
        <v>36000</v>
      </c>
      <c r="Q239" s="124">
        <f t="shared" si="17"/>
        <v>0</v>
      </c>
      <c r="R239" s="161">
        <f t="shared" si="18"/>
        <v>1</v>
      </c>
      <c r="S239" s="188"/>
      <c r="T239" s="81"/>
      <c r="U239" s="81"/>
      <c r="V239" s="81"/>
      <c r="Y239" s="87"/>
      <c r="Z239" s="362"/>
      <c r="AA239" s="124"/>
      <c r="AB239" s="124"/>
    </row>
    <row r="240" spans="1:29" s="80" customFormat="1">
      <c r="A240" s="77">
        <v>42898</v>
      </c>
      <c r="B240" s="78"/>
      <c r="C240" s="78"/>
      <c r="D240" s="80" t="s">
        <v>109</v>
      </c>
      <c r="E240" s="80">
        <v>6</v>
      </c>
      <c r="F240" s="87" t="s">
        <v>203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16"/>
        <v>375</v>
      </c>
      <c r="Q240" s="124">
        <f t="shared" si="17"/>
        <v>20500</v>
      </c>
      <c r="R240" s="161">
        <f t="shared" si="18"/>
        <v>1.7964071856287425E-2</v>
      </c>
      <c r="S240" s="188"/>
      <c r="T240" s="81"/>
      <c r="U240" s="81"/>
      <c r="V240" s="81"/>
      <c r="Y240" s="87"/>
      <c r="Z240" s="362"/>
      <c r="AA240" s="124"/>
      <c r="AB240" s="124"/>
    </row>
    <row r="241" spans="1:30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16"/>
        <v>3616.666666666667</v>
      </c>
      <c r="Q241" s="124">
        <f t="shared" si="17"/>
        <v>116.66666666666666</v>
      </c>
      <c r="R241" s="161">
        <f t="shared" si="18"/>
        <v>0.96875</v>
      </c>
      <c r="S241" s="189" t="str">
        <f>D241</f>
        <v>K-10 Ambient</v>
      </c>
      <c r="T241" s="81"/>
      <c r="U241" s="81"/>
      <c r="V241" s="81"/>
      <c r="Y241" s="87" t="str">
        <f>D241</f>
        <v>K-10 Ambient</v>
      </c>
      <c r="Z241" s="362">
        <f>SUMIFS($P$135:$P$192, $D$135:$D$192, Y241, $F$135:$F$192, "&lt;200") + SUMIFS($Q$135:$Q$192, $D$135:$D$192, Y241, $F$135:$F$192, "&lt;200")</f>
        <v>85933.333333333328</v>
      </c>
      <c r="AA241" s="124">
        <f>SUM(P241:Q244)</f>
        <v>79396.666666666657</v>
      </c>
      <c r="AB241" s="124">
        <f>SUMIFS(Collection!O:O, Collection!B:B, "*" &amp; 'Bucket Counts'!Y241 &amp; "*", Collection!A:A, "&lt;" &amp; 'Bucket Counts'!A241,Collection!A:A,  "&gt;=" &amp; 'Bucket Counts'!$A$135)</f>
        <v>0</v>
      </c>
      <c r="AC241" s="161">
        <f>AA241/(Z241+AB241)</f>
        <v>0.92393328161365396</v>
      </c>
    </row>
    <row r="242" spans="1:30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16"/>
        <v>29666.666666666668</v>
      </c>
      <c r="Q242" s="124">
        <f t="shared" si="17"/>
        <v>0</v>
      </c>
      <c r="R242" s="161">
        <f t="shared" si="18"/>
        <v>1</v>
      </c>
      <c r="S242" s="187">
        <f>(SUM(P241:P244)/(SUM(P241:Q244)))</f>
        <v>0.84646710609177567</v>
      </c>
      <c r="T242" s="81"/>
      <c r="U242" s="81"/>
      <c r="V242" s="81"/>
      <c r="Y242" s="87"/>
      <c r="Z242" s="362"/>
      <c r="AA242" s="124"/>
      <c r="AB242" s="124"/>
    </row>
    <row r="243" spans="1:30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16"/>
        <v>33106.666666666664</v>
      </c>
      <c r="Q243" s="124">
        <f t="shared" si="17"/>
        <v>173.33333333333331</v>
      </c>
      <c r="R243" s="161">
        <f t="shared" si="18"/>
        <v>0.99479166666666663</v>
      </c>
      <c r="S243" s="188"/>
      <c r="T243" s="81"/>
      <c r="U243" s="81"/>
      <c r="V243" s="81"/>
      <c r="Y243" s="87"/>
      <c r="Z243" s="362"/>
      <c r="AA243" s="124"/>
      <c r="AB243" s="124"/>
    </row>
    <row r="244" spans="1:30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203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16"/>
        <v>816.66666666666674</v>
      </c>
      <c r="Q244" s="124">
        <f t="shared" si="17"/>
        <v>11900</v>
      </c>
      <c r="R244" s="161">
        <f t="shared" si="18"/>
        <v>6.4220183486238536E-2</v>
      </c>
      <c r="S244" s="188"/>
      <c r="T244" s="81"/>
      <c r="U244" s="81"/>
      <c r="V244" s="81"/>
      <c r="Y244" s="87"/>
      <c r="Z244" s="362"/>
      <c r="AA244" s="124"/>
      <c r="AB244" s="124"/>
    </row>
    <row r="245" spans="1:30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16"/>
        <v>2133.333333333333</v>
      </c>
      <c r="Q245" s="124">
        <f t="shared" si="17"/>
        <v>0</v>
      </c>
      <c r="R245" s="161">
        <f t="shared" si="18"/>
        <v>1</v>
      </c>
      <c r="S245" s="189" t="str">
        <f>D245</f>
        <v>K-6 Ambient</v>
      </c>
      <c r="T245" s="81"/>
      <c r="U245" s="81"/>
      <c r="V245" s="81"/>
      <c r="Y245" s="87" t="str">
        <f>D245</f>
        <v>K-6 Ambient</v>
      </c>
      <c r="Z245" s="362">
        <f>SUMIFS($P$135:$P$192, $D$135:$D$192, Y245, $F$135:$F$192, "&lt;200") + SUMIFS($Q$135:$Q$192, $D$135:$D$192, Y245, $F$135:$F$192, "&lt;200")</f>
        <v>47886.666666666664</v>
      </c>
      <c r="AA245" s="124">
        <f>SUM(P245:Q248)</f>
        <v>93113.333333333343</v>
      </c>
      <c r="AB245" s="124">
        <f>SUMIFS(Collection!O:O, Collection!B:B, "*" &amp; 'Bucket Counts'!Y245 &amp; "*", Collection!A:A, "&lt;" &amp; 'Bucket Counts'!A245,Collection!A:A,  "&gt;=" &amp; 'Bucket Counts'!$A$135)</f>
        <v>51466.666666666664</v>
      </c>
      <c r="AC245" s="161">
        <f>AA245/(Z245+AB245)</f>
        <v>0.93719385358652629</v>
      </c>
    </row>
    <row r="246" spans="1:30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16"/>
        <v>40600</v>
      </c>
      <c r="Q246" s="124">
        <f t="shared" si="17"/>
        <v>200</v>
      </c>
      <c r="R246" s="161">
        <f t="shared" si="18"/>
        <v>0.99509803921568629</v>
      </c>
      <c r="S246" s="187">
        <f>(SUM(P245:P248)/(SUM(P245:Q248)))</f>
        <v>0.99785207990262759</v>
      </c>
      <c r="T246" s="81"/>
      <c r="Y246" s="87"/>
      <c r="Z246" s="362"/>
      <c r="AA246" s="124"/>
      <c r="AB246" s="124"/>
    </row>
    <row r="247" spans="1:30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16"/>
        <v>49680</v>
      </c>
      <c r="Q247" s="124">
        <f t="shared" si="17"/>
        <v>0</v>
      </c>
      <c r="R247" s="161">
        <f t="shared" si="18"/>
        <v>1</v>
      </c>
      <c r="S247" s="188"/>
      <c r="T247" s="81"/>
      <c r="Y247" s="87"/>
      <c r="Z247" s="362"/>
      <c r="AA247" s="124"/>
      <c r="AB247" s="124"/>
    </row>
    <row r="248" spans="1:30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203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16"/>
        <v>500</v>
      </c>
      <c r="Q248" s="124">
        <f t="shared" si="17"/>
        <v>0</v>
      </c>
      <c r="R248" s="161">
        <f t="shared" si="18"/>
        <v>1</v>
      </c>
      <c r="S248" s="188"/>
      <c r="T248" s="81"/>
      <c r="Y248" s="87"/>
      <c r="Z248" s="362"/>
      <c r="AA248" s="124"/>
      <c r="AB248" s="124"/>
    </row>
    <row r="249" spans="1:30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16"/>
        <v>812.5</v>
      </c>
      <c r="Q249" s="124">
        <f t="shared" si="17"/>
        <v>0</v>
      </c>
      <c r="R249" s="161">
        <f t="shared" si="18"/>
        <v>1</v>
      </c>
      <c r="S249" s="189" t="str">
        <f>D249</f>
        <v>K-6 Low</v>
      </c>
      <c r="T249" s="81"/>
      <c r="Y249" s="87" t="str">
        <f>D249</f>
        <v>K-6 Low</v>
      </c>
      <c r="Z249" s="362">
        <f>SUMIFS($P$135:$P$192, $D$135:$D$192, Y249, $F$135:$F$192, "&lt;200") + SUMIFS($Q$135:$Q$192, $D$135:$D$192, Y249, $F$135:$F$192, "&lt;200")</f>
        <v>55050</v>
      </c>
      <c r="AA249" s="124">
        <f>SUM(P249:Q252)</f>
        <v>51105.833333333336</v>
      </c>
      <c r="AB249" s="124">
        <f>SUMIFS(Collection!O:O, Collection!B:B, "*" &amp; 'Bucket Counts'!Y249 &amp; "*", Collection!A:A, "&lt;" &amp; 'Bucket Counts'!A249,Collection!A:A,  "&gt;=" &amp; 'Bucket Counts'!$A$135)</f>
        <v>0</v>
      </c>
      <c r="AC249" s="161">
        <f>AA249/(Z249+AB249)</f>
        <v>0.92835301241295798</v>
      </c>
    </row>
    <row r="250" spans="1:30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16"/>
        <v>866.66666666666663</v>
      </c>
      <c r="Q250" s="124">
        <f t="shared" si="17"/>
        <v>0</v>
      </c>
      <c r="R250" s="161">
        <f t="shared" si="18"/>
        <v>1</v>
      </c>
      <c r="S250" s="187">
        <f>(SUM(P249:P252)/(SUM(P249:Q252)))</f>
        <v>0.96843152282029121</v>
      </c>
      <c r="T250" s="81"/>
      <c r="Y250" s="87"/>
      <c r="Z250" s="362"/>
      <c r="AA250" s="124"/>
      <c r="AB250" s="124"/>
    </row>
    <row r="251" spans="1:30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16"/>
        <v>46200</v>
      </c>
      <c r="Q251" s="124">
        <f t="shared" si="17"/>
        <v>0</v>
      </c>
      <c r="R251" s="161">
        <f t="shared" si="18"/>
        <v>1</v>
      </c>
      <c r="S251" s="188"/>
      <c r="T251" s="81"/>
      <c r="Y251" s="87"/>
      <c r="Z251" s="362"/>
      <c r="AA251" s="124"/>
      <c r="AB251" s="124"/>
    </row>
    <row r="252" spans="1:30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203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16"/>
        <v>1613.3333333333333</v>
      </c>
      <c r="Q252" s="141">
        <f t="shared" si="17"/>
        <v>1613.3333333333333</v>
      </c>
      <c r="R252" s="164">
        <f t="shared" si="18"/>
        <v>0.5</v>
      </c>
      <c r="S252" s="199"/>
      <c r="Y252" s="140"/>
      <c r="Z252" s="364"/>
      <c r="AA252" s="141"/>
      <c r="AB252" s="141"/>
    </row>
    <row r="253" spans="1:30" s="137" customFormat="1">
      <c r="A253" s="134">
        <v>42901</v>
      </c>
      <c r="B253" s="135"/>
      <c r="C253" s="135"/>
      <c r="D253" s="197" t="s">
        <v>77</v>
      </c>
      <c r="E253" s="137">
        <v>1</v>
      </c>
      <c r="F253" s="153">
        <v>224</v>
      </c>
      <c r="G253" s="153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P253" s="198">
        <f>(AVERAGE(I253,K253,M253)/G253)*H253</f>
        <v>2000</v>
      </c>
      <c r="Q253" s="198">
        <f t="shared" si="17"/>
        <v>133.33333333333331</v>
      </c>
      <c r="R253" s="171">
        <f t="shared" si="18"/>
        <v>0.93749999999999989</v>
      </c>
      <c r="S253" s="180" t="str">
        <f>D253</f>
        <v>SN-6 Low</v>
      </c>
      <c r="T253" s="170"/>
      <c r="U253" s="170"/>
      <c r="V253" s="170"/>
      <c r="Y253" s="89" t="str">
        <f>D253</f>
        <v>SN-6 Low</v>
      </c>
      <c r="Z253" s="352">
        <f>SUMIFS($P$193:$P$252, $D$193:$D$252, Y253, $F$193:$F$252, "&lt;200") + SUMIFS($Q$193:$Q$252, $D$193:$D$252, Y253, $F$193:$F$252, "&lt;200")</f>
        <v>53446.666666666664</v>
      </c>
      <c r="AA253" s="120">
        <f>SUM(P253:Q256)</f>
        <v>160618.33333333331</v>
      </c>
      <c r="AB253" s="120">
        <f>SUMIFS(Collection!O:O, Collection!B:B, "*" &amp; 'Bucket Counts'!Y253 &amp; "*", Collection!A:A, "&lt;" &amp; 'Bucket Counts'!A253,Collection!A:A,  "&gt;=" &amp; 'Bucket Counts'!$A$193)</f>
        <v>136200</v>
      </c>
      <c r="AC253" s="106">
        <f>AA253/(Z253+AB253)</f>
        <v>0.84693465040250282</v>
      </c>
      <c r="AD253" s="371">
        <f>AVERAGE(AC253:AC316)</f>
        <v>0.92344473488183876</v>
      </c>
    </row>
    <row r="254" spans="1:30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207</v>
      </c>
      <c r="N254" s="62">
        <v>5</v>
      </c>
      <c r="P254" s="120">
        <f t="shared" ref="P254:P316" si="19">(AVERAGE(I254,K254,M254)/G254)*H254</f>
        <v>33300</v>
      </c>
      <c r="Q254" s="120">
        <f t="shared" si="17"/>
        <v>2200</v>
      </c>
      <c r="R254" s="106">
        <f t="shared" si="18"/>
        <v>0.93802816901408448</v>
      </c>
      <c r="S254" s="181">
        <f>(SUM(P253:P256)/(SUM(P253:Q256)))</f>
        <v>0.6144172001950795</v>
      </c>
      <c r="T254" s="65"/>
      <c r="U254" s="65"/>
      <c r="V254" s="65"/>
      <c r="W254" s="62" t="s">
        <v>208</v>
      </c>
      <c r="Y254" s="89"/>
      <c r="Z254" s="358"/>
      <c r="AA254" s="120"/>
      <c r="AB254" s="120"/>
    </row>
    <row r="255" spans="1:30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19"/>
        <v>49166.666666666672</v>
      </c>
      <c r="Q255" s="120">
        <f t="shared" si="17"/>
        <v>1458.3333333333335</v>
      </c>
      <c r="R255" s="106">
        <f t="shared" si="18"/>
        <v>0.97119341563785999</v>
      </c>
      <c r="S255" s="179"/>
      <c r="T255" s="65"/>
      <c r="U255" s="65"/>
      <c r="V255" s="65"/>
      <c r="Y255" s="89"/>
      <c r="Z255" s="358"/>
      <c r="AA255" s="120"/>
      <c r="AB255" s="120"/>
    </row>
    <row r="256" spans="1:30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203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19"/>
        <v>14220</v>
      </c>
      <c r="Q256" s="120">
        <f t="shared" si="17"/>
        <v>58140</v>
      </c>
      <c r="R256" s="106">
        <f t="shared" si="18"/>
        <v>0.19651741293532338</v>
      </c>
      <c r="S256" s="182"/>
      <c r="T256" s="65"/>
      <c r="U256" s="65"/>
      <c r="V256" s="65"/>
      <c r="Y256" s="89"/>
      <c r="Z256" s="358"/>
      <c r="AA256" s="120"/>
      <c r="AB256" s="120"/>
    </row>
    <row r="257" spans="1:29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19"/>
        <v>333.33333333333331</v>
      </c>
      <c r="Q257" s="120">
        <f t="shared" si="17"/>
        <v>0</v>
      </c>
      <c r="R257" s="106">
        <f t="shared" si="18"/>
        <v>1</v>
      </c>
      <c r="S257" s="183" t="str">
        <f>D257</f>
        <v>NF-6 Low</v>
      </c>
      <c r="T257" s="65"/>
      <c r="U257" s="65"/>
      <c r="V257" s="65"/>
      <c r="Y257" s="89" t="str">
        <f>D257</f>
        <v>NF-6 Low</v>
      </c>
      <c r="Z257" s="352">
        <f>SUMIFS($P$193:$P$252, $D$193:$D$252, Y257, $F$193:$F$252, "&lt;200") + SUMIFS($Q$193:$Q$252, $D$193:$D$252, Y257, $F$193:$F$252, "&lt;200")</f>
        <v>72761.111111111109</v>
      </c>
      <c r="AA257" s="120">
        <f>SUM(P257:Q260)</f>
        <v>86340</v>
      </c>
      <c r="AB257" s="120">
        <f>SUMIFS(Collection!O:O, Collection!B:B, "*" &amp; 'Bucket Counts'!Y257 &amp; "*", Collection!A:A, "&lt;" &amp; 'Bucket Counts'!A257,Collection!A:A,  "&gt;=" &amp; 'Bucket Counts'!$A$193)</f>
        <v>9400</v>
      </c>
      <c r="AC257" s="106">
        <f>AA257/(Z257+AB257)</f>
        <v>1.0508621272567449</v>
      </c>
    </row>
    <row r="258" spans="1:29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19"/>
        <v>4400</v>
      </c>
      <c r="Q258" s="120">
        <f t="shared" si="17"/>
        <v>600</v>
      </c>
      <c r="R258" s="106">
        <f t="shared" si="18"/>
        <v>0.88</v>
      </c>
      <c r="S258" s="181">
        <f>(SUM(P257:P260)/(SUM(P257:Q260)))</f>
        <v>0.8087020307312176</v>
      </c>
      <c r="T258" s="65"/>
      <c r="U258" s="65"/>
      <c r="V258" s="65"/>
      <c r="Y258" s="89"/>
      <c r="Z258" s="358"/>
      <c r="AA258" s="120"/>
      <c r="AB258" s="120"/>
    </row>
    <row r="259" spans="1:29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19"/>
        <v>65090</v>
      </c>
      <c r="Q259" s="120">
        <f t="shared" si="17"/>
        <v>1380</v>
      </c>
      <c r="R259" s="106">
        <f t="shared" si="18"/>
        <v>0.97923875432525953</v>
      </c>
      <c r="S259" s="182"/>
      <c r="T259" s="65"/>
      <c r="U259" s="65"/>
      <c r="V259" s="65"/>
      <c r="Y259" s="89"/>
      <c r="Z259" s="358"/>
      <c r="AA259" s="120"/>
      <c r="AB259" s="120"/>
    </row>
    <row r="260" spans="1:29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203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19"/>
        <v>0</v>
      </c>
      <c r="Q260" s="120">
        <f t="shared" si="17"/>
        <v>14536.666666666668</v>
      </c>
      <c r="R260" s="106">
        <f t="shared" si="18"/>
        <v>0</v>
      </c>
      <c r="S260" s="182"/>
      <c r="T260" s="65"/>
      <c r="U260" s="65"/>
      <c r="V260" s="65"/>
      <c r="Y260" s="89"/>
      <c r="Z260" s="358"/>
      <c r="AA260" s="120"/>
      <c r="AB260" s="120"/>
    </row>
    <row r="261" spans="1:29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346">
        <f t="shared" si="19"/>
        <v>30333.333333333332</v>
      </c>
      <c r="Q261" s="120">
        <f t="shared" si="17"/>
        <v>0</v>
      </c>
      <c r="R261" s="106">
        <f t="shared" si="18"/>
        <v>1</v>
      </c>
      <c r="S261" s="183" t="str">
        <f>D261</f>
        <v>SN-10 Ambient</v>
      </c>
      <c r="T261" s="65"/>
      <c r="U261" s="65"/>
      <c r="V261" s="65"/>
      <c r="W261" s="62" t="s">
        <v>209</v>
      </c>
      <c r="Y261" s="89" t="str">
        <f>D261</f>
        <v>SN-10 Ambient</v>
      </c>
      <c r="Z261" s="352">
        <f>SUMIFS($P$193:$P$252, $D$193:$D$252, Y261, $F$193:$F$252, "&lt;200") + SUMIFS($Q$193:$Q$252, $D$193:$D$252, Y261, $F$193:$F$252, "&lt;200")</f>
        <v>115416.66666666666</v>
      </c>
      <c r="AA261" s="120">
        <f>SUM(P261:Q264)</f>
        <v>145153.33333333331</v>
      </c>
      <c r="AB261" s="120">
        <f>SUMIFS(Collection!O:O, Collection!B:B, "*" &amp; 'Bucket Counts'!Y261 &amp; "*", Collection!A:A, "&lt;" &amp; 'Bucket Counts'!A261,Collection!A:A,  "&gt;=" &amp; 'Bucket Counts'!$A$193)</f>
        <v>39000</v>
      </c>
      <c r="AC261" s="106">
        <f>AA261/(Z261+AB261)</f>
        <v>0.94001079330814885</v>
      </c>
    </row>
    <row r="262" spans="1:29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19"/>
        <v>61366.666666666672</v>
      </c>
      <c r="Q262" s="120">
        <f t="shared" si="17"/>
        <v>6533.3333333333339</v>
      </c>
      <c r="R262" s="106">
        <f t="shared" si="18"/>
        <v>0.90378006872852246</v>
      </c>
      <c r="S262" s="181">
        <f>(SUM(P261:P264)/(SUM(P261:Q264)))</f>
        <v>0.89498461397143259</v>
      </c>
      <c r="T262" s="65"/>
      <c r="U262" s="65"/>
      <c r="V262" s="65"/>
      <c r="Y262" s="89"/>
      <c r="Z262" s="358"/>
      <c r="AA262" s="120"/>
      <c r="AB262" s="120"/>
    </row>
    <row r="263" spans="1:29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19"/>
        <v>32700.000000000004</v>
      </c>
      <c r="Q263" s="120">
        <f t="shared" si="17"/>
        <v>300</v>
      </c>
      <c r="R263" s="106">
        <f t="shared" si="18"/>
        <v>0.99090909090909107</v>
      </c>
      <c r="S263" s="182"/>
      <c r="T263" s="65"/>
      <c r="U263" s="65"/>
      <c r="V263" s="65"/>
      <c r="Y263" s="89"/>
      <c r="Z263" s="358"/>
      <c r="AA263" s="120"/>
      <c r="AB263" s="120"/>
    </row>
    <row r="264" spans="1:29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203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17"/>
        <v>8410</v>
      </c>
      <c r="R264" s="106">
        <f t="shared" si="18"/>
        <v>0.39583333333333331</v>
      </c>
      <c r="S264" s="182"/>
      <c r="T264" s="65"/>
      <c r="U264" s="65"/>
      <c r="V264" s="65"/>
      <c r="Y264" s="89"/>
      <c r="Z264" s="358"/>
      <c r="AA264" s="120"/>
      <c r="AB264" s="120"/>
    </row>
    <row r="265" spans="1:29" s="62" customFormat="1">
      <c r="A265" s="59">
        <v>42901</v>
      </c>
      <c r="B265" s="60"/>
      <c r="C265" s="60"/>
      <c r="D265" s="61" t="s">
        <v>74</v>
      </c>
      <c r="E265" s="62">
        <v>2</v>
      </c>
      <c r="F265" s="89">
        <v>224</v>
      </c>
      <c r="G265" s="89">
        <v>1</v>
      </c>
      <c r="H265" s="151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17"/>
        <v>1200</v>
      </c>
      <c r="R265" s="106">
        <f t="shared" si="18"/>
        <v>0.5714285714285714</v>
      </c>
      <c r="S265" s="183" t="str">
        <f>D265</f>
        <v>SN-10 Low</v>
      </c>
      <c r="T265" s="65"/>
      <c r="U265" s="65"/>
      <c r="V265" s="65"/>
      <c r="W265" s="62" t="s">
        <v>206</v>
      </c>
      <c r="Y265" s="89" t="str">
        <f>D265</f>
        <v>SN-10 Low</v>
      </c>
      <c r="Z265" s="352">
        <f>SUMIFS($P$193:$P$252, $D$193:$D$252, Y265, $F$193:$F$252, "&lt;200") + SUMIFS($Q$193:$Q$252, $D$193:$D$252, Y265, $F$193:$F$252, "&lt;200")</f>
        <v>37893.333333333336</v>
      </c>
      <c r="AA265" s="120">
        <f>SUM(P265:Q268)</f>
        <v>130966.66666666667</v>
      </c>
      <c r="AB265" s="120">
        <f>SUMIFS(Collection!O:O, Collection!B:B, "*" &amp; 'Bucket Counts'!Y265 &amp; "*", Collection!A:A, "&lt;" &amp; 'Bucket Counts'!A265,Collection!A:A,  "&gt;=" &amp; 'Bucket Counts'!$A$193)</f>
        <v>79566.666666666672</v>
      </c>
      <c r="AC265" s="106">
        <f>AA265/(Z265+AB265)</f>
        <v>1.1149894999716217</v>
      </c>
    </row>
    <row r="266" spans="1:29" s="62" customFormat="1">
      <c r="A266" s="59">
        <v>42901</v>
      </c>
      <c r="B266" s="60"/>
      <c r="C266" s="60"/>
      <c r="D266" s="61" t="s">
        <v>74</v>
      </c>
      <c r="E266" s="62">
        <v>2</v>
      </c>
      <c r="F266" s="89">
        <v>180</v>
      </c>
      <c r="G266" s="89">
        <v>1</v>
      </c>
      <c r="H266" s="151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19"/>
        <v>16800</v>
      </c>
      <c r="Q266" s="120">
        <f t="shared" si="17"/>
        <v>7600</v>
      </c>
      <c r="R266" s="106">
        <f t="shared" si="18"/>
        <v>0.68852459016393441</v>
      </c>
      <c r="S266" s="181">
        <f>(SUM(P265:P268)/(SUM(P265:Q268)))</f>
        <v>0.8653601425299059</v>
      </c>
      <c r="T266" s="65"/>
      <c r="U266" s="65"/>
      <c r="V266" s="65"/>
      <c r="W266" s="62" t="s">
        <v>206</v>
      </c>
      <c r="Y266" s="89"/>
      <c r="Z266" s="358"/>
      <c r="AA266" s="120"/>
      <c r="AB266" s="120"/>
    </row>
    <row r="267" spans="1:29" s="62" customFormat="1">
      <c r="A267" s="59">
        <v>42901</v>
      </c>
      <c r="B267" s="60"/>
      <c r="C267" s="60"/>
      <c r="D267" s="61" t="s">
        <v>74</v>
      </c>
      <c r="E267" s="62">
        <v>2</v>
      </c>
      <c r="F267" s="89">
        <v>100</v>
      </c>
      <c r="G267" s="89">
        <v>1</v>
      </c>
      <c r="H267" s="151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19"/>
        <v>89833.333333333343</v>
      </c>
      <c r="Q267" s="120">
        <f t="shared" si="17"/>
        <v>233.33333333333331</v>
      </c>
      <c r="R267" s="106">
        <f t="shared" si="18"/>
        <v>0.99740932642487057</v>
      </c>
      <c r="S267" s="182"/>
      <c r="T267" s="65"/>
      <c r="U267" s="65"/>
      <c r="V267" s="65"/>
      <c r="W267" s="62" t="s">
        <v>206</v>
      </c>
      <c r="Y267" s="89"/>
      <c r="Z267" s="358"/>
      <c r="AA267" s="120"/>
      <c r="AB267" s="120"/>
    </row>
    <row r="268" spans="1:29" s="62" customFormat="1">
      <c r="A268" s="59">
        <v>42901</v>
      </c>
      <c r="B268" s="60"/>
      <c r="C268" s="60"/>
      <c r="D268" s="61" t="s">
        <v>74</v>
      </c>
      <c r="E268" s="62">
        <v>2</v>
      </c>
      <c r="F268" s="89" t="s">
        <v>203</v>
      </c>
      <c r="G268" s="89">
        <v>1</v>
      </c>
      <c r="H268" s="151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19"/>
        <v>5100</v>
      </c>
      <c r="Q268" s="120">
        <f t="shared" si="17"/>
        <v>8600</v>
      </c>
      <c r="R268" s="106">
        <f t="shared" si="18"/>
        <v>0.37226277372262773</v>
      </c>
      <c r="S268" s="182"/>
      <c r="T268" s="65"/>
      <c r="U268" s="65"/>
      <c r="V268" s="65"/>
      <c r="W268" s="62" t="s">
        <v>206</v>
      </c>
      <c r="Y268" s="89"/>
      <c r="Z268" s="358"/>
      <c r="AA268" s="120"/>
      <c r="AB268" s="120"/>
    </row>
    <row r="269" spans="1:29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19"/>
        <v>1200</v>
      </c>
      <c r="Q269" s="120">
        <f t="shared" si="17"/>
        <v>200</v>
      </c>
      <c r="R269" s="106">
        <f t="shared" si="18"/>
        <v>0.8571428571428571</v>
      </c>
      <c r="S269" s="183" t="str">
        <f>D269</f>
        <v>NF-6 Ambient</v>
      </c>
      <c r="T269" s="65"/>
      <c r="U269" s="65"/>
      <c r="V269" s="65"/>
      <c r="Y269" s="89" t="str">
        <f>D269</f>
        <v>NF-6 Ambient</v>
      </c>
      <c r="Z269" s="352">
        <f>SUMIFS($P$193:$P$252, $D$193:$D$252, Y269, $F$193:$F$252, "&lt;200") + SUMIFS($Q$193:$Q$252, $D$193:$D$252, Y269, $F$193:$F$252, "&lt;200")</f>
        <v>45686.666666666672</v>
      </c>
      <c r="AA269" s="120">
        <f>SUM(P269:Q272)</f>
        <v>30173.333333333328</v>
      </c>
      <c r="AB269" s="120">
        <f>SUMIFS(Collection!O:O, Collection!B:B, "*" &amp; 'Bucket Counts'!Y269 &amp; "*", Collection!A:A, "&lt;" &amp; 'Bucket Counts'!A269,Collection!A:A,  "&gt;=" &amp; 'Bucket Counts'!$A$193)</f>
        <v>0</v>
      </c>
      <c r="AC269" s="106">
        <f>AA269/(Z269+AB269)</f>
        <v>0.66044068291259284</v>
      </c>
    </row>
    <row r="270" spans="1:29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19"/>
        <v>21233.333333333332</v>
      </c>
      <c r="Q270" s="120">
        <f t="shared" si="17"/>
        <v>3033.333333333333</v>
      </c>
      <c r="R270" s="106">
        <f t="shared" si="18"/>
        <v>0.875</v>
      </c>
      <c r="S270" s="181">
        <f>(SUM(P269:P272)/(SUM(P269:Q272)))</f>
        <v>0.83241272646928866</v>
      </c>
      <c r="T270" s="65"/>
      <c r="U270" s="65"/>
      <c r="V270" s="65"/>
      <c r="Y270" s="89"/>
      <c r="Z270" s="358"/>
      <c r="AA270" s="120"/>
      <c r="AB270" s="120"/>
    </row>
    <row r="271" spans="1:29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19"/>
        <v>2683.3333333333335</v>
      </c>
      <c r="Q271" s="120">
        <f t="shared" si="17"/>
        <v>350</v>
      </c>
      <c r="R271" s="106">
        <f t="shared" si="18"/>
        <v>0.88461538461538458</v>
      </c>
      <c r="S271" s="182"/>
      <c r="T271" s="65"/>
      <c r="U271" s="65"/>
      <c r="V271" s="65"/>
      <c r="Y271" s="89"/>
      <c r="Z271" s="358"/>
      <c r="AA271" s="120"/>
      <c r="AB271" s="120"/>
    </row>
    <row r="272" spans="1:29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203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19"/>
        <v>0</v>
      </c>
      <c r="Q272" s="120">
        <f t="shared" si="17"/>
        <v>1473.3333333333333</v>
      </c>
      <c r="R272" s="106">
        <f t="shared" si="18"/>
        <v>0</v>
      </c>
      <c r="S272" s="182"/>
      <c r="T272" s="65"/>
      <c r="U272" s="65"/>
      <c r="V272" s="65"/>
      <c r="Y272" s="89"/>
      <c r="Z272" s="358"/>
      <c r="AA272" s="120"/>
      <c r="AB272" s="120"/>
    </row>
    <row r="273" spans="1:29" s="62" customFormat="1">
      <c r="A273" s="59">
        <v>42901</v>
      </c>
      <c r="B273" s="60"/>
      <c r="C273" s="60"/>
      <c r="D273" s="62" t="s">
        <v>83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19"/>
        <v>1866.6666666666667</v>
      </c>
      <c r="Q273" s="120">
        <f t="shared" si="17"/>
        <v>1066.6666666666665</v>
      </c>
      <c r="R273" s="106">
        <f t="shared" si="18"/>
        <v>0.63636363636363646</v>
      </c>
      <c r="S273" s="183" t="str">
        <f>D273</f>
        <v>NF-10 Low</v>
      </c>
      <c r="T273" s="65"/>
      <c r="U273" s="65"/>
      <c r="V273" s="65"/>
      <c r="Y273" s="89" t="str">
        <f>D273</f>
        <v>NF-10 Low</v>
      </c>
      <c r="Z273" s="352">
        <f>SUMIFS($P$193:$P$252, $D$193:$D$252, Y273, $F$193:$F$252, "&lt;200") + SUMIFS($Q$193:$Q$252, $D$193:$D$252, Y273, $F$193:$F$252, "&lt;200")</f>
        <v>48113.333333333336</v>
      </c>
      <c r="AA273" s="120">
        <f>SUM(P273:Q276)</f>
        <v>30950</v>
      </c>
      <c r="AB273" s="120">
        <f>SUMIFS(Collection!O:O, Collection!B:B, "*" &amp; 'Bucket Counts'!Y273 &amp; "*", Collection!A:A, "&lt;" &amp; 'Bucket Counts'!A273,Collection!A:A,  "&gt;=" &amp; 'Bucket Counts'!$A$193)</f>
        <v>0</v>
      </c>
      <c r="AC273" s="106">
        <f>AA273/(Z273+AB273)</f>
        <v>0.64327282804489394</v>
      </c>
    </row>
    <row r="274" spans="1:29" s="62" customFormat="1">
      <c r="A274" s="59">
        <v>42901</v>
      </c>
      <c r="B274" s="60"/>
      <c r="C274" s="60"/>
      <c r="D274" s="62" t="s">
        <v>83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19"/>
        <v>19550</v>
      </c>
      <c r="Q274" s="120">
        <f t="shared" si="17"/>
        <v>6133.333333333333</v>
      </c>
      <c r="R274" s="106">
        <f t="shared" si="18"/>
        <v>0.76119402985074636</v>
      </c>
      <c r="S274" s="181">
        <f>(SUM(P273:P276)/(SUM(P273:Q276)))</f>
        <v>0.73128702207862151</v>
      </c>
      <c r="T274" s="65"/>
      <c r="Y274" s="89"/>
      <c r="Z274" s="358"/>
      <c r="AA274" s="120"/>
      <c r="AB274" s="120"/>
    </row>
    <row r="275" spans="1:29" s="62" customFormat="1">
      <c r="A275" s="59">
        <v>42901</v>
      </c>
      <c r="B275" s="60"/>
      <c r="C275" s="60"/>
      <c r="D275" s="62" t="s">
        <v>83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19"/>
        <v>1100</v>
      </c>
      <c r="Q275" s="120">
        <f t="shared" si="17"/>
        <v>300</v>
      </c>
      <c r="R275" s="106">
        <f t="shared" si="18"/>
        <v>0.7857142857142857</v>
      </c>
      <c r="S275" s="182"/>
      <c r="T275" s="65"/>
      <c r="Y275" s="89"/>
      <c r="Z275" s="358"/>
      <c r="AA275" s="120"/>
      <c r="AB275" s="120"/>
    </row>
    <row r="276" spans="1:29" s="62" customFormat="1">
      <c r="A276" s="59">
        <v>42901</v>
      </c>
      <c r="B276" s="60"/>
      <c r="C276" s="60"/>
      <c r="D276" s="62" t="s">
        <v>83</v>
      </c>
      <c r="E276" s="62">
        <v>3</v>
      </c>
      <c r="F276" s="89" t="s">
        <v>203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19"/>
        <v>116.66666666666666</v>
      </c>
      <c r="Q276" s="120">
        <f t="shared" si="17"/>
        <v>816.66666666666674</v>
      </c>
      <c r="R276" s="106">
        <f t="shared" si="18"/>
        <v>0.12499999999999999</v>
      </c>
      <c r="S276" s="182"/>
      <c r="T276" s="65"/>
      <c r="Y276" s="89"/>
      <c r="Z276" s="358"/>
      <c r="AA276" s="120"/>
      <c r="AB276" s="120"/>
    </row>
    <row r="277" spans="1:29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19"/>
        <v>0</v>
      </c>
      <c r="Q277" s="120">
        <f t="shared" si="17"/>
        <v>0</v>
      </c>
      <c r="R277" s="106" t="e">
        <f t="shared" si="18"/>
        <v>#DIV/0!</v>
      </c>
      <c r="S277" s="180" t="str">
        <f>D277</f>
        <v>HL-6 Low</v>
      </c>
      <c r="T277" s="65"/>
      <c r="Y277" s="89" t="str">
        <f>D277</f>
        <v>HL-6 Low</v>
      </c>
      <c r="Z277" s="352">
        <f>SUMIFS($P$193:$P$252, $D$193:$D$252, Y277, $F$193:$F$252, "&lt;200") + SUMIFS($Q$193:$Q$252, $D$193:$D$252, Y277, $F$193:$F$252, "&lt;200")</f>
        <v>71866.666666666657</v>
      </c>
      <c r="AA277" s="120">
        <f>SUM(P277:Q280)</f>
        <v>29000</v>
      </c>
      <c r="AB277" s="120">
        <f>SUMIFS(Collection!O:O, Collection!B:B, "*" &amp; 'Bucket Counts'!Y277 &amp; "*", Collection!A:A, "&lt;" &amp; 'Bucket Counts'!A277,Collection!A:A,  "&gt;=" &amp; 'Bucket Counts'!$A$193)</f>
        <v>0</v>
      </c>
      <c r="AC277" s="106">
        <f>AA277/(Z277+AB277)</f>
        <v>0.40352504638218928</v>
      </c>
    </row>
    <row r="278" spans="1:29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19"/>
        <v>0</v>
      </c>
      <c r="Q278" s="120">
        <f t="shared" si="17"/>
        <v>0</v>
      </c>
      <c r="R278" s="106" t="e">
        <f t="shared" si="18"/>
        <v>#DIV/0!</v>
      </c>
      <c r="S278" s="181">
        <f>(SUM(P277:P280)/(SUM(P277:Q280)))</f>
        <v>0.97701149425287348</v>
      </c>
      <c r="T278" s="65"/>
      <c r="Y278" s="89"/>
      <c r="Z278" s="358"/>
      <c r="AA278" s="120"/>
      <c r="AB278" s="120"/>
    </row>
    <row r="279" spans="1:29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0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19"/>
        <v>28333.333333333332</v>
      </c>
      <c r="Q279" s="120">
        <f t="shared" si="17"/>
        <v>0</v>
      </c>
      <c r="R279" s="106">
        <f t="shared" si="18"/>
        <v>1</v>
      </c>
      <c r="S279" s="179"/>
      <c r="T279" s="65"/>
      <c r="Y279" s="89"/>
      <c r="Z279" s="358"/>
      <c r="AA279" s="120"/>
      <c r="AB279" s="120"/>
    </row>
    <row r="280" spans="1:29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203</v>
      </c>
      <c r="G280" s="89">
        <v>1</v>
      </c>
      <c r="H280" s="150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17"/>
        <v>666.66666666666674</v>
      </c>
      <c r="R280" s="106">
        <f t="shared" si="18"/>
        <v>0</v>
      </c>
      <c r="S280" s="182"/>
      <c r="T280" s="65"/>
      <c r="Y280" s="89"/>
      <c r="Z280" s="358"/>
      <c r="AA280" s="120"/>
      <c r="AB280" s="120"/>
    </row>
    <row r="281" spans="1:29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19"/>
        <v>0</v>
      </c>
      <c r="Q281" s="120">
        <f t="shared" si="17"/>
        <v>0</v>
      </c>
      <c r="R281" s="106" t="e">
        <f t="shared" si="18"/>
        <v>#DIV/0!</v>
      </c>
      <c r="S281" s="183" t="str">
        <f>D281</f>
        <v>HL-6 Ambient</v>
      </c>
      <c r="T281" s="65"/>
      <c r="Y281" s="89" t="str">
        <f>D281</f>
        <v>HL-6 Ambient</v>
      </c>
      <c r="Z281" s="352">
        <f>SUMIFS($P$193:$P$252, $D$193:$D$252, Y281, $F$193:$F$252, "&lt;200") + SUMIFS($Q$193:$Q$252, $D$193:$D$252, Y281, $F$193:$F$252, "&lt;200")</f>
        <v>0</v>
      </c>
      <c r="AA281" s="120">
        <f>SUM(P281:Q284)</f>
        <v>66200</v>
      </c>
      <c r="AB281" s="120">
        <f>SUMIFS(Collection!O:O, Collection!B:B, "*" &amp; 'Bucket Counts'!Y281 &amp; "*", Collection!A:A, "&lt;" &amp; 'Bucket Counts'!A281,Collection!A:A,  "&gt;=" &amp; 'Bucket Counts'!$A$193)</f>
        <v>65666.666666666672</v>
      </c>
      <c r="AC281" s="106">
        <f>AA281/(Z281+AB281)</f>
        <v>1.0081218274111674</v>
      </c>
    </row>
    <row r="282" spans="1:29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19"/>
        <v>0</v>
      </c>
      <c r="Q282" s="120">
        <f t="shared" si="17"/>
        <v>0</v>
      </c>
      <c r="R282" s="106" t="e">
        <f t="shared" si="18"/>
        <v>#DIV/0!</v>
      </c>
      <c r="S282" s="181">
        <f>(SUM(P281:P284)/(SUM(P281:Q284)))</f>
        <v>0.97079556898288022</v>
      </c>
      <c r="T282" s="65"/>
      <c r="Y282" s="89"/>
      <c r="Z282" s="358"/>
      <c r="AA282" s="120"/>
      <c r="AB282" s="120"/>
    </row>
    <row r="283" spans="1:29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0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19"/>
        <v>55333.333333333336</v>
      </c>
      <c r="Q283" s="120">
        <f t="shared" si="17"/>
        <v>333.33333333333331</v>
      </c>
      <c r="R283" s="106">
        <f t="shared" si="18"/>
        <v>0.99401197604790414</v>
      </c>
      <c r="S283" s="182"/>
      <c r="T283" s="65"/>
      <c r="Y283" s="89"/>
      <c r="Z283" s="358"/>
      <c r="AA283" s="120"/>
      <c r="AB283" s="120"/>
    </row>
    <row r="284" spans="1:29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203</v>
      </c>
      <c r="G284" s="89">
        <v>1</v>
      </c>
      <c r="H284" s="150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19"/>
        <v>8933.3333333333321</v>
      </c>
      <c r="Q284" s="120">
        <f t="shared" si="17"/>
        <v>1600</v>
      </c>
      <c r="R284" s="106">
        <f t="shared" si="18"/>
        <v>0.84810126582278478</v>
      </c>
      <c r="S284" s="182"/>
      <c r="T284" s="65"/>
      <c r="Y284" s="89"/>
      <c r="Z284" s="358"/>
      <c r="AA284" s="120"/>
      <c r="AB284" s="120"/>
    </row>
    <row r="285" spans="1:29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19"/>
        <v>466.66666666666663</v>
      </c>
      <c r="Q285" s="120">
        <f t="shared" si="17"/>
        <v>116.66666666666666</v>
      </c>
      <c r="R285" s="106">
        <f t="shared" si="18"/>
        <v>0.8</v>
      </c>
      <c r="S285" s="183" t="str">
        <f>D285</f>
        <v>NF-10 Ambient</v>
      </c>
      <c r="Y285" s="89" t="str">
        <f>D285</f>
        <v>NF-10 Ambient</v>
      </c>
      <c r="Z285" s="352">
        <f>SUMIFS($P$193:$P$252, $D$193:$D$252, Y285, $F$193:$F$252, "&lt;200") + SUMIFS($Q$193:$Q$252, $D$193:$D$252, Y285, $F$193:$F$252, "&lt;200")</f>
        <v>82966.666666666657</v>
      </c>
      <c r="AA285" s="120">
        <f>SUM(P285:Q288)</f>
        <v>121966.66666666666</v>
      </c>
      <c r="AB285" s="120">
        <f>SUMIFS(Collection!O:O, Collection!B:B, "*" &amp; 'Bucket Counts'!Y285 &amp; "*", Collection!A:A, "&lt;" &amp; 'Bucket Counts'!A285,Collection!A:A,  "&gt;=" &amp; 'Bucket Counts'!$A$193)</f>
        <v>57866.666666666664</v>
      </c>
      <c r="AC285" s="106">
        <f>AA285/(Z285+AB285)</f>
        <v>0.86603550295857989</v>
      </c>
    </row>
    <row r="286" spans="1:29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19"/>
        <v>15400</v>
      </c>
      <c r="Q286" s="120">
        <f t="shared" si="17"/>
        <v>1466.6666666666665</v>
      </c>
      <c r="R286" s="106">
        <f t="shared" si="18"/>
        <v>0.91304347826086951</v>
      </c>
      <c r="S286" s="181">
        <f>(SUM(P285:P288)/(SUM(P285:Q288)))</f>
        <v>0.77275211806504518</v>
      </c>
      <c r="Y286" s="89"/>
      <c r="Z286" s="358"/>
      <c r="AA286" s="120"/>
      <c r="AB286" s="120"/>
    </row>
    <row r="287" spans="1:29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19"/>
        <v>75716.666666666657</v>
      </c>
      <c r="Q287" s="120">
        <f t="shared" si="17"/>
        <v>1466.6666666666665</v>
      </c>
      <c r="R287" s="106">
        <f t="shared" si="18"/>
        <v>0.98099762470308782</v>
      </c>
      <c r="S287" s="182"/>
      <c r="Y287" s="89"/>
      <c r="Z287" s="358"/>
      <c r="AA287" s="120"/>
      <c r="AB287" s="120"/>
    </row>
    <row r="288" spans="1:29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203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19"/>
        <v>2666.666666666667</v>
      </c>
      <c r="Q288" s="120">
        <f t="shared" si="17"/>
        <v>24666.666666666664</v>
      </c>
      <c r="R288" s="106">
        <f t="shared" si="18"/>
        <v>9.7560975609756115E-2</v>
      </c>
      <c r="S288" s="182"/>
      <c r="Y288" s="89"/>
      <c r="Z288" s="358"/>
      <c r="AA288" s="120"/>
      <c r="AB288" s="120"/>
    </row>
    <row r="289" spans="1:29" s="62" customFormat="1">
      <c r="A289" s="59">
        <v>42901</v>
      </c>
      <c r="B289" s="60"/>
      <c r="C289" s="60"/>
      <c r="D289" s="62" t="s">
        <v>20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19"/>
        <v>0</v>
      </c>
      <c r="Q289" s="120">
        <f t="shared" si="17"/>
        <v>0</v>
      </c>
      <c r="R289" s="106" t="e">
        <f t="shared" si="18"/>
        <v>#DIV/0!</v>
      </c>
      <c r="S289" s="183" t="str">
        <f>D289</f>
        <v>K-10 Low</v>
      </c>
      <c r="T289" s="65"/>
      <c r="U289" s="65"/>
      <c r="V289" s="65"/>
      <c r="Y289" s="89" t="str">
        <f>D289</f>
        <v>K-10 Low</v>
      </c>
      <c r="Z289" s="352">
        <f>SUMIFS($P$193:$P$252, $D$193:$D$252, Y289, $F$193:$F$252, "&lt;200") + SUMIFS($Q$193:$Q$252, $D$193:$D$252, Y289, $F$193:$F$252, "&lt;200")</f>
        <v>24120</v>
      </c>
      <c r="AA289" s="120">
        <f>SUM(P289:Q292)</f>
        <v>23150</v>
      </c>
      <c r="AB289" s="120">
        <f>SUMIFS(Collection!O:O, Collection!B:B, "*" &amp; 'Bucket Counts'!Y289 &amp; "*", Collection!A:A, "&lt;" &amp; 'Bucket Counts'!A289,Collection!A:A,  "&gt;=" &amp; 'Bucket Counts'!$A$193)</f>
        <v>0</v>
      </c>
      <c r="AC289" s="106">
        <f>AA289/(Z289+AB289)</f>
        <v>0.95978441127694858</v>
      </c>
    </row>
    <row r="290" spans="1:29" s="62" customFormat="1">
      <c r="A290" s="59">
        <v>42901</v>
      </c>
      <c r="B290" s="60"/>
      <c r="C290" s="60"/>
      <c r="D290" s="62" t="s">
        <v>20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19"/>
        <v>758.33333333333326</v>
      </c>
      <c r="Q290" s="120">
        <f t="shared" si="17"/>
        <v>58.333333333333329</v>
      </c>
      <c r="R290" s="106">
        <f t="shared" si="18"/>
        <v>0.92857142857142849</v>
      </c>
      <c r="S290" s="181">
        <f>(SUM(P289:P292)/(SUM(P289:Q292)))</f>
        <v>0.16666666666666666</v>
      </c>
      <c r="T290" s="65"/>
      <c r="U290" s="65"/>
      <c r="V290" s="65"/>
      <c r="Y290" s="89"/>
      <c r="Z290" s="358"/>
      <c r="AA290" s="120"/>
      <c r="AB290" s="120"/>
    </row>
    <row r="291" spans="1:29" s="62" customFormat="1">
      <c r="A291" s="59">
        <v>42901</v>
      </c>
      <c r="B291" s="60"/>
      <c r="C291" s="60"/>
      <c r="D291" s="62" t="s">
        <v>20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19"/>
        <v>2566.6666666666665</v>
      </c>
      <c r="Q291" s="120">
        <f t="shared" si="17"/>
        <v>700</v>
      </c>
      <c r="R291" s="106">
        <f t="shared" si="18"/>
        <v>0.7857142857142857</v>
      </c>
      <c r="S291" s="182"/>
      <c r="T291" s="65"/>
      <c r="U291" s="65"/>
      <c r="V291" s="65"/>
      <c r="Y291" s="89"/>
      <c r="Z291" s="358"/>
      <c r="AA291" s="120"/>
      <c r="AB291" s="120"/>
    </row>
    <row r="292" spans="1:29" s="62" customFormat="1">
      <c r="A292" s="59">
        <v>42901</v>
      </c>
      <c r="B292" s="60"/>
      <c r="C292" s="60"/>
      <c r="D292" s="62" t="s">
        <v>20</v>
      </c>
      <c r="E292" s="62">
        <v>5</v>
      </c>
      <c r="F292" s="89" t="s">
        <v>203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19"/>
        <v>533.33333333333326</v>
      </c>
      <c r="Q292" s="120">
        <f t="shared" ref="Q292:Q355" si="20">(AVERAGE(J292,L292,N292)/G292)*H292</f>
        <v>18533.333333333336</v>
      </c>
      <c r="R292" s="106">
        <f t="shared" ref="R292:R355" si="21">P292/(P292+Q292)</f>
        <v>2.7972027972027965E-2</v>
      </c>
      <c r="S292" s="182"/>
      <c r="T292" s="65"/>
      <c r="U292" s="65"/>
      <c r="V292" s="65"/>
      <c r="Y292" s="89"/>
      <c r="Z292" s="358"/>
      <c r="AA292" s="120"/>
      <c r="AB292" s="120"/>
    </row>
    <row r="293" spans="1:29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19"/>
        <v>350</v>
      </c>
      <c r="Q293" s="120">
        <f t="shared" si="20"/>
        <v>0</v>
      </c>
      <c r="R293" s="106">
        <f t="shared" si="21"/>
        <v>1</v>
      </c>
      <c r="S293" s="183" t="str">
        <f>D293</f>
        <v>SN-6 Ambient</v>
      </c>
      <c r="T293" s="65"/>
      <c r="U293" s="65"/>
      <c r="V293" s="65"/>
      <c r="Y293" s="89" t="str">
        <f>D293</f>
        <v>SN-6 Ambient</v>
      </c>
      <c r="Z293" s="352">
        <f>SUMIFS($P$193:$P$252, $D$193:$D$252, Y293, $F$193:$F$252, "&lt;200") + SUMIFS($Q$193:$Q$252, $D$193:$D$252, Y293, $F$193:$F$252, "&lt;200")</f>
        <v>37833.333333333336</v>
      </c>
      <c r="AA293" s="120">
        <f>SUM(P293:Q296)</f>
        <v>40668.333333333336</v>
      </c>
      <c r="AB293" s="120">
        <f>SUMIFS(Collection!O:O, Collection!B:B, "*" &amp; 'Bucket Counts'!Y293 &amp; "*", Collection!A:A, "&lt;" &amp; 'Bucket Counts'!A293,Collection!A:A,  "&gt;=" &amp; 'Bucket Counts'!$A$193)</f>
        <v>0</v>
      </c>
      <c r="AC293" s="106">
        <f>AA293/(Z293+AB293)</f>
        <v>1.0749339207048458</v>
      </c>
    </row>
    <row r="294" spans="1:29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0"/>
        <v>17510</v>
      </c>
      <c r="R294" s="106">
        <f t="shared" si="21"/>
        <v>0.42134831460674155</v>
      </c>
      <c r="S294" s="181">
        <f>(SUM(P293:P296)/(SUM(P293:Q296)))</f>
        <v>0.53665833367484927</v>
      </c>
      <c r="T294" s="65"/>
      <c r="U294" s="65"/>
      <c r="V294" s="65"/>
      <c r="Y294" s="89"/>
      <c r="Z294" s="358"/>
      <c r="AA294" s="120"/>
      <c r="AB294" s="120"/>
    </row>
    <row r="295" spans="1:29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19"/>
        <v>7791.6666666666661</v>
      </c>
      <c r="Q295" s="120">
        <f t="shared" si="20"/>
        <v>283.33333333333331</v>
      </c>
      <c r="R295" s="106">
        <f t="shared" si="21"/>
        <v>0.96491228070175439</v>
      </c>
      <c r="S295" s="182"/>
      <c r="T295" s="65"/>
      <c r="U295" s="65"/>
      <c r="V295" s="65"/>
      <c r="Y295" s="89"/>
      <c r="Z295" s="358"/>
      <c r="AA295" s="120"/>
      <c r="AB295" s="120"/>
    </row>
    <row r="296" spans="1:29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203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19"/>
        <v>933.33333333333326</v>
      </c>
      <c r="Q296" s="120">
        <f t="shared" si="20"/>
        <v>1050</v>
      </c>
      <c r="R296" s="106">
        <f t="shared" si="21"/>
        <v>0.47058823529411764</v>
      </c>
      <c r="S296" s="182"/>
      <c r="T296" s="65"/>
      <c r="U296" s="65"/>
      <c r="V296" s="65"/>
      <c r="Y296" s="89"/>
      <c r="Z296" s="358"/>
      <c r="AA296" s="120"/>
      <c r="AB296" s="120"/>
    </row>
    <row r="297" spans="1:29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19"/>
        <v>1516.6666666666667</v>
      </c>
      <c r="Q297" s="120">
        <f t="shared" si="20"/>
        <v>0</v>
      </c>
      <c r="R297" s="106">
        <f t="shared" si="21"/>
        <v>1</v>
      </c>
      <c r="S297" s="183" t="str">
        <f>D297</f>
        <v>HL-10 Ambient</v>
      </c>
      <c r="T297" s="65"/>
      <c r="U297" s="65"/>
      <c r="V297" s="65"/>
      <c r="Y297" s="89" t="str">
        <f>D297</f>
        <v>HL-10 Ambient</v>
      </c>
      <c r="Z297" s="352">
        <f>SUMIFS($P$193:$P$252, $D$193:$D$252, Y297, $F$193:$F$252, "&lt;200") + SUMIFS($Q$193:$Q$252, $D$193:$D$252, Y297, $F$193:$F$252, "&lt;200")</f>
        <v>72909.999999999985</v>
      </c>
      <c r="AA297" s="120">
        <f>SUM(P297:Q300)</f>
        <v>79940</v>
      </c>
      <c r="AB297" s="120">
        <f>SUMIFS(Collection!O:O, Collection!B:B, "*" &amp; 'Bucket Counts'!Y297 &amp; "*", Collection!A:A, "&lt;" &amp; 'Bucket Counts'!A297,Collection!A:A,  "&gt;=" &amp; 'Bucket Counts'!$A$193)</f>
        <v>0</v>
      </c>
      <c r="AC297" s="106">
        <f>AA297/(Z297+AB297)</f>
        <v>1.0964202441366071</v>
      </c>
    </row>
    <row r="298" spans="1:29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19"/>
        <v>38800</v>
      </c>
      <c r="Q298" s="120">
        <f t="shared" si="20"/>
        <v>600</v>
      </c>
      <c r="R298" s="106">
        <f t="shared" si="21"/>
        <v>0.98477157360406087</v>
      </c>
      <c r="S298" s="181">
        <f>(SUM(P297:P300)/(SUM(P297:Q300)))</f>
        <v>0.65169710616295551</v>
      </c>
      <c r="T298" s="65"/>
      <c r="U298" s="65"/>
      <c r="V298" s="65"/>
      <c r="Y298" s="89"/>
      <c r="Z298" s="358"/>
      <c r="AA298" s="120"/>
      <c r="AB298" s="120"/>
    </row>
    <row r="299" spans="1:29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19"/>
        <v>8960</v>
      </c>
      <c r="Q299" s="120">
        <f t="shared" si="20"/>
        <v>140</v>
      </c>
      <c r="R299" s="106">
        <f t="shared" si="21"/>
        <v>0.98461538461538467</v>
      </c>
      <c r="S299" s="182"/>
      <c r="T299" s="65"/>
      <c r="U299" s="65"/>
      <c r="V299" s="65"/>
      <c r="Y299" s="89"/>
      <c r="Z299" s="358"/>
      <c r="AA299" s="120"/>
      <c r="AB299" s="120"/>
    </row>
    <row r="300" spans="1:29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203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19"/>
        <v>2820</v>
      </c>
      <c r="Q300" s="120">
        <f t="shared" si="20"/>
        <v>27103.333333333332</v>
      </c>
      <c r="R300" s="106">
        <f t="shared" si="21"/>
        <v>9.4240837696335081E-2</v>
      </c>
      <c r="S300" s="182"/>
      <c r="T300" s="65"/>
      <c r="U300" s="65"/>
      <c r="V300" s="65"/>
      <c r="Y300" s="89"/>
      <c r="Z300" s="358"/>
      <c r="AA300" s="120"/>
      <c r="AB300" s="120"/>
    </row>
    <row r="301" spans="1:29" s="62" customFormat="1">
      <c r="A301" s="59">
        <v>42901</v>
      </c>
      <c r="B301" s="60"/>
      <c r="C301" s="60"/>
      <c r="D301" s="62" t="s">
        <v>109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19"/>
        <v>5600</v>
      </c>
      <c r="Q301" s="120">
        <f t="shared" si="20"/>
        <v>0</v>
      </c>
      <c r="R301" s="106">
        <f t="shared" si="21"/>
        <v>1</v>
      </c>
      <c r="S301" s="183" t="str">
        <f>D301</f>
        <v>HL-10 Low</v>
      </c>
      <c r="T301" s="65"/>
      <c r="U301" s="65"/>
      <c r="V301" s="65"/>
      <c r="Y301" s="89" t="str">
        <f>D301</f>
        <v>HL-10 Low</v>
      </c>
      <c r="Z301" s="352">
        <f>SUMIFS($P$193:$P$252, $D$193:$D$252, Y301, $F$193:$F$252, "&lt;200") + SUMIFS($Q$193:$Q$252, $D$193:$D$252, Y301, $F$193:$F$252, "&lt;200")</f>
        <v>82666.666666666672</v>
      </c>
      <c r="AA301" s="120">
        <f>SUM(P301:Q304)</f>
        <v>155225</v>
      </c>
      <c r="AB301" s="120">
        <f>SUMIFS(Collection!O:O, Collection!B:B, "*" &amp; 'Bucket Counts'!Y301 &amp; "*", Collection!A:A, "&lt;" &amp; 'Bucket Counts'!A301,Collection!A:A,  "&gt;=" &amp; 'Bucket Counts'!$A$193)</f>
        <v>53333.333333333336</v>
      </c>
      <c r="AC301" s="106">
        <f>AA301/(Z301+AB301)</f>
        <v>1.1413602941176471</v>
      </c>
    </row>
    <row r="302" spans="1:29" s="62" customFormat="1">
      <c r="A302" s="59">
        <v>42901</v>
      </c>
      <c r="B302" s="60"/>
      <c r="C302" s="60"/>
      <c r="D302" s="62" t="s">
        <v>109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19"/>
        <v>47291.666666666672</v>
      </c>
      <c r="Q302" s="120">
        <f t="shared" si="20"/>
        <v>0</v>
      </c>
      <c r="R302" s="106">
        <f t="shared" si="21"/>
        <v>1</v>
      </c>
      <c r="S302" s="181">
        <f>(SUM(P301:P304)/(SUM(P301:Q304)))</f>
        <v>0.85204273366618355</v>
      </c>
      <c r="T302" s="65"/>
      <c r="U302" s="65"/>
      <c r="V302" s="65"/>
      <c r="Y302" s="89"/>
      <c r="Z302" s="358"/>
      <c r="AA302" s="120"/>
      <c r="AB302" s="120"/>
    </row>
    <row r="303" spans="1:29" s="62" customFormat="1">
      <c r="A303" s="59">
        <v>42901</v>
      </c>
      <c r="B303" s="60"/>
      <c r="C303" s="60"/>
      <c r="D303" s="62" t="s">
        <v>109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19"/>
        <v>78166.666666666672</v>
      </c>
      <c r="Q303" s="120">
        <f t="shared" si="20"/>
        <v>1666.6666666666667</v>
      </c>
      <c r="R303" s="106">
        <f t="shared" si="21"/>
        <v>0.97912317327766174</v>
      </c>
      <c r="S303" s="182"/>
      <c r="T303" s="65"/>
      <c r="U303" s="65"/>
      <c r="V303" s="65"/>
      <c r="Y303" s="89"/>
      <c r="Z303" s="358"/>
      <c r="AA303" s="120"/>
      <c r="AB303" s="120"/>
    </row>
    <row r="304" spans="1:29" s="62" customFormat="1">
      <c r="A304" s="59">
        <v>42901</v>
      </c>
      <c r="B304" s="60"/>
      <c r="C304" s="60"/>
      <c r="D304" s="62" t="s">
        <v>109</v>
      </c>
      <c r="E304" s="62">
        <v>7</v>
      </c>
      <c r="F304" s="89" t="s">
        <v>203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19"/>
        <v>1200</v>
      </c>
      <c r="Q304" s="120">
        <f t="shared" si="20"/>
        <v>21300</v>
      </c>
      <c r="R304" s="106">
        <f t="shared" si="21"/>
        <v>5.3333333333333337E-2</v>
      </c>
      <c r="S304" s="182"/>
      <c r="T304" s="65"/>
      <c r="U304" s="65"/>
      <c r="V304" s="65"/>
      <c r="Y304" s="89"/>
      <c r="Z304" s="358"/>
      <c r="AA304" s="120"/>
      <c r="AB304" s="120"/>
    </row>
    <row r="305" spans="1:30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19"/>
        <v>2250</v>
      </c>
      <c r="Q305" s="120">
        <f t="shared" si="20"/>
        <v>0</v>
      </c>
      <c r="R305" s="106">
        <f t="shared" si="21"/>
        <v>1</v>
      </c>
      <c r="S305" s="183" t="str">
        <f>D305</f>
        <v>K-10 Ambient</v>
      </c>
      <c r="T305" s="65"/>
      <c r="U305" s="65"/>
      <c r="V305" s="65"/>
      <c r="Y305" s="89" t="str">
        <f>D305</f>
        <v>K-10 Ambient</v>
      </c>
      <c r="Z305" s="352">
        <f>SUMIFS($P$193:$P$252, $D$193:$D$252, Y305, $F$193:$F$252, "&lt;200") + SUMIFS($Q$193:$Q$252, $D$193:$D$252, Y305, $F$193:$F$252, "&lt;200")</f>
        <v>62946.666666666664</v>
      </c>
      <c r="AA305" s="120">
        <f>SUM(P305:Q308)</f>
        <v>71141.666666666672</v>
      </c>
      <c r="AB305" s="120">
        <f>SUMIFS(Collection!O:O, Collection!B:B, "*" &amp; 'Bucket Counts'!Y305 &amp; "*", Collection!A:A, "&lt;" &amp; 'Bucket Counts'!A305,Collection!A:A,  "&gt;=" &amp; 'Bucket Counts'!$A$193)</f>
        <v>0</v>
      </c>
      <c r="AC305" s="106">
        <f>AA305/(Z305+AB305)</f>
        <v>1.1301895784791358</v>
      </c>
    </row>
    <row r="306" spans="1:30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19"/>
        <v>25333.333333333332</v>
      </c>
      <c r="Q306" s="120">
        <f t="shared" si="20"/>
        <v>1333.3333333333333</v>
      </c>
      <c r="R306" s="106">
        <f t="shared" si="21"/>
        <v>0.95000000000000007</v>
      </c>
      <c r="S306" s="181">
        <f>(SUM(P305:P308)/(SUM(P305:Q308)))</f>
        <v>0.76490570458006313</v>
      </c>
      <c r="T306" s="65"/>
      <c r="U306" s="65"/>
      <c r="V306" s="65"/>
      <c r="Y306" s="89"/>
      <c r="Z306" s="358"/>
      <c r="AA306" s="120"/>
      <c r="AB306" s="120"/>
    </row>
    <row r="307" spans="1:30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19"/>
        <v>26833.333333333332</v>
      </c>
      <c r="Q307" s="120">
        <f t="shared" si="20"/>
        <v>2500</v>
      </c>
      <c r="R307" s="106">
        <f t="shared" si="21"/>
        <v>0.91477272727272729</v>
      </c>
      <c r="S307" s="182"/>
      <c r="T307" s="65"/>
      <c r="U307" s="65"/>
      <c r="V307" s="65"/>
      <c r="Y307" s="89"/>
      <c r="Z307" s="358"/>
      <c r="AA307" s="120"/>
      <c r="AB307" s="120"/>
    </row>
    <row r="308" spans="1:30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203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19"/>
        <v>0</v>
      </c>
      <c r="Q308" s="120">
        <f t="shared" si="20"/>
        <v>12891.666666666666</v>
      </c>
      <c r="R308" s="106">
        <f t="shared" si="21"/>
        <v>0</v>
      </c>
      <c r="S308" s="182"/>
      <c r="T308" s="65"/>
      <c r="U308" s="65"/>
      <c r="V308" s="65"/>
      <c r="Y308" s="89"/>
      <c r="Z308" s="358"/>
      <c r="AA308" s="120"/>
      <c r="AB308" s="120"/>
    </row>
    <row r="309" spans="1:30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19"/>
        <v>4025</v>
      </c>
      <c r="Q309" s="120">
        <f t="shared" si="20"/>
        <v>0</v>
      </c>
      <c r="R309" s="106">
        <f t="shared" si="21"/>
        <v>1</v>
      </c>
      <c r="S309" s="183" t="str">
        <f>D309</f>
        <v>K-6 Ambient</v>
      </c>
      <c r="T309" s="65"/>
      <c r="U309" s="65"/>
      <c r="V309" s="65"/>
      <c r="Y309" s="89" t="str">
        <f>D309</f>
        <v>K-6 Ambient</v>
      </c>
      <c r="Z309" s="352">
        <f>SUMIFS($P$193:$P$252, $D$193:$D$252, Y309, $F$193:$F$252, "&lt;200") + SUMIFS($Q$193:$Q$252, $D$193:$D$252, Y309, $F$193:$F$252, "&lt;200")</f>
        <v>90480</v>
      </c>
      <c r="AA309" s="120">
        <f>SUM(P309:Q312)</f>
        <v>102624.99999999999</v>
      </c>
      <c r="AB309" s="120">
        <f>SUMIFS(Collection!O:O, Collection!B:B, "*" &amp; 'Bucket Counts'!Y309 &amp; "*", Collection!A:A, "&lt;" &amp; 'Bucket Counts'!A309,Collection!A:A,  "&gt;=" &amp; 'Bucket Counts'!$A$193)</f>
        <v>4200</v>
      </c>
      <c r="AC309" s="106">
        <f>AA309/(Z309+AB309)</f>
        <v>1.0839142374313475</v>
      </c>
    </row>
    <row r="310" spans="1:30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19"/>
        <v>29680</v>
      </c>
      <c r="Q310" s="120">
        <f t="shared" si="20"/>
        <v>186.66666666666666</v>
      </c>
      <c r="R310" s="106">
        <f t="shared" si="21"/>
        <v>0.99374999999999991</v>
      </c>
      <c r="S310" s="181">
        <f>(SUM(P309:P312)/(SUM(P309:Q312)))</f>
        <v>0.72436865611043444</v>
      </c>
      <c r="T310" s="65"/>
      <c r="Y310" s="89"/>
      <c r="Z310" s="358"/>
      <c r="AA310" s="120"/>
      <c r="AB310" s="120"/>
    </row>
    <row r="311" spans="1:30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19"/>
        <v>34500</v>
      </c>
      <c r="Q311" s="120">
        <f t="shared" si="20"/>
        <v>1833.3333333333333</v>
      </c>
      <c r="R311" s="106">
        <f t="shared" si="21"/>
        <v>0.94954128440366969</v>
      </c>
      <c r="S311" s="182"/>
      <c r="T311" s="65"/>
      <c r="Y311" s="89"/>
      <c r="Z311" s="358"/>
      <c r="AA311" s="120"/>
      <c r="AB311" s="120"/>
    </row>
    <row r="312" spans="1:30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203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19"/>
        <v>6133.3333333333339</v>
      </c>
      <c r="Q312" s="120">
        <f t="shared" si="20"/>
        <v>26266.666666666668</v>
      </c>
      <c r="R312" s="106">
        <f t="shared" si="21"/>
        <v>0.18930041152263377</v>
      </c>
      <c r="S312" s="182"/>
      <c r="T312" s="65"/>
      <c r="Y312" s="89"/>
      <c r="Z312" s="358"/>
      <c r="AA312" s="120"/>
      <c r="AB312" s="120"/>
    </row>
    <row r="313" spans="1:30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19"/>
        <v>400</v>
      </c>
      <c r="Q313" s="120">
        <f t="shared" si="20"/>
        <v>0</v>
      </c>
      <c r="R313" s="106">
        <f t="shared" si="21"/>
        <v>1</v>
      </c>
      <c r="S313" s="183" t="str">
        <f>D313</f>
        <v>K-6 Low</v>
      </c>
      <c r="T313" s="65"/>
      <c r="Y313" s="89" t="str">
        <f>D313</f>
        <v>K-6 Low</v>
      </c>
      <c r="Z313" s="352">
        <f>SUMIFS($P$193:$P$252, $D$193:$D$252, Y313, $F$193:$F$252, "&lt;200") + SUMIFS($Q$193:$Q$252, $D$193:$D$252, Y313, $F$193:$F$252, "&lt;200")</f>
        <v>47066.666666666664</v>
      </c>
      <c r="AA313" s="120">
        <f>SUM(P313:Q316)</f>
        <v>35503.333333333336</v>
      </c>
      <c r="AB313" s="120">
        <f>SUMIFS(Collection!O:O, Collection!B:B, "*" &amp; 'Bucket Counts'!Y313 &amp; "*", Collection!A:A, "&lt;" &amp; 'Bucket Counts'!A313,Collection!A:A,  "&gt;=" &amp; 'Bucket Counts'!$A$193)</f>
        <v>0</v>
      </c>
      <c r="AC313" s="106">
        <f>AA313/(Z313+AB313)</f>
        <v>0.7543201133144477</v>
      </c>
    </row>
    <row r="314" spans="1:30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19"/>
        <v>7349.9999999999991</v>
      </c>
      <c r="Q314" s="120">
        <f t="shared" si="20"/>
        <v>0</v>
      </c>
      <c r="R314" s="106">
        <f t="shared" si="21"/>
        <v>1</v>
      </c>
      <c r="S314" s="181">
        <f>(SUM(P313:P316)/(SUM(P313:Q316)))</f>
        <v>0.93671955684912223</v>
      </c>
      <c r="T314" s="65"/>
      <c r="Y314" s="89"/>
      <c r="Z314" s="358"/>
      <c r="AA314" s="120"/>
      <c r="AB314" s="120"/>
    </row>
    <row r="315" spans="1:30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19"/>
        <v>24666.666666666668</v>
      </c>
      <c r="Q315" s="120">
        <f t="shared" si="20"/>
        <v>1166.6666666666667</v>
      </c>
      <c r="R315" s="106">
        <f t="shared" si="21"/>
        <v>0.95483870967741935</v>
      </c>
      <c r="S315" s="182"/>
      <c r="T315" s="65"/>
      <c r="Y315" s="89"/>
      <c r="Z315" s="358"/>
      <c r="AA315" s="120"/>
      <c r="AB315" s="120"/>
    </row>
    <row r="316" spans="1:30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48" t="s">
        <v>203</v>
      </c>
      <c r="G316" s="148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49">
        <f t="shared" si="19"/>
        <v>840</v>
      </c>
      <c r="Q316" s="149">
        <f t="shared" si="20"/>
        <v>1080</v>
      </c>
      <c r="R316" s="165">
        <f t="shared" si="21"/>
        <v>0.4375</v>
      </c>
      <c r="S316" s="196"/>
      <c r="Y316" s="148"/>
      <c r="Z316" s="366"/>
      <c r="AA316" s="149"/>
      <c r="AB316" s="149"/>
    </row>
    <row r="317" spans="1:30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P317" s="122">
        <f>(AVERAGE(I317,K317,M317)/G317)*H317</f>
        <v>180</v>
      </c>
      <c r="Q317" s="122">
        <f t="shared" si="20"/>
        <v>0</v>
      </c>
      <c r="R317" s="160">
        <f t="shared" si="21"/>
        <v>1</v>
      </c>
      <c r="S317" s="173" t="str">
        <f>D317</f>
        <v>NF-6 Low</v>
      </c>
      <c r="T317" s="76"/>
      <c r="U317" s="76"/>
      <c r="V317" s="76"/>
      <c r="Y317" s="87" t="str">
        <f>D317</f>
        <v>NF-6 Low</v>
      </c>
      <c r="Z317" s="362">
        <f>(SUMIFS($P$253:$P$316, $D$253:$D$316, Y317, $F$253:$F$316, "&lt;200"))+(SUMIFS($Q$253:$Q$316, $D$253:$D$316, Y317, $F$253:$F$316, "&lt;200"))</f>
        <v>71470</v>
      </c>
      <c r="AA317" s="124">
        <f>SUM(P317:Q320)</f>
        <v>71113.333333333343</v>
      </c>
      <c r="AB317" s="124">
        <f>SUMIFS(Collection!O:O, Collection!B:B, "*" &amp; 'Bucket Counts'!Y317 &amp; "*", Collection!A:A, "&lt;" &amp; 'Bucket Counts'!A317,Collection!A:A,  "&gt;=" &amp; 'Bucket Counts'!$A$253)</f>
        <v>0</v>
      </c>
      <c r="AC317" s="161">
        <f>AA317/(Z317+AB317)</f>
        <v>0.99500956112121652</v>
      </c>
      <c r="AD317" s="372">
        <f>AVERAGE(AC317:AC380)</f>
        <v>0.91836897254975736</v>
      </c>
    </row>
    <row r="318" spans="1:30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2">(AVERAGE(I318,K318,M318)/G318)*H318</f>
        <v>9166.6666666666661</v>
      </c>
      <c r="Q318" s="124">
        <f t="shared" si="20"/>
        <v>333.33333333333331</v>
      </c>
      <c r="R318" s="161">
        <f t="shared" si="21"/>
        <v>0.96491228070175428</v>
      </c>
      <c r="S318" s="185">
        <f>(SUM(P317:P320)/(SUM(P317:Q320)))</f>
        <v>0.91562763663635505</v>
      </c>
      <c r="T318" s="81"/>
      <c r="U318" s="81"/>
      <c r="V318" s="81"/>
      <c r="Y318" s="87"/>
      <c r="Z318" s="362"/>
      <c r="AA318" s="124"/>
      <c r="AB318" s="124"/>
    </row>
    <row r="319" spans="1:30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2"/>
        <v>54933.333333333336</v>
      </c>
      <c r="Q319" s="124">
        <f t="shared" si="20"/>
        <v>0</v>
      </c>
      <c r="R319" s="161">
        <f t="shared" si="21"/>
        <v>1</v>
      </c>
      <c r="S319" s="185"/>
      <c r="T319" s="81"/>
      <c r="U319" s="81"/>
      <c r="V319" s="81"/>
      <c r="Y319" s="87"/>
      <c r="Z319" s="362"/>
      <c r="AA319" s="124"/>
      <c r="AB319" s="124"/>
    </row>
    <row r="320" spans="1:30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203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2"/>
        <v>833.33333333333337</v>
      </c>
      <c r="Q320" s="124">
        <f t="shared" si="20"/>
        <v>5666.666666666667</v>
      </c>
      <c r="R320" s="161">
        <f t="shared" si="21"/>
        <v>0.12820512820512822</v>
      </c>
      <c r="S320" s="188"/>
      <c r="T320" s="81"/>
      <c r="U320" s="81"/>
      <c r="V320" s="81"/>
      <c r="Y320" s="87"/>
      <c r="Z320" s="362"/>
      <c r="AA320" s="124"/>
      <c r="AB320" s="124"/>
    </row>
    <row r="321" spans="1:29" s="80" customFormat="1">
      <c r="A321" s="190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2"/>
        <v>2253.333333333333</v>
      </c>
      <c r="Q321" s="124">
        <f t="shared" si="20"/>
        <v>1733.3333333333335</v>
      </c>
      <c r="R321" s="161">
        <f t="shared" si="21"/>
        <v>0.56521739130434778</v>
      </c>
      <c r="S321" s="189" t="str">
        <f>D321</f>
        <v>SN-6 Low</v>
      </c>
      <c r="T321" s="81"/>
      <c r="U321" s="81"/>
      <c r="V321" s="81"/>
      <c r="Y321" s="87" t="str">
        <f>D321</f>
        <v>SN-6 Low</v>
      </c>
      <c r="Z321" s="362">
        <f>(SUMIFS($P$253:$P$316, $D$253:$D$316, Y321, $F$253:$F$316, "&lt;200"))+(SUMIFS($Q$253:$Q$316, $D$253:$D$316, Y321, $F$253:$F$316, "&lt;200"))</f>
        <v>86125</v>
      </c>
      <c r="AA321" s="124">
        <f>SUM(P321:Q324)</f>
        <v>136566.66666666669</v>
      </c>
      <c r="AB321" s="124">
        <f>SUMIFS(Collection!O:O, Collection!B:B, "*" &amp; 'Bucket Counts'!Y321 &amp; "*", Collection!A:A, "&lt;" &amp; 'Bucket Counts'!A321,Collection!A:A,  "&gt;=" &amp; 'Bucket Counts'!$A$253)</f>
        <v>105233.33333333334</v>
      </c>
      <c r="AC321" s="161">
        <f>AA321/(Z321+AB321)</f>
        <v>0.71366981666158613</v>
      </c>
    </row>
    <row r="322" spans="1:29" s="80" customFormat="1">
      <c r="A322" s="190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29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2"/>
        <v>5810</v>
      </c>
      <c r="Q322" s="124">
        <f t="shared" si="20"/>
        <v>17153.333333333336</v>
      </c>
      <c r="R322" s="161">
        <f t="shared" si="21"/>
        <v>0.25301204819277107</v>
      </c>
      <c r="S322" s="187">
        <f>(SUM(P321:P324)/(SUM(P321:Q324)))</f>
        <v>0.34762020990969006</v>
      </c>
      <c r="T322" s="81"/>
      <c r="U322" s="81"/>
      <c r="V322" s="81"/>
      <c r="Y322" s="87"/>
      <c r="Z322" s="362"/>
      <c r="AA322" s="124"/>
      <c r="AB322" s="124"/>
    </row>
    <row r="323" spans="1:29" s="80" customFormat="1">
      <c r="A323" s="190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29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2"/>
        <v>39246.666666666672</v>
      </c>
      <c r="Q323" s="124">
        <f t="shared" si="20"/>
        <v>1933.3333333333335</v>
      </c>
      <c r="R323" s="161">
        <f t="shared" si="21"/>
        <v>0.95305164319248825</v>
      </c>
      <c r="S323" s="188"/>
      <c r="T323" s="81"/>
      <c r="U323" s="81"/>
      <c r="V323" s="81"/>
      <c r="Y323" s="87"/>
      <c r="Z323" s="362"/>
      <c r="AA323" s="124"/>
      <c r="AB323" s="124"/>
    </row>
    <row r="324" spans="1:29" s="80" customFormat="1">
      <c r="A324" s="190">
        <v>42905</v>
      </c>
      <c r="B324" s="78"/>
      <c r="C324" s="78"/>
      <c r="D324" s="80" t="s">
        <v>77</v>
      </c>
      <c r="E324" s="80">
        <v>1</v>
      </c>
      <c r="F324" s="87" t="s">
        <v>203</v>
      </c>
      <c r="G324" s="87">
        <v>1</v>
      </c>
      <c r="H324" s="229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2"/>
        <v>163.33333333333331</v>
      </c>
      <c r="Q324" s="124">
        <f t="shared" si="20"/>
        <v>68273.333333333343</v>
      </c>
      <c r="R324" s="161">
        <f t="shared" si="21"/>
        <v>2.3866348448687348E-3</v>
      </c>
      <c r="S324" s="188"/>
      <c r="T324" s="81"/>
      <c r="U324" s="81"/>
      <c r="V324" s="81"/>
      <c r="Y324" s="87"/>
      <c r="Z324" s="362"/>
      <c r="AA324" s="124"/>
      <c r="AB324" s="124"/>
    </row>
    <row r="325" spans="1:29" s="80" customFormat="1">
      <c r="A325" s="190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29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2"/>
        <v>2166.6666666666665</v>
      </c>
      <c r="Q325" s="124">
        <f t="shared" si="20"/>
        <v>166.66666666666666</v>
      </c>
      <c r="R325" s="161">
        <f t="shared" si="21"/>
        <v>0.9285714285714286</v>
      </c>
      <c r="S325" s="189" t="str">
        <f>D325</f>
        <v>NF-6 Ambient</v>
      </c>
      <c r="T325" s="81"/>
      <c r="U325" s="81"/>
      <c r="V325" s="81"/>
      <c r="Y325" s="87" t="str">
        <f>D325</f>
        <v>NF-6 Ambient</v>
      </c>
      <c r="Z325" s="362">
        <f>(SUMIFS($P$253:$P$316, $D$253:$D$316, Y325, $F$253:$F$316, "&lt;200"))+(SUMIFS($Q$253:$Q$316, $D$253:$D$316, Y325, $F$253:$F$316, "&lt;200"))</f>
        <v>27299.999999999996</v>
      </c>
      <c r="AA325" s="124">
        <f>SUM(P325:Q328)</f>
        <v>26453.333333333328</v>
      </c>
      <c r="AB325" s="124">
        <f>SUMIFS(Collection!O:O, Collection!B:B, "*" &amp; 'Bucket Counts'!Y325 &amp; "*", Collection!A:A, "&lt;" &amp; 'Bucket Counts'!A325,Collection!A:A,  "&gt;=" &amp; 'Bucket Counts'!$A$253)</f>
        <v>0</v>
      </c>
      <c r="AC325" s="161">
        <f>AA325/(Z325+AB325)</f>
        <v>0.96898656898656899</v>
      </c>
    </row>
    <row r="326" spans="1:29" s="80" customFormat="1">
      <c r="A326" s="190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29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2"/>
        <v>17380</v>
      </c>
      <c r="Q326" s="124">
        <f t="shared" si="20"/>
        <v>4213.333333333333</v>
      </c>
      <c r="R326" s="161">
        <f t="shared" si="21"/>
        <v>0.80487804878048785</v>
      </c>
      <c r="S326" s="187">
        <f>(SUM(P325:P328)/(SUM(P325:Q328)))</f>
        <v>0.76965725806451624</v>
      </c>
      <c r="T326" s="81"/>
      <c r="U326" s="81"/>
      <c r="V326" s="81"/>
      <c r="Y326" s="87"/>
      <c r="Z326" s="362"/>
      <c r="AA326" s="124"/>
      <c r="AB326" s="124"/>
    </row>
    <row r="327" spans="1:29" s="80" customFormat="1">
      <c r="A327" s="190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29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2"/>
        <v>633.33333333333326</v>
      </c>
      <c r="Q327" s="124">
        <f t="shared" si="20"/>
        <v>633.33333333333326</v>
      </c>
      <c r="R327" s="161">
        <f t="shared" si="21"/>
        <v>0.5</v>
      </c>
      <c r="S327" s="188"/>
      <c r="T327" s="81"/>
      <c r="U327" s="81"/>
      <c r="V327" s="81"/>
      <c r="Y327" s="87"/>
      <c r="Z327" s="362"/>
      <c r="AA327" s="124"/>
      <c r="AB327" s="124"/>
    </row>
    <row r="328" spans="1:29" s="80" customFormat="1">
      <c r="A328" s="190">
        <v>42905</v>
      </c>
      <c r="B328" s="78"/>
      <c r="C328" s="78"/>
      <c r="D328" s="80" t="s">
        <v>85</v>
      </c>
      <c r="E328" s="80">
        <v>2</v>
      </c>
      <c r="F328" s="87" t="s">
        <v>203</v>
      </c>
      <c r="G328" s="87">
        <v>1</v>
      </c>
      <c r="H328" s="229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0"/>
        <v>1080</v>
      </c>
      <c r="R328" s="161">
        <f t="shared" si="21"/>
        <v>0.14285714285714285</v>
      </c>
      <c r="S328" s="188"/>
      <c r="T328" s="81"/>
      <c r="U328" s="81"/>
      <c r="V328" s="81"/>
      <c r="Y328" s="87"/>
      <c r="Z328" s="362"/>
      <c r="AA328" s="124"/>
      <c r="AB328" s="124"/>
    </row>
    <row r="329" spans="1:29" s="80" customFormat="1">
      <c r="A329" s="190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29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0"/>
        <v>2933.333333333333</v>
      </c>
      <c r="R329" s="161">
        <f t="shared" si="21"/>
        <v>0.86904761904761907</v>
      </c>
      <c r="S329" s="189" t="str">
        <f>D329</f>
        <v>SN-10 Ambient</v>
      </c>
      <c r="T329" s="81"/>
      <c r="U329" s="81"/>
      <c r="V329" s="81"/>
      <c r="Y329" s="87" t="str">
        <f>D329</f>
        <v>SN-10 Ambient</v>
      </c>
      <c r="Z329" s="362">
        <f>(SUMIFS($P$253:$P$316, $D$253:$D$316, Y329, $F$253:$F$316, "&lt;200"))+(SUMIFS($Q$253:$Q$316, $D$253:$D$316, Y329, $F$253:$F$316, "&lt;200"))</f>
        <v>100900</v>
      </c>
      <c r="AA329" s="124">
        <f>SUM(P329:Q332)</f>
        <v>149733.33333333331</v>
      </c>
      <c r="AB329" s="124">
        <f>SUMIFS(Collection!O:O, Collection!B:B, "*" &amp; 'Bucket Counts'!Y329 &amp; "*", Collection!A:A, "&lt;" &amp; 'Bucket Counts'!A329,Collection!A:A,  "&gt;=" &amp; 'Bucket Counts'!$A$253)</f>
        <v>49833.333333333328</v>
      </c>
      <c r="AC329" s="161">
        <f>AA329/(Z329+AB329)</f>
        <v>0.99336576735957538</v>
      </c>
    </row>
    <row r="330" spans="1:29" s="80" customFormat="1">
      <c r="A330" s="190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29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3">(AVERAGE(I330,K330,M330)/G330)*H330</f>
        <v>28533.333333333332</v>
      </c>
      <c r="Q330" s="124">
        <f t="shared" si="20"/>
        <v>13866.666666666666</v>
      </c>
      <c r="R330" s="161">
        <f t="shared" si="21"/>
        <v>0.67295597484276726</v>
      </c>
      <c r="S330" s="187">
        <f>(SUM(P329:P332)/(SUM(P329:Q332)))</f>
        <v>0.68926981300089052</v>
      </c>
      <c r="T330" s="81"/>
      <c r="U330" s="81"/>
      <c r="V330" s="81"/>
      <c r="Y330" s="87"/>
      <c r="Z330" s="362"/>
      <c r="AA330" s="124"/>
      <c r="AB330" s="124"/>
    </row>
    <row r="331" spans="1:29" s="80" customFormat="1">
      <c r="A331" s="190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29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3"/>
        <v>55043.333333333328</v>
      </c>
      <c r="Q331" s="124">
        <f t="shared" si="20"/>
        <v>816.66666666666674</v>
      </c>
      <c r="R331" s="161">
        <f t="shared" si="21"/>
        <v>0.98538011695906436</v>
      </c>
      <c r="S331" s="188"/>
      <c r="T331" s="81"/>
      <c r="U331" s="81"/>
      <c r="V331" s="81"/>
      <c r="Y331" s="87"/>
      <c r="Z331" s="362"/>
      <c r="AA331" s="124"/>
      <c r="AB331" s="124"/>
    </row>
    <row r="332" spans="1:29" s="80" customFormat="1">
      <c r="A332" s="190">
        <v>42905</v>
      </c>
      <c r="B332" s="78"/>
      <c r="C332" s="78"/>
      <c r="D332" s="79" t="s">
        <v>86</v>
      </c>
      <c r="E332" s="80">
        <v>2</v>
      </c>
      <c r="F332" s="87" t="s">
        <v>203</v>
      </c>
      <c r="G332" s="87">
        <v>1</v>
      </c>
      <c r="H332" s="229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3"/>
        <v>163.33333333333331</v>
      </c>
      <c r="Q332" s="124">
        <f t="shared" si="20"/>
        <v>28910</v>
      </c>
      <c r="R332" s="161">
        <f t="shared" si="21"/>
        <v>5.6179775280898875E-3</v>
      </c>
      <c r="S332" s="188"/>
      <c r="T332" s="81"/>
      <c r="U332" s="81"/>
      <c r="V332" s="81"/>
      <c r="Y332" s="87"/>
      <c r="Z332" s="362"/>
      <c r="AA332" s="124"/>
      <c r="AB332" s="124"/>
    </row>
    <row r="333" spans="1:29" s="80" customFormat="1">
      <c r="A333" s="190">
        <v>42905</v>
      </c>
      <c r="B333" s="78"/>
      <c r="C333" s="78"/>
      <c r="D333" s="80" t="s">
        <v>74</v>
      </c>
      <c r="E333" s="80">
        <v>3</v>
      </c>
      <c r="F333" s="87">
        <v>224</v>
      </c>
      <c r="G333" s="87">
        <v>1</v>
      </c>
      <c r="H333" s="229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0"/>
        <v>5333.333333333333</v>
      </c>
      <c r="R333" s="161">
        <f t="shared" si="21"/>
        <v>3.03030303030303E-2</v>
      </c>
      <c r="S333" s="189" t="str">
        <f>D333</f>
        <v>SN-10 Low</v>
      </c>
      <c r="T333" s="81"/>
      <c r="U333" s="81"/>
      <c r="V333" s="81"/>
      <c r="Y333" s="87" t="str">
        <f>D333</f>
        <v>SN-10 Low</v>
      </c>
      <c r="Z333" s="362">
        <f>(SUMIFS($P$253:$P$316, $D$253:$D$316, Y333, $F$253:$F$316, "&lt;200"))+(SUMIFS($Q$253:$Q$316, $D$253:$D$316, Y333, $F$253:$F$316, "&lt;200"))</f>
        <v>114466.66666666667</v>
      </c>
      <c r="AA333" s="124">
        <f>SUM(P333:Q336)</f>
        <v>102166.66666666666</v>
      </c>
      <c r="AB333" s="124">
        <f>SUMIFS(Collection!O:O, Collection!B:B, "*" &amp; 'Bucket Counts'!Y333 &amp; "*", Collection!A:A, "&lt;" &amp; 'Bucket Counts'!A333,Collection!A:A,  "&gt;=" &amp; 'Bucket Counts'!$A$253)</f>
        <v>49866.666666666664</v>
      </c>
      <c r="AC333" s="161">
        <f>AA333/(Z333+AB333)</f>
        <v>0.6217038539553752</v>
      </c>
    </row>
    <row r="334" spans="1:29" s="80" customFormat="1">
      <c r="A334" s="190">
        <v>42905</v>
      </c>
      <c r="B334" s="78"/>
      <c r="C334" s="78"/>
      <c r="D334" s="80" t="s">
        <v>74</v>
      </c>
      <c r="E334" s="80">
        <v>3</v>
      </c>
      <c r="F334" s="87">
        <v>180</v>
      </c>
      <c r="G334" s="87">
        <v>1</v>
      </c>
      <c r="H334" s="229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3"/>
        <v>1666.6666666666667</v>
      </c>
      <c r="Q334" s="124">
        <f t="shared" si="20"/>
        <v>16666.666666666668</v>
      </c>
      <c r="R334" s="161">
        <f t="shared" si="21"/>
        <v>9.0909090909090898E-2</v>
      </c>
      <c r="S334" s="187">
        <f>(SUM(P333:P336)/(SUM(P333:Q336)))</f>
        <v>0.52659053833605229</v>
      </c>
      <c r="T334" s="81"/>
      <c r="U334" s="81"/>
      <c r="V334" s="81"/>
      <c r="Y334" s="87"/>
      <c r="Z334" s="362"/>
      <c r="AA334" s="124"/>
      <c r="AB334" s="124"/>
    </row>
    <row r="335" spans="1:29" s="80" customFormat="1">
      <c r="A335" s="190">
        <v>42905</v>
      </c>
      <c r="B335" s="78"/>
      <c r="C335" s="78"/>
      <c r="D335" s="80" t="s">
        <v>74</v>
      </c>
      <c r="E335" s="80">
        <v>3</v>
      </c>
      <c r="F335" s="87">
        <v>100</v>
      </c>
      <c r="G335" s="87">
        <v>1</v>
      </c>
      <c r="H335" s="229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3"/>
        <v>51466.666666666664</v>
      </c>
      <c r="Q335" s="124">
        <f t="shared" si="20"/>
        <v>4533.3333333333339</v>
      </c>
      <c r="R335" s="161">
        <f t="shared" si="21"/>
        <v>0.919047619047619</v>
      </c>
      <c r="S335" s="188"/>
      <c r="T335" s="81"/>
      <c r="U335" s="81"/>
      <c r="V335" s="81"/>
      <c r="Y335" s="87"/>
      <c r="Z335" s="362"/>
      <c r="AA335" s="124"/>
      <c r="AB335" s="124"/>
    </row>
    <row r="336" spans="1:29" s="80" customFormat="1">
      <c r="A336" s="190">
        <v>42905</v>
      </c>
      <c r="B336" s="78"/>
      <c r="C336" s="78"/>
      <c r="D336" s="80" t="s">
        <v>74</v>
      </c>
      <c r="E336" s="80">
        <v>3</v>
      </c>
      <c r="F336" s="87" t="s">
        <v>203</v>
      </c>
      <c r="G336" s="87">
        <v>1</v>
      </c>
      <c r="H336" s="229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3"/>
        <v>500</v>
      </c>
      <c r="Q336" s="124">
        <f t="shared" si="20"/>
        <v>21833.333333333332</v>
      </c>
      <c r="R336" s="161">
        <f t="shared" si="21"/>
        <v>2.2388059701492539E-2</v>
      </c>
      <c r="S336" s="188"/>
      <c r="T336" s="81"/>
      <c r="U336" s="81"/>
      <c r="V336" s="81"/>
      <c r="Y336" s="87"/>
      <c r="Z336" s="362"/>
      <c r="AA336" s="124"/>
      <c r="AB336" s="124"/>
    </row>
    <row r="337" spans="1:29" s="80" customFormat="1">
      <c r="A337" s="190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29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3"/>
        <v>0</v>
      </c>
      <c r="Q337" s="124">
        <f t="shared" si="20"/>
        <v>0</v>
      </c>
      <c r="R337" s="161" t="e">
        <f t="shared" si="21"/>
        <v>#DIV/0!</v>
      </c>
      <c r="S337" s="189" t="str">
        <f>D337</f>
        <v>HL-6 Ambient</v>
      </c>
      <c r="T337" s="81"/>
      <c r="U337" s="81"/>
      <c r="V337" s="81"/>
      <c r="Y337" s="87" t="str">
        <f>D337</f>
        <v>HL-6 Ambient</v>
      </c>
      <c r="Z337" s="353">
        <f>(SUMIFS($P$253:$P$316, $D$253:$D$316, Y337, $F$253:$F$316, "&lt;200"))+(SUMIFS($Q$253:$Q$316, $D$253:$D$316, Y337, $F$253:$F$316, "&lt;200"))</f>
        <v>55666.666666666672</v>
      </c>
      <c r="AA337" s="124">
        <f>SUM(P337:Q340)</f>
        <v>39433.333333333343</v>
      </c>
      <c r="AB337" s="124">
        <f>SUMIFS(Collection!O:O, Collection!B:B, "*" &amp; 'Bucket Counts'!Y337 &amp; "*", Collection!A:A, "&lt;" &amp; 'Bucket Counts'!A337,Collection!A:A,  "&gt;=" &amp; 'Bucket Counts'!$A$253)</f>
        <v>0</v>
      </c>
      <c r="AC337" s="161">
        <f>AA337/(Z337+AB337)</f>
        <v>0.7083832335329342</v>
      </c>
    </row>
    <row r="338" spans="1:29" s="80" customFormat="1">
      <c r="A338" s="190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29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3"/>
        <v>0</v>
      </c>
      <c r="Q338" s="124">
        <f t="shared" si="20"/>
        <v>0</v>
      </c>
      <c r="R338" s="161" t="e">
        <f t="shared" si="21"/>
        <v>#DIV/0!</v>
      </c>
      <c r="S338" s="187">
        <f>(SUM(P337:P340)/(SUM(P337:Q340)))</f>
        <v>0.95266272189349099</v>
      </c>
      <c r="T338" s="81"/>
      <c r="Y338" s="87"/>
      <c r="Z338" s="362"/>
      <c r="AA338" s="124"/>
      <c r="AB338" s="124"/>
    </row>
    <row r="339" spans="1:29" s="80" customFormat="1">
      <c r="A339" s="190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29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3"/>
        <v>37066.666666666672</v>
      </c>
      <c r="Q339" s="124">
        <f t="shared" si="20"/>
        <v>533.33333333333326</v>
      </c>
      <c r="R339" s="161">
        <f t="shared" si="21"/>
        <v>0.98581560283687941</v>
      </c>
      <c r="S339" s="188"/>
      <c r="T339" s="81"/>
      <c r="Y339" s="87"/>
      <c r="Z339" s="362"/>
      <c r="AA339" s="124"/>
      <c r="AB339" s="124"/>
    </row>
    <row r="340" spans="1:29" s="80" customFormat="1">
      <c r="A340" s="190">
        <v>42905</v>
      </c>
      <c r="B340" s="78"/>
      <c r="C340" s="78"/>
      <c r="D340" s="80" t="s">
        <v>119</v>
      </c>
      <c r="E340" s="80">
        <v>3</v>
      </c>
      <c r="F340" s="87" t="s">
        <v>203</v>
      </c>
      <c r="G340" s="87">
        <v>1</v>
      </c>
      <c r="H340" s="229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3"/>
        <v>500</v>
      </c>
      <c r="Q340" s="124">
        <f t="shared" si="20"/>
        <v>1333.3333333333333</v>
      </c>
      <c r="R340" s="161">
        <f t="shared" si="21"/>
        <v>0.27272727272727276</v>
      </c>
      <c r="S340" s="188"/>
      <c r="T340" s="81"/>
      <c r="Y340" s="87"/>
      <c r="Z340" s="362"/>
      <c r="AA340" s="124"/>
      <c r="AB340" s="124"/>
    </row>
    <row r="341" spans="1:29" s="80" customFormat="1">
      <c r="A341" s="190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29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3"/>
        <v>0</v>
      </c>
      <c r="Q341" s="124">
        <f t="shared" si="20"/>
        <v>0</v>
      </c>
      <c r="R341" s="161" t="e">
        <f t="shared" si="21"/>
        <v>#DIV/0!</v>
      </c>
      <c r="S341" s="186" t="str">
        <f>D341</f>
        <v>HL-6 Low</v>
      </c>
      <c r="T341" s="81"/>
      <c r="Y341" s="87" t="str">
        <f>D341</f>
        <v>HL-6 Low</v>
      </c>
      <c r="Z341" s="353">
        <f>(SUMIFS($P$253:$P$316, $D$253:$D$316, Y341, $F$253:$F$316, "&lt;200"))+(SUMIFS($Q$253:$Q$316, $D$253:$D$316, Y341, $F$253:$F$316, "&lt;200"))</f>
        <v>28333.333333333332</v>
      </c>
      <c r="AA341" s="124">
        <f>SUM(P341:Q344)</f>
        <v>114666.66666666667</v>
      </c>
      <c r="AB341" s="124">
        <f>SUMIFS(Collection!O:O, Collection!B:B, "*" &amp; 'Bucket Counts'!Y341 &amp; "*", Collection!A:A, "&lt;" &amp; 'Bucket Counts'!A341,Collection!A:A,  "&gt;=" &amp; 'Bucket Counts'!$A$253)</f>
        <v>111816.66666666666</v>
      </c>
      <c r="AC341" s="161">
        <f>AA341/(Z341+AB341)</f>
        <v>0.8181710072541325</v>
      </c>
    </row>
    <row r="342" spans="1:29" s="80" customFormat="1">
      <c r="A342" s="190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29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3"/>
        <v>0</v>
      </c>
      <c r="Q342" s="124">
        <f t="shared" si="20"/>
        <v>0</v>
      </c>
      <c r="R342" s="161" t="e">
        <f t="shared" si="21"/>
        <v>#DIV/0!</v>
      </c>
      <c r="S342" s="187">
        <f>(SUM(P341:P344)/(SUM(P341:Q344)))</f>
        <v>0.89680232558139539</v>
      </c>
      <c r="T342" s="81"/>
      <c r="Y342" s="87"/>
      <c r="Z342" s="362"/>
      <c r="AA342" s="124"/>
      <c r="AB342" s="124"/>
    </row>
    <row r="343" spans="1:29" s="80" customFormat="1">
      <c r="A343" s="190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29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3"/>
        <v>77333.333333333343</v>
      </c>
      <c r="Q343" s="124">
        <f t="shared" si="20"/>
        <v>0</v>
      </c>
      <c r="R343" s="161">
        <f t="shared" si="21"/>
        <v>1</v>
      </c>
      <c r="S343" s="185"/>
      <c r="T343" s="81"/>
      <c r="Y343" s="87"/>
      <c r="Z343" s="362"/>
      <c r="AA343" s="124"/>
      <c r="AB343" s="124"/>
    </row>
    <row r="344" spans="1:29" s="80" customFormat="1" ht="14" customHeight="1">
      <c r="A344" s="190">
        <v>42905</v>
      </c>
      <c r="B344" s="78"/>
      <c r="C344" s="78"/>
      <c r="D344" s="79" t="s">
        <v>21</v>
      </c>
      <c r="E344" s="80">
        <v>4</v>
      </c>
      <c r="F344" s="87" t="s">
        <v>203</v>
      </c>
      <c r="G344" s="87">
        <v>1</v>
      </c>
      <c r="H344" s="229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0"/>
        <v>11833.333333333334</v>
      </c>
      <c r="R344" s="161">
        <f t="shared" si="21"/>
        <v>0.68303571428571419</v>
      </c>
      <c r="S344" s="188"/>
      <c r="T344" s="81"/>
      <c r="Y344" s="87"/>
      <c r="Z344" s="362"/>
      <c r="AA344" s="124"/>
      <c r="AB344" s="124"/>
    </row>
    <row r="345" spans="1:29" s="80" customFormat="1">
      <c r="A345" s="190">
        <v>42905</v>
      </c>
      <c r="B345" s="78"/>
      <c r="C345" s="78"/>
      <c r="D345" s="79" t="s">
        <v>83</v>
      </c>
      <c r="E345" s="80">
        <v>4</v>
      </c>
      <c r="F345" s="87">
        <v>224</v>
      </c>
      <c r="G345" s="87">
        <v>1</v>
      </c>
      <c r="H345" s="229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>(AVERAGE(I345,K345,M345)/G345)*H345</f>
        <v>170</v>
      </c>
      <c r="Q345" s="124">
        <f>(AVERAGE(J345,L345,N345)/G345)*H345</f>
        <v>6290</v>
      </c>
      <c r="R345" s="161">
        <f t="shared" si="21"/>
        <v>2.6315789473684209E-2</v>
      </c>
      <c r="S345" s="189" t="str">
        <f>D345</f>
        <v>NF-10 Low</v>
      </c>
      <c r="T345" s="81"/>
      <c r="Y345" s="87" t="str">
        <f>D345</f>
        <v>NF-10 Low</v>
      </c>
      <c r="Z345" s="353">
        <f>(SUMIFS($P$253:$P$316, $D$253:$D$316, Y345, $F$253:$F$316, "&lt;200"))+(SUMIFS($Q$253:$Q$316, $D$253:$D$316, Y345, $F$253:$F$316, "&lt;200"))</f>
        <v>27083.333333333332</v>
      </c>
      <c r="AA345" s="124">
        <f>SUM(P345:Q348)</f>
        <v>35666.666666666664</v>
      </c>
      <c r="AB345" s="124">
        <f>SUMIFS(Collection!O:O, Collection!B:B, "*" &amp; 'Bucket Counts'!Y345 &amp; "*", Collection!A:A, "&lt;" &amp; 'Bucket Counts'!A345,Collection!A:A,  "&gt;=" &amp; 'Bucket Counts'!$A$253)</f>
        <v>0</v>
      </c>
      <c r="AC345" s="161">
        <f>AA345/(Z345+AB345)</f>
        <v>1.3169230769230769</v>
      </c>
    </row>
    <row r="346" spans="1:29" s="80" customFormat="1">
      <c r="A346" s="190">
        <v>42905</v>
      </c>
      <c r="B346" s="78"/>
      <c r="C346" s="78"/>
      <c r="D346" s="79" t="s">
        <v>83</v>
      </c>
      <c r="E346" s="80">
        <v>4</v>
      </c>
      <c r="F346" s="87">
        <v>180</v>
      </c>
      <c r="G346" s="87">
        <v>1</v>
      </c>
      <c r="H346" s="229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>(AVERAGE(I346,K346,M346)/G346)*H346</f>
        <v>1040</v>
      </c>
      <c r="Q346" s="124">
        <f>(AVERAGE(J346,L346,N346)/G346)*H346</f>
        <v>26520</v>
      </c>
      <c r="R346" s="161">
        <f t="shared" si="21"/>
        <v>3.7735849056603772E-2</v>
      </c>
      <c r="S346" s="187">
        <f>(SUM(P345:P348)/(SUM(P345:Q348)))</f>
        <v>3.3925233644859817E-2</v>
      </c>
      <c r="T346" s="81"/>
      <c r="Y346" s="87"/>
      <c r="Z346" s="362"/>
      <c r="AA346" s="124"/>
      <c r="AB346" s="124"/>
    </row>
    <row r="347" spans="1:29" s="80" customFormat="1">
      <c r="A347" s="190">
        <v>42905</v>
      </c>
      <c r="B347" s="78"/>
      <c r="C347" s="78"/>
      <c r="D347" s="79" t="s">
        <v>83</v>
      </c>
      <c r="E347" s="80">
        <v>4</v>
      </c>
      <c r="F347" s="87">
        <v>100</v>
      </c>
      <c r="G347" s="87">
        <v>1</v>
      </c>
      <c r="H347" s="229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ref="P347:P363" si="24">(AVERAGE(I347,K347,M347)/G347)*H347</f>
        <v>0</v>
      </c>
      <c r="Q347" s="124">
        <f t="shared" si="20"/>
        <v>880</v>
      </c>
      <c r="R347" s="161">
        <f t="shared" si="21"/>
        <v>0</v>
      </c>
      <c r="S347" s="188"/>
      <c r="T347" s="81"/>
      <c r="Y347" s="87"/>
      <c r="Z347" s="362"/>
      <c r="AA347" s="124"/>
      <c r="AB347" s="124"/>
    </row>
    <row r="348" spans="1:29" s="80" customFormat="1">
      <c r="A348" s="190">
        <v>42905</v>
      </c>
      <c r="B348" s="78"/>
      <c r="C348" s="78"/>
      <c r="D348" s="79" t="s">
        <v>83</v>
      </c>
      <c r="E348" s="80">
        <v>4</v>
      </c>
      <c r="F348" s="87" t="s">
        <v>203</v>
      </c>
      <c r="G348" s="87">
        <v>1</v>
      </c>
      <c r="H348" s="229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24"/>
        <v>0</v>
      </c>
      <c r="Q348" s="124">
        <f t="shared" si="20"/>
        <v>766.66666666666674</v>
      </c>
      <c r="R348" s="161">
        <f t="shared" si="21"/>
        <v>0</v>
      </c>
      <c r="S348" s="188"/>
      <c r="T348" s="81"/>
      <c r="Y348" s="87"/>
      <c r="Z348" s="362"/>
      <c r="AA348" s="124"/>
      <c r="AB348" s="124"/>
    </row>
    <row r="349" spans="1:29" s="80" customFormat="1">
      <c r="A349" s="190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24"/>
        <v>5166.666666666667</v>
      </c>
      <c r="Q349" s="124">
        <f t="shared" si="20"/>
        <v>0</v>
      </c>
      <c r="R349" s="161">
        <f t="shared" si="21"/>
        <v>1</v>
      </c>
      <c r="S349" s="189" t="str">
        <f>D349</f>
        <v>SN-6 Ambient</v>
      </c>
      <c r="Y349" s="87" t="str">
        <f>D349</f>
        <v>SN-6 Ambient</v>
      </c>
      <c r="Z349" s="353">
        <f>(SUMIFS($P$253:$P$316, $D$253:$D$316, Y349, $F$253:$F$316, "&lt;200"))+(SUMIFS($Q$253:$Q$316, $D$253:$D$316, Y349, $F$253:$F$316, "&lt;200"))</f>
        <v>38335</v>
      </c>
      <c r="AA349" s="124">
        <f>SUM(P349:Q352)</f>
        <v>133753.33333333334</v>
      </c>
      <c r="AB349" s="124">
        <f>SUMIFS(Collection!O:O, Collection!B:B, "*" &amp; 'Bucket Counts'!Y349 &amp; "*", Collection!A:A, "&lt;" &amp; 'Bucket Counts'!A349,Collection!A:A,  "&gt;=" &amp; 'Bucket Counts'!$A$253)</f>
        <v>124133.33333333333</v>
      </c>
      <c r="AC349" s="161">
        <f>AA349/(Z349+AB349)</f>
        <v>0.82325786563535475</v>
      </c>
    </row>
    <row r="350" spans="1:29" s="80" customFormat="1">
      <c r="A350" s="190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24"/>
        <v>14133.333333333334</v>
      </c>
      <c r="Q350" s="124">
        <f t="shared" si="20"/>
        <v>533.33333333333326</v>
      </c>
      <c r="R350" s="161">
        <f t="shared" si="21"/>
        <v>0.96363636363636362</v>
      </c>
      <c r="S350" s="187">
        <f>(SUM(P349:P352)/(SUM(P349:Q352)))</f>
        <v>0.41571549618701092</v>
      </c>
      <c r="Y350" s="87"/>
      <c r="Z350" s="362"/>
      <c r="AA350" s="124"/>
      <c r="AB350" s="124"/>
    </row>
    <row r="351" spans="1:29" s="80" customFormat="1">
      <c r="A351" s="190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24"/>
        <v>34833.333333333336</v>
      </c>
      <c r="Q351" s="124">
        <f t="shared" si="20"/>
        <v>1666.6666666666667</v>
      </c>
      <c r="R351" s="161">
        <f t="shared" si="21"/>
        <v>0.95433789954337911</v>
      </c>
      <c r="S351" s="188"/>
      <c r="Y351" s="87"/>
      <c r="Z351" s="362"/>
      <c r="AA351" s="124"/>
      <c r="AB351" s="124"/>
    </row>
    <row r="352" spans="1:29" s="80" customFormat="1">
      <c r="A352" s="190">
        <v>42905</v>
      </c>
      <c r="B352" s="78"/>
      <c r="C352" s="78"/>
      <c r="D352" s="80" t="s">
        <v>87</v>
      </c>
      <c r="E352" s="80">
        <v>5</v>
      </c>
      <c r="F352" s="87" t="s">
        <v>203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24"/>
        <v>1470</v>
      </c>
      <c r="Q352" s="124">
        <f t="shared" si="20"/>
        <v>75950</v>
      </c>
      <c r="R352" s="161">
        <f t="shared" si="21"/>
        <v>1.8987341772151899E-2</v>
      </c>
      <c r="S352" s="188"/>
      <c r="Y352" s="87"/>
      <c r="Z352" s="362"/>
      <c r="AA352" s="124"/>
      <c r="AB352" s="124"/>
    </row>
    <row r="353" spans="1:29" s="80" customFormat="1">
      <c r="A353" s="190">
        <v>42905</v>
      </c>
      <c r="B353" s="78"/>
      <c r="C353" s="78"/>
      <c r="D353" s="80" t="s">
        <v>20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24"/>
        <v>100</v>
      </c>
      <c r="Q353" s="124">
        <f t="shared" si="20"/>
        <v>0</v>
      </c>
      <c r="R353" s="161">
        <f t="shared" si="21"/>
        <v>1</v>
      </c>
      <c r="S353" s="189" t="str">
        <f>D353</f>
        <v>K-10 Low</v>
      </c>
      <c r="T353" s="81"/>
      <c r="U353" s="81"/>
      <c r="V353" s="81"/>
      <c r="Y353" s="87" t="str">
        <f>D353</f>
        <v>K-10 Low</v>
      </c>
      <c r="Z353" s="353">
        <f>(SUMIFS($P$253:$P$316, $D$253:$D$316, Y353, $F$253:$F$316, "&lt;200"))+(SUMIFS($Q$253:$Q$316, $D$253:$D$316, Y353, $F$253:$F$316, "&lt;200"))</f>
        <v>4083.3333333333335</v>
      </c>
      <c r="AA353" s="124">
        <f>SUM(P353:Q356)</f>
        <v>3900</v>
      </c>
      <c r="AB353" s="124">
        <f>SUMIFS(Collection!O:O, Collection!B:B, "*" &amp; 'Bucket Counts'!Y353 &amp; "*", Collection!A:A, "&lt;" &amp; 'Bucket Counts'!A353,Collection!A:A,  "&gt;=" &amp; 'Bucket Counts'!$A$253)</f>
        <v>0</v>
      </c>
      <c r="AC353" s="161">
        <f>AA353/(Z353+AB353)</f>
        <v>0.95510204081632655</v>
      </c>
    </row>
    <row r="354" spans="1:29" s="80" customFormat="1">
      <c r="A354" s="190">
        <v>42905</v>
      </c>
      <c r="B354" s="78"/>
      <c r="C354" s="78"/>
      <c r="D354" s="80" t="s">
        <v>20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24"/>
        <v>666.66666666666663</v>
      </c>
      <c r="Q354" s="124">
        <f t="shared" si="20"/>
        <v>333.33333333333331</v>
      </c>
      <c r="R354" s="161">
        <f t="shared" si="21"/>
        <v>0.66666666666666663</v>
      </c>
      <c r="S354" s="187">
        <f>(SUM(P353:P356)/(SUM(P353:Q356)))</f>
        <v>0.32478632478632474</v>
      </c>
      <c r="T354" s="81"/>
      <c r="U354" s="81"/>
      <c r="V354" s="81"/>
      <c r="Y354" s="87"/>
      <c r="Z354" s="362"/>
      <c r="AA354" s="124"/>
      <c r="AB354" s="124"/>
    </row>
    <row r="355" spans="1:29" s="80" customFormat="1">
      <c r="A355" s="190">
        <v>42905</v>
      </c>
      <c r="B355" s="78"/>
      <c r="C355" s="78"/>
      <c r="D355" s="80" t="s">
        <v>20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24"/>
        <v>500</v>
      </c>
      <c r="Q355" s="124">
        <f t="shared" si="20"/>
        <v>200</v>
      </c>
      <c r="R355" s="161">
        <f t="shared" si="21"/>
        <v>0.7142857142857143</v>
      </c>
      <c r="S355" s="188"/>
      <c r="T355" s="81"/>
      <c r="U355" s="81"/>
      <c r="V355" s="81"/>
      <c r="Y355" s="87"/>
      <c r="Z355" s="362"/>
      <c r="AA355" s="124"/>
      <c r="AB355" s="124"/>
    </row>
    <row r="356" spans="1:29" s="80" customFormat="1">
      <c r="A356" s="190">
        <v>42905</v>
      </c>
      <c r="B356" s="78"/>
      <c r="C356" s="78"/>
      <c r="D356" s="80" t="s">
        <v>20</v>
      </c>
      <c r="E356" s="80">
        <v>5</v>
      </c>
      <c r="F356" s="87" t="s">
        <v>203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24"/>
        <v>0</v>
      </c>
      <c r="Q356" s="124">
        <f t="shared" ref="Q356:Q419" si="25">(AVERAGE(J356,L356,N356)/G356)*H356</f>
        <v>2100</v>
      </c>
      <c r="R356" s="161">
        <f t="shared" ref="R356:R419" si="26">P356/(P356+Q356)</f>
        <v>0</v>
      </c>
      <c r="S356" s="188"/>
      <c r="T356" s="81"/>
      <c r="U356" s="81"/>
      <c r="V356" s="81"/>
      <c r="Y356" s="87"/>
      <c r="Z356" s="362"/>
      <c r="AA356" s="124"/>
      <c r="AB356" s="124"/>
    </row>
    <row r="357" spans="1:29" s="80" customFormat="1">
      <c r="A357" s="190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24"/>
        <v>880</v>
      </c>
      <c r="Q357" s="124">
        <f t="shared" si="25"/>
        <v>240</v>
      </c>
      <c r="R357" s="161">
        <f t="shared" si="26"/>
        <v>0.7857142857142857</v>
      </c>
      <c r="S357" s="189" t="str">
        <f>D357</f>
        <v>NF-10 Ambient</v>
      </c>
      <c r="T357" s="81"/>
      <c r="U357" s="81"/>
      <c r="V357" s="81"/>
      <c r="Y357" s="87" t="str">
        <f>D357</f>
        <v>NF-10 Ambient</v>
      </c>
      <c r="Z357" s="353">
        <f>(SUMIFS($P$253:$P$316, $D$253:$D$316, Y357, $F$253:$F$316, "&lt;200"))+(SUMIFS($Q$253:$Q$316, $D$253:$D$316, Y357, $F$253:$F$316, "&lt;200"))</f>
        <v>94049.999999999985</v>
      </c>
      <c r="AA357" s="124">
        <f>SUM(P357:Q360)</f>
        <v>146346.66666666669</v>
      </c>
      <c r="AB357" s="124">
        <f>SUMIFS(Collection!O:O, Collection!B:B, "*" &amp; 'Bucket Counts'!Y357 &amp; "*", Collection!A:A, "&lt;" &amp; 'Bucket Counts'!A357,Collection!A:A,  "&gt;=" &amp; 'Bucket Counts'!$A$253)</f>
        <v>47900</v>
      </c>
      <c r="AC357" s="161">
        <f>AA357/(Z357+AB357)</f>
        <v>1.0309733474228016</v>
      </c>
    </row>
    <row r="358" spans="1:29" s="80" customFormat="1">
      <c r="A358" s="190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24"/>
        <v>11466.666666666668</v>
      </c>
      <c r="Q358" s="124">
        <f t="shared" si="25"/>
        <v>2133.333333333333</v>
      </c>
      <c r="R358" s="161">
        <f t="shared" si="26"/>
        <v>0.8431372549019609</v>
      </c>
      <c r="S358" s="187">
        <f>(SUM(P357:P360)/(SUM(P357:Q360)))</f>
        <v>0.5056486880466472</v>
      </c>
      <c r="T358" s="81"/>
      <c r="U358" s="81"/>
      <c r="V358" s="81"/>
      <c r="Y358" s="87"/>
      <c r="Z358" s="362"/>
      <c r="AA358" s="124"/>
      <c r="AB358" s="124"/>
    </row>
    <row r="359" spans="1:29" s="80" customFormat="1">
      <c r="A359" s="190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25"/>
        <v>2933.333333333333</v>
      </c>
      <c r="R359" s="161">
        <f t="shared" si="26"/>
        <v>0.95067264573991028</v>
      </c>
      <c r="S359" s="188"/>
      <c r="T359" s="81"/>
      <c r="U359" s="81"/>
      <c r="V359" s="81"/>
      <c r="Y359" s="87"/>
      <c r="Z359" s="362"/>
      <c r="AA359" s="124"/>
      <c r="AB359" s="124"/>
    </row>
    <row r="360" spans="1:29" s="80" customFormat="1">
      <c r="A360" s="190">
        <v>42905</v>
      </c>
      <c r="B360" s="78"/>
      <c r="C360" s="78"/>
      <c r="D360" s="80" t="s">
        <v>84</v>
      </c>
      <c r="E360" s="80">
        <v>6</v>
      </c>
      <c r="F360" s="87" t="s">
        <v>203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24"/>
        <v>5120</v>
      </c>
      <c r="Q360" s="124">
        <f t="shared" si="25"/>
        <v>67040</v>
      </c>
      <c r="R360" s="161">
        <f t="shared" si="26"/>
        <v>7.0953436807095344E-2</v>
      </c>
      <c r="S360" s="188"/>
      <c r="T360" s="81"/>
      <c r="U360" s="81"/>
      <c r="V360" s="81"/>
      <c r="Y360" s="87"/>
      <c r="Z360" s="362"/>
      <c r="AA360" s="124"/>
      <c r="AB360" s="124"/>
    </row>
    <row r="361" spans="1:29" s="80" customFormat="1">
      <c r="A361" s="190">
        <v>42905</v>
      </c>
      <c r="B361" s="78"/>
      <c r="C361" s="78"/>
      <c r="D361" s="80" t="s">
        <v>109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24"/>
        <v>833.33333333333337</v>
      </c>
      <c r="Q361" s="124">
        <f t="shared" si="25"/>
        <v>0</v>
      </c>
      <c r="R361" s="161">
        <f t="shared" si="26"/>
        <v>1</v>
      </c>
      <c r="S361" s="189" t="str">
        <f>D361</f>
        <v>HL-10 Low</v>
      </c>
      <c r="T361" s="81"/>
      <c r="U361" s="81"/>
      <c r="V361" s="81"/>
      <c r="Y361" s="87" t="str">
        <f>D361</f>
        <v>HL-10 Low</v>
      </c>
      <c r="Z361" s="353">
        <f>(SUMIFS($P$253:$P$316, $D$253:$D$316, Y361, $F$253:$F$316, "&lt;200"))+(SUMIFS($Q$253:$Q$316, $D$253:$D$316, Y361, $F$253:$F$316, "&lt;200"))</f>
        <v>127125.00000000001</v>
      </c>
      <c r="AA361" s="124">
        <f>SUM(P361:Q364)</f>
        <v>144446.66666666666</v>
      </c>
      <c r="AB361" s="124">
        <f>SUMIFS(Collection!O:O, Collection!B:B, "*" &amp; 'Bucket Counts'!Y361 &amp; "*", Collection!A:A, "&lt;" &amp; 'Bucket Counts'!A361,Collection!A:A,  "&gt;=" &amp; 'Bucket Counts'!$A$253)</f>
        <v>31150</v>
      </c>
      <c r="AC361" s="161">
        <f>AA361/(Z361+AB361)</f>
        <v>0.91263096930448051</v>
      </c>
    </row>
    <row r="362" spans="1:29" s="80" customFormat="1">
      <c r="A362" s="190">
        <v>42905</v>
      </c>
      <c r="B362" s="78"/>
      <c r="C362" s="78"/>
      <c r="D362" s="80" t="s">
        <v>109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24"/>
        <v>17600</v>
      </c>
      <c r="Q362" s="124">
        <f t="shared" si="25"/>
        <v>266.66666666666663</v>
      </c>
      <c r="R362" s="161">
        <f t="shared" si="26"/>
        <v>0.9850746268656716</v>
      </c>
      <c r="S362" s="187">
        <f>(SUM(P361:P364)/(SUM(P361:Q364)))</f>
        <v>0.69109706004523008</v>
      </c>
      <c r="T362" s="81"/>
      <c r="U362" s="81"/>
      <c r="V362" s="81"/>
      <c r="Y362" s="87"/>
      <c r="Z362" s="362"/>
      <c r="AA362" s="124"/>
      <c r="AB362" s="124"/>
    </row>
    <row r="363" spans="1:29" s="80" customFormat="1">
      <c r="A363" s="190">
        <v>42905</v>
      </c>
      <c r="B363" s="78"/>
      <c r="C363" s="78"/>
      <c r="D363" s="80" t="s">
        <v>109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24"/>
        <v>74893.333333333328</v>
      </c>
      <c r="Q363" s="124">
        <f t="shared" si="25"/>
        <v>2186.6666666666665</v>
      </c>
      <c r="R363" s="161">
        <f t="shared" si="26"/>
        <v>0.97163120567375882</v>
      </c>
      <c r="S363" s="188"/>
      <c r="T363" s="81"/>
      <c r="U363" s="81"/>
      <c r="V363" s="81"/>
      <c r="Y363" s="87"/>
      <c r="Z363" s="362"/>
      <c r="AA363" s="124"/>
      <c r="AB363" s="124"/>
    </row>
    <row r="364" spans="1:29" s="80" customFormat="1">
      <c r="A364" s="190">
        <v>42905</v>
      </c>
      <c r="B364" s="78"/>
      <c r="C364" s="78"/>
      <c r="D364" s="80" t="s">
        <v>109</v>
      </c>
      <c r="E364" s="80">
        <v>6</v>
      </c>
      <c r="F364" s="87" t="s">
        <v>203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27">(AVERAGE(I364,K364,M364)/G364)*H364</f>
        <v>6500</v>
      </c>
      <c r="Q364" s="124">
        <f t="shared" si="25"/>
        <v>42166.666666666664</v>
      </c>
      <c r="R364" s="161">
        <f t="shared" si="26"/>
        <v>0.13356164383561644</v>
      </c>
      <c r="S364" s="188"/>
      <c r="T364" s="81"/>
      <c r="U364" s="81"/>
      <c r="V364" s="81"/>
      <c r="Y364" s="87"/>
      <c r="Z364" s="362"/>
      <c r="AA364" s="124"/>
      <c r="AB364" s="124"/>
    </row>
    <row r="365" spans="1:29" s="80" customFormat="1">
      <c r="A365" s="190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27"/>
        <v>2166.6666666666665</v>
      </c>
      <c r="Q365" s="124">
        <f t="shared" si="25"/>
        <v>0</v>
      </c>
      <c r="R365" s="161">
        <f t="shared" si="26"/>
        <v>1</v>
      </c>
      <c r="S365" s="189" t="str">
        <f>D365</f>
        <v>K-10 Ambient</v>
      </c>
      <c r="T365" s="81"/>
      <c r="U365" s="81"/>
      <c r="V365" s="81"/>
      <c r="Y365" s="87" t="str">
        <f>D365</f>
        <v>K-10 Ambient</v>
      </c>
      <c r="Z365" s="353">
        <f>(SUMIFS($P$253:$P$316, $D$253:$D$316, Y365, $F$253:$F$316, "&lt;200"))+(SUMIFS($Q$253:$Q$316, $D$253:$D$316, Y365, $F$253:$F$316, "&lt;200"))</f>
        <v>56000</v>
      </c>
      <c r="AA365" s="124">
        <f>SUM(P365:Q368)</f>
        <v>74500</v>
      </c>
      <c r="AB365" s="124">
        <f>SUMIFS(Collection!O:O, Collection!B:B, "*" &amp; 'Bucket Counts'!Y365 &amp; "*", Collection!A:A, "&lt;" &amp; 'Bucket Counts'!A365,Collection!A:A,  "&gt;=" &amp; 'Bucket Counts'!$A$253)</f>
        <v>30966.666666666668</v>
      </c>
      <c r="AC365" s="161">
        <f>AA365/(Z365+AB365)</f>
        <v>0.85665005749329237</v>
      </c>
    </row>
    <row r="366" spans="1:29" s="80" customFormat="1">
      <c r="A366" s="190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27"/>
        <v>8833.3333333333339</v>
      </c>
      <c r="Q366" s="124">
        <f t="shared" si="25"/>
        <v>333.33333333333331</v>
      </c>
      <c r="R366" s="161">
        <f t="shared" si="26"/>
        <v>0.96363636363636362</v>
      </c>
      <c r="S366" s="187">
        <f>(SUM(P365:P368)/(SUM(P365:Q368)))</f>
        <v>0.4787472035794183</v>
      </c>
      <c r="T366" s="81"/>
      <c r="U366" s="81"/>
      <c r="V366" s="81"/>
      <c r="Y366" s="87"/>
      <c r="Z366" s="362"/>
      <c r="AA366" s="124"/>
      <c r="AB366" s="124"/>
    </row>
    <row r="367" spans="1:29" s="80" customFormat="1">
      <c r="A367" s="190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27"/>
        <v>21000</v>
      </c>
      <c r="Q367" s="124">
        <f t="shared" si="25"/>
        <v>833.33333333333337</v>
      </c>
      <c r="R367" s="161">
        <f t="shared" si="26"/>
        <v>0.96183206106870234</v>
      </c>
      <c r="S367" s="188"/>
      <c r="T367" s="81"/>
      <c r="U367" s="81"/>
      <c r="V367" s="81"/>
      <c r="Y367" s="87"/>
      <c r="Z367" s="362"/>
      <c r="AA367" s="124"/>
      <c r="AB367" s="124"/>
    </row>
    <row r="368" spans="1:29" s="80" customFormat="1">
      <c r="A368" s="190">
        <v>42905</v>
      </c>
      <c r="B368" s="78"/>
      <c r="C368" s="78"/>
      <c r="D368" s="80" t="s">
        <v>17</v>
      </c>
      <c r="E368" s="80">
        <v>7</v>
      </c>
      <c r="F368" s="87" t="s">
        <v>203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27"/>
        <v>3666.6666666666665</v>
      </c>
      <c r="Q368" s="124">
        <f t="shared" si="25"/>
        <v>37666.666666666664</v>
      </c>
      <c r="R368" s="161">
        <f t="shared" si="26"/>
        <v>8.8709677419354843E-2</v>
      </c>
      <c r="S368" s="188"/>
      <c r="T368" s="81"/>
      <c r="U368" s="81"/>
      <c r="V368" s="81"/>
      <c r="Y368" s="87"/>
      <c r="Z368" s="362"/>
      <c r="AA368" s="124"/>
      <c r="AB368" s="124"/>
    </row>
    <row r="369" spans="1:30" s="80" customFormat="1">
      <c r="A369" s="190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27"/>
        <v>3333.3333333333335</v>
      </c>
      <c r="Q369" s="124">
        <f t="shared" si="25"/>
        <v>0</v>
      </c>
      <c r="R369" s="161">
        <f t="shared" si="26"/>
        <v>1</v>
      </c>
      <c r="S369" s="189" t="str">
        <f>D369</f>
        <v>HL-10 Ambient</v>
      </c>
      <c r="T369" s="81"/>
      <c r="U369" s="81"/>
      <c r="V369" s="81"/>
      <c r="Y369" s="87" t="str">
        <f>D369</f>
        <v>HL-10 Ambient</v>
      </c>
      <c r="Z369" s="353">
        <f>(SUMIFS($P$253:$P$316, $D$253:$D$316, Y369, $F$253:$F$316, "&lt;200"))+(SUMIFS($Q$253:$Q$316, $D$253:$D$316, Y369, $F$253:$F$316, "&lt;200"))</f>
        <v>48500</v>
      </c>
      <c r="AA369" s="124">
        <f>SUM(P369:Q372)</f>
        <v>44800</v>
      </c>
      <c r="AB369" s="124">
        <f>SUMIFS(Collection!O:O, Collection!B:B, "*" &amp; 'Bucket Counts'!Y369 &amp; "*", Collection!A:A, "&lt;" &amp; 'Bucket Counts'!A369,Collection!A:A,  "&gt;=" &amp; 'Bucket Counts'!$A$253)</f>
        <v>0</v>
      </c>
      <c r="AC369" s="161">
        <f>AA369/(Z369+AB369)</f>
        <v>0.92371134020618562</v>
      </c>
    </row>
    <row r="370" spans="1:30" s="80" customFormat="1">
      <c r="A370" s="190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27"/>
        <v>18666.666666666664</v>
      </c>
      <c r="Q370" s="124">
        <f t="shared" si="25"/>
        <v>0</v>
      </c>
      <c r="R370" s="161">
        <f t="shared" si="26"/>
        <v>1</v>
      </c>
      <c r="S370" s="187">
        <f>(SUM(P369:P372)/(SUM(P369:Q372)))</f>
        <v>0.58110119047619035</v>
      </c>
      <c r="T370" s="81"/>
      <c r="U370" s="81"/>
      <c r="V370" s="81"/>
      <c r="Y370" s="87"/>
      <c r="Z370" s="362"/>
      <c r="AA370" s="124"/>
      <c r="AB370" s="124"/>
    </row>
    <row r="371" spans="1:30" s="80" customFormat="1">
      <c r="A371" s="190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27"/>
        <v>1700</v>
      </c>
      <c r="Q371" s="124">
        <f t="shared" si="25"/>
        <v>100</v>
      </c>
      <c r="R371" s="161">
        <f t="shared" si="26"/>
        <v>0.94444444444444442</v>
      </c>
      <c r="S371" s="188"/>
      <c r="T371" s="81"/>
      <c r="U371" s="81"/>
      <c r="V371" s="81"/>
      <c r="Y371" s="87"/>
      <c r="Z371" s="362"/>
      <c r="AA371" s="124"/>
      <c r="AB371" s="124"/>
    </row>
    <row r="372" spans="1:30" s="80" customFormat="1">
      <c r="A372" s="190">
        <v>42905</v>
      </c>
      <c r="B372" s="78"/>
      <c r="C372" s="78"/>
      <c r="D372" s="80" t="s">
        <v>88</v>
      </c>
      <c r="E372" s="80">
        <v>7</v>
      </c>
      <c r="F372" s="87" t="s">
        <v>203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27"/>
        <v>2333.3333333333335</v>
      </c>
      <c r="Q372" s="124">
        <f t="shared" si="25"/>
        <v>18666.666666666668</v>
      </c>
      <c r="R372" s="161">
        <f t="shared" si="26"/>
        <v>0.11111111111111112</v>
      </c>
      <c r="S372" s="188"/>
      <c r="T372" s="81"/>
      <c r="U372" s="81"/>
      <c r="V372" s="81"/>
      <c r="Y372" s="87"/>
      <c r="Z372" s="362"/>
      <c r="AA372" s="124"/>
      <c r="AB372" s="124"/>
    </row>
    <row r="373" spans="1:30" s="80" customFormat="1">
      <c r="A373" s="190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28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25"/>
        <v>166.66666666666666</v>
      </c>
      <c r="R373" s="161">
        <f t="shared" si="26"/>
        <v>0.97402597402597402</v>
      </c>
      <c r="S373" s="189" t="str">
        <f>D373</f>
        <v>K-6 Ambient</v>
      </c>
      <c r="T373" s="81"/>
      <c r="U373" s="81"/>
      <c r="V373" s="81"/>
      <c r="Y373" s="87" t="str">
        <f>D373</f>
        <v>K-6 Ambient</v>
      </c>
      <c r="Z373" s="353">
        <f>(SUMIFS($P$253:$P$316, $D$253:$D$316, Y373, $F$253:$F$316, "&lt;200"))+(SUMIFS($Q$253:$Q$316, $D$253:$D$316, Y373, $F$253:$F$316, "&lt;200"))</f>
        <v>66200</v>
      </c>
      <c r="AA373" s="124">
        <f>SUM(P373:Q376)</f>
        <v>63973.333333333336</v>
      </c>
      <c r="AB373" s="124">
        <f>SUMIFS(Collection!O:O, Collection!B:B, "*" &amp; 'Bucket Counts'!Y373 &amp; "*", Collection!A:A, "&lt;" &amp; 'Bucket Counts'!A373,Collection!A:A,  "&gt;=" &amp; 'Bucket Counts'!$A$253)</f>
        <v>0</v>
      </c>
      <c r="AC373" s="161">
        <f>AA373/(Z373+AB373)</f>
        <v>0.96636455186304138</v>
      </c>
    </row>
    <row r="374" spans="1:30" s="80" customFormat="1">
      <c r="A374" s="190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27"/>
        <v>13520</v>
      </c>
      <c r="Q374" s="124">
        <f t="shared" si="25"/>
        <v>346.66666666666663</v>
      </c>
      <c r="R374" s="161">
        <f t="shared" si="26"/>
        <v>0.97500000000000009</v>
      </c>
      <c r="S374" s="187">
        <f>(SUM(P373:P376)/(SUM(P373:Q376)))</f>
        <v>0.63057523968320128</v>
      </c>
      <c r="T374" s="81"/>
      <c r="Y374" s="87"/>
      <c r="Z374" s="362"/>
      <c r="AA374" s="124"/>
      <c r="AB374" s="124"/>
    </row>
    <row r="375" spans="1:30" s="80" customFormat="1">
      <c r="A375" s="190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27"/>
        <v>18530</v>
      </c>
      <c r="Q375" s="124">
        <f t="shared" si="25"/>
        <v>1190</v>
      </c>
      <c r="R375" s="161">
        <f t="shared" si="26"/>
        <v>0.93965517241379315</v>
      </c>
      <c r="S375" s="188"/>
      <c r="T375" s="81"/>
      <c r="Y375" s="87"/>
      <c r="Z375" s="362"/>
      <c r="AA375" s="124"/>
      <c r="AB375" s="124"/>
    </row>
    <row r="376" spans="1:30" s="80" customFormat="1">
      <c r="A376" s="190">
        <v>42905</v>
      </c>
      <c r="B376" s="78"/>
      <c r="C376" s="78"/>
      <c r="D376" s="80" t="s">
        <v>38</v>
      </c>
      <c r="E376" s="80">
        <v>8</v>
      </c>
      <c r="F376" s="87" t="s">
        <v>203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27"/>
        <v>2040</v>
      </c>
      <c r="Q376" s="124">
        <f t="shared" si="25"/>
        <v>21930</v>
      </c>
      <c r="R376" s="161">
        <f t="shared" si="26"/>
        <v>8.5106382978723402E-2</v>
      </c>
      <c r="S376" s="188"/>
      <c r="T376" s="81"/>
      <c r="Y376" s="87"/>
      <c r="Z376" s="362"/>
      <c r="AA376" s="124"/>
      <c r="AB376" s="124"/>
    </row>
    <row r="377" spans="1:30" s="80" customFormat="1">
      <c r="A377" s="190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27"/>
        <v>0</v>
      </c>
      <c r="Q377" s="124">
        <f t="shared" si="25"/>
        <v>0</v>
      </c>
      <c r="R377" s="161" t="e">
        <f t="shared" si="26"/>
        <v>#DIV/0!</v>
      </c>
      <c r="S377" s="189" t="str">
        <f>D377</f>
        <v>K-6 Low</v>
      </c>
      <c r="T377" s="81"/>
      <c r="Y377" s="87" t="str">
        <f>D377</f>
        <v>K-6 Low</v>
      </c>
      <c r="Z377" s="353">
        <f>(SUMIFS($P$253:$P$316, $D$253:$D$316, Y377, $F$253:$F$316, "&lt;200"))+(SUMIFS($Q$253:$Q$316, $D$253:$D$316, Y377, $F$253:$F$316, "&lt;200"))</f>
        <v>33183.333333333336</v>
      </c>
      <c r="AA377" s="124">
        <f>SUM(P377:Q380)</f>
        <v>36136.666666666664</v>
      </c>
      <c r="AB377" s="124">
        <f>SUMIFS(Collection!O:O, Collection!B:B, "*" &amp; 'Bucket Counts'!Y377 &amp; "*", Collection!A:A, "&lt;" &amp; 'Bucket Counts'!A377,Collection!A:A,  "&gt;=" &amp; 'Bucket Counts'!$A$253)</f>
        <v>0</v>
      </c>
      <c r="AC377" s="161">
        <f>AA377/(Z377+AB377)</f>
        <v>1.0890005022601705</v>
      </c>
    </row>
    <row r="378" spans="1:30" s="80" customFormat="1">
      <c r="A378" s="190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27"/>
        <v>26166.666666666668</v>
      </c>
      <c r="Q378" s="124">
        <f t="shared" si="25"/>
        <v>0</v>
      </c>
      <c r="R378" s="161">
        <f t="shared" si="26"/>
        <v>1</v>
      </c>
      <c r="S378" s="187">
        <f>(SUM(P377:P380)/(SUM(P377:Q380)))</f>
        <v>0.97730836638686469</v>
      </c>
      <c r="T378" s="81"/>
      <c r="Y378" s="87"/>
      <c r="Z378" s="362"/>
      <c r="AA378" s="124"/>
      <c r="AB378" s="124"/>
    </row>
    <row r="379" spans="1:30" s="80" customFormat="1">
      <c r="A379" s="190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27"/>
        <v>8333.3333333333339</v>
      </c>
      <c r="Q379" s="124">
        <f t="shared" si="25"/>
        <v>166.66666666666666</v>
      </c>
      <c r="R379" s="161">
        <f t="shared" si="26"/>
        <v>0.98039215686274517</v>
      </c>
      <c r="S379" s="188"/>
      <c r="T379" s="81"/>
      <c r="Y379" s="87"/>
      <c r="Z379" s="362"/>
      <c r="AA379" s="124"/>
      <c r="AB379" s="124"/>
    </row>
    <row r="380" spans="1:30" s="157" customFormat="1" ht="16" thickBot="1">
      <c r="A380" s="155">
        <v>42905</v>
      </c>
      <c r="B380" s="156"/>
      <c r="C380" s="156"/>
      <c r="D380" s="236" t="s">
        <v>46</v>
      </c>
      <c r="E380" s="157">
        <v>8</v>
      </c>
      <c r="F380" s="158" t="s">
        <v>203</v>
      </c>
      <c r="G380" s="158">
        <v>1</v>
      </c>
      <c r="H380" s="157">
        <v>490</v>
      </c>
      <c r="I380" s="157">
        <v>2</v>
      </c>
      <c r="J380" s="157">
        <v>1</v>
      </c>
      <c r="K380" s="157">
        <v>3</v>
      </c>
      <c r="L380" s="157">
        <v>1</v>
      </c>
      <c r="M380" s="157">
        <v>0</v>
      </c>
      <c r="N380" s="157">
        <v>2</v>
      </c>
      <c r="P380" s="159">
        <f t="shared" si="27"/>
        <v>816.66666666666674</v>
      </c>
      <c r="Q380" s="159">
        <f t="shared" si="25"/>
        <v>653.33333333333326</v>
      </c>
      <c r="R380" s="162">
        <f t="shared" si="26"/>
        <v>0.55555555555555558</v>
      </c>
      <c r="S380" s="237"/>
      <c r="Y380" s="158"/>
      <c r="Z380" s="363"/>
      <c r="AA380" s="159"/>
      <c r="AB380" s="159"/>
    </row>
    <row r="381" spans="1:30" s="241" customFormat="1">
      <c r="A381" s="238">
        <v>42908</v>
      </c>
      <c r="B381" s="239"/>
      <c r="C381" s="239"/>
      <c r="D381" s="240" t="s">
        <v>87</v>
      </c>
      <c r="E381" s="241">
        <v>1</v>
      </c>
      <c r="F381" s="242">
        <v>224</v>
      </c>
      <c r="G381" s="242">
        <v>1</v>
      </c>
      <c r="H381" s="241">
        <v>500</v>
      </c>
      <c r="I381" s="241">
        <v>10</v>
      </c>
      <c r="J381" s="241">
        <v>0</v>
      </c>
      <c r="K381" s="241">
        <v>6</v>
      </c>
      <c r="L381" s="241">
        <v>0</v>
      </c>
      <c r="M381" s="241">
        <v>11</v>
      </c>
      <c r="N381" s="241">
        <v>1</v>
      </c>
      <c r="P381" s="243">
        <f>(AVERAGE(I381,K381,M381)/G381)*H381</f>
        <v>4500</v>
      </c>
      <c r="Q381" s="243">
        <f>(AVERAGE(J381,L381,N381)/G381)*H381</f>
        <v>166.66666666666666</v>
      </c>
      <c r="R381" s="244">
        <f t="shared" si="26"/>
        <v>0.96428571428571419</v>
      </c>
      <c r="S381" s="245" t="str">
        <f>D381</f>
        <v>SN-6 Ambient</v>
      </c>
      <c r="T381" s="246"/>
      <c r="U381" s="246"/>
      <c r="V381" s="246"/>
      <c r="Y381" s="89" t="str">
        <f>D381</f>
        <v>SN-6 Ambient</v>
      </c>
      <c r="Z381" s="352">
        <f>(SUMIFS($P$317:$P$380, $D$317:$D$380, Y381, $F$317:$F$380, "&lt;200"))+(SUMIFS($Q$317:$Q$380, $D$317:$D$380, Y381, $F$317:$F$380, "&lt;200"))</f>
        <v>51166.666666666672</v>
      </c>
      <c r="AA381" s="120">
        <f>SUM(P381:Q384)</f>
        <v>127098.33333333333</v>
      </c>
      <c r="AB381" s="120">
        <f>SUMIFS(Collection!O:O, Collection!B:B, "*" &amp; 'Bucket Counts'!Y381 &amp; "*", Collection!A:A, "&lt;" &amp; 'Bucket Counts'!A381,Collection!A:A,  "&gt;=" &amp; 'Bucket Counts'!$A$317)</f>
        <v>86020</v>
      </c>
      <c r="AC381" s="106">
        <f>AA381/(Z381+AB381)</f>
        <v>0.9264627271843715</v>
      </c>
      <c r="AD381" s="373">
        <f>AVERAGE(AC381,AC385,AC393:AC439)</f>
        <v>0.88351902590124731</v>
      </c>
    </row>
    <row r="382" spans="1:30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25"/>
        <v>350</v>
      </c>
      <c r="R382" s="106">
        <f t="shared" si="26"/>
        <v>0.97802197802197799</v>
      </c>
      <c r="S382" s="181">
        <f>(SUM(P381:P384)/(SUM(P381:Q384)))</f>
        <v>0.68373569021361413</v>
      </c>
      <c r="T382" s="65"/>
      <c r="U382" s="65"/>
      <c r="V382" s="65"/>
      <c r="Y382" s="89"/>
      <c r="Z382" s="358"/>
      <c r="AA382" s="120"/>
      <c r="AB382" s="120"/>
    </row>
    <row r="383" spans="1:30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25"/>
        <v>0</v>
      </c>
      <c r="R383" s="106">
        <f t="shared" si="26"/>
        <v>1</v>
      </c>
      <c r="S383" s="179"/>
      <c r="T383" s="65"/>
      <c r="U383" s="65"/>
      <c r="V383" s="65"/>
      <c r="Y383" s="89"/>
      <c r="Z383" s="358"/>
      <c r="AA383" s="120"/>
      <c r="AB383" s="120"/>
    </row>
    <row r="384" spans="1:30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203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28">(AVERAGE(I384,K384,M384)/G384)*H384</f>
        <v>8160</v>
      </c>
      <c r="Q384" s="120">
        <f>(AVERAGE(J384,L384,N384)/G384)*H384</f>
        <v>39680</v>
      </c>
      <c r="R384" s="106">
        <f t="shared" si="26"/>
        <v>0.1705685618729097</v>
      </c>
      <c r="S384" s="182"/>
      <c r="T384" s="65"/>
      <c r="U384" s="65"/>
      <c r="V384" s="65"/>
      <c r="Y384" s="89"/>
      <c r="Z384" s="358"/>
      <c r="AA384" s="120"/>
      <c r="AB384" s="120"/>
    </row>
    <row r="385" spans="1:31" s="62" customFormat="1">
      <c r="A385" s="134">
        <v>42908</v>
      </c>
      <c r="B385" s="60"/>
      <c r="C385" s="60"/>
      <c r="D385" s="62" t="s">
        <v>20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28"/>
        <v>0</v>
      </c>
      <c r="Q385" s="120">
        <f t="shared" si="25"/>
        <v>0</v>
      </c>
      <c r="R385" s="106" t="e">
        <f t="shared" si="26"/>
        <v>#DIV/0!</v>
      </c>
      <c r="S385" s="183" t="str">
        <f>D385</f>
        <v>K-10 Low</v>
      </c>
      <c r="T385" s="65"/>
      <c r="U385" s="65"/>
      <c r="V385" s="65"/>
      <c r="W385" s="62" t="s">
        <v>253</v>
      </c>
      <c r="Y385" s="89" t="str">
        <f>D385</f>
        <v>K-10 Low</v>
      </c>
      <c r="Z385" s="352">
        <f>(SUMIFS($P$317:$P$380, $D$317:$D$380, Y385, $F$317:$F$380, "&lt;200"))+(SUMIFS($Q$317:$Q$380, $D$317:$D$380, Y385, $F$317:$F$380, "&lt;200"))</f>
        <v>1699.9999999999998</v>
      </c>
      <c r="AA385" s="120">
        <f>SUM(P385:Q388)</f>
        <v>10896.666666666668</v>
      </c>
      <c r="AB385" s="120">
        <f>SUMIFS(Collection!O:O, Collection!B:B, "*" &amp; 'Bucket Counts'!Y385 &amp; "*", Collection!A:A, "&lt;" &amp; 'Bucket Counts'!A385,Collection!A:A,  "&gt;=" &amp; 'Bucket Counts'!$A$317)</f>
        <v>13000</v>
      </c>
      <c r="AC385" s="106">
        <f>AA385/(Z385+AB385)</f>
        <v>0.7412698412698413</v>
      </c>
    </row>
    <row r="386" spans="1:31" s="62" customFormat="1">
      <c r="A386" s="134">
        <v>42908</v>
      </c>
      <c r="B386" s="60"/>
      <c r="C386" s="60"/>
      <c r="D386" s="62" t="s">
        <v>20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28"/>
        <v>476.66666666666663</v>
      </c>
      <c r="Q386" s="120">
        <f t="shared" si="25"/>
        <v>0</v>
      </c>
      <c r="R386" s="106">
        <f t="shared" si="26"/>
        <v>1</v>
      </c>
      <c r="S386" s="181">
        <f>(SUM(P385:P388)/(SUM(P385:Q388)))</f>
        <v>0.75313551544814927</v>
      </c>
      <c r="T386" s="65"/>
      <c r="U386" s="65"/>
      <c r="V386" s="65"/>
      <c r="Y386" s="89"/>
      <c r="Z386" s="358"/>
      <c r="AA386" s="120"/>
      <c r="AB386" s="120"/>
    </row>
    <row r="387" spans="1:31" s="62" customFormat="1">
      <c r="A387" s="134">
        <v>42908</v>
      </c>
      <c r="B387" s="60"/>
      <c r="C387" s="60"/>
      <c r="D387" s="62" t="s">
        <v>20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28"/>
        <v>7400</v>
      </c>
      <c r="Q387" s="120">
        <f t="shared" si="25"/>
        <v>50</v>
      </c>
      <c r="R387" s="106">
        <f t="shared" si="26"/>
        <v>0.99328859060402686</v>
      </c>
      <c r="S387" s="182"/>
      <c r="T387" s="65"/>
      <c r="U387" s="65"/>
      <c r="V387" s="65"/>
      <c r="Y387" s="89"/>
      <c r="Z387" s="358"/>
      <c r="AA387" s="120"/>
      <c r="AB387" s="120"/>
    </row>
    <row r="388" spans="1:31" s="62" customFormat="1">
      <c r="A388" s="134">
        <v>42908</v>
      </c>
      <c r="B388" s="60"/>
      <c r="C388" s="60"/>
      <c r="D388" s="62" t="s">
        <v>20</v>
      </c>
      <c r="E388" s="137">
        <v>1</v>
      </c>
      <c r="F388" s="89" t="s">
        <v>203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28"/>
        <v>330</v>
      </c>
      <c r="Q388" s="120">
        <f t="shared" si="25"/>
        <v>2640</v>
      </c>
      <c r="R388" s="106">
        <f t="shared" si="26"/>
        <v>0.1111111111111111</v>
      </c>
      <c r="S388" s="182"/>
      <c r="T388" s="65"/>
      <c r="U388" s="65"/>
      <c r="V388" s="65"/>
      <c r="Y388" s="89"/>
      <c r="Z388" s="358"/>
      <c r="AA388" s="120"/>
      <c r="AB388" s="120"/>
    </row>
    <row r="389" spans="1:31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28"/>
        <v>758.33333333333337</v>
      </c>
      <c r="Q389" s="120">
        <f t="shared" si="25"/>
        <v>325</v>
      </c>
      <c r="R389" s="106">
        <f t="shared" si="26"/>
        <v>0.7</v>
      </c>
      <c r="S389" s="183" t="str">
        <f>D389</f>
        <v>NF-10 Ambient</v>
      </c>
      <c r="T389" s="65"/>
      <c r="U389" s="65"/>
      <c r="V389" s="65"/>
      <c r="Y389" s="89" t="str">
        <f>D389</f>
        <v>NF-10 Ambient</v>
      </c>
      <c r="Z389" s="352">
        <f>(SUMIFS($P$317:$P$380, $D$317:$D$380, Y389, $F$317:$F$380, "&lt;200"))+(SUMIFS($Q$317:$Q$380, $D$317:$D$380, Y389, $F$317:$F$380, "&lt;200"))</f>
        <v>73066.666666666672</v>
      </c>
      <c r="AA389" s="120">
        <f>SUM(P389:Q392)</f>
        <v>34150</v>
      </c>
      <c r="AB389" s="120">
        <f>SUMIFS(Collection!O:O, Collection!B:B, "*" &amp; 'Bucket Counts'!Y389 &amp; "*", Collection!A:A, "&lt;" &amp; 'Bucket Counts'!A389,Collection!A:A,  "&gt;=" &amp; 'Bucket Counts'!$A$317)</f>
        <v>0</v>
      </c>
      <c r="AC389" s="106">
        <f>AA389/(Z389+AB389)</f>
        <v>0.46738138686131386</v>
      </c>
      <c r="AD389" s="374">
        <f>0.94*Z389-AA389</f>
        <v>34532.666666666672</v>
      </c>
      <c r="AE389" s="62" t="s">
        <v>372</v>
      </c>
    </row>
    <row r="390" spans="1:31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28"/>
        <v>8400</v>
      </c>
      <c r="Q390" s="120">
        <f t="shared" si="25"/>
        <v>2625</v>
      </c>
      <c r="R390" s="106">
        <f t="shared" si="26"/>
        <v>0.76190476190476186</v>
      </c>
      <c r="S390" s="181">
        <f>(SUM(P389:P392)/(SUM(P389:Q392)))</f>
        <v>0.71327476817959989</v>
      </c>
      <c r="T390" s="65"/>
      <c r="U390" s="65"/>
      <c r="V390" s="65"/>
      <c r="Y390" s="89"/>
      <c r="Z390" s="358"/>
      <c r="AA390" s="120"/>
      <c r="AB390" s="120"/>
    </row>
    <row r="391" spans="1:31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28"/>
        <v>14700</v>
      </c>
      <c r="Q391" s="120">
        <f t="shared" si="25"/>
        <v>175</v>
      </c>
      <c r="R391" s="106">
        <f t="shared" si="26"/>
        <v>0.9882352941176471</v>
      </c>
      <c r="S391" s="182"/>
      <c r="T391" s="65"/>
      <c r="U391" s="65"/>
      <c r="V391" s="65"/>
      <c r="Y391" s="89"/>
      <c r="Z391" s="358"/>
      <c r="AA391" s="120"/>
      <c r="AB391" s="120"/>
    </row>
    <row r="392" spans="1:31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203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25"/>
        <v>6666.666666666667</v>
      </c>
      <c r="R392" s="106">
        <f t="shared" si="26"/>
        <v>6.9767441860465115E-2</v>
      </c>
      <c r="S392" s="182"/>
      <c r="T392" s="65"/>
      <c r="U392" s="65"/>
      <c r="V392" s="65"/>
      <c r="Y392" s="89"/>
      <c r="Z392" s="358"/>
      <c r="AA392" s="120"/>
      <c r="AB392" s="120"/>
    </row>
    <row r="393" spans="1:31" s="62" customFormat="1">
      <c r="A393" s="134">
        <v>42908</v>
      </c>
      <c r="B393" s="60"/>
      <c r="C393" s="60"/>
      <c r="D393" s="61" t="s">
        <v>109</v>
      </c>
      <c r="E393" s="62">
        <v>2</v>
      </c>
      <c r="F393" s="89">
        <v>224</v>
      </c>
      <c r="G393" s="89">
        <v>1</v>
      </c>
      <c r="H393" s="151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25"/>
        <v>108.33333333333333</v>
      </c>
      <c r="R393" s="106">
        <f t="shared" si="26"/>
        <v>0.9</v>
      </c>
      <c r="S393" s="183" t="str">
        <f>D393</f>
        <v>HL-10 Low</v>
      </c>
      <c r="T393" s="65"/>
      <c r="U393" s="65"/>
      <c r="V393" s="65"/>
      <c r="Y393" s="89" t="str">
        <f>D393</f>
        <v>HL-10 Low</v>
      </c>
      <c r="Z393" s="352">
        <f>(SUMIFS($P$317:$P$380, $D$317:$D$380, Y393, $F$317:$F$380, "&lt;200"))+(SUMIFS($Q$317:$Q$380, $D$317:$D$380, Y393, $F$317:$F$380, "&lt;200"))</f>
        <v>94946.666666666657</v>
      </c>
      <c r="AA393" s="120">
        <f>SUM(P393:Q396)</f>
        <v>100350</v>
      </c>
      <c r="AB393" s="120">
        <f>SUMIFS(Collection!O:O, Collection!B:B, "*" &amp; 'Bucket Counts'!Y393 &amp; "*", Collection!A:A, "&lt;" &amp; 'Bucket Counts'!A393,Collection!A:A,  "&gt;=" &amp; 'Bucket Counts'!$A$317)</f>
        <v>125</v>
      </c>
      <c r="AC393" s="106">
        <f>AA393/(Z393+AB393)</f>
        <v>1.0555195203618324</v>
      </c>
    </row>
    <row r="394" spans="1:31" s="62" customFormat="1">
      <c r="A394" s="134">
        <v>42908</v>
      </c>
      <c r="B394" s="60"/>
      <c r="C394" s="60"/>
      <c r="D394" s="61" t="s">
        <v>109</v>
      </c>
      <c r="E394" s="62">
        <v>2</v>
      </c>
      <c r="F394" s="89">
        <v>180</v>
      </c>
      <c r="G394" s="89">
        <v>1</v>
      </c>
      <c r="H394" s="151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29">(AVERAGE(I394,K394,M394)/G394)*H394</f>
        <v>8100</v>
      </c>
      <c r="Q394" s="120">
        <f t="shared" si="25"/>
        <v>0</v>
      </c>
      <c r="R394" s="106">
        <f t="shared" si="26"/>
        <v>1</v>
      </c>
      <c r="S394" s="181">
        <f>(SUM(P393:P396)/(SUM(P393:Q396)))</f>
        <v>0.76474007639926922</v>
      </c>
      <c r="T394" s="65"/>
      <c r="U394" s="65"/>
      <c r="V394" s="65"/>
      <c r="Y394" s="89"/>
      <c r="Z394" s="358"/>
      <c r="AA394" s="120"/>
      <c r="AB394" s="120"/>
    </row>
    <row r="395" spans="1:31" s="62" customFormat="1">
      <c r="A395" s="134">
        <v>42908</v>
      </c>
      <c r="B395" s="60"/>
      <c r="C395" s="60"/>
      <c r="D395" s="61" t="s">
        <v>109</v>
      </c>
      <c r="E395" s="62">
        <v>2</v>
      </c>
      <c r="F395" s="89">
        <v>100</v>
      </c>
      <c r="G395" s="89">
        <v>1</v>
      </c>
      <c r="H395" s="151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29"/>
        <v>67500</v>
      </c>
      <c r="Q395" s="120">
        <f t="shared" si="25"/>
        <v>9333.3333333333339</v>
      </c>
      <c r="R395" s="106">
        <f t="shared" si="26"/>
        <v>0.87852494577006512</v>
      </c>
      <c r="S395" s="182"/>
      <c r="T395" s="65"/>
      <c r="U395" s="65"/>
      <c r="V395" s="65"/>
      <c r="Y395" s="89"/>
      <c r="Z395" s="358"/>
      <c r="AA395" s="120"/>
      <c r="AB395" s="120"/>
    </row>
    <row r="396" spans="1:31" s="62" customFormat="1">
      <c r="A396" s="134">
        <v>42908</v>
      </c>
      <c r="B396" s="60"/>
      <c r="C396" s="60"/>
      <c r="D396" s="61" t="s">
        <v>109</v>
      </c>
      <c r="E396" s="62">
        <v>2</v>
      </c>
      <c r="F396" s="89" t="s">
        <v>203</v>
      </c>
      <c r="G396" s="89">
        <v>1</v>
      </c>
      <c r="H396" s="151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29"/>
        <v>166.66666666666666</v>
      </c>
      <c r="Q396" s="120">
        <f t="shared" si="25"/>
        <v>14166.666666666666</v>
      </c>
      <c r="R396" s="106">
        <f t="shared" si="26"/>
        <v>1.1627906976744186E-2</v>
      </c>
      <c r="S396" s="182"/>
      <c r="T396" s="65"/>
      <c r="U396" s="65"/>
      <c r="V396" s="65"/>
      <c r="Y396" s="89"/>
      <c r="Z396" s="358"/>
      <c r="AA396" s="120"/>
      <c r="AB396" s="120"/>
    </row>
    <row r="397" spans="1:31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29"/>
        <v>666.66666666666674</v>
      </c>
      <c r="Q397" s="120">
        <f t="shared" si="25"/>
        <v>0</v>
      </c>
      <c r="R397" s="106">
        <f t="shared" si="26"/>
        <v>1</v>
      </c>
      <c r="S397" s="183" t="str">
        <f>D397</f>
        <v>K-10 Ambient</v>
      </c>
      <c r="T397" s="65"/>
      <c r="U397" s="65"/>
      <c r="V397" s="65"/>
      <c r="Y397" s="89" t="str">
        <f>D397</f>
        <v>K-10 Ambient</v>
      </c>
      <c r="Z397" s="352">
        <f>(SUMIFS($P$317:$P$380, $D$317:$D$380, Y397, $F$317:$F$380, "&lt;200"))+(SUMIFS($Q$317:$Q$380, $D$317:$D$380, Y397, $F$317:$F$380, "&lt;200"))</f>
        <v>31000.000000000004</v>
      </c>
      <c r="AA397" s="120">
        <f>SUM(P397:Q400)</f>
        <v>34370</v>
      </c>
      <c r="AB397" s="120">
        <f>SUMIFS(Collection!O:O, Collection!B:B, "*" &amp; 'Bucket Counts'!Y397 &amp; "*", Collection!A:A, "&lt;" &amp; 'Bucket Counts'!A397,Collection!A:A,  "&gt;=" &amp; 'Bucket Counts'!$A$317)</f>
        <v>0</v>
      </c>
      <c r="AC397" s="106">
        <f>AA397/(Z397+AB397)</f>
        <v>1.1087096774193548</v>
      </c>
    </row>
    <row r="398" spans="1:31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29"/>
        <v>7900</v>
      </c>
      <c r="Q398" s="120">
        <f t="shared" si="25"/>
        <v>0</v>
      </c>
      <c r="R398" s="106">
        <f t="shared" si="26"/>
        <v>1</v>
      </c>
      <c r="S398" s="181">
        <f>(SUM(P397:P400)/(SUM(P397:Q400)))</f>
        <v>0.81369411308311501</v>
      </c>
      <c r="T398" s="65"/>
      <c r="U398" s="65"/>
      <c r="V398" s="65"/>
      <c r="Y398" s="89"/>
      <c r="Z398" s="358"/>
      <c r="AA398" s="120"/>
      <c r="AB398" s="120"/>
    </row>
    <row r="399" spans="1:31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29"/>
        <v>19400</v>
      </c>
      <c r="Q399" s="120">
        <f t="shared" si="25"/>
        <v>500</v>
      </c>
      <c r="R399" s="106">
        <f t="shared" si="26"/>
        <v>0.97487437185929648</v>
      </c>
      <c r="S399" s="182"/>
      <c r="T399" s="65"/>
      <c r="U399" s="65"/>
      <c r="V399" s="65"/>
      <c r="Y399" s="89"/>
      <c r="Z399" s="358"/>
      <c r="AA399" s="120"/>
      <c r="AB399" s="120"/>
    </row>
    <row r="400" spans="1:31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203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29"/>
        <v>0</v>
      </c>
      <c r="Q400" s="120">
        <f t="shared" si="25"/>
        <v>5903.3333333333339</v>
      </c>
      <c r="R400" s="106">
        <f t="shared" si="26"/>
        <v>0</v>
      </c>
      <c r="S400" s="182"/>
      <c r="T400" s="65"/>
      <c r="U400" s="65"/>
      <c r="V400" s="65"/>
      <c r="Y400" s="89"/>
      <c r="Z400" s="358"/>
      <c r="AA400" s="120"/>
      <c r="AB400" s="120"/>
    </row>
    <row r="401" spans="1:29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29"/>
        <v>2996.6666666666665</v>
      </c>
      <c r="Q401" s="120">
        <f t="shared" si="25"/>
        <v>0</v>
      </c>
      <c r="R401" s="106">
        <f t="shared" si="26"/>
        <v>1</v>
      </c>
      <c r="S401" s="183" t="str">
        <f>D401</f>
        <v>HL-10 Ambient</v>
      </c>
      <c r="T401" s="65"/>
      <c r="U401" s="65"/>
      <c r="V401" s="65"/>
      <c r="Y401" s="89" t="str">
        <f>D401</f>
        <v>HL-10 Ambient</v>
      </c>
      <c r="Z401" s="352">
        <f>(SUMIFS($P$317:$P$380, $D$317:$D$380, Y401, $F$317:$F$380, "&lt;200"))+(SUMIFS($Q$317:$Q$380, $D$317:$D$380, Y401, $F$317:$F$380, "&lt;200"))</f>
        <v>20466.666666666664</v>
      </c>
      <c r="AA401" s="120">
        <f>SUM(P401:Q404)</f>
        <v>51856.666666666664</v>
      </c>
      <c r="AB401" s="120">
        <f>SUMIFS(Collection!O:O, Collection!B:B, "*" &amp; 'Bucket Counts'!Y401 &amp; "*", Collection!A:A, "&lt;" &amp; 'Bucket Counts'!A401,Collection!A:A,  "&gt;=" &amp; 'Bucket Counts'!$A$317)</f>
        <v>53456.666666666672</v>
      </c>
      <c r="AC401" s="106">
        <f>AA401/(Z401+AB401)</f>
        <v>0.70149253731343275</v>
      </c>
    </row>
    <row r="402" spans="1:29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29"/>
        <v>9743.3333333333339</v>
      </c>
      <c r="Q402" s="120">
        <f t="shared" si="25"/>
        <v>0</v>
      </c>
      <c r="R402" s="106">
        <f t="shared" si="26"/>
        <v>1</v>
      </c>
      <c r="S402" s="181">
        <f>(SUM(P401:P404)/(SUM(P401:Q404)))</f>
        <v>0.82059523044288751</v>
      </c>
      <c r="T402" s="65"/>
      <c r="Y402" s="89"/>
      <c r="Z402" s="358"/>
      <c r="AA402" s="120"/>
      <c r="AB402" s="120"/>
    </row>
    <row r="403" spans="1:29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29"/>
        <v>29813.333333333336</v>
      </c>
      <c r="Q403" s="120">
        <f t="shared" si="25"/>
        <v>1386.6666666666665</v>
      </c>
      <c r="R403" s="106">
        <f t="shared" si="26"/>
        <v>0.95555555555555549</v>
      </c>
      <c r="S403" s="182"/>
      <c r="T403" s="65"/>
      <c r="Y403" s="89"/>
      <c r="Z403" s="358"/>
      <c r="AA403" s="120"/>
      <c r="AB403" s="120"/>
    </row>
    <row r="404" spans="1:29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203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29"/>
        <v>0</v>
      </c>
      <c r="Q404" s="120">
        <f t="shared" si="25"/>
        <v>7916.666666666667</v>
      </c>
      <c r="R404" s="106">
        <f t="shared" si="26"/>
        <v>0</v>
      </c>
      <c r="S404" s="182"/>
      <c r="T404" s="65"/>
      <c r="Y404" s="89"/>
      <c r="Z404" s="358"/>
      <c r="AA404" s="120"/>
      <c r="AB404" s="120"/>
    </row>
    <row r="405" spans="1:29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29"/>
        <v>766.66666666666674</v>
      </c>
      <c r="Q405" s="120">
        <f t="shared" si="25"/>
        <v>0</v>
      </c>
      <c r="R405" s="106">
        <f t="shared" si="26"/>
        <v>1</v>
      </c>
      <c r="S405" s="180" t="str">
        <f>D405</f>
        <v>K-6 Low</v>
      </c>
      <c r="T405" s="65"/>
      <c r="Y405" s="89" t="str">
        <f>D405</f>
        <v>K-6 Low</v>
      </c>
      <c r="Z405" s="352">
        <f>(SUMIFS($P$317:$P$380, $D$317:$D$380, Y405, $F$317:$F$380, "&lt;200"))+(SUMIFS($Q$317:$Q$380, $D$317:$D$380, Y405, $F$317:$F$380, "&lt;200"))</f>
        <v>34666.666666666664</v>
      </c>
      <c r="AA405" s="120">
        <f>SUM(P405:Q408)</f>
        <v>30933.333333333336</v>
      </c>
      <c r="AB405" s="120">
        <f>SUMIFS(Collection!O:O, Collection!B:B, "*" &amp; 'Bucket Counts'!Y405 &amp; "*", Collection!A:A, "&lt;" &amp; 'Bucket Counts'!A405,Collection!A:A,  "&gt;=" &amp; 'Bucket Counts'!$A$317)</f>
        <v>0</v>
      </c>
      <c r="AC405" s="106">
        <f>AA405/(Z405+AB405)</f>
        <v>0.89230769230769247</v>
      </c>
    </row>
    <row r="406" spans="1:29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29"/>
        <v>20666.666666666668</v>
      </c>
      <c r="Q406" s="120">
        <f t="shared" si="25"/>
        <v>0</v>
      </c>
      <c r="R406" s="106">
        <f t="shared" si="26"/>
        <v>1</v>
      </c>
      <c r="S406" s="181">
        <f>(SUM(P405:P408)/(SUM(P405:Q408)))</f>
        <v>0.94504310344827591</v>
      </c>
      <c r="T406" s="65"/>
      <c r="Y406" s="89"/>
      <c r="Z406" s="358"/>
      <c r="AA406" s="120"/>
      <c r="AB406" s="120"/>
    </row>
    <row r="407" spans="1:29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0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29"/>
        <v>6900</v>
      </c>
      <c r="Q407" s="120">
        <f t="shared" si="25"/>
        <v>0</v>
      </c>
      <c r="R407" s="106">
        <f t="shared" si="26"/>
        <v>1</v>
      </c>
      <c r="S407" s="179"/>
      <c r="T407" s="65"/>
      <c r="Y407" s="89"/>
      <c r="Z407" s="358"/>
      <c r="AA407" s="120"/>
      <c r="AB407" s="120"/>
    </row>
    <row r="408" spans="1:29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203</v>
      </c>
      <c r="G408" s="89">
        <v>1</v>
      </c>
      <c r="H408" s="150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25"/>
        <v>1700</v>
      </c>
      <c r="R408" s="106">
        <f t="shared" si="26"/>
        <v>0.34615384615384615</v>
      </c>
      <c r="S408" s="182"/>
      <c r="T408" s="65"/>
      <c r="Y408" s="89"/>
      <c r="Z408" s="358"/>
      <c r="AA408" s="120"/>
      <c r="AB408" s="120"/>
    </row>
    <row r="409" spans="1:29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0">(AVERAGE(I409,K409,M409)/G409)*H409</f>
        <v>1900</v>
      </c>
      <c r="Q409" s="120">
        <f t="shared" si="25"/>
        <v>0</v>
      </c>
      <c r="R409" s="106">
        <f t="shared" si="26"/>
        <v>1</v>
      </c>
      <c r="S409" s="183" t="str">
        <f>D409</f>
        <v>K-6 Ambient</v>
      </c>
      <c r="T409" s="65"/>
      <c r="Y409" s="89" t="str">
        <f>D409</f>
        <v>K-6 Ambient</v>
      </c>
      <c r="Z409" s="352">
        <f>(SUMIFS($P$317:$P$380, $D$317:$D$380, Y409, $F$317:$F$380, "&lt;200"))+(SUMIFS($Q$317:$Q$380, $D$317:$D$380, Y409, $F$317:$F$380, "&lt;200"))</f>
        <v>33586.666666666664</v>
      </c>
      <c r="AA409" s="120">
        <f>SUM(P409:Q412)</f>
        <v>114666.66666666666</v>
      </c>
      <c r="AB409" s="120">
        <f>SUMIFS(Collection!O:O, Collection!B:B, "*" &amp; 'Bucket Counts'!Y409 &amp; "*", Collection!A:A, "&lt;" &amp; 'Bucket Counts'!A409,Collection!A:A,  "&gt;=" &amp; 'Bucket Counts'!$A$317)</f>
        <v>103683.33333333334</v>
      </c>
      <c r="AC409" s="106">
        <f>AA409/(Z409+AB409)</f>
        <v>0.83533668439328812</v>
      </c>
    </row>
    <row r="410" spans="1:29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0"/>
        <v>6800</v>
      </c>
      <c r="Q410" s="120">
        <f t="shared" si="25"/>
        <v>0</v>
      </c>
      <c r="R410" s="106">
        <f t="shared" si="26"/>
        <v>1</v>
      </c>
      <c r="S410" s="181">
        <f>(SUM(P409:P412)/(SUM(P409:Q412)))</f>
        <v>0.66209302325581398</v>
      </c>
      <c r="T410" s="65"/>
      <c r="Y410" s="89"/>
      <c r="Z410" s="358"/>
      <c r="AA410" s="120"/>
      <c r="AB410" s="120"/>
    </row>
    <row r="411" spans="1:29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0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0"/>
        <v>66386.666666666672</v>
      </c>
      <c r="Q411" s="120">
        <f t="shared" si="25"/>
        <v>2080</v>
      </c>
      <c r="R411" s="106">
        <f t="shared" si="26"/>
        <v>0.96962025316455691</v>
      </c>
      <c r="S411" s="182"/>
      <c r="T411" s="65"/>
      <c r="Y411" s="89"/>
      <c r="Z411" s="358"/>
      <c r="AA411" s="120"/>
      <c r="AB411" s="120"/>
    </row>
    <row r="412" spans="1:29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203</v>
      </c>
      <c r="G412" s="89">
        <v>1</v>
      </c>
      <c r="H412" s="150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0"/>
        <v>833.33333333333337</v>
      </c>
      <c r="Q412" s="120">
        <f t="shared" si="25"/>
        <v>36666.666666666664</v>
      </c>
      <c r="R412" s="106">
        <f t="shared" si="26"/>
        <v>2.2222222222222223E-2</v>
      </c>
      <c r="S412" s="182"/>
      <c r="T412" s="65"/>
      <c r="Y412" s="89"/>
      <c r="Z412" s="358"/>
      <c r="AA412" s="120"/>
      <c r="AB412" s="120"/>
    </row>
    <row r="413" spans="1:29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0"/>
        <v>426.66666666666663</v>
      </c>
      <c r="Q413" s="120">
        <f t="shared" si="25"/>
        <v>213.33333333333331</v>
      </c>
      <c r="R413" s="106">
        <f t="shared" si="26"/>
        <v>0.66666666666666663</v>
      </c>
      <c r="S413" s="183" t="str">
        <f>D413</f>
        <v>NF-6 Low</v>
      </c>
      <c r="Y413" s="89" t="str">
        <f>D413</f>
        <v>NF-6 Low</v>
      </c>
      <c r="Z413" s="352">
        <f>(SUMIFS($P$317:$P$380, $D$317:$D$380, Y413, $F$317:$F$380, "&lt;200"))+(SUMIFS($Q$317:$Q$380, $D$317:$D$380, Y413, $F$317:$F$380, "&lt;200"))</f>
        <v>64433.333333333336</v>
      </c>
      <c r="AA413" s="120">
        <f>SUM(P413:Q416)</f>
        <v>91783.333333333343</v>
      </c>
      <c r="AB413" s="120">
        <f>SUMIFS(Collection!O:O, Collection!B:B, "*" &amp; 'Bucket Counts'!Y413 &amp; "*", Collection!A:A, "&lt;" &amp; 'Bucket Counts'!A413,Collection!A:A,  "&gt;=" &amp; 'Bucket Counts'!$A$317)</f>
        <v>59640</v>
      </c>
      <c r="AC413" s="106">
        <f>AA413/(Z413+AB413)</f>
        <v>0.73975068507871689</v>
      </c>
    </row>
    <row r="414" spans="1:29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0"/>
        <v>7950</v>
      </c>
      <c r="Q414" s="120">
        <f t="shared" si="25"/>
        <v>176.66666666666666</v>
      </c>
      <c r="R414" s="106">
        <f t="shared" si="26"/>
        <v>0.97826086956521741</v>
      </c>
      <c r="S414" s="181">
        <f>(SUM(P413:P416)/(SUM(P413:Q416)))</f>
        <v>0.70608316687851802</v>
      </c>
      <c r="Y414" s="89"/>
      <c r="Z414" s="358"/>
      <c r="AA414" s="120"/>
      <c r="AB414" s="120"/>
    </row>
    <row r="415" spans="1:29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0"/>
        <v>56333.333333333328</v>
      </c>
      <c r="Q415" s="120">
        <f t="shared" si="25"/>
        <v>4160</v>
      </c>
      <c r="R415" s="106">
        <f t="shared" si="26"/>
        <v>0.93123209169054444</v>
      </c>
      <c r="S415" s="182"/>
      <c r="Y415" s="89"/>
      <c r="Z415" s="358"/>
      <c r="AA415" s="120"/>
      <c r="AB415" s="120"/>
    </row>
    <row r="416" spans="1:29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203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0"/>
        <v>96.666666666666657</v>
      </c>
      <c r="Q416" s="120">
        <f t="shared" si="25"/>
        <v>22426.666666666664</v>
      </c>
      <c r="R416" s="106">
        <f t="shared" si="26"/>
        <v>4.2918454935622317E-3</v>
      </c>
      <c r="S416" s="182"/>
      <c r="Y416" s="89"/>
      <c r="Z416" s="358"/>
      <c r="AA416" s="120"/>
      <c r="AB416" s="120"/>
    </row>
    <row r="417" spans="1:29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0"/>
        <v>400</v>
      </c>
      <c r="Q417" s="120">
        <f t="shared" si="25"/>
        <v>1400</v>
      </c>
      <c r="R417" s="106">
        <f t="shared" si="26"/>
        <v>0.22222222222222221</v>
      </c>
      <c r="S417" s="183" t="str">
        <f>D417</f>
        <v>SN-6 Low</v>
      </c>
      <c r="T417" s="65"/>
      <c r="U417" s="65"/>
      <c r="V417" s="65"/>
      <c r="Y417" s="89" t="str">
        <f>D417</f>
        <v>SN-6 Low</v>
      </c>
      <c r="Z417" s="352">
        <f>(SUMIFS($P$317:$P$380, $D$317:$D$380, Y417, $F$317:$F$380, "&lt;200"))+(SUMIFS($Q$317:$Q$380, $D$317:$D$380, Y417, $F$317:$F$380, "&lt;200"))</f>
        <v>64143.333333333343</v>
      </c>
      <c r="AA417" s="120">
        <f>SUM(P417:Q420)</f>
        <v>71580</v>
      </c>
      <c r="AB417" s="120">
        <f>SUMIFS(Collection!O:O, Collection!B:B, "*" &amp; 'Bucket Counts'!Y417 &amp; "*", Collection!A:A, "&lt;" &amp; 'Bucket Counts'!A417,Collection!A:A,  "&gt;=" &amp; 'Bucket Counts'!$A$317)</f>
        <v>0</v>
      </c>
      <c r="AC417" s="106">
        <f>AA417/(Z417+AB417)</f>
        <v>1.1159382632645636</v>
      </c>
    </row>
    <row r="418" spans="1:29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0"/>
        <v>2200</v>
      </c>
      <c r="Q418" s="120">
        <f t="shared" si="25"/>
        <v>21200</v>
      </c>
      <c r="R418" s="106">
        <f t="shared" si="26"/>
        <v>9.4017094017094016E-2</v>
      </c>
      <c r="S418" s="181">
        <f>(SUM(P417:P420)/(SUM(P417:Q420)))</f>
        <v>0.33286765390705042</v>
      </c>
      <c r="T418" s="65"/>
      <c r="U418" s="65"/>
      <c r="V418" s="65"/>
      <c r="Y418" s="89"/>
      <c r="Z418" s="358"/>
      <c r="AA418" s="120"/>
      <c r="AB418" s="120"/>
    </row>
    <row r="419" spans="1:29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0"/>
        <v>20800</v>
      </c>
      <c r="Q419" s="120">
        <f t="shared" si="25"/>
        <v>13100</v>
      </c>
      <c r="R419" s="106">
        <f t="shared" si="26"/>
        <v>0.6135693215339233</v>
      </c>
      <c r="S419" s="182"/>
      <c r="T419" s="65"/>
      <c r="U419" s="65"/>
      <c r="V419" s="65"/>
      <c r="Y419" s="89"/>
      <c r="Z419" s="358"/>
      <c r="AA419" s="120"/>
      <c r="AB419" s="120"/>
    </row>
    <row r="420" spans="1:29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203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0"/>
        <v>426.66666666666663</v>
      </c>
      <c r="Q420" s="120">
        <f t="shared" ref="Q420:Q483" si="31">(AVERAGE(J420,L420,N420)/G420)*H420</f>
        <v>12053.333333333332</v>
      </c>
      <c r="R420" s="106">
        <f t="shared" ref="R420:R483" si="32">P420/(P420+Q420)</f>
        <v>3.4188034188034191E-2</v>
      </c>
      <c r="S420" s="182"/>
      <c r="T420" s="65"/>
      <c r="U420" s="65"/>
      <c r="V420" s="65"/>
      <c r="Y420" s="89"/>
      <c r="Z420" s="358"/>
      <c r="AA420" s="120"/>
      <c r="AB420" s="120"/>
    </row>
    <row r="421" spans="1:29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0"/>
        <v>3420</v>
      </c>
      <c r="Q421" s="120">
        <f t="shared" si="31"/>
        <v>1080</v>
      </c>
      <c r="R421" s="106">
        <f t="shared" si="32"/>
        <v>0.76</v>
      </c>
      <c r="S421" s="183" t="str">
        <f>D421</f>
        <v>NF-6 Ambient</v>
      </c>
      <c r="T421" s="65"/>
      <c r="U421" s="65"/>
      <c r="V421" s="65"/>
      <c r="Y421" s="89" t="str">
        <f>D421</f>
        <v>NF-6 Ambient</v>
      </c>
      <c r="Z421" s="352">
        <f>(SUMIFS($P$317:$P$380, $D$317:$D$380, Y421, $F$317:$F$380, "&lt;200"))+(SUMIFS($Q$317:$Q$380, $D$317:$D$380, Y421, $F$317:$F$380, "&lt;200"))</f>
        <v>22860</v>
      </c>
      <c r="AA421" s="120">
        <f>SUM(P421:Q424)</f>
        <v>14090</v>
      </c>
      <c r="AB421" s="120">
        <f>SUMIFS(Collection!O:O, Collection!B:B, "*" &amp; 'Bucket Counts'!Y421 &amp; "*", Collection!A:A, "&lt;" &amp; 'Bucket Counts'!A421,Collection!A:A,  "&gt;=" &amp; 'Bucket Counts'!$A$317)</f>
        <v>0</v>
      </c>
      <c r="AC421" s="106">
        <f>AA421/(Z421+AB421)</f>
        <v>0.61636045494313207</v>
      </c>
    </row>
    <row r="422" spans="1:29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1"/>
        <v>2300</v>
      </c>
      <c r="R422" s="106">
        <f t="shared" si="32"/>
        <v>0.72289156626506024</v>
      </c>
      <c r="S422" s="181">
        <f>(SUM(P421:P424)/(SUM(P421:Q424)))</f>
        <v>0.68985095812633068</v>
      </c>
      <c r="T422" s="65"/>
      <c r="U422" s="65"/>
      <c r="V422" s="65"/>
      <c r="Y422" s="89"/>
      <c r="Z422" s="358"/>
      <c r="AA422" s="120"/>
      <c r="AB422" s="120"/>
    </row>
    <row r="423" spans="1:29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3">(AVERAGE(I423,K423,M423)/G423)*H423</f>
        <v>300</v>
      </c>
      <c r="Q423" s="120">
        <f t="shared" si="31"/>
        <v>0</v>
      </c>
      <c r="R423" s="106">
        <f t="shared" si="32"/>
        <v>1</v>
      </c>
      <c r="S423" s="182"/>
      <c r="T423" s="65"/>
      <c r="U423" s="65"/>
      <c r="V423" s="65"/>
      <c r="Y423" s="89"/>
      <c r="Z423" s="358"/>
      <c r="AA423" s="120"/>
      <c r="AB423" s="120"/>
    </row>
    <row r="424" spans="1:29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203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3"/>
        <v>0</v>
      </c>
      <c r="Q424" s="120">
        <f t="shared" si="31"/>
        <v>990</v>
      </c>
      <c r="R424" s="106">
        <f t="shared" si="32"/>
        <v>0</v>
      </c>
      <c r="S424" s="182"/>
      <c r="T424" s="65"/>
      <c r="U424" s="65"/>
      <c r="V424" s="65"/>
      <c r="Y424" s="89"/>
      <c r="Z424" s="358"/>
      <c r="AA424" s="120"/>
      <c r="AB424" s="120"/>
    </row>
    <row r="425" spans="1:29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3"/>
        <v>1000</v>
      </c>
      <c r="Q425" s="120">
        <f t="shared" si="31"/>
        <v>15166.666666666666</v>
      </c>
      <c r="R425" s="106">
        <f t="shared" si="32"/>
        <v>6.1855670103092786E-2</v>
      </c>
      <c r="S425" s="183" t="str">
        <f>D425</f>
        <v>SN-10 Ambient</v>
      </c>
      <c r="T425" s="65"/>
      <c r="U425" s="65"/>
      <c r="V425" s="65"/>
      <c r="Y425" s="89" t="str">
        <f>D425</f>
        <v>SN-10 Ambient</v>
      </c>
      <c r="Z425" s="352">
        <f>(SUMIFS($P$317:$P$380, $D$317:$D$380, Y425, $F$317:$F$380, "&lt;200"))+(SUMIFS($Q$317:$Q$380, $D$317:$D$380, Y425, $F$317:$F$380, "&lt;200"))</f>
        <v>98259.999999999985</v>
      </c>
      <c r="AA425" s="120">
        <f>SUM(P425:Q428)</f>
        <v>87458.333333333328</v>
      </c>
      <c r="AB425" s="120">
        <f>SUMIFS(Collection!O:O, Collection!B:B, "*" &amp; 'Bucket Counts'!Y425 &amp; "*", Collection!A:A, "&lt;" &amp; 'Bucket Counts'!A425,Collection!A:A,  "&gt;=" &amp; 'Bucket Counts'!$A$317)</f>
        <v>0</v>
      </c>
      <c r="AC425" s="106">
        <f>AA425/(Z425+AB425)</f>
        <v>0.89007056109641092</v>
      </c>
    </row>
    <row r="426" spans="1:29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3"/>
        <v>2000</v>
      </c>
      <c r="Q426" s="120">
        <f t="shared" si="31"/>
        <v>27000</v>
      </c>
      <c r="R426" s="106">
        <f t="shared" si="32"/>
        <v>6.8965517241379309E-2</v>
      </c>
      <c r="S426" s="181">
        <f>(SUM(P425:P428)/(SUM(P425:Q428)))</f>
        <v>0.30404954740352547</v>
      </c>
      <c r="T426" s="65"/>
      <c r="U426" s="65"/>
      <c r="V426" s="65"/>
      <c r="Y426" s="89"/>
      <c r="Z426" s="358"/>
      <c r="AA426" s="120"/>
      <c r="AB426" s="120"/>
    </row>
    <row r="427" spans="1:29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3"/>
        <v>23591.666666666664</v>
      </c>
      <c r="Q427" s="120">
        <f t="shared" si="31"/>
        <v>15200</v>
      </c>
      <c r="R427" s="106">
        <f t="shared" si="32"/>
        <v>0.60816326530612241</v>
      </c>
      <c r="S427" s="182"/>
      <c r="T427" s="65"/>
      <c r="U427" s="65"/>
      <c r="V427" s="65"/>
      <c r="Y427" s="89"/>
      <c r="Z427" s="358"/>
      <c r="AA427" s="120"/>
      <c r="AB427" s="120"/>
    </row>
    <row r="428" spans="1:29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203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3"/>
        <v>0</v>
      </c>
      <c r="Q428" s="120">
        <f t="shared" si="31"/>
        <v>3500</v>
      </c>
      <c r="R428" s="106">
        <f t="shared" si="32"/>
        <v>0</v>
      </c>
      <c r="S428" s="182"/>
      <c r="T428" s="65"/>
      <c r="U428" s="65"/>
      <c r="V428" s="65"/>
      <c r="Y428" s="89"/>
      <c r="Z428" s="358"/>
      <c r="AA428" s="120"/>
      <c r="AB428" s="120"/>
    </row>
    <row r="429" spans="1:29" s="62" customFormat="1">
      <c r="A429" s="134">
        <v>42908</v>
      </c>
      <c r="B429" s="60"/>
      <c r="C429" s="60"/>
      <c r="D429" s="62" t="s">
        <v>74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3"/>
        <v>200</v>
      </c>
      <c r="Q429" s="120">
        <f t="shared" si="31"/>
        <v>1900</v>
      </c>
      <c r="R429" s="106">
        <f t="shared" si="32"/>
        <v>9.5238095238095233E-2</v>
      </c>
      <c r="S429" s="183" t="str">
        <f>D429</f>
        <v>SN-10 Low</v>
      </c>
      <c r="T429" s="65"/>
      <c r="U429" s="65"/>
      <c r="V429" s="65"/>
      <c r="Y429" s="89" t="str">
        <f>D429</f>
        <v>SN-10 Low</v>
      </c>
      <c r="Z429" s="352">
        <f>(SUMIFS($P$317:$P$380, $D$317:$D$380, Y429, $F$317:$F$380, "&lt;200"))+(SUMIFS($Q$317:$Q$380, $D$317:$D$380, Y429, $F$317:$F$380, "&lt;200"))</f>
        <v>74333.333333333328</v>
      </c>
      <c r="AA429" s="120">
        <f>SUM(P429:Q432)</f>
        <v>82160</v>
      </c>
      <c r="AB429" s="120">
        <f>SUMIFS(Collection!O:O, Collection!B:B, "*" &amp; 'Bucket Counts'!Y429 &amp; "*", Collection!A:A, "&lt;" &amp; 'Bucket Counts'!A429,Collection!A:A,  "&gt;=" &amp; 'Bucket Counts'!$A$317)</f>
        <v>0</v>
      </c>
      <c r="AC429" s="106">
        <f>AA429/(Z429+AB429)</f>
        <v>1.1052914798206279</v>
      </c>
    </row>
    <row r="430" spans="1:29" s="62" customFormat="1">
      <c r="A430" s="134">
        <v>42908</v>
      </c>
      <c r="B430" s="60"/>
      <c r="C430" s="60"/>
      <c r="D430" s="62" t="s">
        <v>74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3"/>
        <v>666.66666666666663</v>
      </c>
      <c r="Q430" s="120">
        <f t="shared" si="31"/>
        <v>14666.666666666666</v>
      </c>
      <c r="R430" s="106">
        <f t="shared" si="32"/>
        <v>4.3478260869565216E-2</v>
      </c>
      <c r="S430" s="181">
        <f>(SUM(P429:P432)/(SUM(P429:Q432)))</f>
        <v>0.64954560207724765</v>
      </c>
      <c r="T430" s="65"/>
      <c r="U430" s="65"/>
      <c r="V430" s="65"/>
      <c r="Y430" s="89"/>
      <c r="Z430" s="358"/>
      <c r="AA430" s="120"/>
      <c r="AB430" s="120"/>
    </row>
    <row r="431" spans="1:29" s="62" customFormat="1">
      <c r="A431" s="134">
        <v>42908</v>
      </c>
      <c r="B431" s="60"/>
      <c r="C431" s="60"/>
      <c r="D431" s="62" t="s">
        <v>74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3"/>
        <v>52266.666666666672</v>
      </c>
      <c r="Q431" s="120">
        <f t="shared" si="31"/>
        <v>2776.666666666667</v>
      </c>
      <c r="R431" s="106">
        <f t="shared" si="32"/>
        <v>0.94955489614243327</v>
      </c>
      <c r="S431" s="182"/>
      <c r="T431" s="65"/>
      <c r="U431" s="65"/>
      <c r="V431" s="65"/>
      <c r="Y431" s="89"/>
      <c r="Z431" s="358"/>
      <c r="AA431" s="120"/>
      <c r="AB431" s="120"/>
    </row>
    <row r="432" spans="1:29" s="62" customFormat="1">
      <c r="A432" s="134">
        <v>42908</v>
      </c>
      <c r="B432" s="60"/>
      <c r="C432" s="60"/>
      <c r="D432" s="62" t="s">
        <v>74</v>
      </c>
      <c r="E432" s="62">
        <v>7</v>
      </c>
      <c r="F432" s="89" t="s">
        <v>203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3"/>
        <v>233.33333333333331</v>
      </c>
      <c r="Q432" s="120">
        <f t="shared" si="31"/>
        <v>9450</v>
      </c>
      <c r="R432" s="106">
        <f t="shared" si="32"/>
        <v>2.4096385542168672E-2</v>
      </c>
      <c r="S432" s="182"/>
      <c r="T432" s="65"/>
      <c r="U432" s="65"/>
      <c r="V432" s="65"/>
      <c r="Y432" s="89"/>
      <c r="Z432" s="358"/>
      <c r="AA432" s="120"/>
      <c r="AB432" s="120"/>
    </row>
    <row r="433" spans="1:29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3"/>
        <v>0</v>
      </c>
      <c r="Q433" s="120">
        <f t="shared" si="31"/>
        <v>0</v>
      </c>
      <c r="R433" s="106" t="e">
        <f t="shared" si="32"/>
        <v>#DIV/0!</v>
      </c>
      <c r="S433" s="183" t="str">
        <f>D433</f>
        <v>HL-6 Ambient</v>
      </c>
      <c r="T433" s="65"/>
      <c r="U433" s="65"/>
      <c r="V433" s="65"/>
      <c r="Y433" s="89" t="str">
        <f>D433</f>
        <v>HL-6 Ambient</v>
      </c>
      <c r="Z433" s="352">
        <f>(SUMIFS($P$317:$P$380, $D$317:$D$380, Y433, $F$317:$F$380, "&lt;200"))+(SUMIFS($Q$317:$Q$380, $D$317:$D$380, Y433, $F$317:$F$380, "&lt;200"))</f>
        <v>37600.000000000007</v>
      </c>
      <c r="AA433" s="120">
        <f>SUM(P433:Q436)</f>
        <v>30825</v>
      </c>
      <c r="AB433" s="120">
        <f>SUMIFS(Collection!O:O, Collection!B:B, "*" &amp; 'Bucket Counts'!Y433 &amp; "*", Collection!A:A, "&lt;" &amp; 'Bucket Counts'!A433,Collection!A:A,  "&gt;=" &amp; 'Bucket Counts'!$A$317)</f>
        <v>0</v>
      </c>
      <c r="AC433" s="106">
        <f>AA433/(Z433+AB433)</f>
        <v>0.81981382978723394</v>
      </c>
    </row>
    <row r="434" spans="1:29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3"/>
        <v>166.66666666666666</v>
      </c>
      <c r="Q434" s="120">
        <f t="shared" si="31"/>
        <v>0</v>
      </c>
      <c r="R434" s="106">
        <f t="shared" si="32"/>
        <v>1</v>
      </c>
      <c r="S434" s="181">
        <f>(SUM(P433:P436)/(SUM(P433:Q436)))</f>
        <v>0.91419302514193024</v>
      </c>
      <c r="T434" s="65"/>
      <c r="U434" s="65"/>
      <c r="V434" s="65"/>
      <c r="Y434" s="89"/>
      <c r="Z434" s="358"/>
      <c r="AA434" s="120"/>
      <c r="AB434" s="120"/>
    </row>
    <row r="435" spans="1:29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3"/>
        <v>27866.666666666664</v>
      </c>
      <c r="Q435" s="120">
        <f t="shared" si="31"/>
        <v>2058.333333333333</v>
      </c>
      <c r="R435" s="106">
        <f t="shared" si="32"/>
        <v>0.93121693121693128</v>
      </c>
      <c r="S435" s="182"/>
      <c r="T435" s="65"/>
      <c r="U435" s="65"/>
      <c r="V435" s="65"/>
      <c r="Y435" s="89"/>
      <c r="Z435" s="358"/>
      <c r="AA435" s="120"/>
      <c r="AB435" s="120"/>
    </row>
    <row r="436" spans="1:29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203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3"/>
        <v>146.66666666666666</v>
      </c>
      <c r="Q436" s="120">
        <f t="shared" si="31"/>
        <v>586.66666666666663</v>
      </c>
      <c r="R436" s="106">
        <f t="shared" si="32"/>
        <v>0.2</v>
      </c>
      <c r="S436" s="182"/>
      <c r="T436" s="65"/>
      <c r="U436" s="65"/>
      <c r="V436" s="65"/>
      <c r="Y436" s="89"/>
      <c r="Z436" s="358"/>
      <c r="AA436" s="120"/>
      <c r="AB436" s="120"/>
    </row>
    <row r="437" spans="1:29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3"/>
        <v>0</v>
      </c>
      <c r="Q437" s="120">
        <f t="shared" si="31"/>
        <v>0</v>
      </c>
      <c r="R437" s="106" t="e">
        <f t="shared" si="32"/>
        <v>#DIV/0!</v>
      </c>
      <c r="S437" s="183" t="str">
        <f>D437</f>
        <v>HL-6 Low</v>
      </c>
      <c r="T437" s="65"/>
      <c r="U437" s="65"/>
      <c r="V437" s="65"/>
      <c r="Y437" s="89" t="str">
        <f>D437</f>
        <v>HL-6 Low</v>
      </c>
      <c r="Z437" s="352">
        <f>(SUMIFS($P$317:$P$380, $D$317:$D$380, Y437, $F$317:$F$380, "&lt;200"))+(SUMIFS($Q$317:$Q$380, $D$317:$D$380, Y437, $F$317:$F$380, "&lt;200"))</f>
        <v>77333.333333333343</v>
      </c>
      <c r="AA437" s="120">
        <f>SUM(P437:Q440)</f>
        <v>104533.33333333333</v>
      </c>
      <c r="AB437" s="120">
        <f>SUMIFS(Collection!O:O, Collection!B:B, "*" &amp; 'Bucket Counts'!Y437 &amp; "*", Collection!A:A, "&lt;" &amp; 'Bucket Counts'!A437,Collection!A:A,  "&gt;=" &amp; 'Bucket Counts'!$A$317)</f>
        <v>50000</v>
      </c>
      <c r="AC437" s="106">
        <f>AA437/(Z437+AB437)</f>
        <v>0.8209424083769632</v>
      </c>
    </row>
    <row r="438" spans="1:29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3"/>
        <v>900</v>
      </c>
      <c r="Q438" s="120">
        <f t="shared" si="31"/>
        <v>0</v>
      </c>
      <c r="R438" s="106">
        <f t="shared" si="32"/>
        <v>1</v>
      </c>
      <c r="S438" s="181">
        <f>(SUM(P437:P440)/(SUM(P437:Q440)))</f>
        <v>0.84783163265306127</v>
      </c>
      <c r="T438" s="65"/>
      <c r="Y438" s="89"/>
      <c r="Z438" s="358"/>
      <c r="AA438" s="120"/>
      <c r="AB438" s="120"/>
    </row>
    <row r="439" spans="1:29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3"/>
        <v>87533.333333333343</v>
      </c>
      <c r="Q439" s="120">
        <f t="shared" si="31"/>
        <v>1213.3333333333335</v>
      </c>
      <c r="R439" s="106">
        <f t="shared" si="32"/>
        <v>0.986328125</v>
      </c>
      <c r="S439" s="182"/>
      <c r="T439" s="65"/>
      <c r="Y439" s="89"/>
      <c r="Z439" s="358"/>
      <c r="AA439" s="120"/>
      <c r="AB439" s="120"/>
    </row>
    <row r="440" spans="1:29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203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>(AVERAGE(I440,K440,M440)/G440)*H440</f>
        <v>193.33333333333331</v>
      </c>
      <c r="Q440" s="120">
        <f t="shared" si="31"/>
        <v>14693.333333333332</v>
      </c>
      <c r="R440" s="106">
        <f t="shared" si="32"/>
        <v>1.2987012987012986E-2</v>
      </c>
      <c r="S440" s="182"/>
      <c r="T440" s="65"/>
      <c r="Y440" s="89"/>
      <c r="Z440" s="358"/>
      <c r="AA440" s="120"/>
      <c r="AB440" s="120"/>
    </row>
    <row r="441" spans="1:29" s="62" customFormat="1">
      <c r="A441" s="134">
        <v>42908</v>
      </c>
      <c r="B441" s="60"/>
      <c r="C441" s="60"/>
      <c r="D441" s="61" t="s">
        <v>83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>(AVERAGE(I441,K441,M441)/G441)*H441</f>
        <v>216.66666666666666</v>
      </c>
      <c r="Q441" s="120">
        <f t="shared" si="31"/>
        <v>4550</v>
      </c>
      <c r="R441" s="106">
        <f t="shared" si="32"/>
        <v>4.5454545454545449E-2</v>
      </c>
      <c r="S441" s="183" t="str">
        <f>D441</f>
        <v>NF-10 Low</v>
      </c>
      <c r="T441" s="65"/>
      <c r="Y441" s="89" t="str">
        <f>D441</f>
        <v>NF-10 Low</v>
      </c>
      <c r="Z441" s="352">
        <f>(SUMIFS($P$317:$P$380, $D$317:$D$380, Y441, $F$317:$F$380, "&lt;200"))+(SUMIFS($Q$317:$Q$380, $D$317:$D$380, Y441, $F$317:$F$380, "&lt;200"))</f>
        <v>28440</v>
      </c>
      <c r="AA441" s="120">
        <f>SUM(P441:Q444)</f>
        <v>28950.000000000004</v>
      </c>
      <c r="AB441" s="120">
        <f>SUMIFS(Collection!O:O, Collection!B:B, "*" &amp; 'Bucket Counts'!Y441 &amp; "*", Collection!A:A, "&lt;" &amp; 'Bucket Counts'!A441,Collection!A:A,  "&gt;=" &amp; 'Bucket Counts'!$A$317)</f>
        <v>0</v>
      </c>
      <c r="AC441" s="106">
        <f>AA441/(Z441+AB441)</f>
        <v>1.017932489451477</v>
      </c>
    </row>
    <row r="442" spans="1:29" s="62" customFormat="1">
      <c r="A442" s="134">
        <v>42908</v>
      </c>
      <c r="B442" s="60"/>
      <c r="C442" s="60"/>
      <c r="D442" s="61" t="s">
        <v>83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>(AVERAGE(I442,K442,M442)/G442)*H442</f>
        <v>166.66666666666666</v>
      </c>
      <c r="Q442" s="120">
        <f t="shared" si="31"/>
        <v>22500</v>
      </c>
      <c r="R442" s="106">
        <f t="shared" si="32"/>
        <v>7.3529411764705873E-3</v>
      </c>
      <c r="S442" s="181">
        <f>(SUM(P441:P444)/(SUM(P441:Q444)))</f>
        <v>1.3241220495106502E-2</v>
      </c>
      <c r="T442" s="65"/>
      <c r="Y442" s="89"/>
      <c r="Z442" s="358"/>
      <c r="AA442" s="120"/>
      <c r="AB442" s="120"/>
    </row>
    <row r="443" spans="1:29" s="62" customFormat="1">
      <c r="A443" s="134">
        <v>42908</v>
      </c>
      <c r="B443" s="60"/>
      <c r="C443" s="60"/>
      <c r="D443" s="61" t="s">
        <v>83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3"/>
        <v>0</v>
      </c>
      <c r="Q443" s="120">
        <f t="shared" si="31"/>
        <v>600</v>
      </c>
      <c r="R443" s="106">
        <f t="shared" si="32"/>
        <v>0</v>
      </c>
      <c r="S443" s="182"/>
      <c r="T443" s="65"/>
      <c r="Y443" s="89"/>
      <c r="Z443" s="358"/>
      <c r="AA443" s="120"/>
      <c r="AB443" s="120"/>
    </row>
    <row r="444" spans="1:29" s="69" customFormat="1" ht="16" thickBot="1">
      <c r="A444" s="247">
        <v>42908</v>
      </c>
      <c r="B444" s="67"/>
      <c r="C444" s="67"/>
      <c r="D444" s="61" t="s">
        <v>83</v>
      </c>
      <c r="E444" s="69">
        <v>8</v>
      </c>
      <c r="F444" s="148" t="s">
        <v>203</v>
      </c>
      <c r="G444" s="148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49">
        <f t="shared" si="33"/>
        <v>0</v>
      </c>
      <c r="Q444" s="149">
        <f t="shared" si="31"/>
        <v>916.66666666666663</v>
      </c>
      <c r="R444" s="165">
        <f t="shared" si="32"/>
        <v>0</v>
      </c>
      <c r="S444" s="196"/>
      <c r="Y444" s="148"/>
      <c r="Z444" s="366"/>
      <c r="AA444" s="149"/>
      <c r="AB444" s="149"/>
    </row>
    <row r="445" spans="1:29" s="146" customFormat="1">
      <c r="A445" s="190">
        <v>42912</v>
      </c>
      <c r="B445" s="191"/>
      <c r="C445" s="191"/>
      <c r="D445" s="147" t="s">
        <v>86</v>
      </c>
      <c r="E445" s="146">
        <v>1</v>
      </c>
      <c r="F445" s="192">
        <v>224</v>
      </c>
      <c r="G445" s="192">
        <v>2</v>
      </c>
      <c r="H445" s="146">
        <v>700</v>
      </c>
      <c r="I445" s="146">
        <v>0</v>
      </c>
      <c r="J445" s="146">
        <v>1</v>
      </c>
      <c r="K445" s="146">
        <v>0</v>
      </c>
      <c r="L445" s="146">
        <v>0</v>
      </c>
      <c r="M445" s="146">
        <v>0</v>
      </c>
      <c r="N445" s="146">
        <v>0</v>
      </c>
      <c r="P445" s="193">
        <f>(AVERAGE(I445,K445,M445)/G445)*H445</f>
        <v>0</v>
      </c>
      <c r="Q445" s="193">
        <f t="shared" si="31"/>
        <v>116.66666666666666</v>
      </c>
      <c r="R445" s="194">
        <f t="shared" si="32"/>
        <v>0</v>
      </c>
      <c r="S445" s="186" t="str">
        <f>D445</f>
        <v>SN-10 Ambient</v>
      </c>
      <c r="T445" s="195"/>
      <c r="U445" s="195"/>
      <c r="V445" s="195"/>
      <c r="Y445" s="87" t="str">
        <f>D445</f>
        <v>SN-10 Ambient</v>
      </c>
      <c r="Z445" s="353">
        <f>SUMIFS($P$381:$P$444, $D$381:$D$444, Y445, $F$381:$F$444, "&lt;200") + SUMIFS($Q$381:$Q$444, $D$381:$D$444, Y445, $F$381:$F$444, "&lt;200")</f>
        <v>67791.666666666657</v>
      </c>
      <c r="AA445" s="124">
        <f>SUM(P445:Q448)</f>
        <v>66416.666666666672</v>
      </c>
      <c r="AB445" s="124">
        <f>SUMIFS(Collection!O:O, Collection!B:B, "*" &amp; 'Bucket Counts'!Y445 &amp; "*", Collection!A:A, "&lt;" &amp; 'Bucket Counts'!A445,Collection!A:A,  "&gt;=" &amp; 'Bucket Counts'!$A$381)</f>
        <v>0</v>
      </c>
      <c r="AC445" s="161">
        <f>AA445/(Z445+AB445)</f>
        <v>0.97971727105101436</v>
      </c>
    </row>
    <row r="446" spans="1:29" s="80" customFormat="1">
      <c r="A446" s="190">
        <v>42912</v>
      </c>
      <c r="B446" s="78"/>
      <c r="C446" s="78"/>
      <c r="D446" s="147" t="s">
        <v>86</v>
      </c>
      <c r="E446" s="146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34">(AVERAGE(I446,K446,M446)/G446)*H446</f>
        <v>50</v>
      </c>
      <c r="Q446" s="124">
        <f t="shared" si="31"/>
        <v>200</v>
      </c>
      <c r="R446" s="161">
        <f t="shared" si="32"/>
        <v>0.2</v>
      </c>
      <c r="S446" s="187">
        <f>(SUM(P445:P448)/(SUM(P445:Q448)))</f>
        <v>6.7754077791718943E-3</v>
      </c>
      <c r="T446" s="81"/>
      <c r="U446" s="81"/>
      <c r="V446" s="81"/>
      <c r="Y446" s="87"/>
      <c r="Z446" s="362"/>
      <c r="AA446" s="124"/>
      <c r="AB446" s="124"/>
    </row>
    <row r="447" spans="1:29" s="80" customFormat="1">
      <c r="A447" s="190">
        <v>42912</v>
      </c>
      <c r="B447" s="78"/>
      <c r="C447" s="78"/>
      <c r="D447" s="147" t="s">
        <v>86</v>
      </c>
      <c r="E447" s="146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34"/>
        <v>400</v>
      </c>
      <c r="Q447" s="124">
        <f t="shared" si="31"/>
        <v>350</v>
      </c>
      <c r="R447" s="161">
        <f t="shared" si="32"/>
        <v>0.53333333333333333</v>
      </c>
      <c r="S447" s="185"/>
      <c r="T447" s="81"/>
      <c r="U447" s="81"/>
      <c r="V447" s="81"/>
      <c r="Y447" s="87"/>
      <c r="Z447" s="362"/>
      <c r="AA447" s="124"/>
      <c r="AB447" s="124"/>
    </row>
    <row r="448" spans="1:29" s="80" customFormat="1">
      <c r="A448" s="190">
        <v>42912</v>
      </c>
      <c r="B448" s="78"/>
      <c r="C448" s="78"/>
      <c r="D448" s="147" t="s">
        <v>86</v>
      </c>
      <c r="E448" s="146">
        <v>1</v>
      </c>
      <c r="F448" s="87" t="s">
        <v>203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35">(AVERAGE(I448,K448,M448)/G448)*H448</f>
        <v>0</v>
      </c>
      <c r="Q448" s="124">
        <f t="shared" ref="Q448" si="36">(AVERAGE(J448,L448,N448)/G448)*H448</f>
        <v>65300</v>
      </c>
      <c r="R448" s="161">
        <f t="shared" si="32"/>
        <v>0</v>
      </c>
      <c r="S448" s="188"/>
      <c r="T448" s="81"/>
      <c r="U448" s="81"/>
      <c r="V448" s="81"/>
      <c r="Y448" s="87"/>
      <c r="Z448" s="362"/>
      <c r="AA448" s="124"/>
      <c r="AB448" s="124"/>
    </row>
    <row r="449" spans="1:29" s="80" customFormat="1">
      <c r="A449" s="190">
        <v>42912</v>
      </c>
      <c r="B449" s="78"/>
      <c r="C449" s="78"/>
      <c r="D449" s="80" t="s">
        <v>77</v>
      </c>
      <c r="E449" s="146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34"/>
        <v>150</v>
      </c>
      <c r="Q449" s="124">
        <f t="shared" si="31"/>
        <v>0</v>
      </c>
      <c r="R449" s="161">
        <f t="shared" si="32"/>
        <v>1</v>
      </c>
      <c r="S449" s="189" t="str">
        <f>D449</f>
        <v>SN-6 Low</v>
      </c>
      <c r="T449" s="81"/>
      <c r="U449" s="81"/>
      <c r="V449" s="81"/>
      <c r="W449" s="80" t="s">
        <v>253</v>
      </c>
      <c r="Y449" s="87" t="str">
        <f>D449</f>
        <v>SN-6 Low</v>
      </c>
      <c r="Z449" s="353">
        <f>SUMIFS($P$381:$P$444, $D$381:$D$444, Y449, $F$381:$F$444, "&lt;200") + SUMIFS($Q$381:$Q$444, $D$381:$D$444, Y449, $F$381:$F$444, "&lt;200")</f>
        <v>57300</v>
      </c>
      <c r="AA449" s="124">
        <f>SUM(P449:Q452)</f>
        <v>49210</v>
      </c>
      <c r="AB449" s="124">
        <f>SUMIFS(Collection!O:O, Collection!B:B, "*" &amp; 'Bucket Counts'!Y449 &amp; "*", Collection!A:A, "&lt;" &amp; 'Bucket Counts'!A449,Collection!A:A,  "&gt;=" &amp; 'Bucket Counts'!$A$381)</f>
        <v>0</v>
      </c>
      <c r="AC449" s="161">
        <f>AA449/(Z449+AB449)</f>
        <v>0.8588132635253054</v>
      </c>
    </row>
    <row r="450" spans="1:29" s="80" customFormat="1">
      <c r="A450" s="190">
        <v>42912</v>
      </c>
      <c r="B450" s="78"/>
      <c r="C450" s="78"/>
      <c r="D450" s="80" t="s">
        <v>77</v>
      </c>
      <c r="E450" s="146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34"/>
        <v>1550</v>
      </c>
      <c r="Q450" s="124">
        <f t="shared" si="31"/>
        <v>0</v>
      </c>
      <c r="R450" s="161">
        <f t="shared" si="32"/>
        <v>1</v>
      </c>
      <c r="S450" s="187">
        <f>(SUM(P449:P452)/(SUM(P449:Q452)))</f>
        <v>0.1261938630359683</v>
      </c>
      <c r="T450" s="81"/>
      <c r="U450" s="81"/>
      <c r="V450" s="81"/>
      <c r="Y450" s="87"/>
      <c r="Z450" s="362"/>
      <c r="AA450" s="124"/>
      <c r="AB450" s="124"/>
    </row>
    <row r="451" spans="1:29" s="80" customFormat="1">
      <c r="A451" s="190">
        <v>42912</v>
      </c>
      <c r="B451" s="78"/>
      <c r="C451" s="78"/>
      <c r="D451" s="80" t="s">
        <v>77</v>
      </c>
      <c r="E451" s="146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34"/>
        <v>4510</v>
      </c>
      <c r="Q451" s="124">
        <f t="shared" si="31"/>
        <v>0</v>
      </c>
      <c r="R451" s="161">
        <f t="shared" si="32"/>
        <v>1</v>
      </c>
      <c r="S451" s="188"/>
      <c r="T451" s="81"/>
      <c r="U451" s="81"/>
      <c r="V451" s="81"/>
      <c r="Y451" s="87"/>
      <c r="Z451" s="362"/>
      <c r="AA451" s="124"/>
      <c r="AB451" s="124"/>
    </row>
    <row r="452" spans="1:29" s="80" customFormat="1">
      <c r="A452" s="190">
        <v>42912</v>
      </c>
      <c r="B452" s="78"/>
      <c r="C452" s="78"/>
      <c r="D452" s="80" t="s">
        <v>77</v>
      </c>
      <c r="E452" s="146">
        <v>1</v>
      </c>
      <c r="F452" s="87" t="s">
        <v>203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34"/>
        <v>0</v>
      </c>
      <c r="Q452" s="124">
        <f t="shared" si="31"/>
        <v>43000</v>
      </c>
      <c r="R452" s="161">
        <f t="shared" si="32"/>
        <v>0</v>
      </c>
      <c r="S452" s="188"/>
      <c r="T452" s="81"/>
      <c r="U452" s="81"/>
      <c r="V452" s="81"/>
      <c r="Y452" s="87"/>
      <c r="Z452" s="362"/>
      <c r="AA452" s="124"/>
      <c r="AB452" s="124"/>
    </row>
    <row r="453" spans="1:29" s="80" customFormat="1">
      <c r="A453" s="190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34"/>
        <v>1166.6666666666667</v>
      </c>
      <c r="Q453" s="124">
        <f t="shared" si="31"/>
        <v>0</v>
      </c>
      <c r="R453" s="161">
        <f t="shared" si="32"/>
        <v>1</v>
      </c>
      <c r="S453" s="189" t="str">
        <f>D453</f>
        <v>NF-6 Ambient</v>
      </c>
      <c r="T453" s="81"/>
      <c r="U453" s="81"/>
      <c r="V453" s="81"/>
      <c r="Y453" s="87" t="str">
        <f>D453</f>
        <v>NF-6 Ambient</v>
      </c>
      <c r="Z453" s="353">
        <f>SUMIFS($P$381:$P$444, $D$381:$D$444, Y453, $F$381:$F$444, "&lt;200") + SUMIFS($Q$381:$Q$444, $D$381:$D$444, Y453, $F$381:$F$444, "&lt;200")</f>
        <v>8600</v>
      </c>
      <c r="AA453" s="124">
        <f>SUM(P453:Q456)</f>
        <v>19386.666666666668</v>
      </c>
      <c r="AB453" s="124">
        <f>SUMIFS(Collection!O:O, Collection!B:B, "*" &amp; 'Bucket Counts'!Y453 &amp; "*", Collection!A:A, "&lt;" &amp; 'Bucket Counts'!A453,Collection!A:A,  "&gt;=" &amp; 'Bucket Counts'!$A$381)</f>
        <v>33.333333333333329</v>
      </c>
      <c r="AC453" s="161">
        <f>AA453/(Z453+AB453)</f>
        <v>2.2455598455598453</v>
      </c>
    </row>
    <row r="454" spans="1:29" s="80" customFormat="1">
      <c r="A454" s="190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34"/>
        <v>3103.333333333333</v>
      </c>
      <c r="Q454" s="124">
        <f t="shared" si="31"/>
        <v>816.66666666666674</v>
      </c>
      <c r="R454" s="161">
        <f t="shared" si="32"/>
        <v>0.79166666666666663</v>
      </c>
      <c r="S454" s="187">
        <f>(SUM(P453:P456)/(SUM(P453:Q456)))</f>
        <v>0.23572902338376889</v>
      </c>
      <c r="T454" s="81"/>
      <c r="U454" s="81"/>
      <c r="V454" s="81"/>
      <c r="Y454" s="87"/>
      <c r="Z454" s="362"/>
      <c r="AA454" s="124"/>
      <c r="AB454" s="124"/>
    </row>
    <row r="455" spans="1:29" s="80" customFormat="1">
      <c r="A455" s="190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34"/>
        <v>300</v>
      </c>
      <c r="Q455" s="124">
        <f t="shared" si="31"/>
        <v>400</v>
      </c>
      <c r="R455" s="161">
        <f t="shared" si="32"/>
        <v>0.42857142857142855</v>
      </c>
      <c r="S455" s="188"/>
      <c r="T455" s="81"/>
      <c r="U455" s="81"/>
      <c r="V455" s="81"/>
      <c r="Y455" s="87"/>
      <c r="Z455" s="362"/>
      <c r="AA455" s="124"/>
      <c r="AB455" s="124"/>
    </row>
    <row r="456" spans="1:29" s="80" customFormat="1">
      <c r="A456" s="190">
        <v>42912</v>
      </c>
      <c r="B456" s="78"/>
      <c r="C456" s="78"/>
      <c r="D456" s="80" t="s">
        <v>85</v>
      </c>
      <c r="E456" s="80">
        <v>2</v>
      </c>
      <c r="F456" s="87" t="s">
        <v>203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1"/>
        <v>13600</v>
      </c>
      <c r="R456" s="161">
        <f t="shared" si="32"/>
        <v>0</v>
      </c>
      <c r="S456" s="188"/>
      <c r="T456" s="81"/>
      <c r="U456" s="81"/>
      <c r="V456" s="81"/>
      <c r="Y456" s="87"/>
      <c r="Z456" s="362"/>
      <c r="AA456" s="124"/>
      <c r="AB456" s="124"/>
    </row>
    <row r="457" spans="1:29" s="80" customFormat="1">
      <c r="A457" s="190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5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1"/>
        <v>0</v>
      </c>
      <c r="R457" s="161">
        <f t="shared" si="32"/>
        <v>1</v>
      </c>
      <c r="S457" s="189" t="str">
        <f>D457</f>
        <v>NF-6 Low</v>
      </c>
      <c r="T457" s="81"/>
      <c r="U457" s="81"/>
      <c r="V457" s="81"/>
      <c r="Y457" s="87" t="str">
        <f>D457</f>
        <v>NF-6 Low</v>
      </c>
      <c r="Z457" s="353">
        <f>SUMIFS($P$381:$P$444, $D$381:$D$444, Y457, $F$381:$F$444, "&lt;200") + SUMIFS($Q$381:$Q$444, $D$381:$D$444, Y457, $F$381:$F$444, "&lt;200")</f>
        <v>68620</v>
      </c>
      <c r="AA457" s="124">
        <f>SUM(P457:Q460)</f>
        <v>64473.333333333343</v>
      </c>
      <c r="AB457" s="124">
        <f>SUMIFS(Collection!O:O, Collection!B:B, "*" &amp; 'Bucket Counts'!Y457 &amp; "*", Collection!A:A, "&lt;" &amp; 'Bucket Counts'!A457,Collection!A:A,  "&gt;=" &amp; 'Bucket Counts'!$A$381)</f>
        <v>888.8888888888888</v>
      </c>
      <c r="AC457" s="161">
        <f>AA457/(Z457+AB457)</f>
        <v>0.92755522874772223</v>
      </c>
    </row>
    <row r="458" spans="1:29" s="80" customFormat="1">
      <c r="A458" s="190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5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37">(AVERAGE(I458,K458,M458)/G458)*H458</f>
        <v>8983.3333333333321</v>
      </c>
      <c r="Q458" s="124">
        <f t="shared" si="31"/>
        <v>0</v>
      </c>
      <c r="R458" s="161">
        <f t="shared" si="32"/>
        <v>1</v>
      </c>
      <c r="S458" s="187">
        <f>(SUM(P457:P460)/(SUM(P457:Q460)))</f>
        <v>0.75762589184158824</v>
      </c>
      <c r="T458" s="81"/>
      <c r="U458" s="81"/>
      <c r="V458" s="81"/>
      <c r="Y458" s="87"/>
      <c r="Z458" s="362"/>
      <c r="AA458" s="124"/>
      <c r="AB458" s="124"/>
    </row>
    <row r="459" spans="1:29" s="80" customFormat="1">
      <c r="A459" s="190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5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37"/>
        <v>37833.333333333336</v>
      </c>
      <c r="Q459" s="124">
        <f t="shared" si="31"/>
        <v>333.33333333333331</v>
      </c>
      <c r="R459" s="161">
        <f t="shared" si="32"/>
        <v>0.99126637554585151</v>
      </c>
      <c r="S459" s="188"/>
      <c r="T459" s="81"/>
      <c r="U459" s="81"/>
      <c r="V459" s="81"/>
      <c r="Y459" s="87"/>
      <c r="Z459" s="362"/>
      <c r="AA459" s="124"/>
      <c r="AB459" s="124"/>
    </row>
    <row r="460" spans="1:29" s="80" customFormat="1">
      <c r="A460" s="190">
        <v>42912</v>
      </c>
      <c r="B460" s="78"/>
      <c r="C460" s="78"/>
      <c r="D460" s="79" t="s">
        <v>105</v>
      </c>
      <c r="E460" s="80">
        <v>2</v>
      </c>
      <c r="F460" s="87" t="s">
        <v>203</v>
      </c>
      <c r="G460" s="87">
        <v>1</v>
      </c>
      <c r="H460" s="235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37"/>
        <v>0</v>
      </c>
      <c r="Q460" s="124">
        <f t="shared" si="31"/>
        <v>15293.333333333334</v>
      </c>
      <c r="R460" s="161">
        <f t="shared" si="32"/>
        <v>0</v>
      </c>
      <c r="S460" s="188"/>
      <c r="T460" s="81"/>
      <c r="U460" s="81"/>
      <c r="V460" s="81"/>
      <c r="Y460" s="87"/>
      <c r="Z460" s="362"/>
      <c r="AA460" s="124"/>
      <c r="AB460" s="124"/>
    </row>
    <row r="461" spans="1:29" s="80" customFormat="1">
      <c r="A461" s="190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37"/>
        <v>0</v>
      </c>
      <c r="Q461" s="124">
        <f t="shared" si="31"/>
        <v>0</v>
      </c>
      <c r="R461" s="161" t="e">
        <f t="shared" si="32"/>
        <v>#DIV/0!</v>
      </c>
      <c r="S461" s="189" t="str">
        <f>D461</f>
        <v>HL-6 Ambient</v>
      </c>
      <c r="T461" s="81"/>
      <c r="U461" s="81"/>
      <c r="V461" s="81"/>
      <c r="W461" s="80" t="s">
        <v>260</v>
      </c>
      <c r="Y461" s="87" t="str">
        <f>D461</f>
        <v>HL-6 Ambient</v>
      </c>
      <c r="Z461" s="353">
        <f>SUMIFS($P$381:$P$444, $D$381:$D$444, Y461, $F$381:$F$444, "&lt;200") + SUMIFS($Q$381:$Q$444, $D$381:$D$444, Y461, $F$381:$F$444, "&lt;200")</f>
        <v>30091.666666666664</v>
      </c>
      <c r="AA461" s="124">
        <f>SUM(P461:Q464)</f>
        <v>31100</v>
      </c>
      <c r="AB461" s="124">
        <f>SUMIFS(Collection!O:O, Collection!B:B, "*" &amp; 'Bucket Counts'!Y461 &amp; "*", Collection!A:A, "&lt;" &amp; 'Bucket Counts'!A461,Collection!A:A,  "&gt;=" &amp; 'Bucket Counts'!$A$381)</f>
        <v>0</v>
      </c>
      <c r="AC461" s="161">
        <f>AA461/(Z461+AB461)</f>
        <v>1.0335087233453337</v>
      </c>
    </row>
    <row r="462" spans="1:29" s="80" customFormat="1">
      <c r="A462" s="190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37"/>
        <v>3000</v>
      </c>
      <c r="Q462" s="124">
        <f t="shared" si="31"/>
        <v>0</v>
      </c>
      <c r="R462" s="161">
        <f t="shared" si="32"/>
        <v>1</v>
      </c>
      <c r="S462" s="187">
        <f>(SUM(P461:P464)/(SUM(P461:Q464)))</f>
        <v>0.89389067524115751</v>
      </c>
      <c r="T462" s="81"/>
      <c r="U462" s="81"/>
      <c r="V462" s="81"/>
      <c r="Y462" s="87"/>
      <c r="Z462" s="362"/>
      <c r="AA462" s="124"/>
      <c r="AB462" s="124"/>
    </row>
    <row r="463" spans="1:29" s="80" customFormat="1">
      <c r="A463" s="190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37"/>
        <v>24800</v>
      </c>
      <c r="Q463" s="124">
        <f t="shared" si="31"/>
        <v>266.66666666666663</v>
      </c>
      <c r="R463" s="161">
        <f t="shared" si="32"/>
        <v>0.9893617021276595</v>
      </c>
      <c r="S463" s="188"/>
      <c r="T463" s="81"/>
      <c r="U463" s="81"/>
      <c r="V463" s="81"/>
      <c r="Y463" s="87"/>
      <c r="Z463" s="362"/>
      <c r="AA463" s="124"/>
      <c r="AB463" s="124"/>
    </row>
    <row r="464" spans="1:29" s="80" customFormat="1">
      <c r="A464" s="190">
        <v>42912</v>
      </c>
      <c r="B464" s="78"/>
      <c r="C464" s="78"/>
      <c r="D464" s="80" t="s">
        <v>119</v>
      </c>
      <c r="E464" s="80">
        <v>3</v>
      </c>
      <c r="F464" s="87" t="s">
        <v>203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37"/>
        <v>0</v>
      </c>
      <c r="Q464" s="124">
        <f t="shared" si="31"/>
        <v>3033.3333333333335</v>
      </c>
      <c r="R464" s="161">
        <f t="shared" si="32"/>
        <v>0</v>
      </c>
      <c r="S464" s="188"/>
      <c r="T464" s="81"/>
      <c r="U464" s="81"/>
      <c r="V464" s="81"/>
      <c r="Y464" s="87"/>
      <c r="Z464" s="362"/>
      <c r="AA464" s="124"/>
      <c r="AB464" s="124"/>
    </row>
    <row r="465" spans="1:29" s="80" customFormat="1">
      <c r="A465" s="190">
        <v>42912</v>
      </c>
      <c r="B465" s="78"/>
      <c r="C465" s="78"/>
      <c r="D465" s="80" t="s">
        <v>83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37"/>
        <v>0</v>
      </c>
      <c r="Q465" s="124">
        <f t="shared" si="31"/>
        <v>0</v>
      </c>
      <c r="R465" s="161" t="e">
        <f t="shared" si="32"/>
        <v>#DIV/0!</v>
      </c>
      <c r="S465" s="189" t="str">
        <f>D465</f>
        <v>NF-10 Low</v>
      </c>
      <c r="T465" s="81"/>
      <c r="U465" s="81"/>
      <c r="V465" s="81"/>
      <c r="W465" s="80" t="s">
        <v>260</v>
      </c>
      <c r="Y465" s="87" t="str">
        <f>D465</f>
        <v>NF-10 Low</v>
      </c>
      <c r="Z465" s="353">
        <f>SUMIFS($P$381:$P$444, $D$381:$D$444, Y465, $F$381:$F$444, "&lt;200") + SUMIFS($Q$381:$Q$444, $D$381:$D$444, Y465, $F$381:$F$444, "&lt;200")</f>
        <v>23266.666666666668</v>
      </c>
      <c r="AA465" s="124">
        <f>SUM(P465:Q468)</f>
        <v>22846.666666666668</v>
      </c>
      <c r="AB465" s="124">
        <f>SUMIFS(Collection!O:O, Collection!B:B, "*" &amp; 'Bucket Counts'!Y465 &amp; "*", Collection!A:A, "&lt;" &amp; 'Bucket Counts'!A465,Collection!A:A,  "&gt;=" &amp; 'Bucket Counts'!$A$381)</f>
        <v>0</v>
      </c>
      <c r="AC465" s="161">
        <f>AA465/(Z465+AB465)</f>
        <v>0.98194842406876792</v>
      </c>
    </row>
    <row r="466" spans="1:29" s="80" customFormat="1">
      <c r="A466" s="190">
        <v>42912</v>
      </c>
      <c r="B466" s="78"/>
      <c r="C466" s="78"/>
      <c r="D466" s="80" t="s">
        <v>83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37"/>
        <v>166.66666666666666</v>
      </c>
      <c r="Q466" s="124">
        <f t="shared" si="31"/>
        <v>0</v>
      </c>
      <c r="R466" s="161">
        <f t="shared" si="32"/>
        <v>1</v>
      </c>
      <c r="S466" s="187">
        <f>(SUM(P465:P468)/(SUM(P465:Q468)))</f>
        <v>1.0796615115261161E-2</v>
      </c>
      <c r="T466" s="81"/>
      <c r="Y466" s="87"/>
      <c r="Z466" s="362"/>
      <c r="AA466" s="124"/>
      <c r="AB466" s="124"/>
    </row>
    <row r="467" spans="1:29" s="80" customFormat="1">
      <c r="A467" s="190">
        <v>42912</v>
      </c>
      <c r="B467" s="78"/>
      <c r="C467" s="78"/>
      <c r="D467" s="80" t="s">
        <v>83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37"/>
        <v>80</v>
      </c>
      <c r="Q467" s="124">
        <f t="shared" si="31"/>
        <v>0</v>
      </c>
      <c r="R467" s="161">
        <f t="shared" si="32"/>
        <v>1</v>
      </c>
      <c r="S467" s="188"/>
      <c r="T467" s="81"/>
      <c r="Y467" s="87"/>
      <c r="Z467" s="362"/>
      <c r="AA467" s="124"/>
      <c r="AB467" s="124"/>
    </row>
    <row r="468" spans="1:29" s="80" customFormat="1">
      <c r="A468" s="190">
        <v>42912</v>
      </c>
      <c r="B468" s="78"/>
      <c r="C468" s="78"/>
      <c r="D468" s="80" t="s">
        <v>83</v>
      </c>
      <c r="E468" s="80">
        <v>3</v>
      </c>
      <c r="F468" s="87" t="s">
        <v>203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37"/>
        <v>0</v>
      </c>
      <c r="Q468" s="124">
        <f t="shared" si="31"/>
        <v>22600</v>
      </c>
      <c r="R468" s="161">
        <f t="shared" si="32"/>
        <v>0</v>
      </c>
      <c r="S468" s="188"/>
      <c r="T468" s="81"/>
      <c r="Y468" s="87"/>
      <c r="Z468" s="362"/>
      <c r="AA468" s="124"/>
      <c r="AB468" s="124"/>
    </row>
    <row r="469" spans="1:29" s="80" customFormat="1">
      <c r="A469" s="190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38">(AVERAGE(I470,K470,M470)/G469)*H469</f>
        <v>680</v>
      </c>
      <c r="Q469" s="124">
        <f t="shared" ref="Q469:Q480" si="39">(AVERAGE(J470,L470,N470)/G469)*H469</f>
        <v>0</v>
      </c>
      <c r="R469" s="161">
        <f t="shared" si="32"/>
        <v>1</v>
      </c>
      <c r="S469" s="186" t="str">
        <f>D469</f>
        <v>HL-6 Low</v>
      </c>
      <c r="T469" s="81"/>
      <c r="W469" s="80" t="s">
        <v>260</v>
      </c>
      <c r="Y469" s="87" t="str">
        <f>D469</f>
        <v>HL-6 Low</v>
      </c>
      <c r="Z469" s="353">
        <f>SUMIFS($P$381:$P$444, $D$381:$D$444, Y469, $F$381:$F$444, "&lt;200") + SUMIFS($Q$381:$Q$444, $D$381:$D$444, Y469, $F$381:$F$444, "&lt;200")</f>
        <v>89646.666666666672</v>
      </c>
      <c r="AA469" s="124">
        <f>SUM(P469:Q472)</f>
        <v>47058.333333333336</v>
      </c>
      <c r="AB469" s="124">
        <f>SUMIFS(Collection!O:O, Collection!B:B, "*" &amp; 'Bucket Counts'!Y469 &amp; "*", Collection!A:A, "&lt;" &amp; 'Bucket Counts'!A469,Collection!A:A,  "&gt;=" &amp; 'Bucket Counts'!$A$381)</f>
        <v>995.55555555555554</v>
      </c>
      <c r="AC469" s="161">
        <f>AA469/(Z469+AB469)</f>
        <v>0.51916570644046189</v>
      </c>
    </row>
    <row r="470" spans="1:29" s="80" customFormat="1">
      <c r="A470" s="190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38"/>
        <v>23040</v>
      </c>
      <c r="Q470" s="124">
        <f t="shared" si="39"/>
        <v>0</v>
      </c>
      <c r="R470" s="161">
        <f t="shared" si="32"/>
        <v>1</v>
      </c>
      <c r="S470" s="187">
        <f>(SUM(P469:P472)/(SUM(P469:Q472)))</f>
        <v>0.58009562599610409</v>
      </c>
      <c r="T470" s="81"/>
      <c r="Y470" s="87"/>
      <c r="Z470" s="362"/>
      <c r="AA470" s="124"/>
      <c r="AB470" s="124"/>
    </row>
    <row r="471" spans="1:29" s="80" customFormat="1">
      <c r="A471" s="190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28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38"/>
        <v>3120</v>
      </c>
      <c r="Q471" s="124">
        <f t="shared" si="39"/>
        <v>19760</v>
      </c>
      <c r="R471" s="161">
        <f t="shared" si="32"/>
        <v>0.13636363636363635</v>
      </c>
      <c r="S471" s="185"/>
      <c r="T471" s="81"/>
      <c r="Y471" s="87"/>
      <c r="Z471" s="362"/>
      <c r="AA471" s="124"/>
      <c r="AB471" s="124"/>
    </row>
    <row r="472" spans="1:29" s="80" customFormat="1">
      <c r="A472" s="190">
        <v>42912</v>
      </c>
      <c r="B472" s="78"/>
      <c r="C472" s="78"/>
      <c r="D472" s="79" t="s">
        <v>21</v>
      </c>
      <c r="E472" s="80">
        <v>4</v>
      </c>
      <c r="F472" s="87" t="s">
        <v>203</v>
      </c>
      <c r="G472" s="87">
        <v>1</v>
      </c>
      <c r="H472" s="228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38"/>
        <v>458.33333333333337</v>
      </c>
      <c r="Q472" s="124">
        <f t="shared" si="39"/>
        <v>0</v>
      </c>
      <c r="R472" s="161">
        <f t="shared" si="32"/>
        <v>1</v>
      </c>
      <c r="S472" s="188"/>
      <c r="T472" s="81"/>
      <c r="Y472" s="87"/>
      <c r="Z472" s="362"/>
      <c r="AA472" s="124"/>
      <c r="AB472" s="124"/>
    </row>
    <row r="473" spans="1:29" s="80" customFormat="1">
      <c r="A473" s="190">
        <v>42912</v>
      </c>
      <c r="B473" s="78"/>
      <c r="C473" s="78"/>
      <c r="D473" s="79" t="s">
        <v>74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38"/>
        <v>4060</v>
      </c>
      <c r="Q473" s="124">
        <f t="shared" si="39"/>
        <v>48.333333333333329</v>
      </c>
      <c r="R473" s="161">
        <f t="shared" si="32"/>
        <v>0.9882352941176471</v>
      </c>
      <c r="S473" s="189" t="str">
        <f>D473</f>
        <v>SN-10 Low</v>
      </c>
      <c r="T473" s="81"/>
      <c r="Y473" s="87" t="str">
        <f>D473</f>
        <v>SN-10 Low</v>
      </c>
      <c r="Z473" s="353">
        <f>SUMIFS($P$381:$P$444, $D$381:$D$444, Y473, $F$381:$F$444, "&lt;200") + SUMIFS($Q$381:$Q$444, $D$381:$D$444, Y473, $F$381:$F$444, "&lt;200")</f>
        <v>70376.666666666672</v>
      </c>
      <c r="AA473" s="124">
        <f>SUM(P473:Q476)</f>
        <v>134281.66666666666</v>
      </c>
      <c r="AB473" s="124">
        <f>SUMIFS(Collection!O:O, Collection!B:B, "*" &amp; 'Bucket Counts'!Y473 &amp; "*", Collection!A:A, "&lt;" &amp; 'Bucket Counts'!A473,Collection!A:A,  "&gt;=" &amp; 'Bucket Counts'!$A$381)</f>
        <v>78433.333333333328</v>
      </c>
      <c r="AC473" s="161">
        <f>AA473/(Z473+AB473)</f>
        <v>0.90236991241628017</v>
      </c>
    </row>
    <row r="474" spans="1:29" s="80" customFormat="1">
      <c r="A474" s="190">
        <v>42912</v>
      </c>
      <c r="B474" s="78"/>
      <c r="C474" s="78"/>
      <c r="D474" s="79" t="s">
        <v>74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38"/>
        <v>23200</v>
      </c>
      <c r="Q474" s="124">
        <f t="shared" si="39"/>
        <v>800</v>
      </c>
      <c r="R474" s="161">
        <f t="shared" si="32"/>
        <v>0.96666666666666667</v>
      </c>
      <c r="S474" s="187">
        <f>(SUM(P473:P476)/(SUM(P473:Q476)))</f>
        <v>0.25920639451898375</v>
      </c>
      <c r="T474" s="81"/>
      <c r="Y474" s="87"/>
      <c r="Z474" s="362"/>
      <c r="AA474" s="124"/>
      <c r="AB474" s="124"/>
    </row>
    <row r="475" spans="1:29" s="80" customFormat="1">
      <c r="A475" s="190">
        <v>42912</v>
      </c>
      <c r="B475" s="78"/>
      <c r="C475" s="78"/>
      <c r="D475" s="79" t="s">
        <v>74</v>
      </c>
      <c r="E475" s="80">
        <v>4</v>
      </c>
      <c r="F475" s="87">
        <v>100</v>
      </c>
      <c r="G475" s="87">
        <v>1</v>
      </c>
      <c r="H475" s="228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38"/>
        <v>5546.6666666666661</v>
      </c>
      <c r="Q475" s="124">
        <f t="shared" si="39"/>
        <v>98626.666666666657</v>
      </c>
      <c r="R475" s="161">
        <f t="shared" si="32"/>
        <v>5.3244592346089845E-2</v>
      </c>
      <c r="S475" s="188"/>
      <c r="T475" s="81"/>
      <c r="Y475" s="87"/>
      <c r="Z475" s="362"/>
      <c r="AA475" s="124"/>
      <c r="AB475" s="124"/>
    </row>
    <row r="476" spans="1:29" s="80" customFormat="1">
      <c r="A476" s="190">
        <v>42912</v>
      </c>
      <c r="B476" s="78"/>
      <c r="C476" s="78"/>
      <c r="D476" s="79" t="s">
        <v>74</v>
      </c>
      <c r="E476" s="80">
        <v>4</v>
      </c>
      <c r="F476" s="87" t="s">
        <v>203</v>
      </c>
      <c r="G476" s="87">
        <v>1</v>
      </c>
      <c r="H476" s="228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38"/>
        <v>2000</v>
      </c>
      <c r="Q476" s="124">
        <f t="shared" si="39"/>
        <v>0</v>
      </c>
      <c r="R476" s="161">
        <f t="shared" si="32"/>
        <v>1</v>
      </c>
      <c r="S476" s="188"/>
      <c r="T476" s="81"/>
      <c r="Y476" s="87"/>
      <c r="Z476" s="362"/>
      <c r="AA476" s="124"/>
      <c r="AB476" s="124"/>
    </row>
    <row r="477" spans="1:29" s="80" customFormat="1">
      <c r="A477" s="190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38"/>
        <v>1850</v>
      </c>
      <c r="Q477" s="124">
        <f t="shared" si="39"/>
        <v>0</v>
      </c>
      <c r="R477" s="161">
        <f t="shared" si="32"/>
        <v>1</v>
      </c>
      <c r="S477" s="189" t="str">
        <f>D477</f>
        <v>K-6 Ambient</v>
      </c>
      <c r="Y477" s="87" t="str">
        <f>D477</f>
        <v>K-6 Ambient</v>
      </c>
      <c r="Z477" s="353">
        <f>SUMIFS($P$381:$P$444, $D$381:$D$444, Y477, $F$381:$F$444, "&lt;200") + SUMIFS($Q$381:$Q$444, $D$381:$D$444, Y477, $F$381:$F$444, "&lt;200")</f>
        <v>75266.666666666672</v>
      </c>
      <c r="AA477" s="124">
        <f>SUM(P477:Q480)</f>
        <v>60583.333333333336</v>
      </c>
      <c r="AB477" s="124">
        <f>SUMIFS(Collection!O:O, Collection!B:B, "*" &amp; 'Bucket Counts'!Y477 &amp; "*", Collection!A:A, "&lt;" &amp; 'Bucket Counts'!A477,Collection!A:A,  "&gt;=" &amp; 'Bucket Counts'!$A$381)</f>
        <v>193.33333333333331</v>
      </c>
      <c r="AC477" s="161">
        <f>AA477/(Z477+AB477)</f>
        <v>0.80285360897605795</v>
      </c>
    </row>
    <row r="478" spans="1:29" s="80" customFormat="1">
      <c r="A478" s="190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38"/>
        <v>27733.333333333336</v>
      </c>
      <c r="Q478" s="124">
        <f t="shared" si="39"/>
        <v>0</v>
      </c>
      <c r="R478" s="161">
        <f t="shared" si="32"/>
        <v>1</v>
      </c>
      <c r="S478" s="187">
        <f>(SUM(P477:P480)/(SUM(P477:Q480)))</f>
        <v>0.74690508940852818</v>
      </c>
      <c r="Y478" s="87"/>
      <c r="Z478" s="362"/>
      <c r="AA478" s="124"/>
      <c r="AB478" s="124"/>
    </row>
    <row r="479" spans="1:29" s="80" customFormat="1">
      <c r="A479" s="190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38"/>
        <v>12666.666666666666</v>
      </c>
      <c r="Q479" s="124">
        <f t="shared" si="39"/>
        <v>15333.333333333334</v>
      </c>
      <c r="R479" s="161">
        <f t="shared" si="32"/>
        <v>0.45238095238095238</v>
      </c>
      <c r="S479" s="188"/>
      <c r="Y479" s="87"/>
      <c r="Z479" s="362"/>
      <c r="AA479" s="124"/>
      <c r="AB479" s="124"/>
    </row>
    <row r="480" spans="1:29" s="80" customFormat="1">
      <c r="A480" s="190">
        <v>42912</v>
      </c>
      <c r="B480" s="78"/>
      <c r="C480" s="78"/>
      <c r="D480" s="80" t="s">
        <v>38</v>
      </c>
      <c r="E480" s="80">
        <v>5</v>
      </c>
      <c r="F480" s="87" t="s">
        <v>203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38"/>
        <v>3000</v>
      </c>
      <c r="Q480" s="124">
        <f t="shared" si="39"/>
        <v>0</v>
      </c>
      <c r="R480" s="161">
        <f t="shared" si="32"/>
        <v>1</v>
      </c>
      <c r="S480" s="188"/>
      <c r="Y480" s="87"/>
      <c r="Z480" s="362"/>
      <c r="AA480" s="124"/>
      <c r="AB480" s="124"/>
    </row>
    <row r="481" spans="1:29" s="80" customFormat="1">
      <c r="A481" s="190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0">(AVERAGE(I481,K481,M481)/G481)*H481</f>
        <v>1560</v>
      </c>
      <c r="Q481" s="124">
        <f t="shared" si="31"/>
        <v>0</v>
      </c>
      <c r="R481" s="161">
        <f t="shared" si="32"/>
        <v>1</v>
      </c>
      <c r="S481" s="189" t="str">
        <f>D481</f>
        <v>SN-6 Ambient</v>
      </c>
      <c r="T481" s="81"/>
      <c r="U481" s="81"/>
      <c r="V481" s="81"/>
      <c r="Y481" s="87" t="str">
        <f>D481</f>
        <v>SN-6 Ambient</v>
      </c>
      <c r="Z481" s="353">
        <f>SUMIFS($P$381:$P$444, $D$381:$D$444, Y481, $F$381:$F$444, "&lt;200") + SUMIFS($Q$381:$Q$444, $D$381:$D$444, Y481, $F$381:$F$444, "&lt;200")</f>
        <v>74591.666666666657</v>
      </c>
      <c r="AA481" s="124">
        <f>SUM(P481:Q484)</f>
        <v>65606.666666666657</v>
      </c>
      <c r="AB481" s="124">
        <f>SUMIFS(Collection!O:O, Collection!B:B, "*" &amp; 'Bucket Counts'!Y481 &amp; "*", Collection!A:A, "&lt;" &amp; 'Bucket Counts'!A481,Collection!A:A,  "&gt;=" &amp; 'Bucket Counts'!$A$381)</f>
        <v>0</v>
      </c>
      <c r="AC481" s="161">
        <f>AA481/(Z481+AB481)</f>
        <v>0.87954418500726173</v>
      </c>
    </row>
    <row r="482" spans="1:29" s="80" customFormat="1">
      <c r="A482" s="190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0"/>
        <v>5413.3333333333339</v>
      </c>
      <c r="Q482" s="124">
        <f t="shared" si="31"/>
        <v>0</v>
      </c>
      <c r="R482" s="161">
        <f t="shared" si="32"/>
        <v>1</v>
      </c>
      <c r="S482" s="187">
        <f>(SUM(P481:P484)/(SUM(P481:Q484)))</f>
        <v>0.65389696169088518</v>
      </c>
      <c r="T482" s="81"/>
      <c r="U482" s="81"/>
      <c r="V482" s="81"/>
      <c r="W482" s="80" t="s">
        <v>261</v>
      </c>
      <c r="Y482" s="87"/>
      <c r="Z482" s="362"/>
      <c r="AA482" s="124"/>
      <c r="AB482" s="124"/>
    </row>
    <row r="483" spans="1:29" s="80" customFormat="1">
      <c r="A483" s="190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0"/>
        <v>29333.333333333332</v>
      </c>
      <c r="Q483" s="124">
        <f t="shared" si="31"/>
        <v>166.66666666666666</v>
      </c>
      <c r="R483" s="161">
        <f t="shared" si="32"/>
        <v>0.99435028248587565</v>
      </c>
      <c r="S483" s="188"/>
      <c r="T483" s="81"/>
      <c r="U483" s="81"/>
      <c r="V483" s="81"/>
      <c r="Y483" s="87"/>
      <c r="Z483" s="362"/>
      <c r="AA483" s="124"/>
      <c r="AB483" s="124"/>
    </row>
    <row r="484" spans="1:29" s="80" customFormat="1">
      <c r="A484" s="190">
        <v>42912</v>
      </c>
      <c r="B484" s="78"/>
      <c r="C484" s="78"/>
      <c r="D484" s="80" t="s">
        <v>87</v>
      </c>
      <c r="E484" s="80">
        <v>5</v>
      </c>
      <c r="F484" s="87" t="s">
        <v>203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0"/>
        <v>6593.3333333333339</v>
      </c>
      <c r="Q484" s="124">
        <f t="shared" ref="Q484:Q547" si="41">(AVERAGE(J484,L484,N484)/G484)*H484</f>
        <v>22540</v>
      </c>
      <c r="R484" s="161">
        <f t="shared" ref="R484:R547" si="42">P484/(P484+Q484)</f>
        <v>0.22631578947368422</v>
      </c>
      <c r="S484" s="188"/>
      <c r="T484" s="81"/>
      <c r="U484" s="81"/>
      <c r="V484" s="81"/>
      <c r="Y484" s="87"/>
      <c r="Z484" s="362"/>
      <c r="AA484" s="124"/>
      <c r="AB484" s="124"/>
    </row>
    <row r="485" spans="1:29" s="80" customFormat="1">
      <c r="A485" s="190">
        <v>42912</v>
      </c>
      <c r="B485" s="78"/>
      <c r="C485" s="78"/>
      <c r="D485" s="80" t="s">
        <v>20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0"/>
        <v>125</v>
      </c>
      <c r="Q485" s="124">
        <f t="shared" si="41"/>
        <v>0</v>
      </c>
      <c r="R485" s="161">
        <f t="shared" si="42"/>
        <v>1</v>
      </c>
      <c r="S485" s="189" t="str">
        <f>D485</f>
        <v>K-10 Low</v>
      </c>
      <c r="T485" s="81"/>
      <c r="U485" s="81"/>
      <c r="V485" s="81"/>
      <c r="Y485" s="87" t="str">
        <f>D485</f>
        <v>K-10 Low</v>
      </c>
      <c r="Z485" s="353">
        <f>SUMIFS($P$381:$P$444, $D$381:$D$444, Y485, $F$381:$F$444, "&lt;200") + SUMIFS($Q$381:$Q$444, $D$381:$D$444, Y485, $F$381:$F$444, "&lt;200")</f>
        <v>7926.666666666667</v>
      </c>
      <c r="AA485" s="124">
        <f>SUM(P485:Q488)</f>
        <v>7183.333333333333</v>
      </c>
      <c r="AB485" s="124">
        <f>SUMIFS(Collection!O:O, Collection!B:B, "*" &amp; 'Bucket Counts'!Y485 &amp; "*", Collection!A:A, "&lt;" &amp; 'Bucket Counts'!A485,Collection!A:A,  "&gt;=" &amp; 'Bucket Counts'!$A$381)</f>
        <v>0</v>
      </c>
      <c r="AC485" s="161">
        <f>AA485/(Z485+AB485)</f>
        <v>0.90622371740958785</v>
      </c>
    </row>
    <row r="486" spans="1:29" s="80" customFormat="1">
      <c r="A486" s="190">
        <v>42912</v>
      </c>
      <c r="B486" s="78"/>
      <c r="C486" s="78"/>
      <c r="D486" s="80" t="s">
        <v>20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1"/>
        <v>0</v>
      </c>
      <c r="R486" s="161">
        <f t="shared" si="42"/>
        <v>1</v>
      </c>
      <c r="S486" s="187">
        <f>(SUM(P485:P488)/(SUM(P485:Q488)))</f>
        <v>0.94153132250580052</v>
      </c>
      <c r="T486" s="81"/>
      <c r="U486" s="81"/>
      <c r="V486" s="81"/>
      <c r="Y486" s="87"/>
      <c r="Z486" s="362"/>
      <c r="AA486" s="124"/>
      <c r="AB486" s="124"/>
    </row>
    <row r="487" spans="1:29" s="80" customFormat="1">
      <c r="A487" s="190">
        <v>42912</v>
      </c>
      <c r="B487" s="78"/>
      <c r="C487" s="78"/>
      <c r="D487" s="80" t="s">
        <v>20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3">(AVERAGE(I487,K487,M487)/G487)*H487</f>
        <v>6113.333333333333</v>
      </c>
      <c r="Q487" s="124">
        <f t="shared" si="41"/>
        <v>46.666666666666664</v>
      </c>
      <c r="R487" s="161">
        <f t="shared" si="42"/>
        <v>0.99242424242424232</v>
      </c>
      <c r="S487" s="188"/>
      <c r="T487" s="81"/>
      <c r="U487" s="81"/>
      <c r="V487" s="81"/>
      <c r="Y487" s="87"/>
      <c r="Z487" s="362"/>
      <c r="AA487" s="124"/>
      <c r="AB487" s="124"/>
    </row>
    <row r="488" spans="1:29" s="80" customFormat="1">
      <c r="A488" s="190">
        <v>42912</v>
      </c>
      <c r="B488" s="78"/>
      <c r="C488" s="78"/>
      <c r="D488" s="80" t="s">
        <v>20</v>
      </c>
      <c r="E488" s="80">
        <v>6</v>
      </c>
      <c r="F488" s="87" t="s">
        <v>203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3"/>
        <v>233.33333333333334</v>
      </c>
      <c r="Q488" s="124">
        <f t="shared" si="41"/>
        <v>373.33333333333331</v>
      </c>
      <c r="R488" s="161">
        <f t="shared" si="42"/>
        <v>0.38461538461538464</v>
      </c>
      <c r="S488" s="188"/>
      <c r="T488" s="81"/>
      <c r="U488" s="81"/>
      <c r="V488" s="81"/>
      <c r="Y488" s="87"/>
      <c r="Z488" s="362"/>
      <c r="AA488" s="124"/>
      <c r="AB488" s="124"/>
    </row>
    <row r="489" spans="1:29" s="80" customFormat="1">
      <c r="A489" s="190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3"/>
        <v>650</v>
      </c>
      <c r="Q489" s="124">
        <f t="shared" si="41"/>
        <v>100</v>
      </c>
      <c r="R489" s="161">
        <f t="shared" si="42"/>
        <v>0.8666666666666667</v>
      </c>
      <c r="S489" s="189" t="str">
        <f>D489</f>
        <v>NF-10 Ambient</v>
      </c>
      <c r="T489" s="81"/>
      <c r="U489" s="81"/>
      <c r="V489" s="81"/>
      <c r="Y489" s="87" t="str">
        <f>D489</f>
        <v>NF-10 Ambient</v>
      </c>
      <c r="Z489" s="353">
        <f>SUMIFS($P$381:$P$444, $D$381:$D$444, Y489, $F$381:$F$444, "&lt;200") + SUMIFS($Q$381:$Q$444, $D$381:$D$444, Y489, $F$381:$F$444, "&lt;200")</f>
        <v>25900</v>
      </c>
      <c r="AA489" s="124">
        <f>SUM(P489:Q492)</f>
        <v>28533.333333333336</v>
      </c>
      <c r="AB489" s="124">
        <f>SUMIFS(Collection!O:O, Collection!B:B, "*" &amp; 'Bucket Counts'!Y489 &amp; "*", Collection!A:A, "&lt;" &amp; 'Bucket Counts'!A489,Collection!A:A,  "&gt;=" &amp; 'Bucket Counts'!$A$381)</f>
        <v>0</v>
      </c>
      <c r="AC489" s="161">
        <f>AA489/(Z489+AB489)</f>
        <v>1.1016731016731018</v>
      </c>
    </row>
    <row r="490" spans="1:29" s="80" customFormat="1">
      <c r="A490" s="190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3"/>
        <v>2000</v>
      </c>
      <c r="Q490" s="124">
        <f t="shared" si="41"/>
        <v>50</v>
      </c>
      <c r="R490" s="161">
        <f t="shared" si="42"/>
        <v>0.97560975609756095</v>
      </c>
      <c r="S490" s="187">
        <f>(SUM(P489:P492)/(SUM(P489:Q492)))</f>
        <v>0.35630841121495321</v>
      </c>
      <c r="T490" s="81"/>
      <c r="U490" s="81"/>
      <c r="V490" s="81"/>
      <c r="Y490" s="87"/>
      <c r="Z490" s="362"/>
      <c r="AA490" s="124"/>
      <c r="AB490" s="124"/>
    </row>
    <row r="491" spans="1:29" s="80" customFormat="1">
      <c r="A491" s="190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3"/>
        <v>6350</v>
      </c>
      <c r="Q491" s="124">
        <f t="shared" si="41"/>
        <v>50</v>
      </c>
      <c r="R491" s="161">
        <f t="shared" si="42"/>
        <v>0.9921875</v>
      </c>
      <c r="S491" s="188"/>
      <c r="T491" s="81"/>
      <c r="U491" s="81"/>
      <c r="V491" s="81"/>
      <c r="Y491" s="87"/>
      <c r="Z491" s="362"/>
      <c r="AA491" s="124"/>
      <c r="AB491" s="124"/>
    </row>
    <row r="492" spans="1:29" s="80" customFormat="1">
      <c r="A492" s="190">
        <v>42912</v>
      </c>
      <c r="B492" s="78"/>
      <c r="C492" s="78"/>
      <c r="D492" s="80" t="s">
        <v>84</v>
      </c>
      <c r="E492" s="80">
        <v>6</v>
      </c>
      <c r="F492" s="87" t="s">
        <v>203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3"/>
        <v>1166.6666666666667</v>
      </c>
      <c r="Q492" s="124">
        <f t="shared" si="41"/>
        <v>18166.666666666668</v>
      </c>
      <c r="R492" s="161">
        <f t="shared" si="42"/>
        <v>6.0344827586206892E-2</v>
      </c>
      <c r="S492" s="188"/>
      <c r="T492" s="81"/>
      <c r="U492" s="81"/>
      <c r="V492" s="81"/>
      <c r="Y492" s="87"/>
      <c r="Z492" s="362"/>
      <c r="AA492" s="124"/>
      <c r="AB492" s="124"/>
    </row>
    <row r="493" spans="1:29" s="80" customFormat="1">
      <c r="A493" s="190">
        <v>42912</v>
      </c>
      <c r="B493" s="78"/>
      <c r="C493" s="78"/>
      <c r="D493" s="80" t="s">
        <v>109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3"/>
        <v>653.33333333333337</v>
      </c>
      <c r="Q493" s="124">
        <f t="shared" si="41"/>
        <v>0</v>
      </c>
      <c r="R493" s="161">
        <f t="shared" si="42"/>
        <v>1</v>
      </c>
      <c r="S493" s="189" t="str">
        <f>D493</f>
        <v>HL-10 Low</v>
      </c>
      <c r="T493" s="81"/>
      <c r="U493" s="81"/>
      <c r="V493" s="81"/>
      <c r="Y493" s="87" t="str">
        <f>D493</f>
        <v>HL-10 Low</v>
      </c>
      <c r="Z493" s="353">
        <f>SUMIFS($P$381:$P$444, $D$381:$D$444, Y493, $F$381:$F$444, "&lt;200") + SUMIFS($Q$381:$Q$444, $D$381:$D$444, Y493, $F$381:$F$444, "&lt;200")</f>
        <v>84933.333333333328</v>
      </c>
      <c r="AA493" s="124">
        <f>SUM(P493:Q496)</f>
        <v>82111.666666666657</v>
      </c>
      <c r="AB493" s="124">
        <f>SUMIFS(Collection!O:O, Collection!B:B, "*" &amp; 'Bucket Counts'!Y493 &amp; "*", Collection!A:A, "&lt;" &amp; 'Bucket Counts'!A493,Collection!A:A,  "&gt;=" &amp; 'Bucket Counts'!$A$381)</f>
        <v>10000</v>
      </c>
      <c r="AC493" s="161">
        <f>AA493/(Z493+AB493)</f>
        <v>0.86494030898876395</v>
      </c>
    </row>
    <row r="494" spans="1:29" s="80" customFormat="1">
      <c r="A494" s="190">
        <v>42912</v>
      </c>
      <c r="B494" s="78"/>
      <c r="C494" s="78"/>
      <c r="D494" s="80" t="s">
        <v>109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3"/>
        <v>7166.666666666667</v>
      </c>
      <c r="Q494" s="124">
        <f t="shared" si="41"/>
        <v>0</v>
      </c>
      <c r="R494" s="161">
        <f t="shared" si="42"/>
        <v>1</v>
      </c>
      <c r="S494" s="187">
        <f>(SUM(P493:P496)/(SUM(P493:Q496)))</f>
        <v>0.56999614346317007</v>
      </c>
      <c r="T494" s="81"/>
      <c r="U494" s="81"/>
      <c r="V494" s="81"/>
      <c r="Y494" s="87"/>
      <c r="Z494" s="362"/>
      <c r="AA494" s="124"/>
      <c r="AB494" s="124"/>
    </row>
    <row r="495" spans="1:29" s="80" customFormat="1">
      <c r="A495" s="190">
        <v>42912</v>
      </c>
      <c r="B495" s="78"/>
      <c r="C495" s="78"/>
      <c r="D495" s="80" t="s">
        <v>109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3"/>
        <v>38666.666666666664</v>
      </c>
      <c r="Q495" s="124">
        <f t="shared" si="41"/>
        <v>0</v>
      </c>
      <c r="R495" s="161">
        <f t="shared" si="42"/>
        <v>1</v>
      </c>
      <c r="S495" s="188"/>
      <c r="T495" s="81"/>
      <c r="U495" s="81"/>
      <c r="V495" s="81"/>
      <c r="Y495" s="87"/>
      <c r="Z495" s="362"/>
      <c r="AA495" s="124"/>
      <c r="AB495" s="124"/>
    </row>
    <row r="496" spans="1:29" s="80" customFormat="1">
      <c r="A496" s="190">
        <v>42912</v>
      </c>
      <c r="B496" s="78"/>
      <c r="C496" s="78"/>
      <c r="D496" s="80" t="s">
        <v>109</v>
      </c>
      <c r="E496" s="80">
        <v>7</v>
      </c>
      <c r="F496" s="87" t="s">
        <v>203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3"/>
        <v>316.66666666666663</v>
      </c>
      <c r="Q496" s="124">
        <f t="shared" si="41"/>
        <v>35308.333333333328</v>
      </c>
      <c r="R496" s="161">
        <f t="shared" si="42"/>
        <v>8.8888888888888889E-3</v>
      </c>
      <c r="S496" s="188"/>
      <c r="T496" s="81"/>
      <c r="U496" s="81"/>
      <c r="V496" s="81"/>
      <c r="Y496" s="87"/>
      <c r="Z496" s="362"/>
      <c r="AA496" s="124"/>
      <c r="AB496" s="124"/>
    </row>
    <row r="497" spans="1:29" s="80" customFormat="1">
      <c r="A497" s="190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3"/>
        <v>600</v>
      </c>
      <c r="Q497" s="124">
        <f t="shared" si="41"/>
        <v>0</v>
      </c>
      <c r="R497" s="161">
        <f t="shared" si="42"/>
        <v>1</v>
      </c>
      <c r="S497" s="189" t="str">
        <f>D497</f>
        <v>K-10 Ambient</v>
      </c>
      <c r="T497" s="81"/>
      <c r="U497" s="81"/>
      <c r="V497" s="81"/>
      <c r="Y497" s="87" t="str">
        <f>D497</f>
        <v>K-10 Ambient</v>
      </c>
      <c r="Z497" s="353">
        <f>SUMIFS($P$381:$P$444, $D$381:$D$444, Y497, $F$381:$F$444, "&lt;200") + SUMIFS($Q$381:$Q$444, $D$381:$D$444, Y497, $F$381:$F$444, "&lt;200")</f>
        <v>27800</v>
      </c>
      <c r="AA497" s="124">
        <f>SUM(P497:Q500)</f>
        <v>20090</v>
      </c>
      <c r="AB497" s="124">
        <f>SUMIFS(Collection!O:O, Collection!B:B, "*" &amp; 'Bucket Counts'!Y497 &amp; "*", Collection!A:A, "&lt;" &amp; 'Bucket Counts'!A497,Collection!A:A,  "&gt;=" &amp; 'Bucket Counts'!$A$381)</f>
        <v>0</v>
      </c>
      <c r="AC497" s="161">
        <f>AA497/(Z497+AB497)</f>
        <v>0.72266187050359709</v>
      </c>
    </row>
    <row r="498" spans="1:29" s="80" customFormat="1">
      <c r="A498" s="190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3"/>
        <v>4290</v>
      </c>
      <c r="Q498" s="124">
        <f t="shared" si="41"/>
        <v>0</v>
      </c>
      <c r="R498" s="161">
        <f t="shared" si="42"/>
        <v>1</v>
      </c>
      <c r="S498" s="187">
        <f>(SUM(P497:P500)/(SUM(P497:Q500)))</f>
        <v>0.63497594159615067</v>
      </c>
      <c r="T498" s="81"/>
      <c r="U498" s="81"/>
      <c r="V498" s="81"/>
      <c r="Y498" s="87"/>
      <c r="Z498" s="362"/>
      <c r="AA498" s="124"/>
      <c r="AB498" s="124"/>
    </row>
    <row r="499" spans="1:29" s="80" customFormat="1">
      <c r="A499" s="190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3"/>
        <v>6800</v>
      </c>
      <c r="Q499" s="124">
        <f t="shared" si="41"/>
        <v>0</v>
      </c>
      <c r="R499" s="161">
        <f t="shared" si="42"/>
        <v>1</v>
      </c>
      <c r="S499" s="188"/>
      <c r="T499" s="81"/>
      <c r="U499" s="81"/>
      <c r="V499" s="81"/>
      <c r="Y499" s="87"/>
      <c r="Z499" s="362"/>
      <c r="AA499" s="124"/>
      <c r="AB499" s="124"/>
    </row>
    <row r="500" spans="1:29" s="80" customFormat="1">
      <c r="A500" s="190">
        <v>42912</v>
      </c>
      <c r="B500" s="78"/>
      <c r="C500" s="78"/>
      <c r="D500" s="80" t="s">
        <v>17</v>
      </c>
      <c r="E500" s="80">
        <v>7</v>
      </c>
      <c r="F500" s="87" t="s">
        <v>203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3"/>
        <v>1066.6666666666665</v>
      </c>
      <c r="Q500" s="124">
        <f t="shared" si="41"/>
        <v>7333.333333333333</v>
      </c>
      <c r="R500" s="161">
        <f t="shared" si="42"/>
        <v>0.12698412698412698</v>
      </c>
      <c r="S500" s="188"/>
      <c r="T500" s="81"/>
      <c r="U500" s="81"/>
      <c r="V500" s="81"/>
      <c r="Y500" s="87"/>
      <c r="Z500" s="362"/>
      <c r="AA500" s="124"/>
      <c r="AB500" s="124"/>
    </row>
    <row r="501" spans="1:29" s="80" customFormat="1">
      <c r="A501" s="190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3"/>
        <v>2000</v>
      </c>
      <c r="Q501" s="124">
        <f t="shared" si="41"/>
        <v>0</v>
      </c>
      <c r="R501" s="161">
        <f t="shared" si="42"/>
        <v>1</v>
      </c>
      <c r="S501" s="189" t="str">
        <f>D501</f>
        <v>HL-10 Ambient</v>
      </c>
      <c r="T501" s="81"/>
      <c r="U501" s="81"/>
      <c r="V501" s="81"/>
      <c r="Y501" s="87" t="str">
        <f>D501</f>
        <v>HL-10 Ambient</v>
      </c>
      <c r="Z501" s="353">
        <f>SUMIFS($P$381:$P$444, $D$381:$D$444, Y501, $F$381:$F$444, "&lt;200") + SUMIFS($Q$381:$Q$444, $D$381:$D$444, Y501, $F$381:$F$444, "&lt;200")</f>
        <v>40943.333333333336</v>
      </c>
      <c r="AA501" s="124">
        <f>SUM(P501:Q504)</f>
        <v>47853.333333333328</v>
      </c>
      <c r="AB501" s="124">
        <f>SUMIFS(Collection!O:O, Collection!B:B, "*" &amp; 'Bucket Counts'!Y501 &amp; "*", Collection!A:A, "&lt;" &amp; 'Bucket Counts'!A501,Collection!A:A,  "&gt;=" &amp; 'Bucket Counts'!$A$381)</f>
        <v>1564.4444444444443</v>
      </c>
      <c r="AC501" s="161">
        <f>AA501/(Z501+AB501)</f>
        <v>1.1257547638340695</v>
      </c>
    </row>
    <row r="502" spans="1:29" s="80" customFormat="1">
      <c r="A502" s="190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3"/>
        <v>2400</v>
      </c>
      <c r="Q502" s="124">
        <f t="shared" si="41"/>
        <v>0</v>
      </c>
      <c r="R502" s="161">
        <f t="shared" si="42"/>
        <v>1</v>
      </c>
      <c r="S502" s="187">
        <f>(SUM(P501:P504)/(SUM(P501:Q504)))</f>
        <v>0.60420730008358881</v>
      </c>
      <c r="T502" s="81"/>
      <c r="Y502" s="87"/>
      <c r="Z502" s="362"/>
      <c r="AA502" s="124"/>
      <c r="AB502" s="124"/>
    </row>
    <row r="503" spans="1:29" s="80" customFormat="1">
      <c r="A503" s="190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3"/>
        <v>21046.666666666668</v>
      </c>
      <c r="Q503" s="124">
        <f t="shared" si="41"/>
        <v>273.33333333333331</v>
      </c>
      <c r="R503" s="161">
        <f t="shared" si="42"/>
        <v>0.98717948717948723</v>
      </c>
      <c r="S503" s="188"/>
      <c r="T503" s="81"/>
      <c r="Y503" s="87"/>
      <c r="Z503" s="362"/>
      <c r="AA503" s="124"/>
      <c r="AB503" s="124"/>
    </row>
    <row r="504" spans="1:29" s="80" customFormat="1">
      <c r="A504" s="190">
        <v>42912</v>
      </c>
      <c r="B504" s="78"/>
      <c r="C504" s="78"/>
      <c r="D504" s="80" t="s">
        <v>88</v>
      </c>
      <c r="E504" s="80">
        <v>8</v>
      </c>
      <c r="F504" s="87" t="s">
        <v>203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3"/>
        <v>3466.6666666666665</v>
      </c>
      <c r="Q504" s="124">
        <f t="shared" si="41"/>
        <v>18666.666666666664</v>
      </c>
      <c r="R504" s="161">
        <f t="shared" si="42"/>
        <v>0.15662650602409639</v>
      </c>
      <c r="S504" s="188"/>
      <c r="T504" s="81"/>
      <c r="Y504" s="87"/>
      <c r="Z504" s="362"/>
      <c r="AA504" s="124"/>
      <c r="AB504" s="124"/>
    </row>
    <row r="505" spans="1:29" s="80" customFormat="1">
      <c r="A505" s="190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3"/>
        <v>2000</v>
      </c>
      <c r="Q505" s="124">
        <f t="shared" si="41"/>
        <v>0</v>
      </c>
      <c r="R505" s="161">
        <f t="shared" si="42"/>
        <v>1</v>
      </c>
      <c r="S505" s="189" t="str">
        <f>D505</f>
        <v>K-6 Low</v>
      </c>
      <c r="T505" s="81"/>
      <c r="Y505" s="87" t="str">
        <f>D505</f>
        <v>K-6 Low</v>
      </c>
      <c r="Z505" s="353">
        <f>SUMIFS($P$381:$P$444, $D$381:$D$444, Y505, $F$381:$F$444, "&lt;200") + SUMIFS($Q$381:$Q$444, $D$381:$D$444, Y505, $F$381:$F$444, "&lt;200")</f>
        <v>27566.666666666668</v>
      </c>
      <c r="AA505" s="124">
        <f>SUM(P505:Q508)</f>
        <v>28800</v>
      </c>
      <c r="AB505" s="124">
        <f>SUMIFS(Collection!O:O, Collection!B:B, "*" &amp; 'Bucket Counts'!Y505 &amp; "*", Collection!A:A, "&lt;" &amp; 'Bucket Counts'!A505,Collection!A:A,  "&gt;=" &amp; 'Bucket Counts'!$A$381)</f>
        <v>0</v>
      </c>
      <c r="AC505" s="161">
        <f>AA505/(Z505+AB505)</f>
        <v>1.0447400241837967</v>
      </c>
    </row>
    <row r="506" spans="1:29" s="80" customFormat="1">
      <c r="A506" s="190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3"/>
        <v>16000</v>
      </c>
      <c r="Q506" s="124">
        <f t="shared" si="41"/>
        <v>0</v>
      </c>
      <c r="R506" s="161">
        <f t="shared" si="42"/>
        <v>1</v>
      </c>
      <c r="S506" s="187">
        <f>(SUM(P505:P508)/(SUM(P505:Q508)))</f>
        <v>0.71180555555555558</v>
      </c>
      <c r="T506" s="81"/>
      <c r="Y506" s="87"/>
      <c r="Z506" s="362"/>
      <c r="AA506" s="124"/>
      <c r="AB506" s="124"/>
    </row>
    <row r="507" spans="1:29" s="80" customFormat="1">
      <c r="A507" s="190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3"/>
        <v>1900</v>
      </c>
      <c r="Q507" s="124">
        <f t="shared" si="41"/>
        <v>0</v>
      </c>
      <c r="R507" s="161">
        <f t="shared" si="42"/>
        <v>1</v>
      </c>
      <c r="S507" s="188"/>
      <c r="T507" s="81"/>
      <c r="Y507" s="87"/>
      <c r="Z507" s="362"/>
      <c r="AA507" s="124"/>
      <c r="AB507" s="124"/>
    </row>
    <row r="508" spans="1:29" s="157" customFormat="1" ht="16" thickBot="1">
      <c r="A508" s="261">
        <v>42912</v>
      </c>
      <c r="B508" s="156"/>
      <c r="C508" s="156"/>
      <c r="D508" s="236" t="s">
        <v>46</v>
      </c>
      <c r="E508" s="157">
        <v>8</v>
      </c>
      <c r="F508" s="158" t="s">
        <v>203</v>
      </c>
      <c r="G508" s="158">
        <v>1</v>
      </c>
      <c r="H508" s="157">
        <v>300</v>
      </c>
      <c r="I508" s="157">
        <v>1</v>
      </c>
      <c r="J508" s="157">
        <v>21</v>
      </c>
      <c r="K508" s="157">
        <v>2</v>
      </c>
      <c r="L508" s="157">
        <v>29</v>
      </c>
      <c r="M508" s="157">
        <v>3</v>
      </c>
      <c r="N508" s="157">
        <v>33</v>
      </c>
      <c r="P508" s="159">
        <f t="shared" si="43"/>
        <v>600</v>
      </c>
      <c r="Q508" s="159">
        <f t="shared" si="41"/>
        <v>8300</v>
      </c>
      <c r="R508" s="162">
        <f t="shared" si="42"/>
        <v>6.741573033707865E-2</v>
      </c>
      <c r="S508" s="237"/>
      <c r="Y508" s="158"/>
      <c r="Z508" s="363"/>
      <c r="AA508" s="159"/>
      <c r="AB508" s="159"/>
    </row>
    <row r="509" spans="1:29" s="241" customFormat="1">
      <c r="A509" s="238">
        <v>42915</v>
      </c>
      <c r="B509" s="239"/>
      <c r="C509" s="239"/>
      <c r="D509" s="271" t="s">
        <v>38</v>
      </c>
      <c r="E509" s="241">
        <v>1</v>
      </c>
      <c r="F509" s="242">
        <v>224</v>
      </c>
      <c r="G509" s="242">
        <v>1</v>
      </c>
      <c r="H509" s="241">
        <v>240</v>
      </c>
      <c r="I509" s="241">
        <v>3</v>
      </c>
      <c r="J509" s="241">
        <v>0</v>
      </c>
      <c r="K509" s="241">
        <v>3</v>
      </c>
      <c r="L509" s="241">
        <v>0</v>
      </c>
      <c r="M509" s="241">
        <v>2</v>
      </c>
      <c r="N509" s="241">
        <v>0</v>
      </c>
      <c r="P509" s="243">
        <f>(AVERAGE(I509,K509,M509)/G509)*H509</f>
        <v>640</v>
      </c>
      <c r="Q509" s="243">
        <f t="shared" si="41"/>
        <v>0</v>
      </c>
      <c r="R509" s="244">
        <f t="shared" si="42"/>
        <v>1</v>
      </c>
      <c r="S509" s="245" t="str">
        <f>D509</f>
        <v>K-6 Ambient</v>
      </c>
      <c r="T509" s="246"/>
      <c r="U509" s="246"/>
      <c r="V509" s="246"/>
      <c r="Y509" s="89" t="str">
        <f>D509</f>
        <v>K-6 Ambient</v>
      </c>
      <c r="Z509" s="352">
        <f>SUMIFS($P$445:$P$508, $D$445:$D$508, Y509, $F$445:$F$508, "&lt;200") + SUMIFS($Q$445:$Q$508, $D$445:$D$508, Y509, $F$445:$F$508, "&lt;200")</f>
        <v>55733.333333333336</v>
      </c>
      <c r="AA509" s="120">
        <f>SUM(P509:Q512)</f>
        <v>53133.333333333328</v>
      </c>
      <c r="AB509" s="120">
        <f>SUMIFS(Collection!O:O, Collection!B:B, "*" &amp; 'Bucket Counts'!Y509 &amp; "*", Collection!A:A, "&lt;" &amp; 'Bucket Counts'!A509,Collection!A:A,  "&gt;=" &amp; 'Bucket Counts'!$A$445)</f>
        <v>0</v>
      </c>
      <c r="AC509" s="106">
        <f>AA509/(Z509+AB509)</f>
        <v>0.95334928229665061</v>
      </c>
    </row>
    <row r="510" spans="1:29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44">(AVERAGE(I510,K510,M510)/G510)*H510</f>
        <v>11500</v>
      </c>
      <c r="Q510" s="120">
        <f t="shared" si="41"/>
        <v>0</v>
      </c>
      <c r="R510" s="106">
        <f t="shared" si="42"/>
        <v>1</v>
      </c>
      <c r="S510" s="181">
        <f>(SUM(P509:P512)/(SUM(P509:Q512)))</f>
        <v>0.94002509410288582</v>
      </c>
      <c r="T510" s="65"/>
      <c r="U510" s="65"/>
      <c r="V510" s="65"/>
      <c r="Y510" s="89"/>
      <c r="Z510" s="358"/>
      <c r="AA510" s="120"/>
      <c r="AB510" s="120"/>
    </row>
    <row r="511" spans="1:29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44"/>
        <v>34166.666666666664</v>
      </c>
      <c r="Q511" s="120">
        <f t="shared" si="41"/>
        <v>500</v>
      </c>
      <c r="R511" s="106">
        <f t="shared" si="42"/>
        <v>0.98557692307692313</v>
      </c>
      <c r="S511" s="179"/>
      <c r="T511" s="65"/>
      <c r="U511" s="65"/>
      <c r="V511" s="65"/>
      <c r="Y511" s="89"/>
      <c r="Z511" s="358"/>
      <c r="AA511" s="120"/>
      <c r="AB511" s="120"/>
    </row>
    <row r="512" spans="1:29" s="62" customFormat="1">
      <c r="A512" s="134">
        <v>42915</v>
      </c>
      <c r="B512" s="60"/>
      <c r="C512" s="60"/>
      <c r="D512" s="248" t="s">
        <v>38</v>
      </c>
      <c r="E512" s="137">
        <v>1</v>
      </c>
      <c r="F512" s="89" t="s">
        <v>203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44"/>
        <v>3640</v>
      </c>
      <c r="Q512" s="120">
        <f t="shared" si="41"/>
        <v>2686.666666666667</v>
      </c>
      <c r="R512" s="106">
        <f t="shared" si="42"/>
        <v>0.57534246575342463</v>
      </c>
      <c r="S512" s="182"/>
      <c r="T512" s="65"/>
      <c r="U512" s="65"/>
      <c r="V512" s="65"/>
      <c r="Y512" s="89"/>
      <c r="Z512" s="358"/>
      <c r="AA512" s="120"/>
      <c r="AB512" s="120"/>
    </row>
    <row r="513" spans="1:30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44"/>
        <v>40</v>
      </c>
      <c r="Q513" s="120">
        <f t="shared" si="41"/>
        <v>0</v>
      </c>
      <c r="R513" s="106">
        <f t="shared" si="42"/>
        <v>1</v>
      </c>
      <c r="S513" s="183" t="str">
        <f>D513</f>
        <v>SN-6 Ambient</v>
      </c>
      <c r="T513" s="65"/>
      <c r="U513" s="65"/>
      <c r="V513" s="65"/>
      <c r="W513" s="62" t="s">
        <v>262</v>
      </c>
      <c r="Y513" s="89" t="str">
        <f>D513</f>
        <v>SN-6 Ambient</v>
      </c>
      <c r="Z513" s="352">
        <f>SUMIFS($P$445:$P$508, $D$445:$D$508, Y513, $F$445:$F$508, "&lt;200") + SUMIFS($Q$445:$Q$508, $D$445:$D$508, Y513, $F$445:$F$508, "&lt;200")</f>
        <v>34913.333333333328</v>
      </c>
      <c r="AA513" s="120">
        <f>SUM(P513:Q516)</f>
        <v>9706.6666666666661</v>
      </c>
      <c r="AB513" s="120">
        <f>SUMIFS(Collection!O:O, Collection!B:B, "*" &amp; 'Bucket Counts'!Y513 &amp; "*", Collection!A:A, "&lt;" &amp; 'Bucket Counts'!A513,Collection!A:A,  "&gt;=" &amp; 'Bucket Counts'!$A$445)</f>
        <v>0</v>
      </c>
      <c r="AC513" s="106">
        <f>AA513/(Z513+AB513)</f>
        <v>0.27802176818789387</v>
      </c>
      <c r="AD513" s="374">
        <f>0.94*Z513-AA513</f>
        <v>23111.866666666661</v>
      </c>
    </row>
    <row r="514" spans="1:30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45">(AVERAGE(I518,K518,M518)/G514)*H514</f>
        <v>2380</v>
      </c>
      <c r="Q514" s="120">
        <f t="shared" ref="Q514:Q529" si="46">(AVERAGE(J518,L518,N518)/G514)*H514</f>
        <v>0</v>
      </c>
      <c r="R514" s="106">
        <f t="shared" si="42"/>
        <v>1</v>
      </c>
      <c r="S514" s="181">
        <f>(SUM(P513:P516)/(SUM(P513:Q516)))</f>
        <v>0.77438186813186816</v>
      </c>
      <c r="T514" s="65"/>
      <c r="U514" s="65"/>
      <c r="V514" s="65"/>
      <c r="Y514" s="89"/>
      <c r="Z514" s="358"/>
      <c r="AA514" s="120"/>
      <c r="AB514" s="120"/>
    </row>
    <row r="515" spans="1:30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45"/>
        <v>3850</v>
      </c>
      <c r="Q515" s="120">
        <f t="shared" si="46"/>
        <v>1283.3333333333333</v>
      </c>
      <c r="R515" s="106">
        <f t="shared" si="42"/>
        <v>0.75</v>
      </c>
      <c r="S515" s="182"/>
      <c r="T515" s="65"/>
      <c r="U515" s="65"/>
      <c r="V515" s="65"/>
      <c r="Y515" s="89"/>
      <c r="Z515" s="358"/>
      <c r="AA515" s="120"/>
      <c r="AB515" s="120"/>
    </row>
    <row r="516" spans="1:30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203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45"/>
        <v>1246.6666666666665</v>
      </c>
      <c r="Q516" s="120">
        <f t="shared" si="46"/>
        <v>906.66666666666663</v>
      </c>
      <c r="R516" s="106">
        <f t="shared" si="42"/>
        <v>0.57894736842105265</v>
      </c>
      <c r="S516" s="182"/>
      <c r="T516" s="65"/>
      <c r="U516" s="65"/>
      <c r="V516" s="65"/>
      <c r="Y516" s="89"/>
      <c r="Z516" s="358"/>
      <c r="AA516" s="120"/>
      <c r="AB516" s="120"/>
    </row>
    <row r="517" spans="1:30" s="62" customFormat="1">
      <c r="A517" s="134">
        <v>42915</v>
      </c>
      <c r="B517" s="60"/>
      <c r="C517" s="60"/>
      <c r="D517" s="62" t="s">
        <v>20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45"/>
        <v>135</v>
      </c>
      <c r="Q517" s="120">
        <f t="shared" si="46"/>
        <v>135</v>
      </c>
      <c r="R517" s="106">
        <f t="shared" si="42"/>
        <v>0.5</v>
      </c>
      <c r="S517" s="183" t="str">
        <f>D517</f>
        <v>K-10 Low</v>
      </c>
      <c r="T517" s="65"/>
      <c r="U517" s="65"/>
      <c r="V517" s="65"/>
      <c r="W517" s="62" t="s">
        <v>263</v>
      </c>
      <c r="Y517" s="89" t="str">
        <f>D517</f>
        <v>K-10 Low</v>
      </c>
      <c r="Z517" s="352">
        <f>SUMIFS($P$445:$P$508, $D$445:$D$508, Y517, $F$445:$F$508, "&lt;200") + SUMIFS($Q$445:$Q$508, $D$445:$D$508, Y517, $F$445:$F$508, "&lt;200")</f>
        <v>6451.666666666667</v>
      </c>
      <c r="AA517" s="120">
        <f>SUM(P517:Q520)</f>
        <v>5603.333333333333</v>
      </c>
      <c r="AB517" s="120">
        <f>SUMIFS(Collection!O:O, Collection!B:B, "*" &amp; 'Bucket Counts'!Y517 &amp; "*", Collection!A:A, "&lt;" &amp; 'Bucket Counts'!A517,Collection!A:A,  "&gt;=" &amp; 'Bucket Counts'!$A$445)</f>
        <v>0</v>
      </c>
      <c r="AC517" s="106">
        <f>AA517/(Z517+AB517)</f>
        <v>0.86850942908809081</v>
      </c>
    </row>
    <row r="518" spans="1:30" s="62" customFormat="1">
      <c r="A518" s="134">
        <v>42915</v>
      </c>
      <c r="B518" s="60"/>
      <c r="C518" s="60"/>
      <c r="D518" s="62" t="s">
        <v>20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45"/>
        <v>833.33333333333337</v>
      </c>
      <c r="Q518" s="120">
        <f t="shared" si="46"/>
        <v>83.333333333333329</v>
      </c>
      <c r="R518" s="106">
        <f t="shared" si="42"/>
        <v>0.90909090909090906</v>
      </c>
      <c r="S518" s="181">
        <f>(SUM(P517:P520)/(SUM(P517:Q520)))</f>
        <v>0.48512790005948836</v>
      </c>
      <c r="T518" s="65"/>
      <c r="U518" s="65"/>
      <c r="V518" s="65"/>
      <c r="Y518" s="89"/>
      <c r="Z518" s="358"/>
      <c r="AA518" s="120"/>
      <c r="AB518" s="120"/>
    </row>
    <row r="519" spans="1:30" s="62" customFormat="1">
      <c r="A519" s="134">
        <v>42915</v>
      </c>
      <c r="B519" s="60"/>
      <c r="C519" s="60"/>
      <c r="D519" s="62" t="s">
        <v>20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45"/>
        <v>1583.3333333333333</v>
      </c>
      <c r="Q519" s="120">
        <f t="shared" si="46"/>
        <v>500</v>
      </c>
      <c r="R519" s="106">
        <f t="shared" si="42"/>
        <v>0.76000000000000012</v>
      </c>
      <c r="S519" s="182"/>
      <c r="T519" s="65"/>
      <c r="U519" s="65"/>
      <c r="V519" s="65"/>
      <c r="Y519" s="89"/>
      <c r="Z519" s="358"/>
      <c r="AA519" s="120"/>
      <c r="AB519" s="120"/>
    </row>
    <row r="520" spans="1:30" s="62" customFormat="1">
      <c r="A520" s="134">
        <v>42915</v>
      </c>
      <c r="B520" s="60"/>
      <c r="C520" s="60"/>
      <c r="D520" s="62" t="s">
        <v>20</v>
      </c>
      <c r="E520" s="62">
        <v>2</v>
      </c>
      <c r="F520" s="89" t="s">
        <v>203</v>
      </c>
      <c r="G520" s="89">
        <v>1</v>
      </c>
      <c r="H520" s="249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45"/>
        <v>166.66666666666666</v>
      </c>
      <c r="Q520" s="120">
        <f t="shared" si="46"/>
        <v>2166.6666666666665</v>
      </c>
      <c r="R520" s="106">
        <f t="shared" si="42"/>
        <v>7.1428571428571438E-2</v>
      </c>
      <c r="S520" s="182"/>
      <c r="T520" s="65"/>
      <c r="U520" s="65"/>
      <c r="V520" s="65"/>
      <c r="Y520" s="89"/>
      <c r="Z520" s="358"/>
      <c r="AA520" s="120"/>
      <c r="AB520" s="120"/>
    </row>
    <row r="521" spans="1:30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49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45"/>
        <v>76.666666666666657</v>
      </c>
      <c r="Q521" s="120">
        <f t="shared" si="46"/>
        <v>0</v>
      </c>
      <c r="R521" s="106">
        <f t="shared" si="42"/>
        <v>1</v>
      </c>
      <c r="S521" s="183" t="str">
        <f>D521</f>
        <v>NF-10 Ambient</v>
      </c>
      <c r="T521" s="65"/>
      <c r="U521" s="65"/>
      <c r="V521" s="65"/>
      <c r="Y521" s="89" t="str">
        <f>D521</f>
        <v>NF-10 Ambient</v>
      </c>
      <c r="Z521" s="352">
        <f>SUMIFS($P$445:$P$508, $D$445:$D$508, Y521, $F$445:$F$508, "&lt;200") + SUMIFS($Q$445:$Q$508, $D$445:$D$508, Y521, $F$445:$F$508, "&lt;200")</f>
        <v>8450</v>
      </c>
      <c r="AA521" s="120">
        <f>SUM(P521:Q524)</f>
        <v>24453.333333333328</v>
      </c>
      <c r="AB521" s="120">
        <f>SUMIFS(Collection!O:O, Collection!B:B, "*" &amp; 'Bucket Counts'!Y521 &amp; "*", Collection!A:A, "&lt;" &amp; 'Bucket Counts'!A521,Collection!A:A,  "&gt;=" &amp; 'Bucket Counts'!$A$445)</f>
        <v>0</v>
      </c>
      <c r="AC521" s="106">
        <f>AA521/(Z521+AB521)</f>
        <v>2.8938856015779089</v>
      </c>
    </row>
    <row r="522" spans="1:30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49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45"/>
        <v>3576.666666666667</v>
      </c>
      <c r="Q522" s="120">
        <f t="shared" si="46"/>
        <v>0</v>
      </c>
      <c r="R522" s="106">
        <f t="shared" si="42"/>
        <v>1</v>
      </c>
      <c r="S522" s="181">
        <f>(SUM(P521:P524)/(SUM(P521:Q524)))</f>
        <v>0.88413304252998914</v>
      </c>
      <c r="T522" s="65"/>
      <c r="U522" s="65"/>
      <c r="V522" s="65"/>
      <c r="Y522" s="89"/>
      <c r="Z522" s="358"/>
      <c r="AA522" s="120"/>
      <c r="AB522" s="120"/>
    </row>
    <row r="523" spans="1:30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49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45"/>
        <v>17883.333333333332</v>
      </c>
      <c r="Q523" s="120">
        <f t="shared" si="46"/>
        <v>0</v>
      </c>
      <c r="R523" s="106">
        <f t="shared" si="42"/>
        <v>1</v>
      </c>
      <c r="S523" s="182"/>
      <c r="T523" s="65"/>
      <c r="U523" s="65"/>
      <c r="V523" s="65"/>
      <c r="Y523" s="89"/>
      <c r="Z523" s="358"/>
      <c r="AA523" s="120"/>
      <c r="AB523" s="120"/>
    </row>
    <row r="524" spans="1:30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203</v>
      </c>
      <c r="G524" s="89">
        <v>1</v>
      </c>
      <c r="H524" s="249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45"/>
        <v>83.333333333333329</v>
      </c>
      <c r="Q524" s="120">
        <f t="shared" si="46"/>
        <v>2833.3333333333335</v>
      </c>
      <c r="R524" s="106">
        <f t="shared" si="42"/>
        <v>2.8571428571428567E-2</v>
      </c>
      <c r="S524" s="182"/>
      <c r="T524" s="65"/>
      <c r="U524" s="65"/>
      <c r="V524" s="65"/>
      <c r="Y524" s="89"/>
      <c r="Z524" s="358"/>
      <c r="AA524" s="120"/>
      <c r="AB524" s="120"/>
    </row>
    <row r="525" spans="1:30" s="62" customFormat="1">
      <c r="A525" s="134">
        <v>42915</v>
      </c>
      <c r="B525" s="60"/>
      <c r="C525" s="60"/>
      <c r="D525" s="62" t="s">
        <v>109</v>
      </c>
      <c r="E525" s="62">
        <v>3</v>
      </c>
      <c r="F525" s="89">
        <v>224</v>
      </c>
      <c r="G525" s="89">
        <v>1</v>
      </c>
      <c r="H525" s="249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45"/>
        <v>220</v>
      </c>
      <c r="Q525" s="120">
        <f t="shared" si="46"/>
        <v>0</v>
      </c>
      <c r="R525" s="106">
        <f t="shared" si="42"/>
        <v>1</v>
      </c>
      <c r="S525" s="183" t="str">
        <f>D525</f>
        <v>HL-10 Low</v>
      </c>
      <c r="T525" s="65"/>
      <c r="U525" s="65"/>
      <c r="V525" s="65"/>
      <c r="Y525" s="89" t="str">
        <f>D525</f>
        <v>HL-10 Low</v>
      </c>
      <c r="Z525" s="352">
        <f>SUMIFS($P$445:$P$508, $D$445:$D$508, Y525, $F$445:$F$508, "&lt;200") + SUMIFS($Q$445:$Q$508, $D$445:$D$508, Y525, $F$445:$F$508, "&lt;200")</f>
        <v>45833.333333333328</v>
      </c>
      <c r="AA525" s="120">
        <f>SUM(P525:Q528)</f>
        <v>14086.666666666666</v>
      </c>
      <c r="AB525" s="120">
        <f>SUMIFS(Collection!O:O, Collection!B:B, "*" &amp; 'Bucket Counts'!Y525 &amp; "*", Collection!A:A, "&lt;" &amp; 'Bucket Counts'!A525,Collection!A:A,  "&gt;=" &amp; 'Bucket Counts'!$A$445)</f>
        <v>0</v>
      </c>
      <c r="AC525" s="106">
        <f>AA525/(Z525+AB525)</f>
        <v>0.30734545454545459</v>
      </c>
    </row>
    <row r="526" spans="1:30" s="62" customFormat="1">
      <c r="A526" s="134">
        <v>42915</v>
      </c>
      <c r="B526" s="60"/>
      <c r="C526" s="60"/>
      <c r="D526" s="62" t="s">
        <v>109</v>
      </c>
      <c r="E526" s="62">
        <v>3</v>
      </c>
      <c r="F526" s="89">
        <v>180</v>
      </c>
      <c r="G526" s="89">
        <v>1</v>
      </c>
      <c r="H526" s="249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45"/>
        <v>7186.6666666666661</v>
      </c>
      <c r="Q526" s="120">
        <f t="shared" si="46"/>
        <v>0</v>
      </c>
      <c r="R526" s="106">
        <f t="shared" si="42"/>
        <v>1</v>
      </c>
      <c r="S526" s="181">
        <f>(SUM(P525:P528)/(SUM(P525:Q528)))</f>
        <v>0.90558447704685285</v>
      </c>
      <c r="T526" s="65"/>
      <c r="U526" s="65"/>
      <c r="V526" s="65"/>
      <c r="Y526" s="89"/>
      <c r="Z526" s="358"/>
      <c r="AA526" s="120"/>
      <c r="AB526" s="120"/>
    </row>
    <row r="527" spans="1:30" s="62" customFormat="1">
      <c r="A527" s="134">
        <v>42915</v>
      </c>
      <c r="B527" s="60"/>
      <c r="C527" s="60"/>
      <c r="D527" s="62" t="s">
        <v>109</v>
      </c>
      <c r="E527" s="62">
        <v>3</v>
      </c>
      <c r="F527" s="89">
        <v>100</v>
      </c>
      <c r="G527" s="89">
        <v>1</v>
      </c>
      <c r="H527" s="249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45"/>
        <v>5120</v>
      </c>
      <c r="Q527" s="120">
        <f t="shared" si="46"/>
        <v>640</v>
      </c>
      <c r="R527" s="106">
        <f t="shared" si="42"/>
        <v>0.88888888888888884</v>
      </c>
      <c r="S527" s="182"/>
      <c r="T527" s="65"/>
      <c r="U527" s="65"/>
      <c r="V527" s="65"/>
      <c r="Y527" s="89"/>
      <c r="Z527" s="358"/>
      <c r="AA527" s="120"/>
      <c r="AB527" s="120"/>
    </row>
    <row r="528" spans="1:30" s="62" customFormat="1">
      <c r="A528" s="134">
        <v>42915</v>
      </c>
      <c r="B528" s="60"/>
      <c r="C528" s="60"/>
      <c r="D528" s="62" t="s">
        <v>109</v>
      </c>
      <c r="E528" s="62">
        <v>3</v>
      </c>
      <c r="F528" s="89" t="s">
        <v>203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45"/>
        <v>230</v>
      </c>
      <c r="Q528" s="120">
        <f t="shared" si="46"/>
        <v>690</v>
      </c>
      <c r="R528" s="106">
        <f t="shared" si="42"/>
        <v>0.25</v>
      </c>
      <c r="S528" s="182"/>
      <c r="T528" s="65"/>
      <c r="U528" s="65"/>
      <c r="V528" s="65"/>
      <c r="Y528" s="89"/>
      <c r="Z528" s="358"/>
      <c r="AA528" s="120"/>
      <c r="AB528" s="120"/>
    </row>
    <row r="529" spans="1:29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45"/>
        <v>230</v>
      </c>
      <c r="Q529" s="120">
        <f t="shared" si="46"/>
        <v>76.666666666666657</v>
      </c>
      <c r="R529" s="106">
        <f t="shared" si="42"/>
        <v>0.75000000000000011</v>
      </c>
      <c r="S529" s="183" t="str">
        <f>D529</f>
        <v>K-10 Ambient</v>
      </c>
      <c r="T529" s="65"/>
      <c r="U529" s="65"/>
      <c r="V529" s="65"/>
      <c r="Y529" s="89" t="str">
        <f>D529</f>
        <v>K-10 Ambient</v>
      </c>
      <c r="Z529" s="352">
        <f>SUMIFS($P$445:$P$508, $D$445:$D$508, Y529, $F$445:$F$508, "&lt;200") + SUMIFS($Q$445:$Q$508, $D$445:$D$508, Y529, $F$445:$F$508, "&lt;200")</f>
        <v>11090</v>
      </c>
      <c r="AA529" s="120">
        <f>SUM(P529:Q532)</f>
        <v>9140</v>
      </c>
      <c r="AB529" s="120">
        <f>SUMIFS(Collection!O:O, Collection!B:B, "*" &amp; 'Bucket Counts'!Y529 &amp; "*", Collection!A:A, "&lt;" &amp; 'Bucket Counts'!A529,Collection!A:A,  "&gt;=" &amp; 'Bucket Counts'!$A$445)</f>
        <v>0</v>
      </c>
      <c r="AC529" s="106">
        <f>AA529/(Z529+AB529)</f>
        <v>0.82416591523895399</v>
      </c>
    </row>
    <row r="530" spans="1:29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47">(AVERAGE(I530,K530,M530)/G530)*H530</f>
        <v>4033.333333333333</v>
      </c>
      <c r="Q530" s="120">
        <f t="shared" si="41"/>
        <v>0</v>
      </c>
      <c r="R530" s="106">
        <f t="shared" si="42"/>
        <v>1</v>
      </c>
      <c r="S530" s="181">
        <f>(SUM(P529:P532)/(SUM(P529:Q532)))</f>
        <v>0.84938001458789203</v>
      </c>
      <c r="T530" s="65"/>
      <c r="Y530" s="89"/>
      <c r="Z530" s="358"/>
      <c r="AA530" s="120"/>
      <c r="AB530" s="120"/>
    </row>
    <row r="531" spans="1:29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47"/>
        <v>3200</v>
      </c>
      <c r="Q531" s="120">
        <f t="shared" si="41"/>
        <v>400</v>
      </c>
      <c r="R531" s="106">
        <f t="shared" si="42"/>
        <v>0.88888888888888884</v>
      </c>
      <c r="S531" s="182"/>
      <c r="T531" s="65"/>
      <c r="Y531" s="89"/>
      <c r="Z531" s="358"/>
      <c r="AA531" s="120"/>
      <c r="AB531" s="120"/>
    </row>
    <row r="532" spans="1:29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203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47"/>
        <v>300</v>
      </c>
      <c r="Q532" s="120">
        <f t="shared" si="41"/>
        <v>900</v>
      </c>
      <c r="R532" s="106">
        <f t="shared" si="42"/>
        <v>0.25</v>
      </c>
      <c r="S532" s="182"/>
      <c r="T532" s="65"/>
      <c r="Y532" s="89"/>
      <c r="Z532" s="358"/>
      <c r="AA532" s="120"/>
      <c r="AB532" s="120"/>
    </row>
    <row r="533" spans="1:29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47"/>
        <v>350</v>
      </c>
      <c r="Q533" s="120">
        <f t="shared" si="41"/>
        <v>116.66666666666666</v>
      </c>
      <c r="R533" s="106">
        <f t="shared" si="42"/>
        <v>0.75000000000000011</v>
      </c>
      <c r="S533" s="180" t="str">
        <f>D533</f>
        <v>HL-10 Ambient</v>
      </c>
      <c r="T533" s="65"/>
      <c r="Y533" s="89" t="str">
        <f>D533</f>
        <v>HL-10 Ambient</v>
      </c>
      <c r="Z533" s="352">
        <f>SUMIFS($P$445:$P$508, $D$445:$D$508, Y533, $F$445:$F$508, "&lt;200") + SUMIFS($Q$445:$Q$508, $D$445:$D$508, Y533, $F$445:$F$508, "&lt;200")</f>
        <v>23720</v>
      </c>
      <c r="AA533" s="120">
        <f>SUM(P533:Q536)</f>
        <v>24333.333333333336</v>
      </c>
      <c r="AB533" s="120">
        <f>SUMIFS(Collection!O:O, Collection!B:B, "*" &amp; 'Bucket Counts'!Y533 &amp; "*", Collection!A:A, "&lt;" &amp; 'Bucket Counts'!A533,Collection!A:A,  "&gt;=" &amp; 'Bucket Counts'!$A$445)</f>
        <v>0</v>
      </c>
      <c r="AC533" s="106">
        <f>AA533/(Z533+AB533)</f>
        <v>1.0258572231590783</v>
      </c>
    </row>
    <row r="534" spans="1:29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47"/>
        <v>3850</v>
      </c>
      <c r="Q534" s="120">
        <f t="shared" si="41"/>
        <v>350</v>
      </c>
      <c r="R534" s="106">
        <f t="shared" si="42"/>
        <v>0.91666666666666663</v>
      </c>
      <c r="S534" s="181">
        <f>(SUM(P533:P536)/(SUM(P533:Q536)))</f>
        <v>0.5</v>
      </c>
      <c r="T534" s="65"/>
      <c r="Y534" s="89"/>
      <c r="Z534" s="358"/>
      <c r="AA534" s="120"/>
      <c r="AB534" s="120"/>
    </row>
    <row r="535" spans="1:29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0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47"/>
        <v>7866.666666666667</v>
      </c>
      <c r="Q535" s="120">
        <f t="shared" si="41"/>
        <v>3600</v>
      </c>
      <c r="R535" s="106">
        <f t="shared" si="42"/>
        <v>0.68604651162790697</v>
      </c>
      <c r="S535" s="179"/>
      <c r="T535" s="65"/>
      <c r="Y535" s="89"/>
      <c r="Z535" s="358"/>
      <c r="AA535" s="120"/>
      <c r="AB535" s="120"/>
    </row>
    <row r="536" spans="1:29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203</v>
      </c>
      <c r="G536" s="89">
        <v>1</v>
      </c>
      <c r="H536" s="150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1"/>
        <v>8100</v>
      </c>
      <c r="R536" s="106">
        <f t="shared" si="42"/>
        <v>1.2195121951219513E-2</v>
      </c>
      <c r="S536" s="182"/>
      <c r="T536" s="65"/>
      <c r="Y536" s="89"/>
      <c r="Z536" s="358"/>
      <c r="AA536" s="120"/>
      <c r="AB536" s="120"/>
    </row>
    <row r="537" spans="1:29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48">(AVERAGE(I537,K537,M537)/G537)*H537</f>
        <v>2000</v>
      </c>
      <c r="Q537" s="120">
        <f t="shared" si="41"/>
        <v>0</v>
      </c>
      <c r="R537" s="106">
        <f t="shared" si="42"/>
        <v>1</v>
      </c>
      <c r="S537" s="183" t="str">
        <f>D537</f>
        <v>K-6 Low</v>
      </c>
      <c r="T537" s="65"/>
      <c r="Y537" s="89" t="str">
        <f>D537</f>
        <v>K-6 Low</v>
      </c>
      <c r="Z537" s="352">
        <f>SUMIFS($P$445:$P$508, $D$445:$D$508, Y537, $F$445:$F$508, "&lt;200") + SUMIFS($Q$445:$Q$508, $D$445:$D$508, Y537, $F$445:$F$508, "&lt;200")</f>
        <v>17900</v>
      </c>
      <c r="AA537" s="120">
        <f>SUM(P537:Q540)</f>
        <v>25583.333333333328</v>
      </c>
      <c r="AB537" s="120">
        <f>SUMIFS(Collection!O:O, Collection!B:B, "*" &amp; 'Bucket Counts'!Y537 &amp; "*", Collection!A:A, "&lt;" &amp; 'Bucket Counts'!A537,Collection!A:A,  "&gt;=" &amp; 'Bucket Counts'!$A$445)</f>
        <v>0</v>
      </c>
      <c r="AC537" s="106">
        <f>AA537/(Z537+AB537)</f>
        <v>1.429236499068901</v>
      </c>
    </row>
    <row r="538" spans="1:29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48"/>
        <v>11900</v>
      </c>
      <c r="Q538" s="120">
        <f t="shared" si="41"/>
        <v>116.66666666666666</v>
      </c>
      <c r="R538" s="106">
        <f t="shared" si="42"/>
        <v>0.99029126213592233</v>
      </c>
      <c r="S538" s="181">
        <f>(SUM(P537:P540)/(SUM(P537:Q540)))</f>
        <v>0.91986970684039104</v>
      </c>
      <c r="T538" s="65"/>
      <c r="Y538" s="89"/>
      <c r="Z538" s="358"/>
      <c r="AA538" s="120"/>
      <c r="AB538" s="120"/>
    </row>
    <row r="539" spans="1:29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0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48"/>
        <v>7800</v>
      </c>
      <c r="Q539" s="120">
        <f t="shared" si="41"/>
        <v>100</v>
      </c>
      <c r="R539" s="106">
        <f t="shared" si="42"/>
        <v>0.98734177215189878</v>
      </c>
      <c r="S539" s="182"/>
      <c r="T539" s="65"/>
      <c r="Y539" s="89"/>
      <c r="Z539" s="358"/>
      <c r="AA539" s="120"/>
      <c r="AB539" s="120"/>
    </row>
    <row r="540" spans="1:29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203</v>
      </c>
      <c r="G540" s="89">
        <v>1</v>
      </c>
      <c r="H540" s="150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48"/>
        <v>1833.3333333333333</v>
      </c>
      <c r="Q540" s="120">
        <f t="shared" si="41"/>
        <v>1833.3333333333333</v>
      </c>
      <c r="R540" s="106">
        <f t="shared" si="42"/>
        <v>0.5</v>
      </c>
      <c r="S540" s="182"/>
      <c r="T540" s="65"/>
      <c r="Y540" s="89"/>
      <c r="Z540" s="358"/>
      <c r="AA540" s="120"/>
      <c r="AB540" s="120"/>
    </row>
    <row r="541" spans="1:29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48"/>
        <v>0</v>
      </c>
      <c r="Q541" s="120">
        <f t="shared" si="41"/>
        <v>0</v>
      </c>
      <c r="R541" s="106" t="e">
        <f t="shared" si="42"/>
        <v>#DIV/0!</v>
      </c>
      <c r="S541" s="183" t="str">
        <f>D541</f>
        <v>SN-10 Ambient</v>
      </c>
      <c r="Y541" s="89" t="str">
        <f>D541</f>
        <v>SN-10 Ambient</v>
      </c>
      <c r="Z541" s="352">
        <f>SUMIFS($P$445:$P$508, $D$445:$D$508, Y541, $F$445:$F$508, "&lt;200") + SUMIFS($Q$445:$Q$508, $D$445:$D$508, Y541, $F$445:$F$508, "&lt;200")</f>
        <v>1000</v>
      </c>
      <c r="AA541" s="120">
        <f>SUM(P541:Q544)</f>
        <v>2930</v>
      </c>
      <c r="AB541" s="120">
        <f>SUMIFS(Collection!O:O, Collection!B:B, "*" &amp; 'Bucket Counts'!Y541 &amp; "*", Collection!A:A, "&lt;" &amp; 'Bucket Counts'!A541,Collection!A:A,  "&gt;=" &amp; 'Bucket Counts'!$A$445)</f>
        <v>0</v>
      </c>
      <c r="AC541" s="106">
        <f>AA541/(Z541+AB541)</f>
        <v>2.93</v>
      </c>
    </row>
    <row r="542" spans="1:29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48"/>
        <v>816.66666666666674</v>
      </c>
      <c r="Q542" s="120">
        <f t="shared" si="41"/>
        <v>0</v>
      </c>
      <c r="R542" s="106">
        <f t="shared" si="42"/>
        <v>1</v>
      </c>
      <c r="S542" s="181">
        <f>(SUM(P541:P544)/(SUM(P541:Q544)))</f>
        <v>0.64391353811149032</v>
      </c>
      <c r="Y542" s="89"/>
      <c r="Z542" s="358"/>
      <c r="AA542" s="120"/>
      <c r="AB542" s="120"/>
    </row>
    <row r="543" spans="1:29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48"/>
        <v>780</v>
      </c>
      <c r="Q543" s="120">
        <f t="shared" si="41"/>
        <v>173.33333333333331</v>
      </c>
      <c r="R543" s="106">
        <f t="shared" si="42"/>
        <v>0.81818181818181823</v>
      </c>
      <c r="S543" s="182"/>
      <c r="Y543" s="89"/>
      <c r="Z543" s="358"/>
      <c r="AA543" s="120"/>
      <c r="AB543" s="120"/>
    </row>
    <row r="544" spans="1:29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203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48"/>
        <v>290</v>
      </c>
      <c r="Q544" s="120">
        <f t="shared" si="41"/>
        <v>870</v>
      </c>
      <c r="R544" s="106">
        <f t="shared" si="42"/>
        <v>0.25</v>
      </c>
      <c r="S544" s="182"/>
      <c r="Y544" s="89"/>
      <c r="Z544" s="358"/>
      <c r="AA544" s="120"/>
      <c r="AB544" s="120"/>
    </row>
    <row r="545" spans="1:29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48"/>
        <v>41.666666666666664</v>
      </c>
      <c r="Q545" s="120">
        <f t="shared" si="41"/>
        <v>0</v>
      </c>
      <c r="R545" s="106">
        <f t="shared" si="42"/>
        <v>1</v>
      </c>
      <c r="S545" s="183" t="str">
        <f>D545</f>
        <v>SN-6 Low</v>
      </c>
      <c r="T545" s="65"/>
      <c r="U545" s="65"/>
      <c r="V545" s="65"/>
      <c r="Y545" s="89" t="str">
        <f>D545</f>
        <v>SN-6 Low</v>
      </c>
      <c r="Z545" s="352">
        <f>SUMIFS($P$445:$P$508, $D$445:$D$508, Y545, $F$445:$F$508, "&lt;200") + SUMIFS($Q$445:$Q$508, $D$445:$D$508, Y545, $F$445:$F$508, "&lt;200")</f>
        <v>6060</v>
      </c>
      <c r="AA545" s="120">
        <f>SUM(P545:Q548)</f>
        <v>3938.3333333333335</v>
      </c>
      <c r="AB545" s="120">
        <f>SUMIFS(Collection!O:O, Collection!B:B, "*" &amp; 'Bucket Counts'!Y545 &amp; "*", Collection!A:A, "&lt;" &amp; 'Bucket Counts'!A545,Collection!A:A,  "&gt;=" &amp; 'Bucket Counts'!$A$445)</f>
        <v>0</v>
      </c>
      <c r="AC545" s="106">
        <f>AA545/(Z545+AB545)</f>
        <v>0.64988998899889994</v>
      </c>
    </row>
    <row r="546" spans="1:29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48"/>
        <v>1740</v>
      </c>
      <c r="Q546" s="120">
        <f t="shared" si="41"/>
        <v>0</v>
      </c>
      <c r="R546" s="106">
        <f t="shared" si="42"/>
        <v>1</v>
      </c>
      <c r="S546" s="181">
        <f>(SUM(P545:P548)/(SUM(P545:Q548)))</f>
        <v>0.67752856538298778</v>
      </c>
      <c r="T546" s="65"/>
      <c r="U546" s="65"/>
      <c r="V546" s="65"/>
      <c r="Y546" s="89"/>
      <c r="Z546" s="358"/>
      <c r="AA546" s="120"/>
      <c r="AB546" s="120"/>
    </row>
    <row r="547" spans="1:29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48"/>
        <v>500</v>
      </c>
      <c r="Q547" s="120">
        <f t="shared" si="41"/>
        <v>400</v>
      </c>
      <c r="R547" s="106">
        <f t="shared" si="42"/>
        <v>0.55555555555555558</v>
      </c>
      <c r="S547" s="182"/>
      <c r="T547" s="65"/>
      <c r="U547" s="65"/>
      <c r="V547" s="65"/>
      <c r="Y547" s="89"/>
      <c r="Z547" s="358"/>
      <c r="AA547" s="120"/>
      <c r="AB547" s="120"/>
    </row>
    <row r="548" spans="1:29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203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48"/>
        <v>386.66666666666663</v>
      </c>
      <c r="Q548" s="120">
        <f t="shared" ref="Q548:Q596" si="49">(AVERAGE(J548,L548,N548)/G548)*H548</f>
        <v>870</v>
      </c>
      <c r="R548" s="106">
        <f t="shared" ref="R548:R611" si="50">P548/(P548+Q548)</f>
        <v>0.30769230769230771</v>
      </c>
      <c r="S548" s="182"/>
      <c r="T548" s="65"/>
      <c r="U548" s="65"/>
      <c r="V548" s="65"/>
      <c r="Y548" s="89"/>
      <c r="Z548" s="358"/>
      <c r="AA548" s="120"/>
      <c r="AB548" s="120"/>
    </row>
    <row r="549" spans="1:29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48"/>
        <v>350</v>
      </c>
      <c r="Q549" s="120">
        <f t="shared" si="49"/>
        <v>50</v>
      </c>
      <c r="R549" s="106">
        <f t="shared" si="50"/>
        <v>0.875</v>
      </c>
      <c r="S549" s="183" t="str">
        <f>D549</f>
        <v>NF-6 Ambient</v>
      </c>
      <c r="T549" s="65"/>
      <c r="U549" s="65"/>
      <c r="V549" s="65"/>
      <c r="Y549" s="89" t="str">
        <f>D549</f>
        <v>NF-6 Ambient</v>
      </c>
      <c r="Z549" s="352">
        <f>SUMIFS($P$445:$P$508, $D$445:$D$508, Y549, $F$445:$F$508, "&lt;200") + SUMIFS($Q$445:$Q$508, $D$445:$D$508, Y549, $F$445:$F$508, "&lt;200")</f>
        <v>4620</v>
      </c>
      <c r="AA549" s="120">
        <f>SUM(P549:Q552)</f>
        <v>3180</v>
      </c>
      <c r="AB549" s="120">
        <f>SUMIFS(Collection!O:O, Collection!B:B, "*" &amp; 'Bucket Counts'!Y549 &amp; "*", Collection!A:A, "&lt;" &amp; 'Bucket Counts'!A549,Collection!A:A,  "&gt;=" &amp; 'Bucket Counts'!$A$445)</f>
        <v>0</v>
      </c>
      <c r="AC549" s="106">
        <f>AA549/(Z549+AB549)</f>
        <v>0.68831168831168832</v>
      </c>
    </row>
    <row r="550" spans="1:29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49"/>
        <v>0</v>
      </c>
      <c r="R550" s="106">
        <f t="shared" si="50"/>
        <v>1</v>
      </c>
      <c r="S550" s="181">
        <f>(SUM(P549:P552)/(SUM(P549:Q552)))</f>
        <v>0.70754716981132071</v>
      </c>
      <c r="T550" s="65"/>
      <c r="U550" s="65"/>
      <c r="V550" s="65"/>
      <c r="Y550" s="89"/>
      <c r="Z550" s="358"/>
      <c r="AA550" s="120"/>
      <c r="AB550" s="120"/>
    </row>
    <row r="551" spans="1:29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1">(AVERAGE(I551,K551,M551)/G551)*H551</f>
        <v>48.333333333333329</v>
      </c>
      <c r="Q551" s="120">
        <f t="shared" si="49"/>
        <v>0</v>
      </c>
      <c r="R551" s="106">
        <f t="shared" si="50"/>
        <v>1</v>
      </c>
      <c r="S551" s="182"/>
      <c r="T551" s="65"/>
      <c r="U551" s="65"/>
      <c r="V551" s="65"/>
      <c r="Y551" s="89"/>
      <c r="Z551" s="358"/>
      <c r="AA551" s="120"/>
      <c r="AB551" s="120"/>
    </row>
    <row r="552" spans="1:29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203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1"/>
        <v>110</v>
      </c>
      <c r="Q552" s="120">
        <f t="shared" si="49"/>
        <v>880</v>
      </c>
      <c r="R552" s="106">
        <f t="shared" si="50"/>
        <v>0.1111111111111111</v>
      </c>
      <c r="S552" s="182"/>
      <c r="T552" s="65"/>
      <c r="U552" s="65"/>
      <c r="V552" s="65"/>
      <c r="Y552" s="89"/>
      <c r="Z552" s="358"/>
      <c r="AA552" s="120"/>
      <c r="AB552" s="120"/>
    </row>
    <row r="553" spans="1:29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1"/>
        <v>1100</v>
      </c>
      <c r="Q553" s="120">
        <f t="shared" si="49"/>
        <v>0</v>
      </c>
      <c r="R553" s="106">
        <f t="shared" si="50"/>
        <v>1</v>
      </c>
      <c r="S553" s="183" t="str">
        <f>D553</f>
        <v>NF-6 Low</v>
      </c>
      <c r="T553" s="65"/>
      <c r="U553" s="65"/>
      <c r="V553" s="65"/>
      <c r="Y553" s="89" t="str">
        <f>D553</f>
        <v>NF-6 Low</v>
      </c>
      <c r="Z553" s="352">
        <f>SUMIFS($P$445:$P$508, $D$445:$D$508, Y553, $F$445:$F$508, "&lt;200") + SUMIFS($Q$445:$Q$508, $D$445:$D$508, Y553, $F$445:$F$508, "&lt;200")</f>
        <v>47150.000000000007</v>
      </c>
      <c r="AA553" s="120">
        <f>SUM(P553:Q556)</f>
        <v>37953.333333333328</v>
      </c>
      <c r="AB553" s="120">
        <f>SUMIFS(Collection!O:O, Collection!B:B, "*" &amp; 'Bucket Counts'!Y553 &amp; "*", Collection!A:A, "&lt;" &amp; 'Bucket Counts'!A553,Collection!A:A,  "&gt;=" &amp; 'Bucket Counts'!$A$445)</f>
        <v>0</v>
      </c>
      <c r="AC553" s="106">
        <f>AA553/(Z553+AB553)</f>
        <v>0.80494874513962511</v>
      </c>
    </row>
    <row r="554" spans="1:29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1"/>
        <v>15166.666666666666</v>
      </c>
      <c r="Q554" s="120">
        <f t="shared" si="49"/>
        <v>166.66666666666666</v>
      </c>
      <c r="R554" s="106">
        <f t="shared" si="50"/>
        <v>0.98913043478260876</v>
      </c>
      <c r="S554" s="181">
        <f>(SUM(P553:P556)/(SUM(P553:Q556)))</f>
        <v>0.84577551378886362</v>
      </c>
      <c r="T554" s="65"/>
      <c r="U554" s="65"/>
      <c r="V554" s="65"/>
      <c r="Y554" s="89"/>
      <c r="Z554" s="358"/>
      <c r="AA554" s="120"/>
      <c r="AB554" s="120"/>
    </row>
    <row r="555" spans="1:29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1"/>
        <v>15833.333333333334</v>
      </c>
      <c r="Q555" s="120">
        <f t="shared" si="49"/>
        <v>2166.6666666666665</v>
      </c>
      <c r="R555" s="106">
        <f t="shared" si="50"/>
        <v>0.87962962962962965</v>
      </c>
      <c r="S555" s="182"/>
      <c r="T555" s="65"/>
      <c r="U555" s="65"/>
      <c r="V555" s="65"/>
      <c r="Y555" s="89"/>
      <c r="Z555" s="358"/>
      <c r="AA555" s="120"/>
      <c r="AB555" s="120"/>
    </row>
    <row r="556" spans="1:29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203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1"/>
        <v>0</v>
      </c>
      <c r="Q556" s="120">
        <f t="shared" si="49"/>
        <v>3520</v>
      </c>
      <c r="R556" s="106">
        <f t="shared" si="50"/>
        <v>0</v>
      </c>
      <c r="S556" s="182"/>
      <c r="T556" s="65"/>
      <c r="U556" s="65"/>
      <c r="V556" s="65"/>
      <c r="Y556" s="89"/>
      <c r="Z556" s="358"/>
      <c r="AA556" s="120"/>
      <c r="AB556" s="120"/>
    </row>
    <row r="557" spans="1:29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1"/>
        <v>0</v>
      </c>
      <c r="Q557" s="120">
        <f t="shared" si="49"/>
        <v>0</v>
      </c>
      <c r="R557" s="106" t="e">
        <f t="shared" si="50"/>
        <v>#DIV/0!</v>
      </c>
      <c r="S557" s="183" t="str">
        <f>D557</f>
        <v>HL-6 Ambient</v>
      </c>
      <c r="T557" s="65"/>
      <c r="U557" s="65"/>
      <c r="V557" s="65"/>
      <c r="Y557" s="89" t="str">
        <f>D557</f>
        <v>HL-6 Ambient</v>
      </c>
      <c r="Z557" s="352">
        <f>SUMIFS($P$445:$P$508, $D$445:$D$508, Y557, $F$445:$F$508, "&lt;200") + SUMIFS($Q$445:$Q$508, $D$445:$D$508, Y557, $F$445:$F$508, "&lt;200")</f>
        <v>28066.666666666668</v>
      </c>
      <c r="AA557" s="120">
        <f>SUM(P557:Q560)</f>
        <v>23896.666666666668</v>
      </c>
      <c r="AB557" s="120">
        <f>SUMIFS(Collection!O:O, Collection!B:B, "*" &amp; 'Bucket Counts'!Y557 &amp; "*", Collection!A:A, "&lt;" &amp; 'Bucket Counts'!A557,Collection!A:A,  "&gt;=" &amp; 'Bucket Counts'!$A$445)</f>
        <v>0</v>
      </c>
      <c r="AC557" s="106">
        <f>AA557/(Z557+AB557)</f>
        <v>0.85142517814726837</v>
      </c>
    </row>
    <row r="558" spans="1:29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1"/>
        <v>8500</v>
      </c>
      <c r="Q558" s="120">
        <f t="shared" si="49"/>
        <v>0</v>
      </c>
      <c r="R558" s="106">
        <f t="shared" si="50"/>
        <v>1</v>
      </c>
      <c r="S558" s="181">
        <f>(SUM(P557:P560)/(SUM(P557:Q560)))</f>
        <v>0.79997210210629099</v>
      </c>
      <c r="T558" s="65"/>
      <c r="U558" s="65"/>
      <c r="V558" s="65"/>
      <c r="Y558" s="89"/>
      <c r="Z558" s="358"/>
      <c r="AA558" s="120"/>
      <c r="AB558" s="120"/>
    </row>
    <row r="559" spans="1:29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1"/>
        <v>10616.666666666668</v>
      </c>
      <c r="Q559" s="120">
        <f t="shared" si="49"/>
        <v>980</v>
      </c>
      <c r="R559" s="106">
        <f t="shared" si="50"/>
        <v>0.91549295774647887</v>
      </c>
      <c r="S559" s="182"/>
      <c r="T559" s="65"/>
      <c r="U559" s="65"/>
      <c r="V559" s="65"/>
      <c r="Y559" s="89"/>
      <c r="Z559" s="358"/>
      <c r="AA559" s="120"/>
      <c r="AB559" s="120"/>
    </row>
    <row r="560" spans="1:29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203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1"/>
        <v>0</v>
      </c>
      <c r="Q560" s="120">
        <f t="shared" si="49"/>
        <v>3800</v>
      </c>
      <c r="R560" s="106">
        <f t="shared" si="50"/>
        <v>0</v>
      </c>
      <c r="S560" s="182"/>
      <c r="T560" s="65"/>
      <c r="U560" s="65"/>
      <c r="V560" s="65"/>
      <c r="Y560" s="89"/>
      <c r="Z560" s="358"/>
      <c r="AA560" s="120"/>
      <c r="AB560" s="120"/>
    </row>
    <row r="561" spans="1:30" s="62" customFormat="1">
      <c r="A561" s="134">
        <v>42915</v>
      </c>
      <c r="B561" s="60"/>
      <c r="C561" s="60"/>
      <c r="D561" s="62" t="s">
        <v>83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1"/>
        <v>0</v>
      </c>
      <c r="Q561" s="120">
        <f t="shared" si="49"/>
        <v>0</v>
      </c>
      <c r="R561" s="106" t="e">
        <f t="shared" si="50"/>
        <v>#DIV/0!</v>
      </c>
      <c r="S561" s="183" t="str">
        <f>D561</f>
        <v>NF-10 Low</v>
      </c>
      <c r="T561" s="65"/>
      <c r="U561" s="65"/>
      <c r="V561" s="65"/>
      <c r="Y561" s="89" t="str">
        <f>D561</f>
        <v>NF-10 Low</v>
      </c>
      <c r="Z561" s="352">
        <f>SUMIFS($P$445:$P$508, $D$445:$D$508, Y561, $F$445:$F$508, "&lt;200") + SUMIFS($Q$445:$Q$508, $D$445:$D$508, Y561, $F$445:$F$508, "&lt;200")</f>
        <v>246.66666666666666</v>
      </c>
      <c r="AA561" s="120">
        <f>SUM(P561:Q564)</f>
        <v>321.66666666666663</v>
      </c>
      <c r="AB561" s="120">
        <f>SUMIFS(Collection!O:O, Collection!B:B, "*" &amp; 'Bucket Counts'!Y561 &amp; "*", Collection!A:A, "&lt;" &amp; 'Bucket Counts'!A561,Collection!A:A,  "&gt;=" &amp; 'Bucket Counts'!$A$445)</f>
        <v>0</v>
      </c>
      <c r="AC561" s="106">
        <f>AA561/(Z561+AB561)</f>
        <v>1.3040540540540539</v>
      </c>
    </row>
    <row r="562" spans="1:30" s="62" customFormat="1">
      <c r="A562" s="134">
        <v>42915</v>
      </c>
      <c r="B562" s="60"/>
      <c r="C562" s="60"/>
      <c r="D562" s="62" t="s">
        <v>83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1"/>
        <v>41.666666666666664</v>
      </c>
      <c r="Q562" s="120">
        <f t="shared" si="49"/>
        <v>0</v>
      </c>
      <c r="R562" s="106">
        <f t="shared" si="50"/>
        <v>1</v>
      </c>
      <c r="S562" s="181">
        <f>(SUM(P561:P564)/(SUM(P561:Q564)))</f>
        <v>0.50259067357512954</v>
      </c>
      <c r="T562" s="65"/>
      <c r="U562" s="65"/>
      <c r="V562" s="65"/>
      <c r="Y562" s="89"/>
      <c r="Z562" s="358"/>
      <c r="AA562" s="120"/>
      <c r="AB562" s="120"/>
    </row>
    <row r="563" spans="1:30" s="62" customFormat="1">
      <c r="A563" s="134">
        <v>42915</v>
      </c>
      <c r="B563" s="60"/>
      <c r="C563" s="60"/>
      <c r="D563" s="62" t="s">
        <v>83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1"/>
        <v>40</v>
      </c>
      <c r="Q563" s="120">
        <f t="shared" si="49"/>
        <v>0</v>
      </c>
      <c r="R563" s="106">
        <f t="shared" si="50"/>
        <v>1</v>
      </c>
      <c r="S563" s="182"/>
      <c r="T563" s="65"/>
      <c r="U563" s="65"/>
      <c r="V563" s="65"/>
      <c r="Y563" s="89"/>
      <c r="Z563" s="358"/>
      <c r="AA563" s="120"/>
      <c r="AB563" s="120"/>
    </row>
    <row r="564" spans="1:30" s="62" customFormat="1">
      <c r="A564" s="134">
        <v>42915</v>
      </c>
      <c r="B564" s="60"/>
      <c r="C564" s="60"/>
      <c r="D564" s="62" t="s">
        <v>83</v>
      </c>
      <c r="E564" s="62">
        <v>7</v>
      </c>
      <c r="F564" s="89" t="s">
        <v>203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1"/>
        <v>80</v>
      </c>
      <c r="Q564" s="120">
        <f t="shared" si="49"/>
        <v>160</v>
      </c>
      <c r="R564" s="106">
        <f t="shared" si="50"/>
        <v>0.33333333333333331</v>
      </c>
      <c r="S564" s="182"/>
      <c r="T564" s="65"/>
      <c r="U564" s="65"/>
      <c r="V564" s="65"/>
      <c r="Y564" s="89"/>
      <c r="Z564" s="358"/>
      <c r="AA564" s="120"/>
      <c r="AB564" s="120"/>
    </row>
    <row r="565" spans="1:30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1"/>
        <v>250</v>
      </c>
      <c r="Q565" s="120">
        <f t="shared" si="49"/>
        <v>0</v>
      </c>
      <c r="R565" s="106">
        <f t="shared" si="50"/>
        <v>1</v>
      </c>
      <c r="S565" s="183" t="str">
        <f>D565</f>
        <v>HL-6 Low</v>
      </c>
      <c r="T565" s="65"/>
      <c r="U565" s="65"/>
      <c r="V565" s="65"/>
      <c r="Y565" s="89" t="str">
        <f>D565</f>
        <v>HL-6 Low</v>
      </c>
      <c r="Z565" s="352">
        <f>SUMIFS($P$445:$P$508, $D$445:$D$508, Y565, $F$445:$F$508, "&lt;200") + SUMIFS($Q$445:$Q$508, $D$445:$D$508, Y565, $F$445:$F$508, "&lt;200")</f>
        <v>45920</v>
      </c>
      <c r="AA565" s="120">
        <f>SUM(P565:Q568)</f>
        <v>52716.666666666672</v>
      </c>
      <c r="AB565" s="120">
        <f>SUMIFS(Collection!O:O, Collection!B:B, "*" &amp; 'Bucket Counts'!Y565 &amp; "*", Collection!A:A, "&lt;" &amp; 'Bucket Counts'!A565,Collection!A:A,  "&gt;=" &amp; 'Bucket Counts'!$A$445)</f>
        <v>0</v>
      </c>
      <c r="AC565" s="106">
        <f>AA565/(Z565+AB565)</f>
        <v>1.1480110336817655</v>
      </c>
    </row>
    <row r="566" spans="1:30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1"/>
        <v>5333.3333333333339</v>
      </c>
      <c r="Q566" s="120">
        <f t="shared" si="49"/>
        <v>0</v>
      </c>
      <c r="R566" s="106">
        <f t="shared" si="50"/>
        <v>1</v>
      </c>
      <c r="S566" s="181">
        <f>(SUM(P565:P568)/(SUM(P565:Q568)))</f>
        <v>0.84824533670565916</v>
      </c>
      <c r="T566" s="65"/>
      <c r="Y566" s="89"/>
      <c r="Z566" s="358"/>
      <c r="AA566" s="120"/>
      <c r="AB566" s="120"/>
    </row>
    <row r="567" spans="1:30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1"/>
        <v>38833.333333333336</v>
      </c>
      <c r="Q567" s="120">
        <f t="shared" si="49"/>
        <v>3000</v>
      </c>
      <c r="R567" s="106">
        <f t="shared" si="50"/>
        <v>0.92828685258964139</v>
      </c>
      <c r="S567" s="182"/>
      <c r="T567" s="65"/>
      <c r="Y567" s="89"/>
      <c r="Z567" s="358"/>
      <c r="AA567" s="120"/>
      <c r="AB567" s="120"/>
    </row>
    <row r="568" spans="1:30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203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1"/>
        <v>300</v>
      </c>
      <c r="Q568" s="120">
        <f t="shared" si="49"/>
        <v>5000</v>
      </c>
      <c r="R568" s="106">
        <f t="shared" si="50"/>
        <v>5.6603773584905662E-2</v>
      </c>
      <c r="S568" s="182"/>
      <c r="T568" s="65"/>
      <c r="Y568" s="89"/>
      <c r="Z568" s="358"/>
      <c r="AA568" s="120"/>
      <c r="AB568" s="120"/>
    </row>
    <row r="569" spans="1:30" s="62" customFormat="1">
      <c r="A569" s="134">
        <v>42915</v>
      </c>
      <c r="B569" s="60"/>
      <c r="C569" s="60"/>
      <c r="D569" s="61" t="s">
        <v>74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1"/>
        <v>112.5</v>
      </c>
      <c r="Q569" s="120">
        <f t="shared" si="49"/>
        <v>37.5</v>
      </c>
      <c r="R569" s="106">
        <f t="shared" si="50"/>
        <v>0.75</v>
      </c>
      <c r="S569" s="183" t="str">
        <f>D569</f>
        <v>SN-10 Low</v>
      </c>
      <c r="T569" s="65"/>
      <c r="Y569" s="89" t="str">
        <f>D569</f>
        <v>SN-10 Low</v>
      </c>
      <c r="Z569" s="352">
        <f>SUMIFS($P$445:$P$508, $D$445:$D$508, Y569, $F$445:$F$508, "&lt;200") + SUMIFS($Q$445:$Q$508, $D$445:$D$508, Y569, $F$445:$F$508, "&lt;200")</f>
        <v>128173.33333333331</v>
      </c>
      <c r="AA569" s="120">
        <f>SUM(P569:Q572)</f>
        <v>43470</v>
      </c>
      <c r="AB569" s="120">
        <f>SUMIFS(Collection!O:O, Collection!B:B, "*" &amp; 'Bucket Counts'!Y569 &amp; "*", Collection!A:A, "&lt;" &amp; 'Bucket Counts'!A569,Collection!A:A,  "&gt;=" &amp; 'Bucket Counts'!$A$445)</f>
        <v>0</v>
      </c>
      <c r="AC569" s="106">
        <f>AA569/(Z569+AB569)</f>
        <v>0.33915010922708838</v>
      </c>
    </row>
    <row r="570" spans="1:30" s="62" customFormat="1">
      <c r="A570" s="134">
        <v>42915</v>
      </c>
      <c r="B570" s="60"/>
      <c r="C570" s="60"/>
      <c r="D570" s="61" t="s">
        <v>74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1"/>
        <v>8000.0000000000009</v>
      </c>
      <c r="Q570" s="120">
        <f t="shared" si="49"/>
        <v>1920</v>
      </c>
      <c r="R570" s="106">
        <f t="shared" si="50"/>
        <v>0.80645161290322587</v>
      </c>
      <c r="S570" s="181">
        <f>(SUM(P569:P572)/(SUM(P569:Q572)))</f>
        <v>0.59149988497814587</v>
      </c>
      <c r="T570" s="65"/>
      <c r="Y570" s="89"/>
      <c r="Z570" s="358"/>
      <c r="AA570" s="120"/>
      <c r="AB570" s="120"/>
    </row>
    <row r="571" spans="1:30" s="62" customFormat="1">
      <c r="A571" s="134">
        <v>42915</v>
      </c>
      <c r="B571" s="60"/>
      <c r="C571" s="60"/>
      <c r="D571" s="61" t="s">
        <v>74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1"/>
        <v>17300</v>
      </c>
      <c r="Q571" s="120">
        <f t="shared" si="49"/>
        <v>5400</v>
      </c>
      <c r="R571" s="106">
        <f t="shared" si="50"/>
        <v>0.76211453744493396</v>
      </c>
      <c r="S571" s="182"/>
      <c r="T571" s="65"/>
      <c r="Y571" s="89"/>
      <c r="Z571" s="358"/>
      <c r="AA571" s="120"/>
      <c r="AB571" s="120"/>
    </row>
    <row r="572" spans="1:30" s="69" customFormat="1" ht="16" thickBot="1">
      <c r="A572" s="66">
        <v>42915</v>
      </c>
      <c r="B572" s="67"/>
      <c r="C572" s="67"/>
      <c r="D572" s="61" t="s">
        <v>74</v>
      </c>
      <c r="E572" s="69">
        <v>8</v>
      </c>
      <c r="F572" s="148" t="s">
        <v>203</v>
      </c>
      <c r="G572" s="148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49">
        <f t="shared" si="51"/>
        <v>300</v>
      </c>
      <c r="Q572" s="149">
        <f t="shared" si="49"/>
        <v>10400</v>
      </c>
      <c r="R572" s="165">
        <f t="shared" si="50"/>
        <v>2.8037383177570093E-2</v>
      </c>
      <c r="S572" s="196"/>
      <c r="Y572" s="148"/>
      <c r="Z572" s="366"/>
      <c r="AA572" s="149"/>
      <c r="AB572" s="149"/>
    </row>
    <row r="573" spans="1:30" s="263" customFormat="1">
      <c r="A573" s="261">
        <v>42919</v>
      </c>
      <c r="B573" s="262"/>
      <c r="C573" s="262"/>
      <c r="D573" s="147" t="s">
        <v>74</v>
      </c>
      <c r="E573" s="146">
        <v>1</v>
      </c>
      <c r="F573" s="264">
        <v>224</v>
      </c>
      <c r="G573" s="264">
        <v>3</v>
      </c>
      <c r="H573" s="263">
        <v>230</v>
      </c>
      <c r="I573" s="263">
        <v>1</v>
      </c>
      <c r="J573" s="263">
        <v>0</v>
      </c>
      <c r="K573" s="263">
        <v>0</v>
      </c>
      <c r="L573" s="263">
        <v>0</v>
      </c>
      <c r="M573" s="263">
        <v>1</v>
      </c>
      <c r="N573" s="263">
        <v>0</v>
      </c>
      <c r="P573" s="265">
        <f>(AVERAGE(I573,K573,M573)/G573)*H573</f>
        <v>51.111111111111107</v>
      </c>
      <c r="Q573" s="265">
        <f t="shared" si="49"/>
        <v>0</v>
      </c>
      <c r="R573" s="266">
        <f t="shared" si="50"/>
        <v>1</v>
      </c>
      <c r="S573" s="267" t="str">
        <f>D573</f>
        <v>SN-10 Low</v>
      </c>
      <c r="T573" s="268"/>
      <c r="U573" s="268"/>
      <c r="V573" s="268"/>
      <c r="Y573" s="87" t="str">
        <f>D573</f>
        <v>SN-10 Low</v>
      </c>
      <c r="Z573" s="362">
        <f>SUMIFS($P$509:$P$572, $D$509:$D$572, Y573, $F$509:$F$572, "&lt;200") + SUMIFS($Q$509:$Q$572, $D$509:$D$572, Y573, $F$509:$F$572, "&lt;200")</f>
        <v>32620</v>
      </c>
      <c r="AA573" s="124">
        <f>SUM(P573:Q576)</f>
        <v>27097.777777777777</v>
      </c>
      <c r="AB573" s="124">
        <f>SUMIFS(Collection!O:O, Collection!B:B, "*" &amp; 'Bucket Counts'!Y573 &amp; "*", Collection!A:A, "&lt;" &amp; 'Bucket Counts'!A573,Collection!A:A,  "&gt;=" &amp; 'Bucket Counts'!$A$509)</f>
        <v>0</v>
      </c>
      <c r="AC573" s="161">
        <f>AA573/(Z573+AB573)</f>
        <v>0.83071053886504531</v>
      </c>
      <c r="AD573" s="375">
        <f>AVERAGE(AC573:AC579, AC583:AC624, AC627:AC635)</f>
        <v>0.98392931257357663</v>
      </c>
    </row>
    <row r="574" spans="1:30" s="80" customFormat="1">
      <c r="A574" s="77">
        <v>42919</v>
      </c>
      <c r="B574" s="78"/>
      <c r="C574" s="78"/>
      <c r="D574" s="147" t="s">
        <v>74</v>
      </c>
      <c r="E574" s="146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2">(AVERAGE(I574,K574,M574)/G574)*H574</f>
        <v>3033.333333333333</v>
      </c>
      <c r="Q574" s="124">
        <f t="shared" si="49"/>
        <v>1333.3333333333335</v>
      </c>
      <c r="R574" s="161">
        <f t="shared" si="50"/>
        <v>0.69465648854961837</v>
      </c>
      <c r="S574" s="185">
        <f>(SUM(P573:P576)/(SUM(P573:Q576)))</f>
        <v>0.14384123339347218</v>
      </c>
      <c r="T574" s="81"/>
      <c r="U574" s="81"/>
      <c r="V574" s="81"/>
      <c r="Y574" s="87"/>
      <c r="Z574" s="362"/>
      <c r="AA574" s="124"/>
      <c r="AB574" s="124"/>
    </row>
    <row r="575" spans="1:30" s="157" customFormat="1">
      <c r="A575" s="155">
        <v>42919</v>
      </c>
      <c r="B575" s="156"/>
      <c r="C575" s="156"/>
      <c r="D575" s="147" t="s">
        <v>74</v>
      </c>
      <c r="E575" s="146">
        <v>1</v>
      </c>
      <c r="F575" s="158">
        <v>100</v>
      </c>
      <c r="G575" s="158">
        <v>3</v>
      </c>
      <c r="H575" s="157">
        <v>300</v>
      </c>
      <c r="I575" s="157">
        <v>13</v>
      </c>
      <c r="J575" s="157">
        <v>19</v>
      </c>
      <c r="K575" s="157">
        <v>14</v>
      </c>
      <c r="L575" s="157">
        <v>24</v>
      </c>
      <c r="M575" s="157">
        <v>10</v>
      </c>
      <c r="N575" s="157">
        <v>19</v>
      </c>
      <c r="P575" s="159">
        <f t="shared" ref="P575:P580" si="53">(AVERAGE(I576,K576,M576)/G575)*H575</f>
        <v>66.666666666666657</v>
      </c>
      <c r="Q575" s="159">
        <f t="shared" ref="Q575:Q580" si="54">(AVERAGE(J576,L576,N576)/G575)*H575</f>
        <v>21866.666666666664</v>
      </c>
      <c r="R575" s="162">
        <f t="shared" si="50"/>
        <v>3.0395136778115497E-3</v>
      </c>
      <c r="S575" s="187"/>
      <c r="T575" s="269"/>
      <c r="U575" s="269"/>
      <c r="V575" s="269"/>
      <c r="Y575" s="158"/>
      <c r="Z575" s="363"/>
      <c r="AA575" s="159"/>
      <c r="AB575" s="159"/>
    </row>
    <row r="576" spans="1:30" s="80" customFormat="1">
      <c r="A576" s="77">
        <v>42919</v>
      </c>
      <c r="B576" s="78"/>
      <c r="C576" s="78"/>
      <c r="D576" s="147" t="s">
        <v>74</v>
      </c>
      <c r="E576" s="146">
        <v>1</v>
      </c>
      <c r="F576" s="87" t="s">
        <v>203</v>
      </c>
      <c r="G576" s="87">
        <v>2</v>
      </c>
      <c r="H576" s="80">
        <v>280</v>
      </c>
      <c r="I576" s="157">
        <v>2</v>
      </c>
      <c r="J576" s="157">
        <v>215</v>
      </c>
      <c r="K576" s="157">
        <v>0</v>
      </c>
      <c r="L576" s="157">
        <v>212</v>
      </c>
      <c r="M576" s="157">
        <v>0</v>
      </c>
      <c r="N576" s="157">
        <v>229</v>
      </c>
      <c r="P576" s="124">
        <f t="shared" si="53"/>
        <v>746.66666666666663</v>
      </c>
      <c r="Q576" s="124">
        <f t="shared" si="54"/>
        <v>0</v>
      </c>
      <c r="R576" s="161">
        <f t="shared" si="50"/>
        <v>1</v>
      </c>
      <c r="S576" s="188"/>
      <c r="T576" s="81"/>
      <c r="U576" s="81"/>
      <c r="V576" s="81"/>
      <c r="Y576" s="87"/>
      <c r="Z576" s="362"/>
      <c r="AA576" s="124"/>
      <c r="AB576" s="124"/>
    </row>
    <row r="577" spans="1:30" s="80" customFormat="1">
      <c r="A577" s="190">
        <v>42919</v>
      </c>
      <c r="B577" s="78"/>
      <c r="C577" s="78"/>
      <c r="D577" s="80" t="s">
        <v>21</v>
      </c>
      <c r="E577" s="146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3"/>
        <v>6290</v>
      </c>
      <c r="Q577" s="124">
        <f t="shared" si="54"/>
        <v>226.66666666666666</v>
      </c>
      <c r="R577" s="161">
        <f t="shared" si="50"/>
        <v>0.9652173913043478</v>
      </c>
      <c r="S577" s="189" t="str">
        <f>D577</f>
        <v>HL-6 Low</v>
      </c>
      <c r="T577" s="81"/>
      <c r="U577" s="81"/>
      <c r="V577" s="81"/>
      <c r="Y577" s="87" t="str">
        <f>D577</f>
        <v>HL-6 Low</v>
      </c>
      <c r="Z577" s="362">
        <f>SUMIFS($P$509:$P$572, $D$509:$D$572, Y577, $F$509:$F$572, "&lt;200") + SUMIFS($Q$509:$Q$572, $D$509:$D$572, Y577, $F$509:$F$572, "&lt;200")</f>
        <v>47166.666666666672</v>
      </c>
      <c r="AA577" s="124">
        <f>SUM(P577:Q580)</f>
        <v>42563.333333333336</v>
      </c>
      <c r="AB577" s="124">
        <f>SUMIFS(Collection!O:O, Collection!B:B, "*" &amp; 'Bucket Counts'!Y577 &amp; "*", Collection!A:A, "&lt;" &amp; 'Bucket Counts'!A577,Collection!A:A,  "&gt;=" &amp; 'Bucket Counts'!$A$509)</f>
        <v>0</v>
      </c>
      <c r="AC577" s="161">
        <f>AA577/(Z577+AB577)</f>
        <v>0.90240282685512363</v>
      </c>
    </row>
    <row r="578" spans="1:30" s="80" customFormat="1">
      <c r="A578" s="190">
        <v>42919</v>
      </c>
      <c r="B578" s="78"/>
      <c r="C578" s="78"/>
      <c r="D578" s="80" t="s">
        <v>21</v>
      </c>
      <c r="E578" s="146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3"/>
        <v>14506.666666666666</v>
      </c>
      <c r="Q578" s="124">
        <f t="shared" si="54"/>
        <v>3173.3333333333335</v>
      </c>
      <c r="R578" s="161">
        <f t="shared" si="50"/>
        <v>0.82051282051282048</v>
      </c>
      <c r="S578" s="187">
        <f>(SUM(P577:P580)/(SUM(P577:Q580)))</f>
        <v>0.50943691753465414</v>
      </c>
      <c r="T578" s="81"/>
      <c r="U578" s="81"/>
      <c r="V578" s="81"/>
      <c r="Y578" s="87"/>
      <c r="Z578" s="362"/>
      <c r="AA578" s="124"/>
      <c r="AB578" s="124"/>
    </row>
    <row r="579" spans="1:30" s="80" customFormat="1">
      <c r="A579" s="190">
        <v>42919</v>
      </c>
      <c r="B579" s="78"/>
      <c r="C579" s="78"/>
      <c r="D579" s="80" t="s">
        <v>21</v>
      </c>
      <c r="E579" s="146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3"/>
        <v>153.33333333333331</v>
      </c>
      <c r="Q579" s="124">
        <f t="shared" si="54"/>
        <v>17480</v>
      </c>
      <c r="R579" s="161">
        <f t="shared" si="50"/>
        <v>8.6956521739130436E-3</v>
      </c>
      <c r="S579" s="188"/>
      <c r="T579" s="81"/>
      <c r="U579" s="81"/>
      <c r="V579" s="81"/>
      <c r="Y579" s="87"/>
      <c r="Z579" s="362"/>
      <c r="AA579" s="124"/>
      <c r="AB579" s="124"/>
    </row>
    <row r="580" spans="1:30" s="80" customFormat="1">
      <c r="A580" s="190">
        <v>42919</v>
      </c>
      <c r="B580" s="78"/>
      <c r="C580" s="78"/>
      <c r="D580" s="80" t="s">
        <v>21</v>
      </c>
      <c r="E580" s="146">
        <v>1</v>
      </c>
      <c r="F580" s="87" t="s">
        <v>203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3"/>
        <v>733.33333333333326</v>
      </c>
      <c r="Q580" s="124">
        <f t="shared" si="54"/>
        <v>0</v>
      </c>
      <c r="R580" s="161">
        <f t="shared" si="50"/>
        <v>1</v>
      </c>
      <c r="S580" s="188"/>
      <c r="T580" s="81"/>
      <c r="U580" s="81"/>
      <c r="V580" s="81"/>
      <c r="Y580" s="87"/>
      <c r="Z580" s="362"/>
      <c r="AA580" s="124"/>
      <c r="AB580" s="124"/>
    </row>
    <row r="581" spans="1:30" s="80" customFormat="1">
      <c r="A581" s="190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2"/>
        <v>333.33333333333331</v>
      </c>
      <c r="Q581" s="124">
        <f t="shared" si="49"/>
        <v>0</v>
      </c>
      <c r="R581" s="161">
        <f t="shared" si="50"/>
        <v>1</v>
      </c>
      <c r="S581" s="189" t="str">
        <f>D581</f>
        <v>HL-6 Ambient</v>
      </c>
      <c r="T581" s="81"/>
      <c r="U581" s="81"/>
      <c r="V581" s="81"/>
      <c r="Y581" s="87" t="str">
        <f>D581</f>
        <v>HL-6 Ambient</v>
      </c>
      <c r="Z581" s="362">
        <f>SUMIFS($P$509:$P$572, $D$509:$D$572, Y581, $F$509:$F$572, "&lt;200") + SUMIFS($Q$509:$Q$572, $D$509:$D$572, Y581, $F$509:$F$572, "&lt;200")</f>
        <v>20096.666666666668</v>
      </c>
      <c r="AA581" s="124">
        <f>SUM(P581:Q584)</f>
        <v>12033.333333333334</v>
      </c>
      <c r="AB581" s="124">
        <f>SUMIFS(Collection!O:O, Collection!B:B, "*" &amp; 'Bucket Counts'!Y581 &amp; "*", Collection!A:A, "&lt;" &amp; 'Bucket Counts'!A581,Collection!A:A,  "&gt;=" &amp; 'Bucket Counts'!$A$509)</f>
        <v>0</v>
      </c>
      <c r="AC581" s="161">
        <f>AA581/(Z581+AB581)</f>
        <v>0.59877259910432912</v>
      </c>
      <c r="AD581" s="346">
        <f>0.94*Z581-AA581</f>
        <v>6857.533333333331</v>
      </c>
    </row>
    <row r="582" spans="1:30" s="80" customFormat="1">
      <c r="A582" s="190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29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2"/>
        <v>3333.3333333333335</v>
      </c>
      <c r="Q582" s="124">
        <f t="shared" si="49"/>
        <v>400</v>
      </c>
      <c r="R582" s="161">
        <f t="shared" si="50"/>
        <v>0.8928571428571429</v>
      </c>
      <c r="S582" s="187">
        <f>(SUM(P581:P584)/(SUM(P581:Q584)))</f>
        <v>0.47091412742382271</v>
      </c>
      <c r="T582" s="81"/>
      <c r="U582" s="81"/>
      <c r="V582" s="81"/>
      <c r="Y582" s="87"/>
      <c r="Z582" s="362"/>
      <c r="AA582" s="124"/>
      <c r="AB582" s="124"/>
    </row>
    <row r="583" spans="1:30" s="80" customFormat="1">
      <c r="A583" s="190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29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2"/>
        <v>2000</v>
      </c>
      <c r="Q583" s="124">
        <f t="shared" si="49"/>
        <v>1300</v>
      </c>
      <c r="R583" s="161">
        <f t="shared" si="50"/>
        <v>0.60606060606060608</v>
      </c>
      <c r="S583" s="188"/>
      <c r="T583" s="81"/>
      <c r="U583" s="81"/>
      <c r="V583" s="81"/>
      <c r="Y583" s="87"/>
      <c r="Z583" s="362"/>
      <c r="AA583" s="124"/>
      <c r="AB583" s="124"/>
    </row>
    <row r="584" spans="1:30" s="80" customFormat="1">
      <c r="A584" s="190">
        <v>42919</v>
      </c>
      <c r="B584" s="78"/>
      <c r="C584" s="78"/>
      <c r="D584" s="80" t="s">
        <v>119</v>
      </c>
      <c r="E584" s="80">
        <v>2</v>
      </c>
      <c r="F584" s="87" t="s">
        <v>203</v>
      </c>
      <c r="G584" s="87">
        <v>1</v>
      </c>
      <c r="H584" s="229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49"/>
        <v>4666.666666666667</v>
      </c>
      <c r="R584" s="161">
        <f t="shared" si="50"/>
        <v>0</v>
      </c>
      <c r="S584" s="188"/>
      <c r="T584" s="81"/>
      <c r="U584" s="81"/>
      <c r="V584" s="81"/>
      <c r="Y584" s="87"/>
      <c r="Z584" s="362"/>
      <c r="AA584" s="124"/>
      <c r="AB584" s="124"/>
    </row>
    <row r="585" spans="1:30" s="80" customFormat="1">
      <c r="A585" s="190">
        <v>42919</v>
      </c>
      <c r="B585" s="78"/>
      <c r="C585" s="78"/>
      <c r="D585" s="79" t="s">
        <v>83</v>
      </c>
      <c r="E585" s="80">
        <v>2</v>
      </c>
      <c r="F585" s="87">
        <v>224</v>
      </c>
      <c r="G585" s="87">
        <v>3</v>
      </c>
      <c r="H585" s="229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49"/>
        <v>0</v>
      </c>
      <c r="R585" s="161">
        <f t="shared" si="50"/>
        <v>1</v>
      </c>
      <c r="S585" s="189" t="str">
        <f>D585</f>
        <v>NF-10 Low</v>
      </c>
      <c r="T585" s="81"/>
      <c r="U585" s="81"/>
      <c r="V585" s="81"/>
      <c r="W585" s="80" t="s">
        <v>308</v>
      </c>
      <c r="Y585" s="87" t="str">
        <f>D585</f>
        <v>NF-10 Low</v>
      </c>
      <c r="Z585" s="362">
        <f>SUMIFS($P$509:$P$572, $D$509:$D$572, Y585, $F$509:$F$572, "&lt;200") + SUMIFS($Q$509:$Q$572, $D$509:$D$572, Y585, $F$509:$F$572, "&lt;200")</f>
        <v>81.666666666666657</v>
      </c>
      <c r="AA585" s="124">
        <f>SUM(P585:Q588)</f>
        <v>124.22222222222223</v>
      </c>
      <c r="AB585" s="124">
        <f>SUMIFS(Collection!O:O, Collection!B:B, "*" &amp; 'Bucket Counts'!Y585 &amp; "*", Collection!A:A, "&lt;" &amp; 'Bucket Counts'!A585,Collection!A:A,  "&gt;=" &amp; 'Bucket Counts'!$A$509)</f>
        <v>0</v>
      </c>
      <c r="AC585" s="161">
        <f>AA585/(Z585+AB585)</f>
        <v>1.5210884353741498</v>
      </c>
    </row>
    <row r="586" spans="1:30" s="80" customFormat="1">
      <c r="A586" s="190">
        <v>42919</v>
      </c>
      <c r="B586" s="78"/>
      <c r="C586" s="78"/>
      <c r="D586" s="79" t="s">
        <v>83</v>
      </c>
      <c r="E586" s="80">
        <v>2</v>
      </c>
      <c r="F586" s="87">
        <v>180</v>
      </c>
      <c r="G586" s="87">
        <v>3</v>
      </c>
      <c r="H586" s="229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55">(AVERAGE(I586,K586,M586)/G586)*H586</f>
        <v>62.222222222222221</v>
      </c>
      <c r="Q586" s="124">
        <f t="shared" si="49"/>
        <v>0</v>
      </c>
      <c r="R586" s="161">
        <f t="shared" si="50"/>
        <v>1</v>
      </c>
      <c r="S586" s="187">
        <f>(SUM(P585:P588)/(SUM(P585:Q588)))</f>
        <v>0.78533094812164572</v>
      </c>
      <c r="T586" s="81"/>
      <c r="U586" s="81"/>
      <c r="V586" s="81"/>
      <c r="Y586" s="87"/>
      <c r="Z586" s="362"/>
      <c r="AA586" s="124"/>
      <c r="AB586" s="124"/>
    </row>
    <row r="587" spans="1:30" s="80" customFormat="1">
      <c r="A587" s="190">
        <v>42919</v>
      </c>
      <c r="B587" s="78"/>
      <c r="C587" s="78"/>
      <c r="D587" s="79" t="s">
        <v>83</v>
      </c>
      <c r="E587" s="80">
        <v>2</v>
      </c>
      <c r="F587" s="87">
        <v>100</v>
      </c>
      <c r="G587" s="87">
        <v>3</v>
      </c>
      <c r="H587" s="229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55"/>
        <v>33.333333333333329</v>
      </c>
      <c r="Q587" s="124">
        <f t="shared" si="49"/>
        <v>0</v>
      </c>
      <c r="R587" s="161">
        <f t="shared" si="50"/>
        <v>1</v>
      </c>
      <c r="S587" s="188"/>
      <c r="T587" s="81"/>
      <c r="U587" s="81"/>
      <c r="V587" s="81"/>
      <c r="Y587" s="87"/>
      <c r="Z587" s="362"/>
      <c r="AA587" s="124"/>
      <c r="AB587" s="124"/>
    </row>
    <row r="588" spans="1:30" s="80" customFormat="1">
      <c r="A588" s="190">
        <v>42919</v>
      </c>
      <c r="B588" s="78"/>
      <c r="C588" s="78"/>
      <c r="D588" s="79" t="s">
        <v>83</v>
      </c>
      <c r="E588" s="80">
        <v>2</v>
      </c>
      <c r="F588" s="87" t="s">
        <v>203</v>
      </c>
      <c r="G588" s="87">
        <v>3</v>
      </c>
      <c r="H588" s="229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55"/>
        <v>0</v>
      </c>
      <c r="Q588" s="124">
        <f t="shared" si="49"/>
        <v>26.666666666666664</v>
      </c>
      <c r="R588" s="161">
        <f t="shared" si="50"/>
        <v>0</v>
      </c>
      <c r="S588" s="188"/>
      <c r="T588" s="81"/>
      <c r="U588" s="81"/>
      <c r="V588" s="81"/>
      <c r="Y588" s="87"/>
      <c r="Z588" s="362"/>
      <c r="AA588" s="124"/>
      <c r="AB588" s="124"/>
    </row>
    <row r="589" spans="1:30" s="80" customFormat="1">
      <c r="A589" s="190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29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55"/>
        <v>57.777777777777771</v>
      </c>
      <c r="Q589" s="124">
        <f t="shared" si="49"/>
        <v>0</v>
      </c>
      <c r="R589" s="161">
        <f t="shared" si="50"/>
        <v>1</v>
      </c>
      <c r="S589" s="189" t="str">
        <f>D589</f>
        <v>NF-6 Ambient</v>
      </c>
      <c r="T589" s="81"/>
      <c r="U589" s="81"/>
      <c r="V589" s="81"/>
      <c r="Y589" s="87" t="str">
        <f>D589</f>
        <v>NF-6 Ambient</v>
      </c>
      <c r="Z589" s="362">
        <f>SUMIFS($P$509:$P$572, $D$509:$D$572, Y589, $F$509:$F$572, "&lt;200") + SUMIFS($Q$509:$Q$572, $D$509:$D$572, Y589, $F$509:$F$572, "&lt;200")</f>
        <v>1789.9999999999998</v>
      </c>
      <c r="AA589" s="124">
        <f>SUM(P589:Q592)</f>
        <v>1660</v>
      </c>
      <c r="AB589" s="124">
        <f>SUMIFS(Collection!O:O, Collection!B:B, "*" &amp; 'Bucket Counts'!Y589 &amp; "*", Collection!A:A, "&lt;" &amp; 'Bucket Counts'!A589,Collection!A:A,  "&gt;=" &amp; 'Bucket Counts'!$A$509)</f>
        <v>0</v>
      </c>
      <c r="AC589" s="161">
        <f>AA589/(Z589+AB589)</f>
        <v>0.92737430167597779</v>
      </c>
    </row>
    <row r="590" spans="1:30" s="80" customFormat="1">
      <c r="A590" s="190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29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55"/>
        <v>766.66666666666674</v>
      </c>
      <c r="Q590" s="124">
        <f t="shared" si="49"/>
        <v>33.333333333333329</v>
      </c>
      <c r="R590" s="161">
        <f t="shared" si="50"/>
        <v>0.95833333333333326</v>
      </c>
      <c r="S590" s="187">
        <f>(SUM(P589:P592)/(SUM(P589:Q592)))</f>
        <v>0.55287817938420358</v>
      </c>
      <c r="T590" s="81"/>
      <c r="U590" s="81"/>
      <c r="V590" s="81"/>
      <c r="Y590" s="87"/>
      <c r="Z590" s="362"/>
      <c r="AA590" s="124"/>
      <c r="AB590" s="124"/>
    </row>
    <row r="591" spans="1:30" s="80" customFormat="1">
      <c r="A591" s="190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29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55"/>
        <v>93.333333333333329</v>
      </c>
      <c r="Q591" s="124">
        <f t="shared" si="49"/>
        <v>0</v>
      </c>
      <c r="R591" s="161">
        <f t="shared" si="50"/>
        <v>1</v>
      </c>
      <c r="S591" s="188"/>
      <c r="T591" s="81"/>
      <c r="U591" s="81"/>
      <c r="V591" s="81"/>
      <c r="Y591" s="87"/>
      <c r="Z591" s="362"/>
      <c r="AA591" s="124"/>
      <c r="AB591" s="124"/>
    </row>
    <row r="592" spans="1:30" s="80" customFormat="1">
      <c r="A592" s="190">
        <v>42919</v>
      </c>
      <c r="B592" s="78"/>
      <c r="C592" s="78"/>
      <c r="D592" s="80" t="s">
        <v>85</v>
      </c>
      <c r="E592" s="80">
        <v>3</v>
      </c>
      <c r="F592" s="87" t="s">
        <v>203</v>
      </c>
      <c r="G592" s="87">
        <v>3</v>
      </c>
      <c r="H592" s="229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55"/>
        <v>0</v>
      </c>
      <c r="Q592" s="124">
        <f t="shared" si="49"/>
        <v>708.8888888888888</v>
      </c>
      <c r="R592" s="161">
        <f t="shared" si="50"/>
        <v>0</v>
      </c>
      <c r="S592" s="188"/>
      <c r="T592" s="81"/>
      <c r="U592" s="81"/>
      <c r="V592" s="81"/>
      <c r="Y592" s="87"/>
      <c r="Z592" s="362"/>
      <c r="AA592" s="124"/>
      <c r="AB592" s="124"/>
    </row>
    <row r="593" spans="1:29" s="80" customFormat="1">
      <c r="A593" s="190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29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55"/>
        <v>1516.6666666666667</v>
      </c>
      <c r="Q593" s="124">
        <f t="shared" si="49"/>
        <v>0</v>
      </c>
      <c r="R593" s="161">
        <f t="shared" si="50"/>
        <v>1</v>
      </c>
      <c r="S593" s="189" t="str">
        <f>D593</f>
        <v>NF-6 Low</v>
      </c>
      <c r="T593" s="81"/>
      <c r="U593" s="81"/>
      <c r="V593" s="81"/>
      <c r="Y593" s="87" t="str">
        <f>D593</f>
        <v>NF-6 Low</v>
      </c>
      <c r="Z593" s="362">
        <f>SUMIFS($P$509:$P$572, $D$509:$D$572, Y593, $F$509:$F$572, "&lt;200") + SUMIFS($Q$509:$Q$572, $D$509:$D$572, Y593, $F$509:$F$572, "&lt;200")</f>
        <v>33333.333333333336</v>
      </c>
      <c r="AA593" s="124">
        <f>SUM(P593:Q596)</f>
        <v>33648.333333333336</v>
      </c>
      <c r="AB593" s="124">
        <f>SUMIFS(Collection!O:O, Collection!B:B, "*" &amp; 'Bucket Counts'!Y593 &amp; "*", Collection!A:A, "&lt;" &amp; 'Bucket Counts'!A593,Collection!A:A,  "&gt;=" &amp; 'Bucket Counts'!$A$509)</f>
        <v>0</v>
      </c>
      <c r="AC593" s="161">
        <f>AA593/(Z593+AB593)</f>
        <v>1.00945</v>
      </c>
    </row>
    <row r="594" spans="1:29" s="80" customFormat="1">
      <c r="A594" s="190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29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55"/>
        <v>19680</v>
      </c>
      <c r="Q594" s="124">
        <f t="shared" si="49"/>
        <v>160</v>
      </c>
      <c r="R594" s="161">
        <f t="shared" si="50"/>
        <v>0.99193548387096775</v>
      </c>
      <c r="S594" s="187">
        <f>(SUM(P593:P596)/(SUM(P593:Q596)))</f>
        <v>0.8290653326068651</v>
      </c>
      <c r="T594" s="81"/>
      <c r="Y594" s="87"/>
      <c r="Z594" s="362"/>
      <c r="AA594" s="124"/>
      <c r="AB594" s="124"/>
    </row>
    <row r="595" spans="1:29" s="80" customFormat="1">
      <c r="A595" s="190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55"/>
        <v>6600</v>
      </c>
      <c r="Q595" s="124">
        <f t="shared" si="49"/>
        <v>91.666666666666657</v>
      </c>
      <c r="R595" s="161">
        <f t="shared" si="50"/>
        <v>0.98630136986301364</v>
      </c>
      <c r="S595" s="188"/>
      <c r="T595" s="81"/>
      <c r="Y595" s="87"/>
      <c r="Z595" s="362"/>
      <c r="AA595" s="124"/>
      <c r="AB595" s="124"/>
    </row>
    <row r="596" spans="1:29" s="80" customFormat="1">
      <c r="A596" s="190">
        <v>42919</v>
      </c>
      <c r="B596" s="78"/>
      <c r="C596" s="78"/>
      <c r="D596" s="80" t="s">
        <v>105</v>
      </c>
      <c r="E596" s="80">
        <v>3</v>
      </c>
      <c r="F596" s="87" t="s">
        <v>203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55"/>
        <v>100</v>
      </c>
      <c r="Q596" s="124">
        <f t="shared" si="49"/>
        <v>5500</v>
      </c>
      <c r="R596" s="161">
        <f t="shared" si="50"/>
        <v>1.7857142857142856E-2</v>
      </c>
      <c r="S596" s="188"/>
      <c r="T596" s="81"/>
      <c r="Y596" s="87"/>
      <c r="Z596" s="362"/>
      <c r="AA596" s="124"/>
      <c r="AB596" s="124"/>
    </row>
    <row r="597" spans="1:29" s="80" customFormat="1">
      <c r="A597" s="190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56">(AVERAGE(J598,L598,N598)/G597)*H597</f>
        <v>57.777777777777771</v>
      </c>
      <c r="R597" s="161">
        <f t="shared" si="50"/>
        <v>4.93601462522852E-2</v>
      </c>
      <c r="S597" s="186" t="str">
        <f>D597</f>
        <v>SN-10 Ambient</v>
      </c>
      <c r="T597" s="81"/>
      <c r="W597" s="80" t="s">
        <v>310</v>
      </c>
      <c r="Y597" s="87" t="str">
        <f>D597</f>
        <v>SN-10 Ambient</v>
      </c>
      <c r="Z597" s="362">
        <f>SUMIFS($P$509:$P$572, $D$509:$D$572, Y597, $F$509:$F$572, "&lt;200") + SUMIFS($Q$509:$Q$572, $D$509:$D$572, Y597, $F$509:$F$572, "&lt;200")</f>
        <v>1770</v>
      </c>
      <c r="AA597" s="124">
        <f>SUM(P597:Q600)</f>
        <v>852.99999999999989</v>
      </c>
      <c r="AB597" s="124">
        <f>SUMIFS(Collection!O:O, Collection!B:B, "*" &amp; 'Bucket Counts'!Y597 &amp; "*", Collection!A:A, "&lt;" &amp; 'Bucket Counts'!A597,Collection!A:A,  "&gt;=" &amp; 'Bucket Counts'!$A$509)</f>
        <v>0</v>
      </c>
      <c r="AC597" s="161">
        <f>AA597/(Z597+AB597)</f>
        <v>0.48192090395480219</v>
      </c>
    </row>
    <row r="598" spans="1:29" s="80" customFormat="1">
      <c r="A598" s="190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57">(AVERAGE(I599,K599,M599)/G598)*H598</f>
        <v>268.88888888888886</v>
      </c>
      <c r="Q598" s="124">
        <f t="shared" si="56"/>
        <v>73.333333333333329</v>
      </c>
      <c r="R598" s="161">
        <f t="shared" si="50"/>
        <v>0.7857142857142857</v>
      </c>
      <c r="S598" s="187">
        <f>(SUM(P597:P600)/(SUM(P597:Q600)))</f>
        <v>0.3786635404454865</v>
      </c>
      <c r="T598" s="81"/>
      <c r="Y598" s="87"/>
      <c r="Z598" s="362"/>
      <c r="AA598" s="124"/>
      <c r="AB598" s="124"/>
    </row>
    <row r="599" spans="1:29" s="80" customFormat="1">
      <c r="A599" s="190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28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57"/>
        <v>0</v>
      </c>
      <c r="Q599" s="124">
        <f t="shared" si="56"/>
        <v>373.33333333333331</v>
      </c>
      <c r="R599" s="161">
        <f t="shared" si="50"/>
        <v>0</v>
      </c>
      <c r="S599" s="185"/>
      <c r="T599" s="81"/>
      <c r="Y599" s="87"/>
      <c r="Z599" s="362"/>
      <c r="AA599" s="124"/>
      <c r="AB599" s="124"/>
    </row>
    <row r="600" spans="1:29" s="80" customFormat="1">
      <c r="A600" s="190">
        <v>42919</v>
      </c>
      <c r="B600" s="78"/>
      <c r="C600" s="78"/>
      <c r="D600" s="79" t="s">
        <v>86</v>
      </c>
      <c r="E600" s="80">
        <v>4</v>
      </c>
      <c r="F600" s="87" t="s">
        <v>203</v>
      </c>
      <c r="G600" s="87">
        <v>3</v>
      </c>
      <c r="H600" s="228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57"/>
        <v>51.111111111111107</v>
      </c>
      <c r="Q600" s="124">
        <f t="shared" si="56"/>
        <v>25.555555555555554</v>
      </c>
      <c r="R600" s="161">
        <f t="shared" si="50"/>
        <v>0.66666666666666674</v>
      </c>
      <c r="S600" s="188"/>
      <c r="T600" s="81"/>
      <c r="Y600" s="87"/>
      <c r="Z600" s="362"/>
      <c r="AA600" s="124"/>
      <c r="AB600" s="124"/>
    </row>
    <row r="601" spans="1:29" s="80" customFormat="1">
      <c r="A601" s="190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57"/>
        <v>322.22222222222223</v>
      </c>
      <c r="Q601" s="124">
        <f t="shared" si="56"/>
        <v>64.444444444444443</v>
      </c>
      <c r="R601" s="161">
        <f t="shared" si="50"/>
        <v>0.83333333333333326</v>
      </c>
      <c r="S601" s="189" t="str">
        <f>D601</f>
        <v>SN-6 Low</v>
      </c>
      <c r="T601" s="81"/>
      <c r="Y601" s="87" t="str">
        <f>D601</f>
        <v>SN-6 Low</v>
      </c>
      <c r="Z601" s="362">
        <f>SUMIFS($P$509:$P$572, $D$509:$D$572, Y601, $F$509:$F$572, "&lt;200") + SUMIFS($Q$509:$Q$572, $D$509:$D$572, Y601, $F$509:$F$572, "&lt;200")</f>
        <v>2640</v>
      </c>
      <c r="AA601" s="124">
        <f>SUM(P601:Q604)</f>
        <v>1844.9999999999998</v>
      </c>
      <c r="AB601" s="124">
        <f>SUMIFS(Collection!O:O, Collection!B:B, "*" &amp; 'Bucket Counts'!Y601 &amp; "*", Collection!A:A, "&lt;" &amp; 'Bucket Counts'!A601,Collection!A:A,  "&gt;=" &amp; 'Bucket Counts'!$A$509)</f>
        <v>0</v>
      </c>
      <c r="AC601" s="161">
        <f>AA601/(Z601+AB601)</f>
        <v>0.69886363636363624</v>
      </c>
    </row>
    <row r="602" spans="1:29" s="80" customFormat="1">
      <c r="A602" s="190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57"/>
        <v>373.33333333333337</v>
      </c>
      <c r="Q602" s="124">
        <f t="shared" si="56"/>
        <v>106.66666666666666</v>
      </c>
      <c r="R602" s="161">
        <f t="shared" si="50"/>
        <v>0.7777777777777779</v>
      </c>
      <c r="S602" s="187">
        <f>(SUM(P601:P604)/(SUM(P601:Q604)))</f>
        <v>0.64709424872026511</v>
      </c>
      <c r="T602" s="81"/>
      <c r="Y602" s="87"/>
      <c r="Z602" s="362"/>
      <c r="AA602" s="124"/>
      <c r="AB602" s="124"/>
    </row>
    <row r="603" spans="1:29" s="80" customFormat="1">
      <c r="A603" s="190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28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57"/>
        <v>0</v>
      </c>
      <c r="Q603" s="124">
        <f t="shared" si="56"/>
        <v>480</v>
      </c>
      <c r="R603" s="161">
        <f t="shared" si="50"/>
        <v>0</v>
      </c>
      <c r="S603" s="188"/>
      <c r="T603" s="81"/>
      <c r="Y603" s="87"/>
      <c r="Z603" s="362"/>
      <c r="AA603" s="124"/>
      <c r="AB603" s="124"/>
    </row>
    <row r="604" spans="1:29" s="80" customFormat="1">
      <c r="A604" s="190">
        <v>42919</v>
      </c>
      <c r="B604" s="78"/>
      <c r="C604" s="78"/>
      <c r="D604" s="79" t="s">
        <v>77</v>
      </c>
      <c r="E604" s="80">
        <v>4</v>
      </c>
      <c r="F604" s="87" t="s">
        <v>203</v>
      </c>
      <c r="G604" s="87">
        <v>2</v>
      </c>
      <c r="H604" s="228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57"/>
        <v>498.33333333333331</v>
      </c>
      <c r="Q604" s="124">
        <f t="shared" si="56"/>
        <v>0</v>
      </c>
      <c r="R604" s="161">
        <f t="shared" si="50"/>
        <v>1</v>
      </c>
      <c r="S604" s="188"/>
      <c r="T604" s="81"/>
      <c r="Y604" s="87"/>
      <c r="Z604" s="362"/>
      <c r="AA604" s="124"/>
      <c r="AB604" s="124"/>
    </row>
    <row r="605" spans="1:29" s="80" customFormat="1">
      <c r="A605" s="190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57"/>
        <v>3160</v>
      </c>
      <c r="Q605" s="124">
        <f t="shared" si="56"/>
        <v>240</v>
      </c>
      <c r="R605" s="161">
        <f t="shared" si="50"/>
        <v>0.92941176470588238</v>
      </c>
      <c r="S605" s="189" t="str">
        <f>D605</f>
        <v>K-6 Ambient</v>
      </c>
      <c r="Y605" s="87" t="str">
        <f>D605</f>
        <v>K-6 Ambient</v>
      </c>
      <c r="Z605" s="362">
        <f>SUMIFS($P$509:$P$572, $D$509:$D$572, Y605, $F$509:$F$572, "&lt;200") + SUMIFS($Q$509:$Q$572, $D$509:$D$572, Y605, $F$509:$F$572, "&lt;200")</f>
        <v>46166.666666666664</v>
      </c>
      <c r="AA605" s="124">
        <f>SUM(P605:Q608)</f>
        <v>38866.666666666672</v>
      </c>
      <c r="AB605" s="124">
        <f>SUMIFS(Collection!O:O, Collection!B:B, "*" &amp; 'Bucket Counts'!Y605 &amp; "*", Collection!A:A, "&lt;" &amp; 'Bucket Counts'!A605,Collection!A:A,  "&gt;=" &amp; 'Bucket Counts'!$A$509)</f>
        <v>0</v>
      </c>
      <c r="AC605" s="161">
        <f>AA605/(Z605+AB605)</f>
        <v>0.84187725631768973</v>
      </c>
    </row>
    <row r="606" spans="1:29" s="80" customFormat="1">
      <c r="A606" s="190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57"/>
        <v>24993.333333333336</v>
      </c>
      <c r="Q606" s="124">
        <f t="shared" si="56"/>
        <v>3220</v>
      </c>
      <c r="R606" s="161">
        <f t="shared" si="50"/>
        <v>0.88586956521739135</v>
      </c>
      <c r="S606" s="187">
        <f>(SUM(P605:P608)/(SUM(P605:Q608)))</f>
        <v>0.72435677530017151</v>
      </c>
      <c r="Y606" s="87"/>
      <c r="Z606" s="362"/>
      <c r="AA606" s="124"/>
      <c r="AB606" s="124"/>
    </row>
    <row r="607" spans="1:29" s="80" customFormat="1">
      <c r="A607" s="190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57"/>
        <v>0</v>
      </c>
      <c r="Q607" s="124">
        <f t="shared" si="56"/>
        <v>7153.3333333333339</v>
      </c>
      <c r="R607" s="161">
        <f t="shared" si="50"/>
        <v>0</v>
      </c>
      <c r="S607" s="188"/>
      <c r="Y607" s="87"/>
      <c r="Z607" s="362"/>
      <c r="AA607" s="124"/>
      <c r="AB607" s="124"/>
    </row>
    <row r="608" spans="1:29" s="80" customFormat="1">
      <c r="A608" s="190">
        <v>42919</v>
      </c>
      <c r="B608" s="78"/>
      <c r="C608" s="78"/>
      <c r="D608" s="80" t="s">
        <v>38</v>
      </c>
      <c r="E608" s="80">
        <v>5</v>
      </c>
      <c r="F608" s="87" t="s">
        <v>203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57"/>
        <v>0</v>
      </c>
      <c r="Q608" s="124">
        <f t="shared" si="56"/>
        <v>100</v>
      </c>
      <c r="R608" s="161">
        <f t="shared" si="50"/>
        <v>0</v>
      </c>
      <c r="S608" s="188"/>
      <c r="Y608" s="87"/>
      <c r="Z608" s="362"/>
      <c r="AA608" s="124"/>
      <c r="AB608" s="124"/>
    </row>
    <row r="609" spans="1:29" s="80" customFormat="1">
      <c r="A609" s="190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58">(AVERAGE(I609,K609,M609)/G609)*H609</f>
        <v>0</v>
      </c>
      <c r="Q609" s="124">
        <f t="shared" ref="Q609:Q640" si="59">(AVERAGE(J609,L609,N609)/G609)*H609</f>
        <v>28.888888888888886</v>
      </c>
      <c r="R609" s="161">
        <f t="shared" si="50"/>
        <v>0</v>
      </c>
      <c r="S609" s="189" t="str">
        <f>D609</f>
        <v>NF-10 Ambient</v>
      </c>
      <c r="T609" s="81"/>
      <c r="U609" s="81"/>
      <c r="V609" s="81"/>
      <c r="Y609" s="87" t="str">
        <f>D609</f>
        <v>NF-10 Ambient</v>
      </c>
      <c r="Z609" s="362">
        <f>SUMIFS($P$509:$P$572, $D$509:$D$572, Y609, $F$509:$F$572, "&lt;200") + SUMIFS($Q$509:$Q$572, $D$509:$D$572, Y609, $F$509:$F$572, "&lt;200")</f>
        <v>21460</v>
      </c>
      <c r="AA609" s="124">
        <f>SUM(P609:Q612)</f>
        <v>3286.666666666667</v>
      </c>
      <c r="AB609" s="124">
        <f>SUMIFS(Collection!O:O, Collection!B:B, "*" &amp; 'Bucket Counts'!Y609 &amp; "*", Collection!A:A, "&lt;" &amp; 'Bucket Counts'!A609,Collection!A:A,  "&gt;=" &amp; 'Bucket Counts'!$A$509)</f>
        <v>0</v>
      </c>
      <c r="AC609" s="161">
        <f>AA609/(Z609+AB609)</f>
        <v>0.15315315315315317</v>
      </c>
    </row>
    <row r="610" spans="1:29" s="80" customFormat="1">
      <c r="A610" s="190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58"/>
        <v>416.66666666666669</v>
      </c>
      <c r="Q610" s="124">
        <f t="shared" si="59"/>
        <v>111.1111111111111</v>
      </c>
      <c r="R610" s="161">
        <f t="shared" si="50"/>
        <v>0.78947368421052633</v>
      </c>
      <c r="S610" s="187">
        <f>(SUM(P609:P612)/(SUM(P609:Q612)))</f>
        <v>0.36815415821501013</v>
      </c>
      <c r="T610" s="81"/>
      <c r="U610" s="81"/>
      <c r="V610" s="81"/>
      <c r="Y610" s="87"/>
      <c r="Z610" s="362"/>
      <c r="AA610" s="124"/>
      <c r="AB610" s="124"/>
    </row>
    <row r="611" spans="1:29" s="80" customFormat="1">
      <c r="A611" s="190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58"/>
        <v>793.33333333333337</v>
      </c>
      <c r="Q611" s="124">
        <f t="shared" si="59"/>
        <v>396.66666666666669</v>
      </c>
      <c r="R611" s="161">
        <f t="shared" si="50"/>
        <v>0.66666666666666674</v>
      </c>
      <c r="S611" s="188"/>
      <c r="T611" s="81"/>
      <c r="U611" s="81"/>
      <c r="V611" s="81"/>
      <c r="Y611" s="87"/>
      <c r="Z611" s="362"/>
      <c r="AA611" s="124"/>
      <c r="AB611" s="124"/>
    </row>
    <row r="612" spans="1:29" s="80" customFormat="1">
      <c r="A612" s="190">
        <v>42919</v>
      </c>
      <c r="B612" s="78"/>
      <c r="C612" s="78"/>
      <c r="D612" s="80" t="s">
        <v>84</v>
      </c>
      <c r="E612" s="80">
        <v>5</v>
      </c>
      <c r="F612" s="87" t="s">
        <v>203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58"/>
        <v>0</v>
      </c>
      <c r="Q612" s="124">
        <f t="shared" si="59"/>
        <v>1540</v>
      </c>
      <c r="R612" s="161">
        <f t="shared" ref="R612:R675" si="60">P612/(P612+Q612)</f>
        <v>0</v>
      </c>
      <c r="S612" s="188"/>
      <c r="T612" s="81"/>
      <c r="U612" s="81"/>
      <c r="V612" s="81"/>
      <c r="Y612" s="87"/>
      <c r="Z612" s="362"/>
      <c r="AA612" s="124"/>
      <c r="AB612" s="124"/>
    </row>
    <row r="613" spans="1:29" s="80" customFormat="1">
      <c r="A613" s="190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58"/>
        <v>0</v>
      </c>
      <c r="Q613" s="124">
        <f t="shared" si="59"/>
        <v>30</v>
      </c>
      <c r="R613" s="161">
        <f t="shared" si="60"/>
        <v>0</v>
      </c>
      <c r="S613" s="189" t="str">
        <f>D613</f>
        <v>SN-6 Ambient</v>
      </c>
      <c r="T613" s="81"/>
      <c r="U613" s="81"/>
      <c r="V613" s="81"/>
      <c r="Y613" s="87" t="str">
        <f>D613</f>
        <v>SN-6 Ambient</v>
      </c>
      <c r="Z613" s="362">
        <f>SUMIFS($P$509:$P$572, $D$509:$D$572, Y613, $F$509:$F$572, "&lt;200") + SUMIFS($Q$509:$Q$572, $D$509:$D$572, Y613, $F$509:$F$572, "&lt;200")</f>
        <v>7513.333333333333</v>
      </c>
      <c r="AA613" s="124">
        <f>SUM(P613:Q616)</f>
        <v>17488.888888888891</v>
      </c>
      <c r="AB613" s="124">
        <f>SUMIFS(Collection!O:O, Collection!B:B, "*" &amp; 'Bucket Counts'!Y613 &amp; "*", Collection!A:A, "&lt;" &amp; 'Bucket Counts'!A613,Collection!A:A,  "&gt;=" &amp; 'Bucket Counts'!$A$509)</f>
        <v>0</v>
      </c>
      <c r="AC613" s="161">
        <f>AA613/(Z613+AB613)</f>
        <v>2.3277136941733216</v>
      </c>
    </row>
    <row r="614" spans="1:29" s="80" customFormat="1">
      <c r="A614" s="190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59"/>
        <v>1777.7777777777776</v>
      </c>
      <c r="R614" s="161">
        <f t="shared" si="60"/>
        <v>0.43362831858407075</v>
      </c>
      <c r="S614" s="187">
        <f>(SUM(P613:P616)/(SUM(P613:Q616)))</f>
        <v>0.15520965692503175</v>
      </c>
      <c r="T614" s="81"/>
      <c r="U614" s="81"/>
      <c r="V614" s="81"/>
      <c r="Y614" s="87"/>
      <c r="Z614" s="362"/>
      <c r="AA614" s="124"/>
      <c r="AB614" s="124"/>
    </row>
    <row r="615" spans="1:29" s="80" customFormat="1">
      <c r="A615" s="190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1">(AVERAGE(I615,K615,M615)/G615)*H615</f>
        <v>1353.3333333333333</v>
      </c>
      <c r="Q615" s="124">
        <f t="shared" si="59"/>
        <v>1866.6666666666667</v>
      </c>
      <c r="R615" s="161">
        <f t="shared" si="60"/>
        <v>0.42028985507246375</v>
      </c>
      <c r="S615" s="188"/>
      <c r="T615" s="81"/>
      <c r="U615" s="81"/>
      <c r="V615" s="81"/>
      <c r="Y615" s="87"/>
      <c r="Z615" s="362"/>
      <c r="AA615" s="124"/>
      <c r="AB615" s="124"/>
    </row>
    <row r="616" spans="1:29" s="80" customFormat="1">
      <c r="A616" s="190">
        <v>42919</v>
      </c>
      <c r="B616" s="78"/>
      <c r="C616" s="78"/>
      <c r="D616" s="80" t="s">
        <v>87</v>
      </c>
      <c r="E616" s="80">
        <v>6</v>
      </c>
      <c r="F616" s="87" t="s">
        <v>203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1"/>
        <v>0</v>
      </c>
      <c r="Q616" s="124">
        <f t="shared" si="59"/>
        <v>11100</v>
      </c>
      <c r="R616" s="161">
        <f t="shared" si="60"/>
        <v>0</v>
      </c>
      <c r="S616" s="188"/>
      <c r="T616" s="81"/>
      <c r="U616" s="81"/>
      <c r="V616" s="81"/>
      <c r="Y616" s="87"/>
      <c r="Z616" s="362"/>
      <c r="AA616" s="124"/>
      <c r="AB616" s="124"/>
    </row>
    <row r="617" spans="1:29" s="80" customFormat="1">
      <c r="A617" s="190">
        <v>42919</v>
      </c>
      <c r="B617" s="78"/>
      <c r="C617" s="78"/>
      <c r="D617" s="80" t="s">
        <v>20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1"/>
        <v>61.111111111111107</v>
      </c>
      <c r="Q617" s="124">
        <f t="shared" si="59"/>
        <v>0</v>
      </c>
      <c r="R617" s="161">
        <f t="shared" si="60"/>
        <v>1</v>
      </c>
      <c r="S617" s="189" t="str">
        <f>D617</f>
        <v>K-10 Low</v>
      </c>
      <c r="T617" s="81"/>
      <c r="U617" s="81"/>
      <c r="V617" s="81"/>
      <c r="Y617" s="87" t="str">
        <f>D617</f>
        <v>K-10 Low</v>
      </c>
      <c r="Z617" s="362">
        <f>SUMIFS($P$509:$P$572, $D$509:$D$572, Y617, $F$509:$F$572, "&lt;200") + SUMIFS($Q$509:$Q$572, $D$509:$D$572, Y617, $F$509:$F$572, "&lt;200")</f>
        <v>3000</v>
      </c>
      <c r="AA617" s="124">
        <f>SUM(P617:Q620)</f>
        <v>3476.1111111111109</v>
      </c>
      <c r="AB617" s="124">
        <f>SUMIFS(Collection!O:O, Collection!B:B, "*" &amp; 'Bucket Counts'!Y617 &amp; "*", Collection!A:A, "&lt;" &amp; 'Bucket Counts'!A617,Collection!A:A,  "&gt;=" &amp; 'Bucket Counts'!$A$509)</f>
        <v>0</v>
      </c>
      <c r="AC617" s="161">
        <f>AA617/(Z617+AB617)</f>
        <v>1.1587037037037036</v>
      </c>
    </row>
    <row r="618" spans="1:29" s="80" customFormat="1">
      <c r="A618" s="190">
        <v>42919</v>
      </c>
      <c r="B618" s="78"/>
      <c r="C618" s="78"/>
      <c r="D618" s="80" t="s">
        <v>20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1"/>
        <v>980</v>
      </c>
      <c r="Q618" s="124">
        <f t="shared" si="59"/>
        <v>0</v>
      </c>
      <c r="R618" s="161">
        <f t="shared" si="60"/>
        <v>1</v>
      </c>
      <c r="S618" s="187">
        <f>(SUM(P617:P620)/(SUM(P617:Q620)))</f>
        <v>0.89739491769218482</v>
      </c>
      <c r="T618" s="81"/>
      <c r="U618" s="81"/>
      <c r="V618" s="81"/>
      <c r="Y618" s="87"/>
      <c r="Z618" s="362"/>
      <c r="AA618" s="124"/>
      <c r="AB618" s="124"/>
    </row>
    <row r="619" spans="1:29" s="80" customFormat="1">
      <c r="A619" s="190">
        <v>42919</v>
      </c>
      <c r="B619" s="78"/>
      <c r="C619" s="78"/>
      <c r="D619" s="80" t="s">
        <v>20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1"/>
        <v>2078.3333333333335</v>
      </c>
      <c r="Q619" s="124">
        <f t="shared" si="59"/>
        <v>96.666666666666657</v>
      </c>
      <c r="R619" s="161">
        <f t="shared" si="60"/>
        <v>0.9555555555555556</v>
      </c>
      <c r="S619" s="188"/>
      <c r="T619" s="81"/>
      <c r="U619" s="81"/>
      <c r="V619" s="81"/>
      <c r="Y619" s="87"/>
      <c r="Z619" s="362"/>
      <c r="AA619" s="124"/>
      <c r="AB619" s="124"/>
    </row>
    <row r="620" spans="1:29" s="80" customFormat="1">
      <c r="A620" s="190">
        <v>42919</v>
      </c>
      <c r="B620" s="78"/>
      <c r="C620" s="78"/>
      <c r="D620" s="80" t="s">
        <v>20</v>
      </c>
      <c r="E620" s="80">
        <v>6</v>
      </c>
      <c r="F620" s="87" t="s">
        <v>203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1"/>
        <v>0</v>
      </c>
      <c r="Q620" s="124">
        <f t="shared" si="59"/>
        <v>260</v>
      </c>
      <c r="R620" s="161">
        <f t="shared" si="60"/>
        <v>0</v>
      </c>
      <c r="S620" s="188"/>
      <c r="T620" s="81"/>
      <c r="U620" s="81"/>
      <c r="V620" s="81"/>
      <c r="Y620" s="87"/>
      <c r="Z620" s="362"/>
      <c r="AA620" s="124"/>
      <c r="AB620" s="124"/>
    </row>
    <row r="621" spans="1:29" s="80" customFormat="1">
      <c r="A621" s="190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1"/>
        <v>687.5</v>
      </c>
      <c r="Q621" s="124">
        <f t="shared" si="59"/>
        <v>0</v>
      </c>
      <c r="R621" s="161">
        <f t="shared" si="60"/>
        <v>1</v>
      </c>
      <c r="S621" s="189" t="str">
        <f>D621</f>
        <v>K-10 Ambient</v>
      </c>
      <c r="T621" s="81"/>
      <c r="U621" s="81"/>
      <c r="V621" s="81"/>
      <c r="Y621" s="87" t="str">
        <f>D621</f>
        <v>K-10 Ambient</v>
      </c>
      <c r="Z621" s="362">
        <f>SUMIFS($P$509:$P$572, $D$509:$D$572, Y621, $F$509:$F$572, "&lt;200") + SUMIFS($Q$509:$Q$572, $D$509:$D$572, Y621, $F$509:$F$572, "&lt;200")</f>
        <v>7633.333333333333</v>
      </c>
      <c r="AA621" s="124">
        <f>SUM(P621:Q624)</f>
        <v>6727.5</v>
      </c>
      <c r="AB621" s="124">
        <f>SUMIFS(Collection!O:O, Collection!B:B, "*" &amp; 'Bucket Counts'!Y621 &amp; "*", Collection!A:A, "&lt;" &amp; 'Bucket Counts'!A621,Collection!A:A,  "&gt;=" &amp; 'Bucket Counts'!$A$509)</f>
        <v>0</v>
      </c>
      <c r="AC621" s="161">
        <f>AA621/(Z621+AB621)</f>
        <v>0.8813318777292577</v>
      </c>
    </row>
    <row r="622" spans="1:29" s="80" customFormat="1">
      <c r="A622" s="190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1"/>
        <v>3391.666666666667</v>
      </c>
      <c r="Q622" s="124">
        <f t="shared" si="59"/>
        <v>91.666666666666657</v>
      </c>
      <c r="R622" s="161">
        <f t="shared" si="60"/>
        <v>0.97368421052631582</v>
      </c>
      <c r="S622" s="187">
        <f>(SUM(P621:P624)/(SUM(P621:Q624)))</f>
        <v>0.8377307072959248</v>
      </c>
      <c r="T622" s="81"/>
      <c r="U622" s="81"/>
      <c r="V622" s="81"/>
      <c r="Y622" s="87"/>
      <c r="Z622" s="362"/>
      <c r="AA622" s="124"/>
      <c r="AB622" s="124"/>
    </row>
    <row r="623" spans="1:29" s="80" customFormat="1">
      <c r="A623" s="190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1"/>
        <v>1466.6666666666665</v>
      </c>
      <c r="Q623" s="124">
        <f t="shared" si="59"/>
        <v>550</v>
      </c>
      <c r="R623" s="161">
        <f t="shared" si="60"/>
        <v>0.72727272727272729</v>
      </c>
      <c r="S623" s="188"/>
      <c r="T623" s="81"/>
      <c r="U623" s="81"/>
      <c r="V623" s="81"/>
      <c r="Y623" s="87"/>
      <c r="Z623" s="362"/>
      <c r="AA623" s="124"/>
      <c r="AB623" s="124"/>
    </row>
    <row r="624" spans="1:29" s="80" customFormat="1">
      <c r="A624" s="190">
        <v>42919</v>
      </c>
      <c r="B624" s="78"/>
      <c r="C624" s="78"/>
      <c r="D624" s="80" t="s">
        <v>17</v>
      </c>
      <c r="E624" s="80">
        <v>7</v>
      </c>
      <c r="F624" s="87" t="s">
        <v>203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1"/>
        <v>90</v>
      </c>
      <c r="Q624" s="124">
        <f t="shared" si="59"/>
        <v>450</v>
      </c>
      <c r="R624" s="161">
        <f t="shared" si="60"/>
        <v>0.16666666666666666</v>
      </c>
      <c r="S624" s="188"/>
      <c r="T624" s="81"/>
      <c r="U624" s="81"/>
      <c r="V624" s="81"/>
      <c r="Y624" s="87"/>
      <c r="Z624" s="362"/>
      <c r="AA624" s="124"/>
      <c r="AB624" s="124"/>
    </row>
    <row r="625" spans="1:29" s="80" customFormat="1">
      <c r="A625" s="190">
        <v>42919</v>
      </c>
      <c r="B625" s="78"/>
      <c r="C625" s="78"/>
      <c r="D625" s="80" t="s">
        <v>109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1"/>
        <v>770</v>
      </c>
      <c r="Q625" s="124">
        <f t="shared" si="59"/>
        <v>0</v>
      </c>
      <c r="R625" s="161">
        <f t="shared" si="60"/>
        <v>1</v>
      </c>
      <c r="S625" s="189" t="str">
        <f>D625</f>
        <v>HL-10 Low</v>
      </c>
      <c r="T625" s="81"/>
      <c r="U625" s="81"/>
      <c r="V625" s="81"/>
      <c r="Y625" s="87" t="str">
        <f>D625</f>
        <v>HL-10 Low</v>
      </c>
      <c r="Z625" s="353">
        <f>SUMIFS($P$509:$P$572, $D$509:$D$572, Y625, $F$509:$F$572, "&lt;200") + SUMIFS($Q$509:$Q$572, $D$509:$D$572, Y625, $F$509:$F$572, "&lt;200")</f>
        <v>12946.666666666666</v>
      </c>
      <c r="AA625" s="124">
        <f>SUM(P625:Q628)</f>
        <v>39203.333333333336</v>
      </c>
      <c r="AB625" s="124">
        <f>SUMIFS(Collection!O:O, Collection!B:B, "*" &amp; 'Bucket Counts'!Y625 &amp; "*", Collection!A:A, "&lt;" &amp; 'Bucket Counts'!A625,Collection!A:A,  "&gt;=" &amp; 'Bucket Counts'!$A$509)</f>
        <v>0</v>
      </c>
      <c r="AC625" s="161">
        <f>AA625/(Z625+AB625)</f>
        <v>3.0280638516992795</v>
      </c>
    </row>
    <row r="626" spans="1:29" s="80" customFormat="1">
      <c r="A626" s="190">
        <v>42919</v>
      </c>
      <c r="B626" s="78"/>
      <c r="C626" s="78"/>
      <c r="D626" s="80" t="s">
        <v>109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1"/>
        <v>16093.333333333334</v>
      </c>
      <c r="Q626" s="124">
        <f t="shared" si="59"/>
        <v>0</v>
      </c>
      <c r="R626" s="161">
        <f t="shared" si="60"/>
        <v>1</v>
      </c>
      <c r="S626" s="187">
        <f>(SUM(P625:P628)/(SUM(P625:Q628)))</f>
        <v>0.91314514071932662</v>
      </c>
      <c r="T626" s="81"/>
      <c r="U626" s="81"/>
      <c r="V626" s="81"/>
      <c r="Y626" s="87"/>
      <c r="Z626" s="362"/>
      <c r="AA626" s="124"/>
      <c r="AB626" s="124"/>
    </row>
    <row r="627" spans="1:29" s="80" customFormat="1">
      <c r="A627" s="190">
        <v>42919</v>
      </c>
      <c r="B627" s="78"/>
      <c r="C627" s="78"/>
      <c r="D627" s="80" t="s">
        <v>109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1"/>
        <v>18841.666666666664</v>
      </c>
      <c r="Q627" s="124">
        <f t="shared" si="59"/>
        <v>791.66666666666674</v>
      </c>
      <c r="R627" s="161">
        <f t="shared" si="60"/>
        <v>0.95967741935483863</v>
      </c>
      <c r="S627" s="188"/>
      <c r="T627" s="81"/>
      <c r="U627" s="81"/>
      <c r="V627" s="81"/>
      <c r="Y627" s="87"/>
      <c r="Z627" s="362"/>
      <c r="AA627" s="124"/>
      <c r="AB627" s="124"/>
    </row>
    <row r="628" spans="1:29" s="80" customFormat="1">
      <c r="A628" s="190">
        <v>42919</v>
      </c>
      <c r="B628" s="78"/>
      <c r="C628" s="78"/>
      <c r="D628" s="80" t="s">
        <v>109</v>
      </c>
      <c r="E628" s="80">
        <v>7</v>
      </c>
      <c r="F628" s="87" t="s">
        <v>203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1"/>
        <v>93.333333333333329</v>
      </c>
      <c r="Q628" s="124">
        <f t="shared" si="59"/>
        <v>2613.3333333333335</v>
      </c>
      <c r="R628" s="161">
        <f t="shared" si="60"/>
        <v>3.4482758620689648E-2</v>
      </c>
      <c r="S628" s="188"/>
      <c r="T628" s="81"/>
      <c r="U628" s="81"/>
      <c r="V628" s="81"/>
      <c r="Y628" s="87"/>
      <c r="Z628" s="362"/>
      <c r="AA628" s="124"/>
      <c r="AB628" s="124"/>
    </row>
    <row r="629" spans="1:29" s="80" customFormat="1">
      <c r="A629" s="190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1"/>
        <v>241.66666666666669</v>
      </c>
      <c r="Q629" s="124">
        <f t="shared" si="59"/>
        <v>0</v>
      </c>
      <c r="R629" s="161">
        <f t="shared" si="60"/>
        <v>1</v>
      </c>
      <c r="S629" s="189" t="str">
        <f>D629</f>
        <v>HL-10 Ambient</v>
      </c>
      <c r="T629" s="81"/>
      <c r="U629" s="81"/>
      <c r="V629" s="81"/>
      <c r="Y629" s="87" t="str">
        <f>D629</f>
        <v>HL-10 Ambient</v>
      </c>
      <c r="Z629" s="362">
        <f>SUMIFS($P$509:$P$572, $D$509:$D$572, Y629, $F$509:$F$572, "&lt;200") + SUMIFS($Q$509:$Q$572, $D$509:$D$572, Y629, $F$509:$F$572, "&lt;200")</f>
        <v>15666.666666666668</v>
      </c>
      <c r="AA629" s="124">
        <f>SUM(P629:Q632)</f>
        <v>101288.33333333334</v>
      </c>
      <c r="AB629" s="124">
        <f>SUMIFS(Collection!O:O, Collection!B:B, "*" &amp; 'Bucket Counts'!Y629 &amp; "*", Collection!A:A, "&lt;" &amp; 'Bucket Counts'!A629,Collection!A:A,  "&gt;=" &amp; 'Bucket Counts'!$A$509)</f>
        <v>75450</v>
      </c>
      <c r="AC629" s="161">
        <f>AA629/(Z629+AB629)</f>
        <v>1.1116334369855496</v>
      </c>
    </row>
    <row r="630" spans="1:29" s="80" customFormat="1">
      <c r="A630" s="190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1"/>
        <v>3500</v>
      </c>
      <c r="Q630" s="124">
        <f t="shared" si="59"/>
        <v>0</v>
      </c>
      <c r="R630" s="161">
        <f t="shared" si="60"/>
        <v>1</v>
      </c>
      <c r="S630" s="187">
        <f>(SUM(P629:P632)/(SUM(P629:Q632)))</f>
        <v>0.72895858358152466</v>
      </c>
      <c r="T630" s="81"/>
      <c r="Y630" s="87"/>
      <c r="Z630" s="362"/>
      <c r="AA630" s="124"/>
      <c r="AB630" s="124"/>
    </row>
    <row r="631" spans="1:29" s="80" customFormat="1">
      <c r="A631" s="190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1"/>
        <v>70000</v>
      </c>
      <c r="Q631" s="124">
        <f t="shared" si="59"/>
        <v>666.66666666666663</v>
      </c>
      <c r="R631" s="161">
        <f t="shared" si="60"/>
        <v>0.99056603773584895</v>
      </c>
      <c r="S631" s="188"/>
      <c r="T631" s="81"/>
      <c r="Y631" s="87"/>
      <c r="Z631" s="362"/>
      <c r="AA631" s="124"/>
      <c r="AB631" s="124"/>
    </row>
    <row r="632" spans="1:29" s="80" customFormat="1">
      <c r="A632" s="190">
        <v>42919</v>
      </c>
      <c r="B632" s="78"/>
      <c r="C632" s="78"/>
      <c r="D632" s="80" t="s">
        <v>88</v>
      </c>
      <c r="E632" s="80">
        <v>8</v>
      </c>
      <c r="F632" s="87" t="s">
        <v>203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1"/>
        <v>93.333333333333329</v>
      </c>
      <c r="Q632" s="124">
        <f t="shared" si="59"/>
        <v>26786.666666666668</v>
      </c>
      <c r="R632" s="161">
        <f t="shared" si="60"/>
        <v>3.472222222222222E-3</v>
      </c>
      <c r="S632" s="188"/>
      <c r="T632" s="81"/>
      <c r="Y632" s="87"/>
      <c r="Z632" s="362"/>
      <c r="AA632" s="124"/>
      <c r="AB632" s="124"/>
    </row>
    <row r="633" spans="1:29" s="80" customFormat="1">
      <c r="A633" s="190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1"/>
        <v>1400</v>
      </c>
      <c r="Q633" s="124">
        <f t="shared" si="59"/>
        <v>50</v>
      </c>
      <c r="R633" s="161">
        <f t="shared" si="60"/>
        <v>0.96551724137931039</v>
      </c>
      <c r="S633" s="189" t="str">
        <f>D633</f>
        <v>K-6 Low</v>
      </c>
      <c r="T633" s="81"/>
      <c r="Y633" s="87" t="str">
        <f>D633</f>
        <v>K-6 Low</v>
      </c>
      <c r="Z633" s="362">
        <f>SUMIFS($P$509:$P$572, $D$509:$D$572, Y633, $F$509:$F$572, "&lt;200") + SUMIFS($Q$509:$Q$572, $D$509:$D$572, Y633, $F$509:$F$572, "&lt;200")</f>
        <v>19916.666666666668</v>
      </c>
      <c r="AA633" s="124">
        <f>SUM(P633:Q636)</f>
        <v>18498.333333333332</v>
      </c>
      <c r="AB633" s="124">
        <f>SUMIFS(Collection!O:O, Collection!B:B, "*" &amp; 'Bucket Counts'!Y633 &amp; "*", Collection!A:A, "&lt;" &amp; 'Bucket Counts'!A633,Collection!A:A,  "&gt;=" &amp; 'Bucket Counts'!$A$509)</f>
        <v>0</v>
      </c>
      <c r="AC633" s="161">
        <f>AA633/(Z633+AB633)</f>
        <v>0.92878661087866099</v>
      </c>
    </row>
    <row r="634" spans="1:29" s="80" customFormat="1">
      <c r="A634" s="190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1"/>
        <v>9066.6666666666679</v>
      </c>
      <c r="Q634" s="124">
        <f t="shared" si="59"/>
        <v>400</v>
      </c>
      <c r="R634" s="161">
        <f t="shared" si="60"/>
        <v>0.95774647887323949</v>
      </c>
      <c r="S634" s="187">
        <f>(SUM(P633:P636)/(SUM(P633:Q636)))</f>
        <v>0.88791783043517436</v>
      </c>
      <c r="T634" s="81"/>
      <c r="Y634" s="87"/>
      <c r="Z634" s="362"/>
      <c r="AA634" s="124"/>
      <c r="AB634" s="124"/>
    </row>
    <row r="635" spans="1:29" s="80" customFormat="1">
      <c r="A635" s="190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1"/>
        <v>5958.3333333333339</v>
      </c>
      <c r="Q635" s="124">
        <f t="shared" si="59"/>
        <v>183.33333333333331</v>
      </c>
      <c r="R635" s="161">
        <f t="shared" si="60"/>
        <v>0.97014925373134331</v>
      </c>
      <c r="S635" s="188"/>
      <c r="T635" s="81"/>
      <c r="Y635" s="87"/>
      <c r="Z635" s="362"/>
      <c r="AA635" s="124"/>
      <c r="AB635" s="124"/>
    </row>
    <row r="636" spans="1:29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203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1"/>
        <v>0</v>
      </c>
      <c r="Q636" s="141">
        <f t="shared" si="59"/>
        <v>1440</v>
      </c>
      <c r="R636" s="164">
        <f t="shared" si="60"/>
        <v>0</v>
      </c>
      <c r="S636" s="199"/>
      <c r="Y636" s="140"/>
      <c r="Z636" s="364"/>
      <c r="AA636" s="141"/>
      <c r="AB636" s="141"/>
    </row>
    <row r="637" spans="1:29" s="241" customFormat="1">
      <c r="A637" s="238">
        <v>42922</v>
      </c>
      <c r="B637" s="239"/>
      <c r="C637" s="239"/>
      <c r="D637" s="271" t="s">
        <v>87</v>
      </c>
      <c r="E637" s="241">
        <v>1</v>
      </c>
      <c r="F637" s="242">
        <v>224</v>
      </c>
      <c r="G637" s="242"/>
      <c r="P637" s="243">
        <v>29</v>
      </c>
      <c r="Q637" s="243">
        <v>1</v>
      </c>
      <c r="R637" s="244">
        <f t="shared" si="60"/>
        <v>0.96666666666666667</v>
      </c>
      <c r="S637" s="245" t="str">
        <f>D637</f>
        <v>SN-6 Ambient</v>
      </c>
      <c r="T637" s="246"/>
      <c r="U637" s="246"/>
      <c r="V637" s="246"/>
      <c r="W637" s="241" t="s">
        <v>311</v>
      </c>
      <c r="Y637" s="89" t="str">
        <f>D637</f>
        <v>SN-6 Ambient</v>
      </c>
      <c r="Z637" s="352">
        <f>SUMIFS($P$573:$P$636, $D$573:$D$636, Y637, $F$573:$F$636, "&lt;200") + SUMIFS($Q$573:$Q$636, $D$573:$D$636, Y637, $F$573:$F$636, "&lt;200")</f>
        <v>6358.8888888888887</v>
      </c>
      <c r="AA637" s="120">
        <f>SUM(P637:Q640)</f>
        <v>6845.5555555555557</v>
      </c>
      <c r="AB637" s="120">
        <f>SUMIFS(Collection!O:O, Collection!B:B, "*" &amp; 'Bucket Counts'!Y637 &amp; "*", Collection!A:A, "&lt;" &amp; 'Bucket Counts'!A637,Collection!A:A,  "&gt;=" &amp; 'Bucket Counts'!$A$573)</f>
        <v>0</v>
      </c>
      <c r="AC637" s="106">
        <f>AA637/(Z637+AB637)</f>
        <v>1.0765332867377251</v>
      </c>
    </row>
    <row r="638" spans="1:29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59"/>
        <v>257.77777777777777</v>
      </c>
      <c r="R638" s="106">
        <f t="shared" si="60"/>
        <v>0.80487804878048774</v>
      </c>
      <c r="S638" s="181">
        <f>(SUM(P637:P640)/(SUM(P637:Q640)))</f>
        <v>0.18188605745820483</v>
      </c>
      <c r="T638" s="65"/>
      <c r="U638" s="65"/>
      <c r="V638" s="65"/>
      <c r="Y638" s="89"/>
      <c r="Z638" s="358"/>
      <c r="AA638" s="120"/>
      <c r="AB638" s="120"/>
    </row>
    <row r="639" spans="1:29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59"/>
        <v>91.666666666666657</v>
      </c>
      <c r="R639" s="106">
        <f t="shared" si="60"/>
        <v>0.625</v>
      </c>
      <c r="S639" s="179"/>
      <c r="T639" s="65"/>
      <c r="U639" s="65"/>
      <c r="V639" s="65"/>
      <c r="Y639" s="89"/>
      <c r="Z639" s="358"/>
      <c r="AA639" s="120"/>
      <c r="AB639" s="120"/>
    </row>
    <row r="640" spans="1:29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203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2">(AVERAGE(I640,K640,M640)/G640)*H640</f>
        <v>0</v>
      </c>
      <c r="Q640" s="120">
        <f t="shared" si="59"/>
        <v>5250</v>
      </c>
      <c r="R640" s="106">
        <f t="shared" si="60"/>
        <v>0</v>
      </c>
      <c r="S640" s="182"/>
      <c r="T640" s="65"/>
      <c r="U640" s="65"/>
      <c r="V640" s="65"/>
      <c r="Y640" s="89"/>
      <c r="Z640" s="358"/>
      <c r="AA640" s="120"/>
      <c r="AB640" s="120"/>
    </row>
    <row r="641" spans="1:29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0"/>
        <v>0.8571428571428571</v>
      </c>
      <c r="S641" s="183" t="str">
        <f>D641</f>
        <v>SN-6 Low</v>
      </c>
      <c r="T641" s="65"/>
      <c r="U641" s="65"/>
      <c r="V641" s="65"/>
      <c r="W641" s="62" t="s">
        <v>311</v>
      </c>
      <c r="Y641" s="89" t="str">
        <f>D641</f>
        <v>SN-6 Low</v>
      </c>
      <c r="Z641" s="352">
        <f>SUMIFS($P$573:$P$636, $D$573:$D$636, Y641, $F$573:$F$636, "&lt;200") + SUMIFS($Q$573:$Q$636, $D$573:$D$636, Y641, $F$573:$F$636, "&lt;200")</f>
        <v>960</v>
      </c>
      <c r="AA641" s="120">
        <f>SUM(P641:Q644)</f>
        <v>835.33333333333337</v>
      </c>
      <c r="AB641" s="120">
        <f>SUMIFS(Collection!O:O, Collection!B:B, "*" &amp; 'Bucket Counts'!Y641 &amp; "*", Collection!A:A, "&lt;" &amp; 'Bucket Counts'!A641,Collection!A:A,  "&gt;=" &amp; 'Bucket Counts'!$A$573)</f>
        <v>0</v>
      </c>
      <c r="AC641" s="106">
        <f>AA641/(Z641+AB641)</f>
        <v>0.87013888888888891</v>
      </c>
    </row>
    <row r="642" spans="1:29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3">(AVERAGE(I642,K642,M642)/G642)*H642</f>
        <v>300</v>
      </c>
      <c r="Q642" s="120">
        <f t="shared" ref="Q642:Q644" si="64">(AVERAGE(J642,L642,N642)/G642)*H642</f>
        <v>133.33333333333331</v>
      </c>
      <c r="R642" s="106">
        <f t="shared" si="60"/>
        <v>0.69230769230769229</v>
      </c>
      <c r="S642" s="181">
        <f>(SUM(P641:P644)/(SUM(P641:Q644)))</f>
        <v>0.47406225059856344</v>
      </c>
      <c r="T642" s="65"/>
      <c r="U642" s="65"/>
      <c r="V642" s="65"/>
      <c r="Y642" s="89"/>
      <c r="Z642" s="358"/>
      <c r="AA642" s="120"/>
      <c r="AB642" s="120"/>
    </row>
    <row r="643" spans="1:29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3"/>
        <v>26.666666666666664</v>
      </c>
      <c r="Q643" s="120">
        <f t="shared" si="64"/>
        <v>0</v>
      </c>
      <c r="R643" s="106">
        <f t="shared" si="60"/>
        <v>1</v>
      </c>
      <c r="S643" s="182"/>
      <c r="T643" s="65"/>
      <c r="U643" s="65"/>
      <c r="V643" s="65"/>
      <c r="Y643" s="89"/>
      <c r="Z643" s="358"/>
      <c r="AA643" s="120"/>
      <c r="AB643" s="120"/>
    </row>
    <row r="644" spans="1:29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203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3"/>
        <v>33.333333333333329</v>
      </c>
      <c r="Q644" s="120">
        <f t="shared" si="64"/>
        <v>300</v>
      </c>
      <c r="R644" s="106">
        <f t="shared" si="60"/>
        <v>9.9999999999999992E-2</v>
      </c>
      <c r="S644" s="182"/>
      <c r="T644" s="65"/>
      <c r="U644" s="65"/>
      <c r="V644" s="65"/>
      <c r="Y644" s="89"/>
      <c r="Z644" s="358"/>
      <c r="AA644" s="120"/>
      <c r="AB644" s="120"/>
    </row>
    <row r="645" spans="1:29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0"/>
        <v>0.95348837209302328</v>
      </c>
      <c r="S645" s="183" t="str">
        <f>D645</f>
        <v>NF-10 Ambient</v>
      </c>
      <c r="T645" s="65"/>
      <c r="U645" s="65"/>
      <c r="V645" s="65"/>
      <c r="W645" s="62" t="s">
        <v>311</v>
      </c>
      <c r="Y645" s="89" t="str">
        <f>D645</f>
        <v>NF-10 Ambient</v>
      </c>
      <c r="Z645" s="352">
        <f>SUMIFS($P$573:$P$636, $D$573:$D$636, Y645, $F$573:$F$636, "&lt;200") + SUMIFS($Q$573:$Q$636, $D$573:$D$636, Y645, $F$573:$F$636, "&lt;200")</f>
        <v>1717.7777777777778</v>
      </c>
      <c r="AA645" s="120">
        <f>SUM(P645:Q648)</f>
        <v>1737.4444444444443</v>
      </c>
      <c r="AB645" s="120">
        <f>SUMIFS(Collection!O:O, Collection!B:B, "*" &amp; 'Bucket Counts'!Y645 &amp; "*", Collection!A:A, "&lt;" &amp; 'Bucket Counts'!A645,Collection!A:A,  "&gt;=" &amp; 'Bucket Counts'!$A$573)</f>
        <v>0</v>
      </c>
      <c r="AC645" s="106">
        <f>AA645/(Z645+AB645)</f>
        <v>1.0114489003880982</v>
      </c>
    </row>
    <row r="646" spans="1:29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65">(AVERAGE(I646,K646,M646)/G646)*H646</f>
        <v>325</v>
      </c>
      <c r="Q646" s="120">
        <f t="shared" ref="Q646:Q657" si="66">(AVERAGE(J646,L646,N646)/G646)*H646</f>
        <v>50</v>
      </c>
      <c r="R646" s="106">
        <f t="shared" si="60"/>
        <v>0.8666666666666667</v>
      </c>
      <c r="S646" s="181">
        <f>(SUM(P645:P648)/(SUM(P645:Q648)))</f>
        <v>0.2682100147087037</v>
      </c>
      <c r="T646" s="65"/>
      <c r="U646" s="65"/>
      <c r="V646" s="65"/>
      <c r="Y646" s="89"/>
      <c r="Z646" s="358"/>
      <c r="AA646" s="120"/>
      <c r="AB646" s="120"/>
    </row>
    <row r="647" spans="1:29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65"/>
        <v>100</v>
      </c>
      <c r="Q647" s="120">
        <f t="shared" si="66"/>
        <v>25</v>
      </c>
      <c r="R647" s="106">
        <f t="shared" si="60"/>
        <v>0.8</v>
      </c>
      <c r="S647" s="182"/>
      <c r="T647" s="65"/>
      <c r="U647" s="65"/>
      <c r="V647" s="65"/>
      <c r="Y647" s="89"/>
      <c r="Z647" s="358"/>
      <c r="AA647" s="120"/>
      <c r="AB647" s="120"/>
    </row>
    <row r="648" spans="1:29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203</v>
      </c>
      <c r="G648" s="89">
        <v>3</v>
      </c>
      <c r="H648" s="249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65"/>
        <v>0</v>
      </c>
      <c r="Q648" s="120">
        <f t="shared" si="66"/>
        <v>1194.4444444444443</v>
      </c>
      <c r="R648" s="106">
        <f t="shared" si="60"/>
        <v>0</v>
      </c>
      <c r="S648" s="182"/>
      <c r="T648" s="65"/>
      <c r="U648" s="65"/>
      <c r="V648" s="65"/>
      <c r="Y648" s="89"/>
      <c r="Z648" s="358"/>
      <c r="AA648" s="120"/>
      <c r="AB648" s="120"/>
    </row>
    <row r="649" spans="1:29" s="62" customFormat="1">
      <c r="A649" s="134">
        <v>42922</v>
      </c>
      <c r="B649" s="60"/>
      <c r="C649" s="60"/>
      <c r="D649" s="61" t="s">
        <v>20</v>
      </c>
      <c r="E649" s="62">
        <v>2</v>
      </c>
      <c r="F649" s="89">
        <v>224</v>
      </c>
      <c r="G649" s="89">
        <v>3</v>
      </c>
      <c r="H649" s="249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65"/>
        <v>133.33333333333334</v>
      </c>
      <c r="Q649" s="120">
        <f t="shared" si="66"/>
        <v>53.333333333333329</v>
      </c>
      <c r="R649" s="106">
        <f t="shared" si="60"/>
        <v>0.7142857142857143</v>
      </c>
      <c r="S649" s="183" t="str">
        <f>D649</f>
        <v>K-10 Low</v>
      </c>
      <c r="T649" s="65"/>
      <c r="U649" s="65"/>
      <c r="V649" s="65"/>
      <c r="Y649" s="89" t="str">
        <f>D649</f>
        <v>K-10 Low</v>
      </c>
      <c r="Z649" s="352">
        <f>SUMIFS($P$573:$P$636, $D$573:$D$636, Y649, $F$573:$F$636, "&lt;200") + SUMIFS($Q$573:$Q$636, $D$573:$D$636, Y649, $F$573:$F$636, "&lt;200")</f>
        <v>3155</v>
      </c>
      <c r="AA649" s="120">
        <f>SUM(P649:Q652)</f>
        <v>1936.6666666666665</v>
      </c>
      <c r="AB649" s="120">
        <f>SUMIFS(Collection!O:O, Collection!B:B, "*" &amp; 'Bucket Counts'!Y649 &amp; "*", Collection!A:A, "&lt;" &amp; 'Bucket Counts'!A649,Collection!A:A,  "&gt;=" &amp; 'Bucket Counts'!$A$573)</f>
        <v>0</v>
      </c>
      <c r="AC649" s="106">
        <f>AA649/(Z649+AB649)</f>
        <v>0.61384046487057575</v>
      </c>
    </row>
    <row r="650" spans="1:29" s="62" customFormat="1">
      <c r="A650" s="134">
        <v>42922</v>
      </c>
      <c r="B650" s="60"/>
      <c r="C650" s="60"/>
      <c r="D650" s="61" t="s">
        <v>20</v>
      </c>
      <c r="E650" s="62">
        <v>2</v>
      </c>
      <c r="F650" s="89">
        <v>180</v>
      </c>
      <c r="G650" s="89">
        <v>2</v>
      </c>
      <c r="H650" s="249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65"/>
        <v>750</v>
      </c>
      <c r="Q650" s="120">
        <f t="shared" si="66"/>
        <v>41.666666666666664</v>
      </c>
      <c r="R650" s="106">
        <f t="shared" si="60"/>
        <v>0.94736842105263164</v>
      </c>
      <c r="S650" s="181">
        <f>(SUM(P649:P652)/(SUM(P649:Q652)))</f>
        <v>0.80034423407917388</v>
      </c>
      <c r="T650" s="65"/>
      <c r="U650" s="65"/>
      <c r="V650" s="65"/>
      <c r="Y650" s="89"/>
      <c r="Z650" s="358"/>
      <c r="AA650" s="120"/>
      <c r="AB650" s="120"/>
    </row>
    <row r="651" spans="1:29" s="62" customFormat="1">
      <c r="A651" s="134">
        <v>42922</v>
      </c>
      <c r="B651" s="60"/>
      <c r="C651" s="60"/>
      <c r="D651" s="61" t="s">
        <v>20</v>
      </c>
      <c r="E651" s="62">
        <v>2</v>
      </c>
      <c r="F651" s="89">
        <v>100</v>
      </c>
      <c r="G651" s="89">
        <v>2</v>
      </c>
      <c r="H651" s="249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65"/>
        <v>666.66666666666663</v>
      </c>
      <c r="Q651" s="120">
        <f t="shared" si="66"/>
        <v>83.333333333333329</v>
      </c>
      <c r="R651" s="106">
        <f t="shared" si="60"/>
        <v>0.88888888888888884</v>
      </c>
      <c r="S651" s="182"/>
      <c r="T651" s="65"/>
      <c r="U651" s="65"/>
      <c r="V651" s="65"/>
      <c r="Y651" s="89"/>
      <c r="Z651" s="358"/>
      <c r="AA651" s="120"/>
      <c r="AB651" s="120"/>
    </row>
    <row r="652" spans="1:29" s="62" customFormat="1">
      <c r="A652" s="134">
        <v>42922</v>
      </c>
      <c r="B652" s="60"/>
      <c r="C652" s="60"/>
      <c r="D652" s="61" t="s">
        <v>20</v>
      </c>
      <c r="E652" s="62">
        <v>2</v>
      </c>
      <c r="F652" s="89" t="s">
        <v>203</v>
      </c>
      <c r="G652" s="89">
        <v>2</v>
      </c>
      <c r="H652" s="249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65"/>
        <v>0</v>
      </c>
      <c r="Q652" s="120">
        <f t="shared" si="66"/>
        <v>208.33333333333334</v>
      </c>
      <c r="R652" s="106">
        <f t="shared" si="60"/>
        <v>0</v>
      </c>
      <c r="S652" s="182"/>
      <c r="T652" s="65"/>
      <c r="U652" s="65"/>
      <c r="V652" s="65"/>
      <c r="Y652" s="89"/>
      <c r="Z652" s="358"/>
      <c r="AA652" s="120"/>
      <c r="AB652" s="120"/>
    </row>
    <row r="653" spans="1:29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49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65"/>
        <v>1126.6666666666665</v>
      </c>
      <c r="Q653" s="120">
        <f t="shared" si="66"/>
        <v>57.777777777777771</v>
      </c>
      <c r="R653" s="106">
        <f t="shared" si="60"/>
        <v>0.95121951219512191</v>
      </c>
      <c r="S653" s="183" t="str">
        <f>D653</f>
        <v>K-6 Low</v>
      </c>
      <c r="T653" s="65"/>
      <c r="U653" s="65"/>
      <c r="V653" s="65"/>
      <c r="Y653" s="89" t="str">
        <f>D653</f>
        <v>K-6 Low</v>
      </c>
      <c r="Z653" s="352">
        <f>SUMIFS($P$573:$P$636, $D$573:$D$636, Y653, $F$573:$F$636, "&lt;200") + SUMIFS($Q$573:$Q$636, $D$573:$D$636, Y653, $F$573:$F$636, "&lt;200")</f>
        <v>15608.333333333336</v>
      </c>
      <c r="AA653" s="120">
        <f>SUM(P653:Q656)</f>
        <v>10302.222222222223</v>
      </c>
      <c r="AB653" s="120">
        <f>SUMIFS(Collection!O:O, Collection!B:B, "*" &amp; 'Bucket Counts'!Y653 &amp; "*", Collection!A:A, "&lt;" &amp; 'Bucket Counts'!A653,Collection!A:A,  "&gt;=" &amp; 'Bucket Counts'!$A$573)</f>
        <v>0</v>
      </c>
      <c r="AC653" s="106">
        <f>AA653/(Z653+AB653)</f>
        <v>0.66004627157857265</v>
      </c>
    </row>
    <row r="654" spans="1:29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49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65"/>
        <v>3576.666666666667</v>
      </c>
      <c r="Q654" s="120">
        <f t="shared" si="66"/>
        <v>128.88888888888889</v>
      </c>
      <c r="R654" s="106">
        <f t="shared" si="60"/>
        <v>0.96521739130434792</v>
      </c>
      <c r="S654" s="181">
        <f>(SUM(P653:P656)/(SUM(P653:Q656)))</f>
        <v>0.6982312338222606</v>
      </c>
      <c r="T654" s="65"/>
      <c r="U654" s="65"/>
      <c r="V654" s="65"/>
      <c r="Y654" s="89"/>
      <c r="Z654" s="358"/>
      <c r="AA654" s="120"/>
      <c r="AB654" s="120"/>
    </row>
    <row r="655" spans="1:29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49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65"/>
        <v>2457.7777777777774</v>
      </c>
      <c r="Q655" s="120">
        <f t="shared" si="66"/>
        <v>280</v>
      </c>
      <c r="R655" s="106">
        <f t="shared" si="60"/>
        <v>0.89772727272727271</v>
      </c>
      <c r="S655" s="182"/>
      <c r="T655" s="65"/>
      <c r="U655" s="65"/>
      <c r="V655" s="65"/>
      <c r="Y655" s="89"/>
      <c r="Z655" s="358"/>
      <c r="AA655" s="120"/>
      <c r="AB655" s="120"/>
    </row>
    <row r="656" spans="1:29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203</v>
      </c>
      <c r="G656" s="89">
        <v>3</v>
      </c>
      <c r="H656" s="249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65"/>
        <v>32.222222222222221</v>
      </c>
      <c r="Q656" s="120">
        <f t="shared" si="66"/>
        <v>2642.2222222222222</v>
      </c>
      <c r="R656" s="106">
        <f t="shared" si="60"/>
        <v>1.2048192771084338E-2</v>
      </c>
      <c r="S656" s="182"/>
      <c r="T656" s="65"/>
      <c r="U656" s="65"/>
      <c r="V656" s="65"/>
      <c r="Y656" s="89"/>
      <c r="Z656" s="358"/>
      <c r="AA656" s="120"/>
      <c r="AB656" s="120"/>
    </row>
    <row r="657" spans="1:29" s="62" customFormat="1">
      <c r="A657" s="134">
        <v>42922</v>
      </c>
      <c r="B657" s="60"/>
      <c r="C657" s="60"/>
      <c r="D657" s="272" t="s">
        <v>17</v>
      </c>
      <c r="E657" s="62">
        <v>3</v>
      </c>
      <c r="F657" s="89">
        <v>224</v>
      </c>
      <c r="G657" s="89">
        <v>2</v>
      </c>
      <c r="H657" s="249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65"/>
        <v>333.33333333333331</v>
      </c>
      <c r="Q657" s="120">
        <f t="shared" si="66"/>
        <v>41.666666666666664</v>
      </c>
      <c r="R657" s="106">
        <f t="shared" si="60"/>
        <v>0.88888888888888884</v>
      </c>
      <c r="S657" s="183" t="str">
        <f>D657</f>
        <v>K-10 Ambient</v>
      </c>
      <c r="T657" s="65"/>
      <c r="U657" s="65"/>
      <c r="V657" s="65"/>
      <c r="Y657" s="89" t="str">
        <f>D657</f>
        <v>K-10 Ambient</v>
      </c>
      <c r="Z657" s="352">
        <f>SUMIFS($P$573:$P$636, $D$573:$D$636, Y657, $F$573:$F$636, "&lt;200") + SUMIFS($Q$573:$Q$636, $D$573:$D$636, Y657, $F$573:$F$636, "&lt;200")</f>
        <v>5500.0000000000009</v>
      </c>
      <c r="AA657" s="120">
        <f>SUM(P657:Q660)</f>
        <v>5208.3333333333339</v>
      </c>
      <c r="AB657" s="120">
        <f>SUMIFS(Collection!O:O, Collection!B:B, "*" &amp; 'Bucket Counts'!Y657 &amp; "*", Collection!A:A, "&lt;" &amp; 'Bucket Counts'!A657,Collection!A:A,  "&gt;=" &amp; 'Bucket Counts'!$A$573)</f>
        <v>0</v>
      </c>
      <c r="AC657" s="106">
        <f>AA657/(Z657+AB657)</f>
        <v>0.94696969696969691</v>
      </c>
    </row>
    <row r="658" spans="1:29" s="62" customFormat="1">
      <c r="A658" s="134">
        <v>42922</v>
      </c>
      <c r="B658" s="60"/>
      <c r="C658" s="60"/>
      <c r="D658" s="272" t="s">
        <v>17</v>
      </c>
      <c r="E658" s="62">
        <v>3</v>
      </c>
      <c r="F658" s="89">
        <v>180</v>
      </c>
      <c r="G658" s="89">
        <v>2</v>
      </c>
      <c r="H658" s="249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67">(AVERAGE(I658,K658,M658)/G658)*H658</f>
        <v>2416.666666666667</v>
      </c>
      <c r="Q658" s="120">
        <f t="shared" ref="Q658:Q700" si="68">(AVERAGE(J658,L658,N658)/G658)*H658</f>
        <v>0</v>
      </c>
      <c r="R658" s="106">
        <f t="shared" si="60"/>
        <v>1</v>
      </c>
      <c r="S658" s="181">
        <f>(SUM(P657:P660)/(SUM(P657:Q660)))</f>
        <v>0.68303999999999998</v>
      </c>
      <c r="T658" s="65"/>
      <c r="Y658" s="89"/>
      <c r="Z658" s="358"/>
      <c r="AA658" s="120"/>
      <c r="AB658" s="120"/>
    </row>
    <row r="659" spans="1:29" s="62" customFormat="1">
      <c r="A659" s="134">
        <v>42922</v>
      </c>
      <c r="B659" s="60"/>
      <c r="C659" s="60"/>
      <c r="D659" s="272" t="s">
        <v>17</v>
      </c>
      <c r="E659" s="62">
        <v>3</v>
      </c>
      <c r="F659" s="89">
        <v>100</v>
      </c>
      <c r="G659" s="89">
        <v>2</v>
      </c>
      <c r="H659" s="249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67"/>
        <v>770</v>
      </c>
      <c r="Q659" s="120">
        <f t="shared" si="68"/>
        <v>146.66666666666666</v>
      </c>
      <c r="R659" s="106">
        <f t="shared" si="60"/>
        <v>0.84000000000000008</v>
      </c>
      <c r="S659" s="182"/>
      <c r="T659" s="65"/>
      <c r="Y659" s="89"/>
      <c r="Z659" s="358"/>
      <c r="AA659" s="120"/>
      <c r="AB659" s="120"/>
    </row>
    <row r="660" spans="1:29" s="62" customFormat="1">
      <c r="A660" s="134">
        <v>42922</v>
      </c>
      <c r="B660" s="60"/>
      <c r="C660" s="60"/>
      <c r="D660" s="272" t="s">
        <v>17</v>
      </c>
      <c r="E660" s="62">
        <v>3</v>
      </c>
      <c r="F660" s="89" t="s">
        <v>203</v>
      </c>
      <c r="G660" s="89">
        <v>2</v>
      </c>
      <c r="H660" s="249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67"/>
        <v>37.5</v>
      </c>
      <c r="Q660" s="120">
        <f t="shared" si="68"/>
        <v>1462.5</v>
      </c>
      <c r="R660" s="106">
        <f t="shared" si="60"/>
        <v>2.5000000000000001E-2</v>
      </c>
      <c r="S660" s="182"/>
      <c r="T660" s="65"/>
      <c r="Y660" s="89"/>
      <c r="Z660" s="358"/>
      <c r="AA660" s="120"/>
      <c r="AB660" s="120"/>
    </row>
    <row r="661" spans="1:29" s="62" customFormat="1">
      <c r="A661" s="134">
        <v>42922</v>
      </c>
      <c r="B661" s="60"/>
      <c r="C661" s="60"/>
      <c r="D661" s="61" t="s">
        <v>109</v>
      </c>
      <c r="E661" s="62">
        <v>4</v>
      </c>
      <c r="F661" s="89">
        <v>224</v>
      </c>
      <c r="G661" s="89">
        <v>2</v>
      </c>
      <c r="H661" s="249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67"/>
        <v>2083.3333333333335</v>
      </c>
      <c r="Q661" s="120">
        <f t="shared" si="68"/>
        <v>0</v>
      </c>
      <c r="R661" s="106">
        <f t="shared" si="60"/>
        <v>1</v>
      </c>
      <c r="S661" s="180" t="str">
        <f>D661</f>
        <v>HL-10 Low</v>
      </c>
      <c r="T661" s="65"/>
      <c r="Y661" s="89" t="str">
        <f>D661</f>
        <v>HL-10 Low</v>
      </c>
      <c r="Z661" s="352">
        <f>SUMIFS($P$573:$P$636, $D$573:$D$636, Y661, $F$573:$F$636, "&lt;200") + SUMIFS($Q$573:$Q$636, $D$573:$D$636, Y661, $F$573:$F$636, "&lt;200")</f>
        <v>35726.666666666664</v>
      </c>
      <c r="AA661" s="120">
        <f>SUM(P661:Q664)</f>
        <v>32198.333333333332</v>
      </c>
      <c r="AB661" s="120">
        <f>SUMIFS(Collection!O:O, Collection!B:B, "*" &amp; 'Bucket Counts'!Y661 &amp; "*", Collection!A:A, "&lt;" &amp; 'Bucket Counts'!A661,Collection!A:A,  "&gt;=" &amp; 'Bucket Counts'!$A$573)</f>
        <v>0</v>
      </c>
      <c r="AC661" s="106">
        <f>AA661/(Z661+AB661)</f>
        <v>0.90124090315357341</v>
      </c>
    </row>
    <row r="662" spans="1:29" s="62" customFormat="1">
      <c r="A662" s="134">
        <v>42922</v>
      </c>
      <c r="B662" s="60"/>
      <c r="C662" s="60"/>
      <c r="D662" s="61" t="s">
        <v>109</v>
      </c>
      <c r="E662" s="62">
        <v>4</v>
      </c>
      <c r="F662" s="89">
        <v>180</v>
      </c>
      <c r="G662" s="89">
        <v>2</v>
      </c>
      <c r="H662" s="249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67"/>
        <v>16666.666666666668</v>
      </c>
      <c r="Q662" s="120">
        <f t="shared" si="68"/>
        <v>83.333333333333329</v>
      </c>
      <c r="R662" s="106">
        <f t="shared" si="60"/>
        <v>0.99502487562189057</v>
      </c>
      <c r="S662" s="181">
        <f>(SUM(P661:P664)/(SUM(P661:Q664)))</f>
        <v>0.8854495574305089</v>
      </c>
      <c r="T662" s="65"/>
      <c r="Y662" s="89"/>
      <c r="Z662" s="358"/>
      <c r="AA662" s="120"/>
      <c r="AB662" s="120"/>
    </row>
    <row r="663" spans="1:29" s="62" customFormat="1">
      <c r="A663" s="134">
        <v>42922</v>
      </c>
      <c r="B663" s="60"/>
      <c r="C663" s="60"/>
      <c r="D663" s="61" t="s">
        <v>109</v>
      </c>
      <c r="E663" s="62">
        <v>4</v>
      </c>
      <c r="F663" s="89">
        <v>100</v>
      </c>
      <c r="G663" s="89">
        <v>2</v>
      </c>
      <c r="H663" s="249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67"/>
        <v>9760</v>
      </c>
      <c r="Q663" s="120">
        <f t="shared" si="68"/>
        <v>80</v>
      </c>
      <c r="R663" s="106">
        <f t="shared" si="60"/>
        <v>0.99186991869918695</v>
      </c>
      <c r="S663" s="179"/>
      <c r="T663" s="65"/>
      <c r="Y663" s="89"/>
      <c r="Z663" s="358"/>
      <c r="AA663" s="120"/>
      <c r="AB663" s="120"/>
    </row>
    <row r="664" spans="1:29" s="62" customFormat="1">
      <c r="A664" s="134">
        <v>42922</v>
      </c>
      <c r="B664" s="60"/>
      <c r="C664" s="60"/>
      <c r="D664" s="61" t="s">
        <v>109</v>
      </c>
      <c r="E664" s="62">
        <v>4</v>
      </c>
      <c r="F664" s="89" t="s">
        <v>203</v>
      </c>
      <c r="G664" s="89">
        <v>2</v>
      </c>
      <c r="H664" s="249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68"/>
        <v>3525</v>
      </c>
      <c r="R664" s="106">
        <f t="shared" si="60"/>
        <v>0</v>
      </c>
      <c r="S664" s="182"/>
      <c r="T664" s="65"/>
      <c r="Y664" s="89"/>
      <c r="Z664" s="358"/>
      <c r="AA664" s="120"/>
      <c r="AB664" s="120"/>
    </row>
    <row r="665" spans="1:29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49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69">(AVERAGE(I665,K665,M665)/G665)*H665</f>
        <v>625</v>
      </c>
      <c r="Q665" s="120">
        <f t="shared" si="68"/>
        <v>0</v>
      </c>
      <c r="R665" s="106">
        <f t="shared" si="60"/>
        <v>1</v>
      </c>
      <c r="S665" s="183" t="str">
        <f>D665</f>
        <v>HL-10 Ambient</v>
      </c>
      <c r="T665" s="65"/>
      <c r="Y665" s="89" t="str">
        <f>D665</f>
        <v>HL-10 Ambient</v>
      </c>
      <c r="Z665" s="352">
        <f>SUMIFS($P$573:$P$636, $D$573:$D$636, Y665, $F$573:$F$636, "&lt;200") + SUMIFS($Q$573:$Q$636, $D$573:$D$636, Y665, $F$573:$F$636, "&lt;200")</f>
        <v>74166.666666666672</v>
      </c>
      <c r="AA665" s="120">
        <f>SUM(P665:Q668)</f>
        <v>79140.833333333343</v>
      </c>
      <c r="AB665" s="120">
        <f>SUMIFS(Collection!O:O, Collection!B:B, "*" &amp; 'Bucket Counts'!Y665 &amp; "*", Collection!A:A, "&lt;" &amp; 'Bucket Counts'!A665,Collection!A:A,  "&gt;=" &amp; 'Bucket Counts'!$A$573)</f>
        <v>0</v>
      </c>
      <c r="AC665" s="106">
        <f>AA665/(Z665+AB665)</f>
        <v>1.067067415730337</v>
      </c>
    </row>
    <row r="666" spans="1:29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49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69"/>
        <v>5083.333333333333</v>
      </c>
      <c r="Q666" s="120">
        <f t="shared" si="68"/>
        <v>166.66666666666666</v>
      </c>
      <c r="R666" s="106">
        <f t="shared" si="60"/>
        <v>0.96825396825396814</v>
      </c>
      <c r="S666" s="181">
        <f>(SUM(P665:P668)/(SUM(P665:Q668)))</f>
        <v>0.97796122945382169</v>
      </c>
      <c r="T666" s="65"/>
      <c r="Y666" s="89"/>
      <c r="Z666" s="358"/>
      <c r="AA666" s="120"/>
      <c r="AB666" s="120"/>
    </row>
    <row r="667" spans="1:29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49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69"/>
        <v>71596.666666666672</v>
      </c>
      <c r="Q667" s="120">
        <f t="shared" si="68"/>
        <v>156.66666666666666</v>
      </c>
      <c r="R667" s="106">
        <f t="shared" si="60"/>
        <v>0.99781659388646282</v>
      </c>
      <c r="S667" s="182"/>
      <c r="T667" s="65"/>
      <c r="Y667" s="89"/>
      <c r="Z667" s="358"/>
      <c r="AA667" s="120"/>
      <c r="AB667" s="120"/>
    </row>
    <row r="668" spans="1:29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203</v>
      </c>
      <c r="G668" s="89">
        <v>2</v>
      </c>
      <c r="H668" s="249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69"/>
        <v>91.666666666666657</v>
      </c>
      <c r="Q668" s="120">
        <f t="shared" si="68"/>
        <v>1420.8333333333335</v>
      </c>
      <c r="R668" s="106">
        <f t="shared" si="60"/>
        <v>6.0606060606060594E-2</v>
      </c>
      <c r="S668" s="182"/>
      <c r="T668" s="65"/>
      <c r="Y668" s="89"/>
      <c r="Z668" s="358"/>
      <c r="AA668" s="120"/>
      <c r="AB668" s="120"/>
    </row>
    <row r="669" spans="1:29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49"/>
      <c r="P669" s="120">
        <v>8</v>
      </c>
      <c r="Q669" s="120">
        <v>2</v>
      </c>
      <c r="R669" s="106">
        <f t="shared" si="60"/>
        <v>0.8</v>
      </c>
      <c r="S669" s="183" t="str">
        <f>D669</f>
        <v>SN-10 Ambient</v>
      </c>
      <c r="W669" s="62" t="s">
        <v>311</v>
      </c>
      <c r="Y669" s="89" t="str">
        <f>D669</f>
        <v>SN-10 Ambient</v>
      </c>
      <c r="Z669" s="352">
        <f>SUMIFS($P$573:$P$636, $D$573:$D$636, Y669, $F$573:$F$636, "&lt;200") + SUMIFS($Q$573:$Q$636, $D$573:$D$636, Y669, $F$573:$F$636, "&lt;200")</f>
        <v>715.55555555555543</v>
      </c>
      <c r="AA669" s="120">
        <f>SUM(P669:Q672)</f>
        <v>195.55555555555554</v>
      </c>
      <c r="AB669" s="120">
        <f>SUMIFS(Collection!O:O, Collection!B:B, "*" &amp; 'Bucket Counts'!Y669 &amp; "*", Collection!A:A, "&lt;" &amp; 'Bucket Counts'!A669,Collection!A:A,  "&gt;=" &amp; 'Bucket Counts'!$A$573)</f>
        <v>0</v>
      </c>
      <c r="AC669" s="106">
        <f>AA669/(Z669+AB669)</f>
        <v>0.27329192546583853</v>
      </c>
    </row>
    <row r="670" spans="1:29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49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69"/>
        <v>27.777777777777775</v>
      </c>
      <c r="Q670" s="120">
        <f t="shared" si="68"/>
        <v>0</v>
      </c>
      <c r="R670" s="106">
        <f t="shared" si="60"/>
        <v>1</v>
      </c>
      <c r="S670" s="181">
        <f>(SUM(P669:P672)/(SUM(P669:Q672)))</f>
        <v>0.18295454545454543</v>
      </c>
      <c r="Y670" s="89"/>
      <c r="Z670" s="358"/>
      <c r="AA670" s="120"/>
      <c r="AB670" s="120"/>
    </row>
    <row r="671" spans="1:29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49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69"/>
        <v>0</v>
      </c>
      <c r="Q671" s="120">
        <f t="shared" si="68"/>
        <v>27.777777777777775</v>
      </c>
      <c r="R671" s="106">
        <f t="shared" si="60"/>
        <v>0</v>
      </c>
      <c r="S671" s="182"/>
      <c r="Y671" s="89"/>
      <c r="Z671" s="358"/>
      <c r="AA671" s="120"/>
      <c r="AB671" s="120"/>
    </row>
    <row r="672" spans="1:29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203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69"/>
        <v>0</v>
      </c>
      <c r="Q672" s="120">
        <f t="shared" si="68"/>
        <v>130</v>
      </c>
      <c r="R672" s="106">
        <f t="shared" si="60"/>
        <v>0</v>
      </c>
      <c r="S672" s="182"/>
      <c r="Y672" s="89"/>
      <c r="Z672" s="358"/>
      <c r="AA672" s="120"/>
      <c r="AB672" s="120"/>
    </row>
    <row r="673" spans="1:29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69"/>
        <v>2900</v>
      </c>
      <c r="Q673" s="120">
        <f t="shared" si="68"/>
        <v>100</v>
      </c>
      <c r="R673" s="106">
        <f t="shared" si="60"/>
        <v>0.96666666666666667</v>
      </c>
      <c r="S673" s="183" t="str">
        <f>D673</f>
        <v>NF-6 Low</v>
      </c>
      <c r="T673" s="65"/>
      <c r="U673" s="65"/>
      <c r="V673" s="65"/>
      <c r="Y673" s="89" t="str">
        <f>D673</f>
        <v>NF-6 Low</v>
      </c>
      <c r="Z673" s="352">
        <f>SUMIFS($P$573:$P$636, $D$573:$D$636, Y673, $F$573:$F$636, "&lt;200") + SUMIFS($Q$573:$Q$636, $D$573:$D$636, Y673, $F$573:$F$636, "&lt;200")</f>
        <v>26531.666666666668</v>
      </c>
      <c r="AA673" s="120">
        <f>SUM(P673:Q676)</f>
        <v>23920.000000000004</v>
      </c>
      <c r="AB673" s="120">
        <f>SUMIFS(Collection!O:O, Collection!B:B, "*" &amp; 'Bucket Counts'!Y673 &amp; "*", Collection!A:A, "&lt;" &amp; 'Bucket Counts'!A673,Collection!A:A,  "&gt;=" &amp; 'Bucket Counts'!$A$573)</f>
        <v>0</v>
      </c>
      <c r="AC673" s="106">
        <f>AA673/(Z673+AB673)</f>
        <v>0.90156416860355559</v>
      </c>
    </row>
    <row r="674" spans="1:29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69"/>
        <v>14883.333333333334</v>
      </c>
      <c r="Q674" s="120">
        <f t="shared" si="68"/>
        <v>156.66666666666666</v>
      </c>
      <c r="R674" s="106">
        <f t="shared" si="60"/>
        <v>0.98958333333333337</v>
      </c>
      <c r="S674" s="181">
        <f>(SUM(P673:P676)/(SUM(P673:Q676)))</f>
        <v>0.86050724637681153</v>
      </c>
      <c r="T674" s="65"/>
      <c r="U674" s="65"/>
      <c r="V674" s="65"/>
      <c r="Y674" s="89"/>
      <c r="Z674" s="358"/>
      <c r="AA674" s="120"/>
      <c r="AB674" s="120"/>
    </row>
    <row r="675" spans="1:29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69"/>
        <v>2800</v>
      </c>
      <c r="Q675" s="120">
        <f t="shared" si="68"/>
        <v>186.66666666666666</v>
      </c>
      <c r="R675" s="106">
        <f t="shared" si="60"/>
        <v>0.9375</v>
      </c>
      <c r="S675" s="182"/>
      <c r="T675" s="65"/>
      <c r="U675" s="65"/>
      <c r="V675" s="65"/>
      <c r="Y675" s="89"/>
      <c r="Z675" s="358"/>
      <c r="AA675" s="120"/>
      <c r="AB675" s="120"/>
    </row>
    <row r="676" spans="1:29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203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69"/>
        <v>0</v>
      </c>
      <c r="Q676" s="120">
        <f t="shared" si="68"/>
        <v>2893.3333333333335</v>
      </c>
      <c r="R676" s="106">
        <f t="shared" ref="R676:R739" si="70">P676/(P676+Q676)</f>
        <v>0</v>
      </c>
      <c r="S676" s="182"/>
      <c r="T676" s="65"/>
      <c r="U676" s="65"/>
      <c r="V676" s="65"/>
      <c r="Y676" s="89"/>
      <c r="Z676" s="358"/>
      <c r="AA676" s="120"/>
      <c r="AB676" s="120"/>
    </row>
    <row r="677" spans="1:29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69"/>
        <v>650</v>
      </c>
      <c r="Q677" s="120">
        <f t="shared" si="68"/>
        <v>25</v>
      </c>
      <c r="R677" s="106">
        <f t="shared" si="70"/>
        <v>0.96296296296296291</v>
      </c>
      <c r="S677" s="183" t="str">
        <f>D677</f>
        <v>K-6 Ambient</v>
      </c>
      <c r="T677" s="65"/>
      <c r="U677" s="65"/>
      <c r="V677" s="65"/>
      <c r="Y677" s="89" t="str">
        <f>D677</f>
        <v>K-6 Ambient</v>
      </c>
      <c r="Z677" s="352">
        <f>SUMIFS($P$573:$P$636, $D$573:$D$636, Y677, $F$573:$F$636, "&lt;200") + SUMIFS($Q$573:$Q$636, $D$573:$D$636, Y677, $F$573:$F$636, "&lt;200")</f>
        <v>35366.666666666672</v>
      </c>
      <c r="AA677" s="120">
        <f>SUM(P677:Q680)</f>
        <v>30968.333333333332</v>
      </c>
      <c r="AB677" s="120">
        <f>SUMIFS(Collection!O:O, Collection!B:B, "*" &amp; 'Bucket Counts'!Y677 &amp; "*", Collection!A:A, "&lt;" &amp; 'Bucket Counts'!A677,Collection!A:A,  "&gt;=" &amp; 'Bucket Counts'!$A$573)</f>
        <v>0</v>
      </c>
      <c r="AC677" s="106">
        <f>AA677/(Z677+AB677)</f>
        <v>0.87563619227144185</v>
      </c>
    </row>
    <row r="678" spans="1:29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68"/>
        <v>313.33333333333331</v>
      </c>
      <c r="R678" s="106">
        <f t="shared" si="70"/>
        <v>0.96190476190476182</v>
      </c>
      <c r="S678" s="181">
        <f>(SUM(P677:P680)/(SUM(P677:Q680)))</f>
        <v>0.55798934395350086</v>
      </c>
      <c r="T678" s="65"/>
      <c r="U678" s="65"/>
      <c r="V678" s="65"/>
      <c r="Y678" s="89"/>
      <c r="Z678" s="358"/>
      <c r="AA678" s="120"/>
      <c r="AB678" s="120"/>
    </row>
    <row r="679" spans="1:29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1">(AVERAGE(I679,K679,M679)/G679)*H679</f>
        <v>4398.333333333333</v>
      </c>
      <c r="Q679" s="120">
        <f t="shared" si="68"/>
        <v>435</v>
      </c>
      <c r="R679" s="106">
        <f t="shared" si="70"/>
        <v>0.91</v>
      </c>
      <c r="S679" s="182"/>
      <c r="T679" s="65"/>
      <c r="U679" s="65"/>
      <c r="V679" s="65"/>
      <c r="Y679" s="89"/>
      <c r="Z679" s="358"/>
      <c r="AA679" s="120"/>
      <c r="AB679" s="120"/>
    </row>
    <row r="680" spans="1:29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203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68"/>
        <v>12915</v>
      </c>
      <c r="R680" s="106">
        <f t="shared" si="70"/>
        <v>0.25065274151436029</v>
      </c>
      <c r="S680" s="182"/>
      <c r="T680" s="65"/>
      <c r="U680" s="65"/>
      <c r="V680" s="65"/>
      <c r="Y680" s="89"/>
      <c r="Z680" s="358"/>
      <c r="AA680" s="120"/>
      <c r="AB680" s="120"/>
    </row>
    <row r="681" spans="1:29" s="62" customFormat="1">
      <c r="A681" s="134">
        <v>42922</v>
      </c>
      <c r="B681" s="60"/>
      <c r="C681" s="60"/>
      <c r="D681" s="62" t="s">
        <v>83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0"/>
        <v>0.9285714285714286</v>
      </c>
      <c r="S681" s="183" t="str">
        <f>D681</f>
        <v>NF-10 Low</v>
      </c>
      <c r="T681" s="65"/>
      <c r="U681" s="65"/>
      <c r="V681" s="65"/>
      <c r="W681" s="62" t="s">
        <v>311</v>
      </c>
      <c r="Y681" s="89" t="str">
        <f>D681</f>
        <v>NF-10 Low</v>
      </c>
      <c r="Z681" s="352">
        <f>SUMIFS($P$573:$P$636, $D$573:$D$636, Y681, $F$573:$F$636, "&lt;200") + SUMIFS($Q$573:$Q$636, $D$573:$D$636, Y681, $F$573:$F$636, "&lt;200")</f>
        <v>95.555555555555543</v>
      </c>
      <c r="AA681" s="120">
        <f>SUM(P681:Q684)</f>
        <v>48436.222222222226</v>
      </c>
      <c r="AB681" s="120">
        <f>SUMIFS(Collection!O:O, Collection!B:B, "*" &amp; 'Bucket Counts'!Y681 &amp; "*", Collection!A:A, "&lt;" &amp; 'Bucket Counts'!A681,Collection!A:A,  "&gt;=" &amp; 'Bucket Counts'!$A$573)</f>
        <v>41958.333333333328</v>
      </c>
      <c r="AC681" s="106">
        <f>AA681/(Z681+AB681)</f>
        <v>1.1517655917671772</v>
      </c>
    </row>
    <row r="682" spans="1:29" s="62" customFormat="1">
      <c r="A682" s="134">
        <v>42922</v>
      </c>
      <c r="B682" s="60"/>
      <c r="C682" s="60"/>
      <c r="D682" s="62" t="s">
        <v>83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1"/>
        <v>111.1111111111111</v>
      </c>
      <c r="Q682" s="120">
        <f t="shared" si="68"/>
        <v>27.777777777777775</v>
      </c>
      <c r="R682" s="106">
        <f t="shared" si="70"/>
        <v>0.79999999999999993</v>
      </c>
      <c r="S682" s="181">
        <f>(SUM(P681:P684)/(SUM(P681:Q684)))</f>
        <v>0.54760899785743444</v>
      </c>
      <c r="T682" s="65"/>
      <c r="U682" s="65"/>
      <c r="V682" s="65"/>
      <c r="Y682" s="89"/>
      <c r="Z682" s="358"/>
      <c r="AA682" s="120"/>
      <c r="AB682" s="120"/>
    </row>
    <row r="683" spans="1:29" s="62" customFormat="1">
      <c r="A683" s="134">
        <v>42922</v>
      </c>
      <c r="B683" s="60"/>
      <c r="C683" s="60"/>
      <c r="D683" s="62" t="s">
        <v>83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1"/>
        <v>26400</v>
      </c>
      <c r="Q683" s="120">
        <f t="shared" si="68"/>
        <v>6050</v>
      </c>
      <c r="R683" s="106">
        <f t="shared" si="70"/>
        <v>0.81355932203389836</v>
      </c>
      <c r="S683" s="182"/>
      <c r="T683" s="65"/>
      <c r="U683" s="65"/>
      <c r="V683" s="65"/>
      <c r="Y683" s="89"/>
      <c r="Z683" s="358"/>
      <c r="AA683" s="120"/>
      <c r="AB683" s="120"/>
    </row>
    <row r="684" spans="1:29" s="62" customFormat="1">
      <c r="A684" s="134">
        <v>42922</v>
      </c>
      <c r="B684" s="60"/>
      <c r="C684" s="60"/>
      <c r="D684" s="62" t="s">
        <v>83</v>
      </c>
      <c r="E684" s="62">
        <v>6</v>
      </c>
      <c r="F684" s="89" t="s">
        <v>203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1"/>
        <v>0</v>
      </c>
      <c r="Q684" s="120">
        <f t="shared" si="68"/>
        <v>15833.333333333334</v>
      </c>
      <c r="R684" s="106">
        <f t="shared" si="70"/>
        <v>0</v>
      </c>
      <c r="S684" s="182"/>
      <c r="T684" s="65"/>
      <c r="U684" s="65"/>
      <c r="V684" s="65"/>
      <c r="Y684" s="89"/>
      <c r="Z684" s="358"/>
      <c r="AA684" s="120"/>
      <c r="AB684" s="120"/>
    </row>
    <row r="685" spans="1:29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0"/>
        <v>0.45454545454545453</v>
      </c>
      <c r="S685" s="183" t="str">
        <f>D685</f>
        <v>NF-6 Ambient</v>
      </c>
      <c r="T685" s="65"/>
      <c r="U685" s="65"/>
      <c r="V685" s="65"/>
      <c r="W685" s="62" t="s">
        <v>311</v>
      </c>
      <c r="Y685" s="89" t="str">
        <f>D685</f>
        <v>NF-6 Ambient</v>
      </c>
      <c r="Z685" s="352">
        <f>SUMIFS($P$573:$P$636, $D$573:$D$636, Y685, $F$573:$F$636, "&lt;200") + SUMIFS($Q$573:$Q$636, $D$573:$D$636, Y685, $F$573:$F$636, "&lt;200")</f>
        <v>893.33333333333348</v>
      </c>
      <c r="AA685" s="120">
        <f>SUM(P685:Q688)</f>
        <v>561.66666666666663</v>
      </c>
      <c r="AB685" s="120">
        <f>SUMIFS(Collection!O:O, Collection!B:B, "*" &amp; 'Bucket Counts'!Y685 &amp; "*", Collection!A:A, "&lt;" &amp; 'Bucket Counts'!A685,Collection!A:A,  "&gt;=" &amp; 'Bucket Counts'!$A$573)</f>
        <v>0</v>
      </c>
      <c r="AC685" s="106">
        <f>AA685/(Z685+AB685)</f>
        <v>0.62873134328358193</v>
      </c>
    </row>
    <row r="686" spans="1:29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1"/>
        <v>175</v>
      </c>
      <c r="Q686" s="120">
        <f t="shared" si="68"/>
        <v>25</v>
      </c>
      <c r="R686" s="106">
        <f t="shared" si="70"/>
        <v>0.875</v>
      </c>
      <c r="S686" s="181">
        <f>(SUM(P685:P688)/(SUM(P685:Q688)))</f>
        <v>0.35608308605341249</v>
      </c>
      <c r="T686" s="65"/>
      <c r="U686" s="65"/>
      <c r="V686" s="65"/>
      <c r="Y686" s="89"/>
      <c r="Z686" s="358"/>
      <c r="AA686" s="120"/>
      <c r="AB686" s="120"/>
    </row>
    <row r="687" spans="1:29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1"/>
        <v>0</v>
      </c>
      <c r="Q687" s="120">
        <f t="shared" si="68"/>
        <v>0</v>
      </c>
      <c r="R687" s="106" t="e">
        <f t="shared" si="70"/>
        <v>#DIV/0!</v>
      </c>
      <c r="S687" s="182"/>
      <c r="T687" s="65"/>
      <c r="U687" s="65"/>
      <c r="V687" s="65"/>
      <c r="Y687" s="89"/>
      <c r="Z687" s="358"/>
      <c r="AA687" s="120"/>
      <c r="AB687" s="120"/>
    </row>
    <row r="688" spans="1:29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203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1"/>
        <v>0</v>
      </c>
      <c r="Q688" s="120">
        <f t="shared" si="68"/>
        <v>306.66666666666663</v>
      </c>
      <c r="R688" s="106">
        <f t="shared" si="70"/>
        <v>0</v>
      </c>
      <c r="S688" s="182"/>
      <c r="T688" s="65"/>
      <c r="U688" s="65"/>
      <c r="V688" s="65"/>
      <c r="Y688" s="89"/>
      <c r="Z688" s="358"/>
      <c r="AA688" s="120"/>
      <c r="AB688" s="120"/>
    </row>
    <row r="689" spans="1:29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1"/>
        <v>550</v>
      </c>
      <c r="Q689" s="120">
        <f t="shared" si="68"/>
        <v>0</v>
      </c>
      <c r="R689" s="106">
        <f t="shared" si="70"/>
        <v>1</v>
      </c>
      <c r="S689" s="183" t="str">
        <f>D689</f>
        <v>HL-6 Ambient</v>
      </c>
      <c r="T689" s="65"/>
      <c r="U689" s="65"/>
      <c r="V689" s="65"/>
      <c r="Y689" s="89" t="str">
        <f>D689</f>
        <v>HL-6 Ambient</v>
      </c>
      <c r="Z689" s="352">
        <f>SUMIFS($P$573:$P$636, $D$573:$D$636, Y689, $F$573:$F$636, "&lt;200") + SUMIFS($Q$573:$Q$636, $D$573:$D$636, Y689, $F$573:$F$636, "&lt;200")</f>
        <v>7033.3333333333339</v>
      </c>
      <c r="AA689" s="120">
        <f>SUM(P689:Q692)</f>
        <v>5555.5555555555557</v>
      </c>
      <c r="AB689" s="120">
        <f>SUMIFS(Collection!O:O, Collection!B:B, "*" &amp; 'Bucket Counts'!Y689 &amp; "*", Collection!A:A, "&lt;" &amp; 'Bucket Counts'!A689,Collection!A:A,  "&gt;=" &amp; 'Bucket Counts'!$A$573)</f>
        <v>0</v>
      </c>
      <c r="AC689" s="106">
        <f>AA689/(Z689+AB689)</f>
        <v>0.78988941548183245</v>
      </c>
    </row>
    <row r="690" spans="1:29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1"/>
        <v>2600</v>
      </c>
      <c r="Q690" s="120">
        <f t="shared" si="68"/>
        <v>100</v>
      </c>
      <c r="R690" s="106">
        <f t="shared" si="70"/>
        <v>0.96296296296296291</v>
      </c>
      <c r="S690" s="181">
        <f>(SUM(P689:P692)/(SUM(P689:Q692)))</f>
        <v>0.66049999999999998</v>
      </c>
      <c r="T690" s="65"/>
      <c r="U690" s="65"/>
      <c r="V690" s="65"/>
      <c r="Y690" s="89"/>
      <c r="Z690" s="358"/>
      <c r="AA690" s="120"/>
      <c r="AB690" s="120"/>
    </row>
    <row r="691" spans="1:29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1"/>
        <v>519.44444444444446</v>
      </c>
      <c r="Q691" s="120">
        <f t="shared" si="68"/>
        <v>61.111111111111107</v>
      </c>
      <c r="R691" s="106">
        <f t="shared" si="70"/>
        <v>0.89473684210526316</v>
      </c>
      <c r="S691" s="182"/>
      <c r="T691" s="65"/>
      <c r="U691" s="65"/>
      <c r="V691" s="65"/>
      <c r="Y691" s="89"/>
      <c r="Z691" s="358"/>
      <c r="AA691" s="120"/>
      <c r="AB691" s="120"/>
    </row>
    <row r="692" spans="1:29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203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1"/>
        <v>0</v>
      </c>
      <c r="Q692" s="120">
        <f t="shared" si="68"/>
        <v>1725</v>
      </c>
      <c r="R692" s="106">
        <f t="shared" si="70"/>
        <v>0</v>
      </c>
      <c r="S692" s="182"/>
      <c r="T692" s="65"/>
      <c r="U692" s="65"/>
      <c r="V692" s="65"/>
      <c r="Y692" s="89"/>
      <c r="Z692" s="358"/>
      <c r="AA692" s="120"/>
      <c r="AB692" s="120"/>
    </row>
    <row r="693" spans="1:29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1"/>
        <v>1235</v>
      </c>
      <c r="Q693" s="120">
        <f t="shared" si="68"/>
        <v>0</v>
      </c>
      <c r="R693" s="106">
        <f t="shared" si="70"/>
        <v>1</v>
      </c>
      <c r="S693" s="183" t="str">
        <f>D693</f>
        <v>HL-6 Low</v>
      </c>
      <c r="T693" s="65"/>
      <c r="U693" s="65"/>
      <c r="V693" s="65"/>
      <c r="Y693" s="89" t="str">
        <f>D693</f>
        <v>HL-6 Low</v>
      </c>
      <c r="Z693" s="352">
        <f>SUMIFS($P$573:$P$636, $D$573:$D$636, Y693, $F$573:$F$636, "&lt;200") + SUMIFS($Q$573:$Q$636, $D$573:$D$636, Y693, $F$573:$F$636, "&lt;200")</f>
        <v>35313.333333333328</v>
      </c>
      <c r="AA693" s="120">
        <f>SUM(P693:Q696)</f>
        <v>31521.666666666672</v>
      </c>
      <c r="AB693" s="120">
        <f>SUMIFS(Collection!O:O, Collection!B:B, "*" &amp; 'Bucket Counts'!Y693 &amp; "*", Collection!A:A, "&lt;" &amp; 'Bucket Counts'!A693,Collection!A:A,  "&gt;=" &amp; 'Bucket Counts'!$A$573)</f>
        <v>0</v>
      </c>
      <c r="AC693" s="106">
        <f>AA693/(Z693+AB693)</f>
        <v>0.89262790258636993</v>
      </c>
    </row>
    <row r="694" spans="1:29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1"/>
        <v>14500</v>
      </c>
      <c r="Q694" s="120">
        <f t="shared" si="68"/>
        <v>333.33333333333331</v>
      </c>
      <c r="R694" s="106">
        <f t="shared" si="70"/>
        <v>0.97752808988764039</v>
      </c>
      <c r="S694" s="181">
        <f>(SUM(P693:P696)/(SUM(P693:Q696)))</f>
        <v>0.63876698567123136</v>
      </c>
      <c r="T694" s="65"/>
      <c r="Y694" s="89"/>
      <c r="Z694" s="358"/>
      <c r="AA694" s="120"/>
      <c r="AB694" s="120"/>
    </row>
    <row r="695" spans="1:29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1"/>
        <v>4400</v>
      </c>
      <c r="Q695" s="120">
        <f t="shared" si="68"/>
        <v>1300</v>
      </c>
      <c r="R695" s="106">
        <f t="shared" si="70"/>
        <v>0.77192982456140347</v>
      </c>
      <c r="S695" s="182"/>
      <c r="T695" s="65"/>
      <c r="Y695" s="89"/>
      <c r="Z695" s="358"/>
      <c r="AA695" s="120"/>
      <c r="AB695" s="120"/>
    </row>
    <row r="696" spans="1:29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203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1"/>
        <v>0</v>
      </c>
      <c r="Q696" s="120">
        <f t="shared" si="68"/>
        <v>9753.3333333333339</v>
      </c>
      <c r="R696" s="106">
        <f t="shared" si="70"/>
        <v>0</v>
      </c>
      <c r="S696" s="182"/>
      <c r="T696" s="65"/>
      <c r="Y696" s="89"/>
      <c r="Z696" s="358"/>
      <c r="AA696" s="120"/>
      <c r="AB696" s="120"/>
    </row>
    <row r="697" spans="1:29" s="62" customFormat="1">
      <c r="A697" s="134">
        <v>42922</v>
      </c>
      <c r="B697" s="60"/>
      <c r="C697" s="60"/>
      <c r="D697" s="61" t="s">
        <v>74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0"/>
        <v>0.86764705882352944</v>
      </c>
      <c r="S697" s="183" t="str">
        <f>D697</f>
        <v>SN-10 Low</v>
      </c>
      <c r="T697" s="65"/>
      <c r="Y697" s="89" t="str">
        <f>D697</f>
        <v>SN-10 Low</v>
      </c>
      <c r="Z697" s="352">
        <f>SUMIFS($P$573:$P$636, $D$573:$D$636, Y697, $F$573:$F$636, "&lt;200") + SUMIFS($Q$573:$Q$636, $D$573:$D$636, Y697, $F$573:$F$636, "&lt;200")</f>
        <v>26299.999999999996</v>
      </c>
      <c r="AA697" s="120">
        <f>SUM(P697:Q700)</f>
        <v>5488.5555555555557</v>
      </c>
      <c r="AB697" s="120">
        <f>SUMIFS(Collection!O:O, Collection!B:B, "*" &amp; 'Bucket Counts'!Y697 &amp; "*", Collection!A:A, "&lt;" &amp; 'Bucket Counts'!A697,Collection!A:A,  "&gt;=" &amp; 'Bucket Counts'!$A$573)</f>
        <v>0</v>
      </c>
      <c r="AC697" s="106">
        <f>AA697/(Z697+AB697)</f>
        <v>0.20869032530629492</v>
      </c>
    </row>
    <row r="698" spans="1:29" s="62" customFormat="1">
      <c r="A698" s="134">
        <v>42922</v>
      </c>
      <c r="B698" s="60"/>
      <c r="C698" s="60"/>
      <c r="D698" s="61" t="s">
        <v>74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1"/>
        <v>875</v>
      </c>
      <c r="Q698" s="120">
        <f t="shared" si="68"/>
        <v>0</v>
      </c>
      <c r="R698" s="106">
        <f t="shared" si="70"/>
        <v>1</v>
      </c>
      <c r="S698" s="181">
        <f>(SUM(P697:P700)/(SUM(P697:Q700)))</f>
        <v>0.17948458408405368</v>
      </c>
      <c r="T698" s="65"/>
      <c r="Y698" s="89"/>
      <c r="Z698" s="358"/>
      <c r="AA698" s="120"/>
      <c r="AB698" s="120"/>
    </row>
    <row r="699" spans="1:29" s="62" customFormat="1">
      <c r="A699" s="134">
        <v>42922</v>
      </c>
      <c r="B699" s="60"/>
      <c r="C699" s="60"/>
      <c r="D699" s="61" t="s">
        <v>74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1"/>
        <v>51.111111111111107</v>
      </c>
      <c r="Q699" s="120">
        <f t="shared" si="68"/>
        <v>204.44444444444443</v>
      </c>
      <c r="R699" s="106">
        <f t="shared" si="70"/>
        <v>0.19999999999999998</v>
      </c>
      <c r="S699" s="182"/>
      <c r="T699" s="65"/>
      <c r="Y699" s="89"/>
      <c r="Z699" s="358"/>
      <c r="AA699" s="120"/>
      <c r="AB699" s="120"/>
    </row>
    <row r="700" spans="1:29" s="69" customFormat="1" ht="16" thickBot="1">
      <c r="A700" s="66">
        <v>42922</v>
      </c>
      <c r="B700" s="67"/>
      <c r="C700" s="67"/>
      <c r="D700" s="61" t="s">
        <v>74</v>
      </c>
      <c r="E700" s="69">
        <v>8</v>
      </c>
      <c r="F700" s="148" t="s">
        <v>203</v>
      </c>
      <c r="G700" s="148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49">
        <f t="shared" si="71"/>
        <v>0</v>
      </c>
      <c r="Q700" s="149">
        <f t="shared" si="68"/>
        <v>4290</v>
      </c>
      <c r="R700" s="165">
        <f t="shared" si="70"/>
        <v>0</v>
      </c>
      <c r="S700" s="196"/>
      <c r="Y700" s="148"/>
      <c r="Z700" s="366"/>
      <c r="AA700" s="149"/>
      <c r="AB700" s="149"/>
    </row>
    <row r="701" spans="1:29" s="263" customFormat="1">
      <c r="A701" s="72">
        <v>42926</v>
      </c>
      <c r="B701" s="262"/>
      <c r="C701" s="262"/>
      <c r="D701" s="74" t="s">
        <v>77</v>
      </c>
      <c r="E701" s="146">
        <v>1</v>
      </c>
      <c r="F701" s="264">
        <v>224</v>
      </c>
      <c r="G701" s="86" t="s">
        <v>355</v>
      </c>
      <c r="P701" s="265">
        <v>12</v>
      </c>
      <c r="Q701" s="265">
        <v>23</v>
      </c>
      <c r="R701" s="266">
        <f t="shared" si="70"/>
        <v>0.34285714285714286</v>
      </c>
      <c r="S701" s="267" t="str">
        <f>D701</f>
        <v>SN-6 Low</v>
      </c>
      <c r="T701" s="268"/>
      <c r="U701" s="268"/>
      <c r="V701" s="268"/>
      <c r="Y701" s="87" t="str">
        <f>D701</f>
        <v>SN-6 Low</v>
      </c>
      <c r="Z701" s="362">
        <f>SUMIFS($P$637:$P$700, $D$637:$D$700, Y701, $F$637:$F$700, "&lt;200") + SUMIFS($Q$637:$Q$700, $D$637:$D$700, Y701, $F$637:$F$700, "&lt;200")</f>
        <v>460</v>
      </c>
      <c r="AA701" s="124">
        <f>SUM(P701:Q704)</f>
        <v>217.66666666666666</v>
      </c>
      <c r="AB701" s="124">
        <f>SUMIFS(Collection!O:O, Collection!B:B, "*" &amp; 'Bucket Counts'!Y701 &amp; "*", Collection!A:A, "&lt;" &amp; 'Bucket Counts'!A701,Collection!A:A,  "&gt;=" &amp; 'Bucket Counts'!$A$637)</f>
        <v>0</v>
      </c>
      <c r="AC701" s="161">
        <f>AA701/(Z701+AB701)</f>
        <v>0.47318840579710142</v>
      </c>
    </row>
    <row r="702" spans="1:29" s="80" customFormat="1">
      <c r="A702" s="77">
        <v>42926</v>
      </c>
      <c r="B702" s="78"/>
      <c r="C702" s="78"/>
      <c r="D702" s="79" t="s">
        <v>77</v>
      </c>
      <c r="E702" s="146">
        <v>1</v>
      </c>
      <c r="F702" s="87">
        <v>180</v>
      </c>
      <c r="G702" s="87" t="s">
        <v>355</v>
      </c>
      <c r="M702" s="87"/>
      <c r="P702" s="303">
        <v>27</v>
      </c>
      <c r="Q702" s="124">
        <v>34</v>
      </c>
      <c r="R702" s="161">
        <f t="shared" si="70"/>
        <v>0.44262295081967212</v>
      </c>
      <c r="S702" s="185">
        <f>(SUM(P701:P704)/(SUM(P701:Q704)))</f>
        <v>0.17917304747320062</v>
      </c>
      <c r="T702" s="81"/>
      <c r="U702" s="81"/>
      <c r="V702" s="81"/>
      <c r="W702" s="302" t="s">
        <v>357</v>
      </c>
      <c r="Y702" s="87"/>
      <c r="Z702" s="362"/>
      <c r="AA702" s="124"/>
      <c r="AB702" s="124"/>
    </row>
    <row r="703" spans="1:29" s="157" customFormat="1">
      <c r="A703" s="77">
        <v>42926</v>
      </c>
      <c r="B703" s="156"/>
      <c r="C703" s="156"/>
      <c r="D703" s="79" t="s">
        <v>77</v>
      </c>
      <c r="E703" s="146">
        <v>1</v>
      </c>
      <c r="F703" s="158">
        <v>100</v>
      </c>
      <c r="G703" s="87" t="s">
        <v>355</v>
      </c>
      <c r="P703" s="159">
        <v>0</v>
      </c>
      <c r="Q703" s="159">
        <v>5</v>
      </c>
      <c r="R703" s="162">
        <f t="shared" si="70"/>
        <v>0</v>
      </c>
      <c r="S703" s="187"/>
      <c r="T703" s="269"/>
      <c r="U703" s="269"/>
      <c r="V703" s="269"/>
      <c r="W703" s="302" t="s">
        <v>359</v>
      </c>
      <c r="Y703" s="158"/>
      <c r="Z703" s="363"/>
      <c r="AA703" s="159"/>
      <c r="AB703" s="159"/>
    </row>
    <row r="704" spans="1:29" s="80" customFormat="1">
      <c r="A704" s="77">
        <v>42926</v>
      </c>
      <c r="B704" s="78"/>
      <c r="C704" s="78"/>
      <c r="D704" s="79" t="s">
        <v>77</v>
      </c>
      <c r="E704" s="146">
        <v>1</v>
      </c>
      <c r="F704" s="87" t="s">
        <v>203</v>
      </c>
      <c r="G704" s="87">
        <v>2</v>
      </c>
      <c r="H704" s="80">
        <v>350</v>
      </c>
      <c r="I704" s="157">
        <v>0</v>
      </c>
      <c r="J704" s="157">
        <v>0</v>
      </c>
      <c r="K704" s="157">
        <v>0</v>
      </c>
      <c r="L704" s="157">
        <v>1</v>
      </c>
      <c r="M704" s="157">
        <v>0</v>
      </c>
      <c r="N704" s="157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1">
        <f t="shared" si="70"/>
        <v>0</v>
      </c>
      <c r="S704" s="188"/>
      <c r="T704" s="81"/>
      <c r="U704" s="81"/>
      <c r="V704" s="81"/>
      <c r="Y704" s="87"/>
      <c r="Z704" s="362"/>
      <c r="AA704" s="124"/>
      <c r="AB704" s="124"/>
    </row>
    <row r="705" spans="1:29" s="80" customFormat="1">
      <c r="A705" s="77">
        <v>42926</v>
      </c>
      <c r="B705" s="78"/>
      <c r="C705" s="78"/>
      <c r="D705" s="80" t="s">
        <v>87</v>
      </c>
      <c r="E705" s="146">
        <v>1</v>
      </c>
      <c r="F705" s="87">
        <v>224</v>
      </c>
      <c r="G705" s="87" t="s">
        <v>355</v>
      </c>
      <c r="P705" s="124">
        <v>85</v>
      </c>
      <c r="Q705" s="124">
        <v>9</v>
      </c>
      <c r="R705" s="161">
        <f t="shared" si="70"/>
        <v>0.9042553191489362</v>
      </c>
      <c r="S705" s="189" t="str">
        <f>D705</f>
        <v>SN-6 Ambient</v>
      </c>
      <c r="T705" s="81"/>
      <c r="U705" s="81"/>
      <c r="V705" s="81"/>
      <c r="Y705" s="87" t="str">
        <f>D705</f>
        <v>SN-6 Ambient</v>
      </c>
      <c r="Z705" s="362">
        <f>SUMIFS($P$637:$P$700, $D$637:$D$700, Y705, $F$637:$F$700, "&lt;200") + SUMIFS($Q$637:$Q$700, $D$637:$D$700, Y705, $F$637:$F$700, "&lt;200")</f>
        <v>1565.5555555555557</v>
      </c>
      <c r="AA705" s="124">
        <f>SUM(P705:Q708)</f>
        <v>756.22222222222217</v>
      </c>
      <c r="AB705" s="124">
        <f>SUMIFS(Collection!O:O, Collection!B:B, "*" &amp; 'Bucket Counts'!Y705 &amp; "*", Collection!A:A, "&lt;" &amp; 'Bucket Counts'!A705,Collection!A:A,  "&gt;=" &amp; 'Bucket Counts'!$A$637)</f>
        <v>0</v>
      </c>
      <c r="AC705" s="161">
        <f>AA705/(Z705+AB705)</f>
        <v>0.48303761533002121</v>
      </c>
    </row>
    <row r="706" spans="1:29" s="80" customFormat="1">
      <c r="A706" s="77">
        <v>42926</v>
      </c>
      <c r="B706" s="78"/>
      <c r="C706" s="78"/>
      <c r="D706" s="80" t="s">
        <v>87</v>
      </c>
      <c r="E706" s="146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2">(AVERAGE(I706,K706,M706)/G706)*H706</f>
        <v>375</v>
      </c>
      <c r="Q706" s="124">
        <f t="shared" ref="Q706:Q764" si="73">(AVERAGE(J706,L706,N706)/G706)*H706</f>
        <v>25</v>
      </c>
      <c r="R706" s="161">
        <f t="shared" si="70"/>
        <v>0.9375</v>
      </c>
      <c r="S706" s="187">
        <f>(SUM(P705:P708)/(SUM(P705:Q708)))</f>
        <v>0.64942697619747281</v>
      </c>
      <c r="T706" s="81"/>
      <c r="U706" s="81"/>
      <c r="V706" s="81"/>
      <c r="Y706" s="87"/>
      <c r="Z706" s="362"/>
      <c r="AA706" s="124"/>
      <c r="AB706" s="124"/>
    </row>
    <row r="707" spans="1:29" s="80" customFormat="1">
      <c r="A707" s="77">
        <v>42926</v>
      </c>
      <c r="B707" s="78"/>
      <c r="C707" s="78"/>
      <c r="D707" s="80" t="s">
        <v>87</v>
      </c>
      <c r="E707" s="146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2"/>
        <v>31.111111111111111</v>
      </c>
      <c r="Q707" s="124">
        <f t="shared" si="73"/>
        <v>31.111111111111111</v>
      </c>
      <c r="R707" s="161">
        <f t="shared" si="70"/>
        <v>0.5</v>
      </c>
      <c r="S707" s="188"/>
      <c r="T707" s="81"/>
      <c r="U707" s="81"/>
      <c r="V707" s="81"/>
      <c r="Y707" s="87"/>
      <c r="Z707" s="362"/>
      <c r="AA707" s="124"/>
      <c r="AB707" s="124"/>
    </row>
    <row r="708" spans="1:29" s="80" customFormat="1">
      <c r="A708" s="77">
        <v>42926</v>
      </c>
      <c r="B708" s="78"/>
      <c r="C708" s="78"/>
      <c r="D708" s="80" t="s">
        <v>87</v>
      </c>
      <c r="E708" s="146">
        <v>1</v>
      </c>
      <c r="F708" s="87" t="s">
        <v>203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2"/>
        <v>0</v>
      </c>
      <c r="Q708" s="124">
        <f t="shared" si="73"/>
        <v>200</v>
      </c>
      <c r="R708" s="161">
        <f t="shared" si="70"/>
        <v>0</v>
      </c>
      <c r="S708" s="188"/>
      <c r="T708" s="81"/>
      <c r="U708" s="81"/>
      <c r="V708" s="81"/>
      <c r="Y708" s="87"/>
      <c r="Z708" s="362"/>
      <c r="AA708" s="124"/>
      <c r="AB708" s="124"/>
    </row>
    <row r="709" spans="1:29" s="80" customFormat="1">
      <c r="A709" s="77">
        <v>42926</v>
      </c>
      <c r="B709" s="78"/>
      <c r="C709" s="78"/>
      <c r="D709" s="80" t="s">
        <v>20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2"/>
        <v>93.333333333333329</v>
      </c>
      <c r="Q709" s="124">
        <f t="shared" si="73"/>
        <v>93.333333333333329</v>
      </c>
      <c r="R709" s="161">
        <f t="shared" si="70"/>
        <v>0.5</v>
      </c>
      <c r="S709" s="189" t="str">
        <f>D709</f>
        <v>K-10 Low</v>
      </c>
      <c r="T709" s="81"/>
      <c r="U709" s="81"/>
      <c r="V709" s="81"/>
      <c r="Y709" s="87" t="str">
        <f>D709</f>
        <v>K-10 Low</v>
      </c>
      <c r="Z709" s="362">
        <f>SUMIFS($P$637:$P$700, $D$637:$D$700, Y709, $F$637:$F$700, "&lt;200") + SUMIFS($Q$637:$Q$700, $D$637:$D$700, Y709, $F$637:$F$700, "&lt;200")</f>
        <v>1541.6666666666665</v>
      </c>
      <c r="AA709" s="124">
        <f>SUM(P709:Q712)</f>
        <v>1733.333333333333</v>
      </c>
      <c r="AB709" s="124">
        <f>SUMIFS(Collection!O:O, Collection!B:B, "*" &amp; 'Bucket Counts'!Y709 &amp; "*", Collection!A:A, "&lt;" &amp; 'Bucket Counts'!A709,Collection!A:A,  "&gt;=" &amp; 'Bucket Counts'!$A$637)</f>
        <v>0</v>
      </c>
      <c r="AC709" s="161">
        <f>AA709/(Z709+AB709)</f>
        <v>1.1243243243243242</v>
      </c>
    </row>
    <row r="710" spans="1:29" s="80" customFormat="1">
      <c r="A710" s="77">
        <v>42926</v>
      </c>
      <c r="B710" s="78"/>
      <c r="C710" s="78"/>
      <c r="D710" s="80" t="s">
        <v>20</v>
      </c>
      <c r="E710" s="80">
        <v>2</v>
      </c>
      <c r="F710" s="87">
        <v>180</v>
      </c>
      <c r="G710" s="87">
        <v>3</v>
      </c>
      <c r="H710" s="229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2"/>
        <v>427.77777777777777</v>
      </c>
      <c r="Q710" s="124">
        <f t="shared" si="73"/>
        <v>672.22222222222217</v>
      </c>
      <c r="R710" s="161">
        <f t="shared" si="70"/>
        <v>0.3888888888888889</v>
      </c>
      <c r="S710" s="187">
        <f>(SUM(P709:P712)/(SUM(P709:Q712)))</f>
        <v>0.37115384615384617</v>
      </c>
      <c r="T710" s="81"/>
      <c r="U710" s="81"/>
      <c r="V710" s="81"/>
      <c r="Y710" s="87"/>
      <c r="Z710" s="362"/>
      <c r="AA710" s="124"/>
      <c r="AB710" s="124"/>
    </row>
    <row r="711" spans="1:29" s="80" customFormat="1">
      <c r="A711" s="77">
        <v>42926</v>
      </c>
      <c r="B711" s="78"/>
      <c r="C711" s="78"/>
      <c r="D711" s="80" t="s">
        <v>20</v>
      </c>
      <c r="E711" s="80">
        <v>2</v>
      </c>
      <c r="F711" s="87">
        <v>100</v>
      </c>
      <c r="G711" s="87">
        <v>3</v>
      </c>
      <c r="H711" s="229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2"/>
        <v>122.22222222222223</v>
      </c>
      <c r="Q711" s="124">
        <f t="shared" si="73"/>
        <v>244.44444444444446</v>
      </c>
      <c r="R711" s="161">
        <f t="shared" si="70"/>
        <v>0.33333333333333331</v>
      </c>
      <c r="S711" s="188"/>
      <c r="T711" s="81"/>
      <c r="U711" s="81"/>
      <c r="V711" s="81"/>
      <c r="Y711" s="87"/>
      <c r="Z711" s="362"/>
      <c r="AA711" s="124"/>
      <c r="AB711" s="124"/>
    </row>
    <row r="712" spans="1:29" s="80" customFormat="1">
      <c r="A712" s="77">
        <v>42926</v>
      </c>
      <c r="B712" s="78"/>
      <c r="C712" s="78"/>
      <c r="D712" s="80" t="s">
        <v>20</v>
      </c>
      <c r="E712" s="80">
        <v>2</v>
      </c>
      <c r="F712" s="87" t="s">
        <v>203</v>
      </c>
      <c r="G712" s="87">
        <v>2</v>
      </c>
      <c r="H712" s="229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2"/>
        <v>0</v>
      </c>
      <c r="Q712" s="124">
        <f t="shared" si="73"/>
        <v>80</v>
      </c>
      <c r="R712" s="161">
        <f t="shared" si="70"/>
        <v>0</v>
      </c>
      <c r="S712" s="188"/>
      <c r="T712" s="81"/>
      <c r="U712" s="81"/>
      <c r="V712" s="81"/>
      <c r="Y712" s="87"/>
      <c r="Z712" s="362"/>
      <c r="AA712" s="124"/>
      <c r="AB712" s="124"/>
    </row>
    <row r="713" spans="1:29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29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2"/>
        <v>27.777777777777775</v>
      </c>
      <c r="Q713" s="124">
        <f t="shared" si="73"/>
        <v>27.777777777777775</v>
      </c>
      <c r="R713" s="161">
        <f t="shared" si="70"/>
        <v>0.5</v>
      </c>
      <c r="S713" s="189" t="str">
        <f>D713</f>
        <v>NF-10 Ambient</v>
      </c>
      <c r="T713" s="81"/>
      <c r="U713" s="81"/>
      <c r="V713" s="81"/>
      <c r="Y713" s="87" t="str">
        <f>D713</f>
        <v>NF-10 Ambient</v>
      </c>
      <c r="Z713" s="362">
        <f>SUMIFS($P$637:$P$700, $D$637:$D$700, Y713, $F$637:$F$700, "&lt;200") + SUMIFS($Q$637:$Q$700, $D$637:$D$700, Y713, $F$637:$F$700, "&lt;200")</f>
        <v>500</v>
      </c>
      <c r="AA713" s="124">
        <f>SUM(P713:Q716)</f>
        <v>484.99999999999994</v>
      </c>
      <c r="AB713" s="124">
        <f>SUMIFS(Collection!O:O, Collection!B:B, "*" &amp; 'Bucket Counts'!Y713 &amp; "*", Collection!A:A, "&lt;" &amp; 'Bucket Counts'!A713,Collection!A:A,  "&gt;=" &amp; 'Bucket Counts'!$A$637)</f>
        <v>0</v>
      </c>
      <c r="AC713" s="161">
        <f>AA713/(Z713+AB713)</f>
        <v>0.96999999999999986</v>
      </c>
    </row>
    <row r="714" spans="1:29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29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2"/>
        <v>127.77777777777779</v>
      </c>
      <c r="Q714" s="124">
        <f t="shared" si="73"/>
        <v>76.666666666666657</v>
      </c>
      <c r="R714" s="161">
        <f t="shared" si="70"/>
        <v>0.625</v>
      </c>
      <c r="S714" s="187">
        <f>(SUM(P713:P716)/(SUM(P713:Q716)))</f>
        <v>0.32073310423825896</v>
      </c>
      <c r="T714" s="81"/>
      <c r="U714" s="81"/>
      <c r="V714" s="81"/>
      <c r="Y714" s="87"/>
      <c r="Z714" s="362"/>
      <c r="AA714" s="124"/>
      <c r="AB714" s="124"/>
    </row>
    <row r="715" spans="1:29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29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2"/>
        <v>0</v>
      </c>
      <c r="Q715" s="124">
        <f t="shared" si="73"/>
        <v>186.66666666666666</v>
      </c>
      <c r="R715" s="161">
        <f t="shared" si="70"/>
        <v>0</v>
      </c>
      <c r="S715" s="188"/>
      <c r="T715" s="81"/>
      <c r="U715" s="81"/>
      <c r="V715" s="81"/>
      <c r="Y715" s="87"/>
      <c r="Z715" s="362"/>
      <c r="AA715" s="124"/>
      <c r="AB715" s="124"/>
    </row>
    <row r="716" spans="1:29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203</v>
      </c>
      <c r="G716" s="87">
        <v>2</v>
      </c>
      <c r="H716" s="229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2"/>
        <v>0</v>
      </c>
      <c r="Q716" s="124">
        <f t="shared" si="73"/>
        <v>38.333333333333329</v>
      </c>
      <c r="R716" s="161">
        <f t="shared" si="70"/>
        <v>0</v>
      </c>
      <c r="S716" s="188"/>
      <c r="T716" s="81"/>
      <c r="U716" s="81"/>
      <c r="V716" s="81"/>
      <c r="Y716" s="87"/>
      <c r="Z716" s="362"/>
      <c r="AA716" s="124"/>
      <c r="AB716" s="124"/>
    </row>
    <row r="717" spans="1:29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29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2"/>
        <v>525</v>
      </c>
      <c r="Q717" s="124">
        <f t="shared" si="73"/>
        <v>125</v>
      </c>
      <c r="R717" s="161">
        <f t="shared" si="70"/>
        <v>0.80769230769230771</v>
      </c>
      <c r="S717" s="189" t="str">
        <f>D717</f>
        <v>K-10 Ambient</v>
      </c>
      <c r="T717" s="81"/>
      <c r="U717" s="81"/>
      <c r="V717" s="81"/>
      <c r="Y717" s="87" t="str">
        <f>D717</f>
        <v>K-10 Ambient</v>
      </c>
      <c r="Z717" s="362">
        <f>SUMIFS($P$637:$P$700, $D$637:$D$700, Y717, $F$637:$F$700, "&lt;200") + SUMIFS($Q$637:$Q$700, $D$637:$D$700, Y717, $F$637:$F$700, "&lt;200")</f>
        <v>3333.3333333333335</v>
      </c>
      <c r="AA717" s="124">
        <f>SUM(P717:Q720)</f>
        <v>2600.0000000000005</v>
      </c>
      <c r="AB717" s="124">
        <f>SUMIFS(Collection!O:O, Collection!B:B, "*" &amp; 'Bucket Counts'!Y717 &amp; "*", Collection!A:A, "&lt;" &amp; 'Bucket Counts'!A717,Collection!A:A,  "&gt;=" &amp; 'Bucket Counts'!$A$637)</f>
        <v>0</v>
      </c>
      <c r="AC717" s="161">
        <f>AA717/(Z717+AB717)</f>
        <v>0.78000000000000014</v>
      </c>
    </row>
    <row r="718" spans="1:29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29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2"/>
        <v>1306.6666666666667</v>
      </c>
      <c r="Q718" s="124">
        <f t="shared" si="73"/>
        <v>404.44444444444446</v>
      </c>
      <c r="R718" s="161">
        <f t="shared" si="70"/>
        <v>0.76363636363636356</v>
      </c>
      <c r="S718" s="187">
        <f>(SUM(P717:P720)/(SUM(P717:Q720)))</f>
        <v>0.72799145299145285</v>
      </c>
      <c r="T718" s="81"/>
      <c r="U718" s="81"/>
      <c r="V718" s="81"/>
      <c r="Y718" s="87"/>
      <c r="Z718" s="362"/>
      <c r="AA718" s="124"/>
      <c r="AB718" s="124"/>
    </row>
    <row r="719" spans="1:29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29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2"/>
        <v>61.111111111111107</v>
      </c>
      <c r="Q719" s="124">
        <f t="shared" si="73"/>
        <v>122.22222222222221</v>
      </c>
      <c r="R719" s="161">
        <f t="shared" si="70"/>
        <v>0.33333333333333337</v>
      </c>
      <c r="S719" s="188"/>
      <c r="T719" s="81"/>
      <c r="U719" s="81"/>
      <c r="V719" s="81"/>
      <c r="Y719" s="87"/>
      <c r="Z719" s="362"/>
      <c r="AA719" s="124"/>
      <c r="AB719" s="124"/>
    </row>
    <row r="720" spans="1:29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203</v>
      </c>
      <c r="G720" s="87">
        <v>3</v>
      </c>
      <c r="H720" s="229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2"/>
        <v>0</v>
      </c>
      <c r="Q720" s="124">
        <f t="shared" si="73"/>
        <v>55.55555555555555</v>
      </c>
      <c r="R720" s="161">
        <f t="shared" si="70"/>
        <v>0</v>
      </c>
      <c r="S720" s="188"/>
      <c r="T720" s="81"/>
      <c r="U720" s="81"/>
      <c r="V720" s="81"/>
      <c r="Y720" s="87"/>
      <c r="Z720" s="362"/>
      <c r="AA720" s="124"/>
      <c r="AB720" s="124"/>
    </row>
    <row r="721" spans="1:29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29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2"/>
        <v>933.33333333333337</v>
      </c>
      <c r="Q721" s="124">
        <f t="shared" si="73"/>
        <v>0</v>
      </c>
      <c r="R721" s="161">
        <f t="shared" si="70"/>
        <v>1</v>
      </c>
      <c r="S721" s="189" t="str">
        <f>D721</f>
        <v>HL-10 Ambient</v>
      </c>
      <c r="T721" s="81"/>
      <c r="U721" s="81"/>
      <c r="V721" s="81"/>
      <c r="Y721" s="87" t="str">
        <f>D721</f>
        <v>HL-10 Ambient</v>
      </c>
      <c r="Z721" s="362">
        <f>SUMIFS($P$637:$P$700, $D$637:$D$700, Y721, $F$637:$F$700, "&lt;200") + SUMIFS($Q$637:$Q$700, $D$637:$D$700, Y721, $F$637:$F$700, "&lt;200")</f>
        <v>77003.333333333328</v>
      </c>
      <c r="AA721" s="124">
        <f>SUM(P721:Q724)</f>
        <v>53013.333333333328</v>
      </c>
      <c r="AB721" s="124">
        <f>SUMIFS(Collection!O:O, Collection!B:B, "*" &amp; 'Bucket Counts'!Y721 &amp; "*", Collection!A:A, "&lt;" &amp; 'Bucket Counts'!A721,Collection!A:A,  "&gt;=" &amp; 'Bucket Counts'!$A$637)</f>
        <v>0</v>
      </c>
      <c r="AC721" s="161">
        <f>AA721/(Z721+AB721)</f>
        <v>0.68845504523613699</v>
      </c>
    </row>
    <row r="722" spans="1:29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29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2"/>
        <v>10500</v>
      </c>
      <c r="Q722" s="124">
        <f t="shared" si="73"/>
        <v>2000</v>
      </c>
      <c r="R722" s="161">
        <f t="shared" si="70"/>
        <v>0.84</v>
      </c>
      <c r="S722" s="187">
        <f>(SUM(P721:P724)/(SUM(P721:Q724)))</f>
        <v>0.9450452716297788</v>
      </c>
      <c r="T722" s="81"/>
      <c r="Y722" s="87"/>
      <c r="Z722" s="362"/>
      <c r="AA722" s="124"/>
      <c r="AB722" s="124"/>
    </row>
    <row r="723" spans="1:29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2"/>
        <v>38666.666666666664</v>
      </c>
      <c r="Q723" s="124">
        <f t="shared" si="73"/>
        <v>166.66666666666666</v>
      </c>
      <c r="R723" s="161">
        <f t="shared" si="70"/>
        <v>0.99570815450643779</v>
      </c>
      <c r="S723" s="188"/>
      <c r="T723" s="81"/>
      <c r="Y723" s="87"/>
      <c r="Z723" s="362"/>
      <c r="AA723" s="124"/>
      <c r="AB723" s="124"/>
    </row>
    <row r="724" spans="1:29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203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2"/>
        <v>0</v>
      </c>
      <c r="Q724" s="124">
        <f t="shared" si="73"/>
        <v>746.66666666666663</v>
      </c>
      <c r="R724" s="161">
        <f t="shared" si="70"/>
        <v>0</v>
      </c>
      <c r="S724" s="188"/>
      <c r="T724" s="81"/>
      <c r="Y724" s="87"/>
      <c r="Z724" s="362"/>
      <c r="AA724" s="124"/>
      <c r="AB724" s="124"/>
    </row>
    <row r="725" spans="1:29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2"/>
        <v>1000</v>
      </c>
      <c r="Q725" s="124">
        <f t="shared" si="73"/>
        <v>550</v>
      </c>
      <c r="R725" s="161">
        <f t="shared" si="70"/>
        <v>0.64516129032258063</v>
      </c>
      <c r="S725" s="186" t="str">
        <f>D725</f>
        <v>K-6 Low</v>
      </c>
      <c r="T725" s="81"/>
      <c r="Y725" s="87" t="str">
        <f>D725</f>
        <v>K-6 Low</v>
      </c>
      <c r="Z725" s="362">
        <f>SUMIFS($P$637:$P$700, $D$637:$D$700, Y725, $F$637:$F$700, "&lt;200") + SUMIFS($Q$637:$Q$700, $D$637:$D$700, Y725, $F$637:$F$700, "&lt;200")</f>
        <v>6443.333333333333</v>
      </c>
      <c r="AA725" s="124">
        <f>SUM(P725:Q728)</f>
        <v>9267.5</v>
      </c>
      <c r="AB725" s="124">
        <f>SUMIFS(Collection!O:O, Collection!B:B, "*" &amp; 'Bucket Counts'!Y725 &amp; "*", Collection!A:A, "&lt;" &amp; 'Bucket Counts'!A725,Collection!A:A,  "&gt;=" &amp; 'Bucket Counts'!$A$637)</f>
        <v>0</v>
      </c>
      <c r="AC725" s="161">
        <f>AA725/(Z725+AB725)</f>
        <v>1.4383083290222454</v>
      </c>
    </row>
    <row r="726" spans="1:29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2"/>
        <v>1970.8333333333335</v>
      </c>
      <c r="Q726" s="124">
        <f t="shared" si="73"/>
        <v>641.66666666666674</v>
      </c>
      <c r="R726" s="161">
        <f t="shared" si="70"/>
        <v>0.75438596491228072</v>
      </c>
      <c r="S726" s="187">
        <f>(SUM(P725:P728)/(SUM(P725:Q728)))</f>
        <v>0.35365524683032101</v>
      </c>
      <c r="T726" s="81"/>
      <c r="Y726" s="87"/>
      <c r="Z726" s="362"/>
      <c r="AA726" s="124"/>
      <c r="AB726" s="124"/>
    </row>
    <row r="727" spans="1:29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28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2"/>
        <v>306.66666666666663</v>
      </c>
      <c r="Q727" s="124">
        <f t="shared" si="73"/>
        <v>881.66666666666674</v>
      </c>
      <c r="R727" s="161">
        <f t="shared" si="70"/>
        <v>0.2580645161290322</v>
      </c>
      <c r="S727" s="185"/>
      <c r="T727" s="81"/>
      <c r="Y727" s="87"/>
      <c r="Z727" s="362"/>
      <c r="AA727" s="124"/>
      <c r="AB727" s="124"/>
    </row>
    <row r="728" spans="1:29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203</v>
      </c>
      <c r="G728" s="87">
        <v>2</v>
      </c>
      <c r="H728" s="228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2"/>
        <v>0</v>
      </c>
      <c r="Q728" s="124">
        <f t="shared" si="73"/>
        <v>3916.6666666666665</v>
      </c>
      <c r="R728" s="161">
        <f t="shared" si="70"/>
        <v>0</v>
      </c>
      <c r="S728" s="188"/>
      <c r="T728" s="81"/>
      <c r="Y728" s="87"/>
      <c r="Z728" s="362"/>
      <c r="AA728" s="124"/>
      <c r="AB728" s="124"/>
    </row>
    <row r="729" spans="1:29" s="80" customFormat="1">
      <c r="A729" s="77">
        <v>42926</v>
      </c>
      <c r="B729" s="78"/>
      <c r="C729" s="78"/>
      <c r="D729" s="79" t="s">
        <v>109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2"/>
        <v>3655</v>
      </c>
      <c r="Q729" s="124">
        <f t="shared" si="73"/>
        <v>170</v>
      </c>
      <c r="R729" s="161">
        <f t="shared" si="70"/>
        <v>0.9555555555555556</v>
      </c>
      <c r="S729" s="189" t="str">
        <f>D729</f>
        <v>HL-10 Low</v>
      </c>
      <c r="T729" s="81"/>
      <c r="Y729" s="87" t="str">
        <f>D729</f>
        <v>HL-10 Low</v>
      </c>
      <c r="Z729" s="362">
        <f>SUMIFS($P$637:$P$700, $D$637:$D$700, Y729, $F$637:$F$700, "&lt;200") + SUMIFS($Q$637:$Q$700, $D$637:$D$700, Y729, $F$637:$F$700, "&lt;200")</f>
        <v>26590</v>
      </c>
      <c r="AA729" s="124">
        <f>SUM(P729:Q732)</f>
        <v>26335</v>
      </c>
      <c r="AB729" s="124">
        <f>SUMIFS(Collection!O:O, Collection!B:B, "*" &amp; 'Bucket Counts'!Y729 &amp; "*", Collection!A:A, "&lt;" &amp; 'Bucket Counts'!A729,Collection!A:A,  "&gt;=" &amp; 'Bucket Counts'!$A$637)</f>
        <v>0</v>
      </c>
      <c r="AC729" s="161">
        <f>AA729/(Z729+AB729)</f>
        <v>0.99040992854456567</v>
      </c>
    </row>
    <row r="730" spans="1:29" s="80" customFormat="1">
      <c r="A730" s="77">
        <v>42926</v>
      </c>
      <c r="B730" s="78"/>
      <c r="C730" s="78"/>
      <c r="D730" s="79" t="s">
        <v>109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2"/>
        <v>11716.666666666668</v>
      </c>
      <c r="Q730" s="124">
        <f t="shared" si="73"/>
        <v>493.33333333333331</v>
      </c>
      <c r="R730" s="161">
        <f t="shared" si="70"/>
        <v>0.95959595959595956</v>
      </c>
      <c r="S730" s="187">
        <f>(SUM(P729:P732)/(SUM(P729:Q732)))</f>
        <v>0.89722169482944125</v>
      </c>
      <c r="T730" s="81"/>
      <c r="Y730" s="87"/>
      <c r="Z730" s="362"/>
      <c r="AA730" s="124"/>
      <c r="AB730" s="124"/>
    </row>
    <row r="731" spans="1:29" s="80" customFormat="1">
      <c r="A731" s="77">
        <v>42926</v>
      </c>
      <c r="B731" s="78"/>
      <c r="C731" s="78"/>
      <c r="D731" s="79" t="s">
        <v>109</v>
      </c>
      <c r="E731" s="80">
        <v>4</v>
      </c>
      <c r="F731" s="87">
        <v>100</v>
      </c>
      <c r="G731" s="87">
        <v>2</v>
      </c>
      <c r="H731" s="228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2"/>
        <v>8106.6666666666661</v>
      </c>
      <c r="Q731" s="124">
        <f t="shared" si="73"/>
        <v>443.33333333333337</v>
      </c>
      <c r="R731" s="161">
        <f t="shared" si="70"/>
        <v>0.94814814814814807</v>
      </c>
      <c r="S731" s="188"/>
      <c r="T731" s="81"/>
      <c r="Y731" s="87"/>
      <c r="Z731" s="362"/>
      <c r="AA731" s="124"/>
      <c r="AB731" s="124"/>
    </row>
    <row r="732" spans="1:29" s="80" customFormat="1">
      <c r="A732" s="77">
        <v>42926</v>
      </c>
      <c r="B732" s="78"/>
      <c r="C732" s="78"/>
      <c r="D732" s="79" t="s">
        <v>109</v>
      </c>
      <c r="E732" s="80">
        <v>4</v>
      </c>
      <c r="F732" s="87" t="s">
        <v>203</v>
      </c>
      <c r="G732" s="87">
        <v>2</v>
      </c>
      <c r="H732" s="228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2"/>
        <v>150</v>
      </c>
      <c r="Q732" s="124">
        <f t="shared" si="73"/>
        <v>1600</v>
      </c>
      <c r="R732" s="161">
        <f t="shared" si="70"/>
        <v>8.5714285714285715E-2</v>
      </c>
      <c r="S732" s="188"/>
      <c r="T732" s="81"/>
      <c r="Y732" s="87"/>
      <c r="Z732" s="362"/>
      <c r="AA732" s="124"/>
      <c r="AB732" s="124"/>
    </row>
    <row r="733" spans="1:29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2"/>
        <v>2520.833333333333</v>
      </c>
      <c r="Q733" s="124">
        <f t="shared" si="73"/>
        <v>595.83333333333326</v>
      </c>
      <c r="R733" s="161">
        <f t="shared" si="70"/>
        <v>0.80882352941176472</v>
      </c>
      <c r="S733" s="189" t="str">
        <f>D733</f>
        <v>NF-6 Low</v>
      </c>
      <c r="Y733" s="87" t="str">
        <f>D733</f>
        <v>NF-6 Low</v>
      </c>
      <c r="Z733" s="362">
        <f>SUMIFS($P$637:$P$700, $D$637:$D$700, Y733, $F$637:$F$700, "&lt;200") + SUMIFS($Q$637:$Q$700, $D$637:$D$700, Y733, $F$637:$F$700, "&lt;200")</f>
        <v>18026.666666666668</v>
      </c>
      <c r="AA733" s="124">
        <f>SUM(P733:Q736)</f>
        <v>16966.666666666664</v>
      </c>
      <c r="AB733" s="124">
        <f>SUMIFS(Collection!O:O, Collection!B:B, "*" &amp; 'Bucket Counts'!Y733 &amp; "*", Collection!A:A, "&lt;" &amp; 'Bucket Counts'!A733,Collection!A:A,  "&gt;=" &amp; 'Bucket Counts'!$A$637)</f>
        <v>0</v>
      </c>
      <c r="AC733" s="161">
        <f>AA733/(Z733+AB733)</f>
        <v>0.94119822485207083</v>
      </c>
    </row>
    <row r="734" spans="1:29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2"/>
        <v>11433.333333333332</v>
      </c>
      <c r="Q734" s="124">
        <f t="shared" si="73"/>
        <v>1050</v>
      </c>
      <c r="R734" s="161">
        <f t="shared" si="70"/>
        <v>0.91588785046728971</v>
      </c>
      <c r="S734" s="187">
        <f>(SUM(P733:P736)/(SUM(P733:Q736)))</f>
        <v>0.83266208251473484</v>
      </c>
      <c r="Y734" s="87"/>
      <c r="Z734" s="362"/>
      <c r="AA734" s="124"/>
      <c r="AB734" s="124"/>
    </row>
    <row r="735" spans="1:29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2"/>
        <v>173.33333333333331</v>
      </c>
      <c r="Q735" s="124">
        <f t="shared" si="73"/>
        <v>260</v>
      </c>
      <c r="R735" s="161">
        <f t="shared" si="70"/>
        <v>0.39999999999999997</v>
      </c>
      <c r="S735" s="188"/>
      <c r="Y735" s="87"/>
      <c r="Z735" s="362"/>
      <c r="AA735" s="124"/>
      <c r="AB735" s="124"/>
    </row>
    <row r="736" spans="1:29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203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2"/>
        <v>0</v>
      </c>
      <c r="Q736" s="124">
        <f t="shared" si="73"/>
        <v>933.33333333333337</v>
      </c>
      <c r="R736" s="161">
        <f t="shared" si="70"/>
        <v>0</v>
      </c>
      <c r="S736" s="188"/>
      <c r="Y736" s="87"/>
      <c r="Z736" s="362"/>
      <c r="AA736" s="124"/>
      <c r="AB736" s="124"/>
    </row>
    <row r="737" spans="1:29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355</v>
      </c>
      <c r="P737" s="124">
        <v>11</v>
      </c>
      <c r="Q737" s="124">
        <v>2</v>
      </c>
      <c r="R737" s="161">
        <f t="shared" si="70"/>
        <v>0.84615384615384615</v>
      </c>
      <c r="S737" s="189" t="str">
        <f>D737</f>
        <v>SN-10 Ambient</v>
      </c>
      <c r="T737" s="81"/>
      <c r="U737" s="81"/>
      <c r="V737" s="81"/>
      <c r="Y737" s="87" t="str">
        <f>D737</f>
        <v>SN-10 Ambient</v>
      </c>
      <c r="Z737" s="362">
        <f>SUMIFS($P$637:$P$700, $D$637:$D$700, Y737, $F$637:$F$700, "&lt;200") + SUMIFS($Q$637:$Q$700, $D$637:$D$700, Y737, $F$637:$F$700, "&lt;200")</f>
        <v>55.55555555555555</v>
      </c>
      <c r="AA737" s="124">
        <f>SUM(P737:Q740)</f>
        <v>101423.33333333333</v>
      </c>
      <c r="AB737" s="124">
        <f>SUMIFS(Collection!O:O, Collection!B:B, "*" &amp; 'Bucket Counts'!Y737 &amp; "*", Collection!A:A, "&lt;" &amp; 'Bucket Counts'!A737,Collection!A:A,  "&gt;=" &amp; 'Bucket Counts'!$A$637)</f>
        <v>200000</v>
      </c>
      <c r="AC737" s="161">
        <f>AA737/(Z737+AB737)</f>
        <v>0.50697584004443208</v>
      </c>
    </row>
    <row r="738" spans="1:29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355</v>
      </c>
      <c r="P738" s="124">
        <v>24</v>
      </c>
      <c r="Q738" s="124">
        <v>23</v>
      </c>
      <c r="R738" s="161">
        <f t="shared" si="70"/>
        <v>0.51063829787234039</v>
      </c>
      <c r="S738" s="187">
        <f>(SUM(P737:P740)/(SUM(P737:Q740)))</f>
        <v>0.73216222434022415</v>
      </c>
      <c r="T738" s="81"/>
      <c r="U738" s="81"/>
      <c r="V738" s="81"/>
      <c r="Y738" s="87"/>
      <c r="Z738" s="362"/>
      <c r="AA738" s="124"/>
      <c r="AB738" s="124"/>
    </row>
    <row r="739" spans="1:29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2"/>
        <v>73160</v>
      </c>
      <c r="Q739" s="124">
        <f t="shared" si="73"/>
        <v>15733.333333333334</v>
      </c>
      <c r="R739" s="161">
        <f t="shared" si="70"/>
        <v>0.82300884955752218</v>
      </c>
      <c r="S739" s="188"/>
      <c r="T739" s="81"/>
      <c r="U739" s="81"/>
      <c r="V739" s="81"/>
      <c r="Y739" s="87"/>
      <c r="Z739" s="362"/>
      <c r="AA739" s="124"/>
      <c r="AB739" s="124"/>
    </row>
    <row r="740" spans="1:29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203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2"/>
        <v>1063.3333333333333</v>
      </c>
      <c r="Q740" s="124">
        <f t="shared" si="73"/>
        <v>11406.666666666668</v>
      </c>
      <c r="R740" s="161">
        <f t="shared" ref="R740:R803" si="74">P740/(P740+Q740)</f>
        <v>8.5271317829457349E-2</v>
      </c>
      <c r="S740" s="188"/>
      <c r="T740" s="81"/>
      <c r="U740" s="81"/>
      <c r="V740" s="81"/>
      <c r="Y740" s="87"/>
      <c r="Z740" s="362"/>
      <c r="AA740" s="124"/>
      <c r="AB740" s="124"/>
    </row>
    <row r="741" spans="1:29" s="80" customFormat="1">
      <c r="A741" s="77">
        <v>42926</v>
      </c>
      <c r="B741" s="78"/>
      <c r="C741" s="78"/>
      <c r="D741" s="80" t="s">
        <v>83</v>
      </c>
      <c r="E741" s="80">
        <v>6</v>
      </c>
      <c r="F741" s="87">
        <v>224</v>
      </c>
      <c r="G741" s="87" t="s">
        <v>355</v>
      </c>
      <c r="P741" s="124">
        <v>9</v>
      </c>
      <c r="Q741" s="124">
        <v>2</v>
      </c>
      <c r="R741" s="161">
        <f t="shared" si="74"/>
        <v>0.81818181818181823</v>
      </c>
      <c r="S741" s="189" t="str">
        <f>D741</f>
        <v>NF-10 Low</v>
      </c>
      <c r="T741" s="81"/>
      <c r="U741" s="81"/>
      <c r="V741" s="81"/>
      <c r="Y741" s="87" t="str">
        <f>D741</f>
        <v>NF-10 Low</v>
      </c>
      <c r="Z741" s="362">
        <f>SUMIFS($P$637:$P$700, $D$637:$D$700, Y741, $F$637:$F$700, "&lt;200") + SUMIFS($Q$637:$Q$700, $D$637:$D$700, Y741, $F$637:$F$700, "&lt;200")</f>
        <v>32588.888888888887</v>
      </c>
      <c r="AA741" s="124">
        <f>SUM(P741:Q744)</f>
        <v>18304.333333333336</v>
      </c>
      <c r="AB741" s="124">
        <f>SUMIFS(Collection!O:O, Collection!B:B, "*" &amp; 'Bucket Counts'!Y741 &amp; "*", Collection!A:A, "&lt;" &amp; 'Bucket Counts'!A741,Collection!A:A,  "&gt;=" &amp; 'Bucket Counts'!$A$637)</f>
        <v>0</v>
      </c>
      <c r="AC741" s="161">
        <f>AA741/(Z741+AB741)</f>
        <v>0.56167405386975799</v>
      </c>
    </row>
    <row r="742" spans="1:29" s="80" customFormat="1">
      <c r="A742" s="77">
        <v>42926</v>
      </c>
      <c r="B742" s="78"/>
      <c r="C742" s="78"/>
      <c r="D742" s="80" t="s">
        <v>83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2"/>
        <v>1540</v>
      </c>
      <c r="Q742" s="124">
        <f t="shared" si="73"/>
        <v>93.333333333333329</v>
      </c>
      <c r="R742" s="161">
        <f t="shared" si="74"/>
        <v>0.94285714285714295</v>
      </c>
      <c r="S742" s="187">
        <f>(SUM(P741:P744)/(SUM(P741:Q744)))</f>
        <v>0.84437200662866707</v>
      </c>
      <c r="T742" s="81"/>
      <c r="U742" s="81"/>
      <c r="V742" s="81"/>
      <c r="Y742" s="87"/>
      <c r="Z742" s="362"/>
      <c r="AA742" s="124"/>
      <c r="AB742" s="124"/>
    </row>
    <row r="743" spans="1:29" s="80" customFormat="1">
      <c r="A743" s="77">
        <v>42926</v>
      </c>
      <c r="B743" s="78"/>
      <c r="C743" s="78"/>
      <c r="D743" s="80" t="s">
        <v>83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2"/>
        <v>13906.666666666666</v>
      </c>
      <c r="Q743" s="124">
        <f t="shared" si="73"/>
        <v>653.33333333333337</v>
      </c>
      <c r="R743" s="161">
        <f t="shared" si="74"/>
        <v>0.95512820512820507</v>
      </c>
      <c r="S743" s="188"/>
      <c r="T743" s="81"/>
      <c r="U743" s="81"/>
      <c r="V743" s="81"/>
      <c r="Y743" s="87"/>
      <c r="Z743" s="362"/>
      <c r="AA743" s="124"/>
      <c r="AB743" s="124"/>
    </row>
    <row r="744" spans="1:29" s="80" customFormat="1">
      <c r="A744" s="77">
        <v>42926</v>
      </c>
      <c r="B744" s="78"/>
      <c r="C744" s="78"/>
      <c r="D744" s="80" t="s">
        <v>83</v>
      </c>
      <c r="E744" s="80">
        <v>6</v>
      </c>
      <c r="F744" s="87" t="s">
        <v>203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2"/>
        <v>0</v>
      </c>
      <c r="Q744" s="124">
        <f t="shared" si="73"/>
        <v>2100</v>
      </c>
      <c r="R744" s="161">
        <f t="shared" si="74"/>
        <v>0</v>
      </c>
      <c r="S744" s="188"/>
      <c r="T744" s="81"/>
      <c r="U744" s="81"/>
      <c r="V744" s="81"/>
      <c r="Y744" s="87"/>
      <c r="Z744" s="362"/>
      <c r="AA744" s="124"/>
      <c r="AB744" s="124"/>
    </row>
    <row r="745" spans="1:29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2"/>
        <v>194.44444444444446</v>
      </c>
      <c r="Q745" s="124">
        <f t="shared" si="73"/>
        <v>166.66666666666666</v>
      </c>
      <c r="R745" s="161">
        <f t="shared" si="74"/>
        <v>0.53846153846153855</v>
      </c>
      <c r="S745" s="189" t="str">
        <f>D745</f>
        <v>K-6 Ambient</v>
      </c>
      <c r="T745" s="81"/>
      <c r="U745" s="81"/>
      <c r="V745" s="81"/>
      <c r="Y745" s="87" t="str">
        <f>D745</f>
        <v>K-6 Ambient</v>
      </c>
      <c r="Z745" s="362">
        <f>SUMIFS($P$637:$P$700, $D$637:$D$700, Y745, $F$637:$F$700, "&lt;200") + SUMIFS($Q$637:$Q$700, $D$637:$D$700, Y745, $F$637:$F$700, "&lt;200")</f>
        <v>13058.333333333334</v>
      </c>
      <c r="AA745" s="124">
        <f>SUM(P745:Q748)</f>
        <v>10923.611111111111</v>
      </c>
      <c r="AB745" s="124">
        <f>SUMIFS(Collection!O:O, Collection!B:B, "*" &amp; 'Bucket Counts'!Y745 &amp; "*", Collection!A:A, "&lt;" &amp; 'Bucket Counts'!A745,Collection!A:A,  "&gt;=" &amp; 'Bucket Counts'!$A$637)</f>
        <v>0</v>
      </c>
      <c r="AC745" s="161">
        <f>AA745/(Z745+AB745)</f>
        <v>0.8365241437991916</v>
      </c>
    </row>
    <row r="746" spans="1:29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2"/>
        <v>6491.6666666666661</v>
      </c>
      <c r="Q746" s="124">
        <f t="shared" si="73"/>
        <v>316.66666666666663</v>
      </c>
      <c r="R746" s="161">
        <f t="shared" si="74"/>
        <v>0.95348837209302317</v>
      </c>
      <c r="S746" s="187">
        <f>(SUM(P745:P748)/(SUM(P745:Q748)))</f>
        <v>0.72956134774316583</v>
      </c>
      <c r="T746" s="81"/>
      <c r="U746" s="81"/>
      <c r="V746" s="81"/>
      <c r="Y746" s="87"/>
      <c r="Z746" s="362"/>
      <c r="AA746" s="124"/>
      <c r="AB746" s="124"/>
    </row>
    <row r="747" spans="1:29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2"/>
        <v>1283.3333333333335</v>
      </c>
      <c r="Q747" s="124">
        <f t="shared" si="73"/>
        <v>137.5</v>
      </c>
      <c r="R747" s="161">
        <f t="shared" si="74"/>
        <v>0.90322580645161288</v>
      </c>
      <c r="S747" s="188"/>
      <c r="T747" s="81"/>
      <c r="U747" s="81"/>
      <c r="V747" s="81"/>
      <c r="Y747" s="87"/>
      <c r="Z747" s="362"/>
      <c r="AA747" s="124"/>
      <c r="AB747" s="124"/>
    </row>
    <row r="748" spans="1:29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203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2"/>
        <v>0</v>
      </c>
      <c r="Q748" s="124">
        <f t="shared" si="73"/>
        <v>2333.3333333333335</v>
      </c>
      <c r="R748" s="161">
        <f t="shared" si="74"/>
        <v>0</v>
      </c>
      <c r="S748" s="188"/>
      <c r="T748" s="81"/>
      <c r="U748" s="81"/>
      <c r="V748" s="81"/>
      <c r="Y748" s="87"/>
      <c r="Z748" s="362"/>
      <c r="AA748" s="124"/>
      <c r="AB748" s="124"/>
    </row>
    <row r="749" spans="1:29" s="80" customFormat="1">
      <c r="A749" s="77">
        <v>42926</v>
      </c>
      <c r="B749" s="78"/>
      <c r="C749" s="78"/>
      <c r="D749" s="80" t="s">
        <v>74</v>
      </c>
      <c r="E749" s="80">
        <v>7</v>
      </c>
      <c r="F749" s="87">
        <v>224</v>
      </c>
      <c r="G749" s="87" t="s">
        <v>355</v>
      </c>
      <c r="P749" s="124">
        <v>61</v>
      </c>
      <c r="Q749" s="124">
        <v>20</v>
      </c>
      <c r="R749" s="161">
        <f t="shared" si="74"/>
        <v>0.75308641975308643</v>
      </c>
      <c r="S749" s="189" t="str">
        <f>D749</f>
        <v>SN-10 Low</v>
      </c>
      <c r="T749" s="81"/>
      <c r="U749" s="81"/>
      <c r="V749" s="81"/>
      <c r="Y749" s="87" t="str">
        <f>D749</f>
        <v>SN-10 Low</v>
      </c>
      <c r="Z749" s="362">
        <f>SUMIFS($P$637:$P$700, $D$637:$D$700, Y749, $F$637:$F$700, "&lt;200") + SUMIFS($Q$637:$Q$700, $D$637:$D$700, Y749, $F$637:$F$700, "&lt;200")</f>
        <v>1130.5555555555554</v>
      </c>
      <c r="AA749" s="124">
        <f>SUM(P749:Q752)</f>
        <v>1034.6666666666665</v>
      </c>
      <c r="AB749" s="124">
        <f>SUMIFS(Collection!O:O, Collection!B:B, "*" &amp; 'Bucket Counts'!Y749 &amp; "*", Collection!A:A, "&lt;" &amp; 'Bucket Counts'!A749,Collection!A:A,  "&gt;=" &amp; 'Bucket Counts'!$A$637)</f>
        <v>0</v>
      </c>
      <c r="AC749" s="161">
        <f>AA749/(Z749+AB749)</f>
        <v>0.91518427518427514</v>
      </c>
    </row>
    <row r="750" spans="1:29" s="80" customFormat="1">
      <c r="A750" s="77">
        <v>42926</v>
      </c>
      <c r="B750" s="78"/>
      <c r="C750" s="78"/>
      <c r="D750" s="80" t="s">
        <v>74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2"/>
        <v>244.44444444444443</v>
      </c>
      <c r="Q750" s="124">
        <f t="shared" si="73"/>
        <v>152.77777777777777</v>
      </c>
      <c r="R750" s="161">
        <f t="shared" si="74"/>
        <v>0.61538461538461542</v>
      </c>
      <c r="S750" s="187">
        <f>(SUM(P749:P752)/(SUM(P749:Q752)))</f>
        <v>0.31357388316151208</v>
      </c>
      <c r="T750" s="81"/>
      <c r="U750" s="81"/>
      <c r="V750" s="81"/>
      <c r="Y750" s="87"/>
      <c r="Z750" s="362"/>
      <c r="AA750" s="124"/>
      <c r="AB750" s="124"/>
    </row>
    <row r="751" spans="1:29" s="80" customFormat="1">
      <c r="A751" s="77">
        <v>42926</v>
      </c>
      <c r="B751" s="78"/>
      <c r="C751" s="78"/>
      <c r="D751" s="80" t="s">
        <v>74</v>
      </c>
      <c r="E751" s="80">
        <v>7</v>
      </c>
      <c r="F751" s="87">
        <v>100</v>
      </c>
      <c r="G751" s="87" t="s">
        <v>355</v>
      </c>
      <c r="P751" s="124">
        <v>19</v>
      </c>
      <c r="Q751" s="124">
        <v>18</v>
      </c>
      <c r="R751" s="161">
        <f t="shared" si="74"/>
        <v>0.51351351351351349</v>
      </c>
      <c r="S751" s="188"/>
      <c r="T751" s="81"/>
      <c r="U751" s="81"/>
      <c r="V751" s="81"/>
      <c r="Y751" s="87"/>
      <c r="Z751" s="362"/>
      <c r="AA751" s="124"/>
      <c r="AB751" s="124"/>
    </row>
    <row r="752" spans="1:29" s="80" customFormat="1">
      <c r="A752" s="77">
        <v>42926</v>
      </c>
      <c r="B752" s="78"/>
      <c r="C752" s="78"/>
      <c r="D752" s="80" t="s">
        <v>74</v>
      </c>
      <c r="E752" s="80">
        <v>7</v>
      </c>
      <c r="F752" s="87" t="s">
        <v>203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2"/>
        <v>0</v>
      </c>
      <c r="Q752" s="124">
        <f t="shared" si="73"/>
        <v>519.44444444444446</v>
      </c>
      <c r="R752" s="161">
        <f t="shared" si="74"/>
        <v>0</v>
      </c>
      <c r="S752" s="188"/>
      <c r="T752" s="81"/>
      <c r="U752" s="81"/>
      <c r="V752" s="81"/>
      <c r="Y752" s="87"/>
      <c r="Z752" s="362"/>
      <c r="AA752" s="124"/>
      <c r="AB752" s="124"/>
    </row>
    <row r="753" spans="1:29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2"/>
        <v>1733.3333333333333</v>
      </c>
      <c r="Q753" s="124">
        <f t="shared" si="73"/>
        <v>0</v>
      </c>
      <c r="R753" s="161">
        <f t="shared" si="74"/>
        <v>1</v>
      </c>
      <c r="S753" s="189" t="str">
        <f>D753</f>
        <v>HL-6 Low</v>
      </c>
      <c r="T753" s="81"/>
      <c r="U753" s="81"/>
      <c r="V753" s="81"/>
      <c r="Y753" s="87" t="str">
        <f>D753</f>
        <v>HL-6 Low</v>
      </c>
      <c r="Z753" s="362">
        <f>SUMIFS($P$637:$P$700, $D$637:$D$700, Y753, $F$637:$F$700, "&lt;200") + SUMIFS($Q$637:$Q$700, $D$637:$D$700, Y753, $F$637:$F$700, "&lt;200")</f>
        <v>20533.333333333332</v>
      </c>
      <c r="AA753" s="124">
        <f>SUM(P753:Q756)</f>
        <v>15526.666666666666</v>
      </c>
      <c r="AB753" s="124">
        <f>SUMIFS(Collection!O:O, Collection!B:B, "*" &amp; 'Bucket Counts'!Y753 &amp; "*", Collection!A:A, "&lt;" &amp; 'Bucket Counts'!A753,Collection!A:A,  "&gt;=" &amp; 'Bucket Counts'!$A$637)</f>
        <v>0</v>
      </c>
      <c r="AC753" s="161">
        <f>AA753/(Z753+AB753)</f>
        <v>0.75616883116883116</v>
      </c>
    </row>
    <row r="754" spans="1:29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2"/>
        <v>5100</v>
      </c>
      <c r="Q754" s="124">
        <f t="shared" si="73"/>
        <v>1000</v>
      </c>
      <c r="R754" s="161">
        <f t="shared" si="74"/>
        <v>0.83606557377049184</v>
      </c>
      <c r="S754" s="187">
        <f>(SUM(P753:P756)/(SUM(P753:Q756)))</f>
        <v>0.48196650923142981</v>
      </c>
      <c r="T754" s="81"/>
      <c r="U754" s="81"/>
      <c r="V754" s="81"/>
      <c r="Y754" s="87"/>
      <c r="Z754" s="362"/>
      <c r="AA754" s="124"/>
      <c r="AB754" s="124"/>
    </row>
    <row r="755" spans="1:29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2"/>
        <v>650</v>
      </c>
      <c r="Q755" s="124">
        <f t="shared" si="73"/>
        <v>1050</v>
      </c>
      <c r="R755" s="161">
        <f t="shared" si="74"/>
        <v>0.38235294117647056</v>
      </c>
      <c r="S755" s="188"/>
      <c r="T755" s="81"/>
      <c r="U755" s="81"/>
      <c r="V755" s="81"/>
      <c r="Y755" s="87"/>
      <c r="Z755" s="362"/>
      <c r="AA755" s="124"/>
      <c r="AB755" s="124"/>
    </row>
    <row r="756" spans="1:29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203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2"/>
        <v>0</v>
      </c>
      <c r="Q756" s="124">
        <f t="shared" si="73"/>
        <v>5993.3333333333339</v>
      </c>
      <c r="R756" s="161">
        <f t="shared" si="74"/>
        <v>0</v>
      </c>
      <c r="S756" s="188"/>
      <c r="T756" s="81"/>
      <c r="U756" s="81"/>
      <c r="V756" s="81"/>
      <c r="Y756" s="87"/>
      <c r="Z756" s="362"/>
      <c r="AA756" s="124"/>
      <c r="AB756" s="124"/>
    </row>
    <row r="757" spans="1:29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2"/>
        <v>1150</v>
      </c>
      <c r="Q757" s="124">
        <f t="shared" si="73"/>
        <v>0</v>
      </c>
      <c r="R757" s="161">
        <f t="shared" si="74"/>
        <v>1</v>
      </c>
      <c r="S757" s="189" t="str">
        <f>D757</f>
        <v>HL-6 Ambient</v>
      </c>
      <c r="T757" s="81"/>
      <c r="U757" s="81"/>
      <c r="V757" s="81"/>
      <c r="Y757" s="87" t="str">
        <f>D757</f>
        <v>HL-6 Ambient</v>
      </c>
      <c r="Z757" s="362">
        <f>SUMIFS($P$637:$P$700, $D$637:$D$700, Y757, $F$637:$F$700, "&lt;200") + SUMIFS($Q$637:$Q$700, $D$637:$D$700, Y757, $F$637:$F$700, "&lt;200")</f>
        <v>3280.5555555555557</v>
      </c>
      <c r="AA757" s="124">
        <f>SUM(P757:Q760)</f>
        <v>2693.3333333333335</v>
      </c>
      <c r="AB757" s="124">
        <f>SUMIFS(Collection!O:O, Collection!B:B, "*" &amp; 'Bucket Counts'!Y757 &amp; "*", Collection!A:A, "&lt;" &amp; 'Bucket Counts'!A757,Collection!A:A,  "&gt;=" &amp; 'Bucket Counts'!$A$637)</f>
        <v>0</v>
      </c>
      <c r="AC757" s="161">
        <f>AA757/(Z757+AB757)</f>
        <v>0.82099915325994921</v>
      </c>
    </row>
    <row r="758" spans="1:29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2"/>
        <v>833.33333333333337</v>
      </c>
      <c r="Q758" s="124">
        <f t="shared" si="73"/>
        <v>250</v>
      </c>
      <c r="R758" s="161">
        <f t="shared" si="74"/>
        <v>0.76923076923076916</v>
      </c>
      <c r="S758" s="187">
        <f>(SUM(P757:P760)/(SUM(P757:Q760)))</f>
        <v>0.7902227722772277</v>
      </c>
      <c r="T758" s="81"/>
      <c r="Y758" s="87"/>
      <c r="Z758" s="362"/>
      <c r="AA758" s="124"/>
      <c r="AB758" s="124"/>
    </row>
    <row r="759" spans="1:29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2"/>
        <v>145</v>
      </c>
      <c r="Q759" s="124">
        <f t="shared" si="73"/>
        <v>0</v>
      </c>
      <c r="R759" s="161">
        <f t="shared" si="74"/>
        <v>1</v>
      </c>
      <c r="S759" s="188"/>
      <c r="T759" s="81"/>
      <c r="Y759" s="87"/>
      <c r="Z759" s="362"/>
      <c r="AA759" s="124"/>
      <c r="AB759" s="124"/>
    </row>
    <row r="760" spans="1:29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203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2"/>
        <v>0</v>
      </c>
      <c r="Q760" s="124">
        <f t="shared" si="73"/>
        <v>315</v>
      </c>
      <c r="R760" s="161">
        <f t="shared" si="74"/>
        <v>0</v>
      </c>
      <c r="S760" s="188"/>
      <c r="T760" s="81"/>
      <c r="Y760" s="87"/>
      <c r="Z760" s="362"/>
      <c r="AA760" s="124"/>
      <c r="AB760" s="124"/>
    </row>
    <row r="761" spans="1:29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355</v>
      </c>
      <c r="P761" s="124">
        <v>7</v>
      </c>
      <c r="Q761" s="124">
        <v>14</v>
      </c>
      <c r="R761" s="161">
        <f t="shared" si="74"/>
        <v>0.33333333333333331</v>
      </c>
      <c r="S761" s="189" t="str">
        <f>D761</f>
        <v>NF-6 Ambient</v>
      </c>
      <c r="T761" s="81"/>
      <c r="Y761" s="87" t="str">
        <f>D761</f>
        <v>NF-6 Ambient</v>
      </c>
      <c r="Z761" s="362">
        <f>SUMIFS($P$637:$P$700, $D$637:$D$700, Y761, $F$637:$F$700, "&lt;200") + SUMIFS($Q$637:$Q$700, $D$637:$D$700, Y761, $F$637:$F$700, "&lt;200")</f>
        <v>200</v>
      </c>
      <c r="AA761" s="124">
        <f>SUM(P761:Q764)</f>
        <v>186.88888888888889</v>
      </c>
      <c r="AB761" s="124">
        <f>SUMIFS(Collection!O:O, Collection!B:B, "*" &amp; 'Bucket Counts'!Y761 &amp; "*", Collection!A:A, "&lt;" &amp; 'Bucket Counts'!A761,Collection!A:A,  "&gt;=" &amp; 'Bucket Counts'!$A$637)</f>
        <v>0</v>
      </c>
      <c r="AC761" s="161">
        <f>AA761/(Z761+AB761)</f>
        <v>0.93444444444444441</v>
      </c>
    </row>
    <row r="762" spans="1:29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355</v>
      </c>
      <c r="P762" s="303">
        <v>13</v>
      </c>
      <c r="Q762" s="124">
        <v>29</v>
      </c>
      <c r="R762" s="161">
        <f t="shared" si="74"/>
        <v>0.30952380952380953</v>
      </c>
      <c r="S762" s="187">
        <f>(SUM(P761:P764)/(SUM(P761:Q764)))</f>
        <v>0.1070154577883472</v>
      </c>
      <c r="T762" s="81"/>
      <c r="W762" s="302" t="s">
        <v>358</v>
      </c>
      <c r="Y762" s="87"/>
      <c r="Z762" s="362"/>
      <c r="AA762" s="124"/>
      <c r="AB762" s="124"/>
    </row>
    <row r="763" spans="1:29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2"/>
        <v>0</v>
      </c>
      <c r="Q763" s="124">
        <f t="shared" si="73"/>
        <v>30.555555555555554</v>
      </c>
      <c r="R763" s="161">
        <f t="shared" si="74"/>
        <v>0</v>
      </c>
      <c r="S763" s="188"/>
      <c r="T763" s="81"/>
      <c r="W763" s="302" t="s">
        <v>359</v>
      </c>
      <c r="Y763" s="87"/>
      <c r="Z763" s="362"/>
      <c r="AA763" s="124"/>
      <c r="AB763" s="124"/>
    </row>
    <row r="764" spans="1:29" s="85" customFormat="1" ht="16" thickBot="1">
      <c r="A764" s="155">
        <v>42926</v>
      </c>
      <c r="B764" s="83"/>
      <c r="C764" s="83"/>
      <c r="D764" s="79" t="s">
        <v>85</v>
      </c>
      <c r="E764" s="80">
        <v>8</v>
      </c>
      <c r="F764" s="140" t="s">
        <v>203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2"/>
        <v>0</v>
      </c>
      <c r="Q764" s="124">
        <f t="shared" si="73"/>
        <v>93.333333333333329</v>
      </c>
      <c r="R764" s="164">
        <f t="shared" si="74"/>
        <v>0</v>
      </c>
      <c r="S764" s="199"/>
      <c r="Y764" s="140"/>
      <c r="Z764" s="364"/>
      <c r="AA764" s="141"/>
      <c r="AB764" s="141"/>
    </row>
    <row r="765" spans="1:29" s="241" customFormat="1" ht="16" thickBot="1">
      <c r="A765" s="304">
        <v>42929</v>
      </c>
      <c r="B765" s="239"/>
      <c r="C765" s="239"/>
      <c r="D765" s="271" t="s">
        <v>83</v>
      </c>
      <c r="F765" s="242">
        <v>224</v>
      </c>
      <c r="G765" s="242" t="s">
        <v>355</v>
      </c>
      <c r="P765" s="120">
        <v>0</v>
      </c>
      <c r="Q765" s="120">
        <v>0</v>
      </c>
      <c r="R765" s="244" t="e">
        <f t="shared" si="74"/>
        <v>#DIV/0!</v>
      </c>
      <c r="S765" s="245" t="str">
        <f>D765</f>
        <v>NF-10 Low</v>
      </c>
      <c r="T765" s="246"/>
      <c r="U765" s="246"/>
      <c r="V765" s="246"/>
      <c r="Y765" s="89" t="str">
        <f>D765</f>
        <v>NF-10 Low</v>
      </c>
      <c r="Z765" s="352">
        <f>SUMIFS($P$701:$P$764, $D$701:$D$764, Y765, $F$701:$F$764, "&lt;200") + SUMIFS($Q$701:$Q$764, $D$701:$D$764, Y765, $F$701:$F$764, "&lt;200")</f>
        <v>16193.333333333332</v>
      </c>
      <c r="AA765" s="120">
        <f>SUM(P765:Q768)</f>
        <v>2982.2222222222222</v>
      </c>
      <c r="AB765" s="120">
        <f>SUMIFS(Collection!O:O, Collection!B:B, "*" &amp; 'Bucket Counts'!Y765 &amp; "*", Collection!A:A, "&lt;" &amp; 'Bucket Counts'!A765,Collection!A:A,  "&gt;=" &amp; 'Bucket Counts'!$A$701)</f>
        <v>0</v>
      </c>
      <c r="AC765" s="106">
        <f>AA765/(Z765+AB765)</f>
        <v>0.1841635789762591</v>
      </c>
    </row>
    <row r="766" spans="1:29" s="62" customFormat="1" ht="16" thickBot="1">
      <c r="A766" s="305">
        <v>42929</v>
      </c>
      <c r="B766" s="60"/>
      <c r="C766" s="60"/>
      <c r="D766" s="271" t="s">
        <v>83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75">(AVERAGE(I766,K766,M766)/G766)*H766</f>
        <v>333.33333333333331</v>
      </c>
      <c r="Q766" s="120">
        <f t="shared" ref="Q766:Q772" si="76">(AVERAGE(J766,L766,N766)/G766)*H766</f>
        <v>0</v>
      </c>
      <c r="R766" s="106">
        <f t="shared" si="74"/>
        <v>1</v>
      </c>
      <c r="S766" s="181">
        <f>(SUM(P765:P768)/(SUM(P765:Q768)))</f>
        <v>0.52980625931445602</v>
      </c>
      <c r="T766" s="65"/>
      <c r="U766" s="65"/>
      <c r="V766" s="65"/>
      <c r="Y766" s="89"/>
      <c r="Z766" s="358"/>
      <c r="AA766" s="120"/>
      <c r="AB766" s="120"/>
    </row>
    <row r="767" spans="1:29" s="62" customFormat="1" ht="16" thickBot="1">
      <c r="A767" s="88">
        <v>42929</v>
      </c>
      <c r="B767" s="60"/>
      <c r="C767" s="60"/>
      <c r="D767" s="271" t="s">
        <v>83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75"/>
        <v>1166.6666666666667</v>
      </c>
      <c r="Q767" s="120">
        <f t="shared" si="76"/>
        <v>388.88888888888891</v>
      </c>
      <c r="R767" s="106">
        <f t="shared" si="74"/>
        <v>0.75</v>
      </c>
      <c r="S767" s="179"/>
      <c r="T767" s="65"/>
      <c r="U767" s="65"/>
      <c r="V767" s="65"/>
      <c r="Y767" s="89"/>
      <c r="Z767" s="358"/>
      <c r="AA767" s="120"/>
      <c r="AB767" s="120"/>
    </row>
    <row r="768" spans="1:29" s="62" customFormat="1">
      <c r="A768" s="88">
        <v>42929</v>
      </c>
      <c r="B768" s="60"/>
      <c r="C768" s="60"/>
      <c r="D768" s="271" t="s">
        <v>83</v>
      </c>
      <c r="E768" s="137"/>
      <c r="F768" s="89" t="s">
        <v>203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75"/>
        <v>80</v>
      </c>
      <c r="Q768" s="120">
        <f t="shared" si="76"/>
        <v>1013.3333333333333</v>
      </c>
      <c r="R768" s="106">
        <f t="shared" si="74"/>
        <v>7.3170731707317083E-2</v>
      </c>
      <c r="S768" s="182"/>
      <c r="T768" s="65"/>
      <c r="U768" s="65"/>
      <c r="V768" s="65"/>
      <c r="Y768" s="89"/>
      <c r="Z768" s="358"/>
      <c r="AA768" s="120"/>
      <c r="AB768" s="120"/>
    </row>
    <row r="769" spans="1:29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75"/>
        <v>93.333333333333329</v>
      </c>
      <c r="Q769" s="120">
        <f t="shared" si="76"/>
        <v>93.333333333333329</v>
      </c>
      <c r="R769" s="106">
        <f t="shared" si="74"/>
        <v>0.5</v>
      </c>
      <c r="S769" s="183" t="str">
        <f>D769</f>
        <v>NF-6 Low</v>
      </c>
      <c r="T769" s="65"/>
      <c r="U769" s="65"/>
      <c r="V769" s="65"/>
      <c r="Y769" s="89" t="str">
        <f>D769</f>
        <v>NF-6 Low</v>
      </c>
      <c r="Z769" s="352">
        <f>SUMIFS($P$701:$P$764, $D$701:$D$764, Y769, $F$701:$F$764, "&lt;200") + SUMIFS($Q$701:$Q$764, $D$701:$D$764, Y769, $F$701:$F$764, "&lt;200")</f>
        <v>12916.666666666666</v>
      </c>
      <c r="AA769" s="120">
        <f>SUM(P769:Q772)</f>
        <v>5067.7777777777783</v>
      </c>
      <c r="AB769" s="120">
        <f>SUMIFS(Collection!O:O, Collection!B:B, "*" &amp; 'Bucket Counts'!Y769 &amp; "*", Collection!A:A, "&lt;" &amp; 'Bucket Counts'!A769,Collection!A:A,  "&gt;=" &amp; 'Bucket Counts'!$A$701)</f>
        <v>0</v>
      </c>
      <c r="AC769" s="106">
        <f>AA769/(Z769+AB769)</f>
        <v>0.39234408602150544</v>
      </c>
    </row>
    <row r="770" spans="1:29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75"/>
        <v>611.1111111111112</v>
      </c>
      <c r="Q770" s="120">
        <f t="shared" si="76"/>
        <v>1637.7777777777776</v>
      </c>
      <c r="R770" s="106">
        <f t="shared" si="74"/>
        <v>0.27173913043478265</v>
      </c>
      <c r="S770" s="181">
        <f>(SUM(P769:P772)/(SUM(P769:Q772)))</f>
        <v>0.13900460425345321</v>
      </c>
      <c r="T770" s="65"/>
      <c r="U770" s="65"/>
      <c r="V770" s="65"/>
      <c r="Y770" s="89"/>
      <c r="Z770" s="358"/>
      <c r="AA770" s="120"/>
      <c r="AB770" s="120"/>
    </row>
    <row r="771" spans="1:29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75"/>
        <v>0</v>
      </c>
      <c r="Q771" s="120">
        <f t="shared" si="76"/>
        <v>25.555555555555554</v>
      </c>
      <c r="R771" s="106">
        <f t="shared" si="74"/>
        <v>0</v>
      </c>
      <c r="S771" s="182"/>
      <c r="T771" s="65"/>
      <c r="U771" s="65"/>
      <c r="V771" s="65"/>
      <c r="Y771" s="89"/>
      <c r="Z771" s="358"/>
      <c r="AA771" s="120"/>
      <c r="AB771" s="120"/>
    </row>
    <row r="772" spans="1:29" s="62" customFormat="1">
      <c r="A772" s="88">
        <v>42929</v>
      </c>
      <c r="B772" s="60"/>
      <c r="C772" s="60"/>
      <c r="D772" s="62" t="s">
        <v>105</v>
      </c>
      <c r="E772" s="137"/>
      <c r="F772" s="89" t="s">
        <v>203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75"/>
        <v>0</v>
      </c>
      <c r="Q772" s="120">
        <f t="shared" si="76"/>
        <v>2606.666666666667</v>
      </c>
      <c r="R772" s="106">
        <f t="shared" si="74"/>
        <v>0</v>
      </c>
      <c r="S772" s="182"/>
      <c r="T772" s="65"/>
      <c r="U772" s="65"/>
      <c r="V772" s="65"/>
      <c r="Y772" s="89"/>
      <c r="Z772" s="358"/>
      <c r="AA772" s="120"/>
      <c r="AB772" s="120"/>
    </row>
    <row r="773" spans="1:29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355</v>
      </c>
      <c r="P773" s="120">
        <v>0</v>
      </c>
      <c r="Q773" s="120">
        <v>0</v>
      </c>
      <c r="R773" s="106" t="e">
        <f t="shared" si="74"/>
        <v>#DIV/0!</v>
      </c>
      <c r="S773" s="183" t="str">
        <f>D773</f>
        <v>SN-10 Ambient</v>
      </c>
      <c r="T773" s="65"/>
      <c r="U773" s="65"/>
      <c r="V773" s="65"/>
      <c r="Y773" s="89" t="str">
        <f>D773</f>
        <v>SN-10 Ambient</v>
      </c>
      <c r="Z773" s="352">
        <f>SUMIFS($P$701:$P$764, $D$701:$D$764, Y773, $F$701:$F$764, "&lt;200") + SUMIFS($Q$701:$Q$764, $D$701:$D$764, Y773, $F$701:$F$764, "&lt;200")</f>
        <v>88940.333333333328</v>
      </c>
      <c r="AA773" s="120">
        <f>SUM(P773:Q776)</f>
        <v>68736.111111111109</v>
      </c>
      <c r="AB773" s="120">
        <f>SUMIFS(Collection!O:O, Collection!B:B, "*" &amp; 'Bucket Counts'!Y773 &amp; "*", Collection!A:A, "&lt;" &amp; 'Bucket Counts'!A773,Collection!A:A,  "&gt;=" &amp; 'Bucket Counts'!$A$701)</f>
        <v>0</v>
      </c>
      <c r="AC773" s="106">
        <f>AA773/(Z773+AB773)</f>
        <v>0.77283397233850915</v>
      </c>
    </row>
    <row r="774" spans="1:29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77">(AVERAGE(I774,K774,M774)/G774)*H774</f>
        <v>55.55555555555555</v>
      </c>
      <c r="Q774" s="120">
        <f t="shared" ref="Q774:Q796" si="78">(AVERAGE(J774,L774,N774)/G774)*H774</f>
        <v>55.55555555555555</v>
      </c>
      <c r="R774" s="106">
        <f t="shared" si="74"/>
        <v>0.5</v>
      </c>
      <c r="S774" s="181">
        <f>(SUM(P773:P776)/(SUM(P773:Q776)))</f>
        <v>0.66748838149121037</v>
      </c>
      <c r="T774" s="65"/>
      <c r="U774" s="65"/>
      <c r="V774" s="65"/>
      <c r="Y774" s="89"/>
      <c r="Z774" s="358"/>
      <c r="AA774" s="120"/>
      <c r="AB774" s="120"/>
    </row>
    <row r="775" spans="1:29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77"/>
        <v>45600</v>
      </c>
      <c r="Q775" s="120">
        <f t="shared" si="78"/>
        <v>4350</v>
      </c>
      <c r="R775" s="106">
        <f t="shared" si="74"/>
        <v>0.91291291291291288</v>
      </c>
      <c r="S775" s="182"/>
      <c r="T775" s="65"/>
      <c r="U775" s="65"/>
      <c r="V775" s="65"/>
      <c r="Y775" s="89"/>
      <c r="Z775" s="358"/>
      <c r="AA775" s="120"/>
      <c r="AB775" s="120"/>
    </row>
    <row r="776" spans="1:29" s="62" customFormat="1">
      <c r="A776" s="88">
        <v>42929</v>
      </c>
      <c r="B776" s="60"/>
      <c r="C776" s="60"/>
      <c r="D776" s="62" t="s">
        <v>86</v>
      </c>
      <c r="F776" s="89" t="s">
        <v>203</v>
      </c>
      <c r="G776" s="89">
        <v>1</v>
      </c>
      <c r="H776" s="249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77"/>
        <v>225</v>
      </c>
      <c r="Q776" s="120">
        <f t="shared" si="78"/>
        <v>18450</v>
      </c>
      <c r="R776" s="106">
        <f t="shared" si="74"/>
        <v>1.2048192771084338E-2</v>
      </c>
      <c r="S776" s="182"/>
      <c r="T776" s="65"/>
      <c r="U776" s="65"/>
      <c r="V776" s="65"/>
      <c r="Y776" s="89"/>
      <c r="Z776" s="358"/>
      <c r="AA776" s="120"/>
      <c r="AB776" s="120"/>
    </row>
    <row r="777" spans="1:29" s="62" customFormat="1">
      <c r="A777" s="88">
        <v>42929</v>
      </c>
      <c r="B777" s="60"/>
      <c r="C777" s="60"/>
      <c r="D777" s="61" t="s">
        <v>74</v>
      </c>
      <c r="F777" s="89">
        <v>224</v>
      </c>
      <c r="G777" s="89" t="s">
        <v>355</v>
      </c>
      <c r="H777" s="249"/>
      <c r="P777" s="120">
        <v>9</v>
      </c>
      <c r="Q777" s="120">
        <v>7</v>
      </c>
      <c r="R777" s="106">
        <f t="shared" si="74"/>
        <v>0.5625</v>
      </c>
      <c r="S777" s="183" t="str">
        <f>D777</f>
        <v>SN-10 Low</v>
      </c>
      <c r="T777" s="65"/>
      <c r="U777" s="65"/>
      <c r="V777" s="65"/>
      <c r="Y777" s="89" t="str">
        <f>D777</f>
        <v>SN-10 Low</v>
      </c>
      <c r="Z777" s="352">
        <f>SUMIFS($P$701:$P$764, $D$701:$D$764, Y777, $F$701:$F$764, "&lt;200") + SUMIFS($Q$701:$Q$764, $D$701:$D$764, Y777, $F$701:$F$764, "&lt;200")</f>
        <v>434.22222222222223</v>
      </c>
      <c r="AA777" s="120">
        <f>SUM(P777:Q780)</f>
        <v>118.77777777777777</v>
      </c>
      <c r="AB777" s="120">
        <f>SUMIFS(Collection!O:O, Collection!B:B, "*" &amp; 'Bucket Counts'!Y777 &amp; "*", Collection!A:A, "&lt;" &amp; 'Bucket Counts'!A777,Collection!A:A,  "&gt;=" &amp; 'Bucket Counts'!$A$701)</f>
        <v>0</v>
      </c>
      <c r="AC777" s="106">
        <f>AA777/(Z777+AB777)</f>
        <v>0.27354145342886382</v>
      </c>
    </row>
    <row r="778" spans="1:29" s="62" customFormat="1">
      <c r="A778" s="88">
        <v>42929</v>
      </c>
      <c r="B778" s="60"/>
      <c r="C778" s="60"/>
      <c r="D778" s="61" t="s">
        <v>74</v>
      </c>
      <c r="F778" s="89">
        <v>180</v>
      </c>
      <c r="G778" s="89">
        <v>3</v>
      </c>
      <c r="H778" s="249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77"/>
        <v>0</v>
      </c>
      <c r="Q778" s="120">
        <f t="shared" si="78"/>
        <v>27.777777777777775</v>
      </c>
      <c r="R778" s="106">
        <f t="shared" si="74"/>
        <v>0</v>
      </c>
      <c r="S778" s="181">
        <f>(SUM(P777:P780)/(SUM(P777:Q780)))</f>
        <v>7.5771749298409727E-2</v>
      </c>
      <c r="T778" s="65"/>
      <c r="U778" s="65"/>
      <c r="V778" s="65"/>
      <c r="Y778" s="89"/>
      <c r="Z778" s="358"/>
      <c r="AA778" s="120"/>
      <c r="AB778" s="120"/>
    </row>
    <row r="779" spans="1:29" s="62" customFormat="1">
      <c r="A779" s="88">
        <v>42929</v>
      </c>
      <c r="B779" s="60"/>
      <c r="C779" s="60"/>
      <c r="D779" s="61" t="s">
        <v>74</v>
      </c>
      <c r="F779" s="89">
        <v>100</v>
      </c>
      <c r="G779" s="89">
        <v>3</v>
      </c>
      <c r="H779" s="249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77"/>
        <v>0</v>
      </c>
      <c r="Q779" s="120">
        <f t="shared" si="78"/>
        <v>75</v>
      </c>
      <c r="R779" s="106">
        <f t="shared" si="74"/>
        <v>0</v>
      </c>
      <c r="S779" s="182"/>
      <c r="T779" s="65"/>
      <c r="U779" s="65"/>
      <c r="V779" s="65"/>
      <c r="Y779" s="89"/>
      <c r="Z779" s="358"/>
      <c r="AA779" s="120"/>
      <c r="AB779" s="120"/>
    </row>
    <row r="780" spans="1:29" s="62" customFormat="1">
      <c r="A780" s="88">
        <v>42929</v>
      </c>
      <c r="B780" s="60"/>
      <c r="C780" s="60"/>
      <c r="D780" s="61" t="s">
        <v>74</v>
      </c>
      <c r="F780" s="89" t="s">
        <v>203</v>
      </c>
      <c r="G780" s="306" t="s">
        <v>360</v>
      </c>
      <c r="H780" s="249"/>
      <c r="P780" s="307">
        <v>0</v>
      </c>
      <c r="Q780" s="307">
        <v>0</v>
      </c>
      <c r="R780" s="106" t="e">
        <f t="shared" si="74"/>
        <v>#DIV/0!</v>
      </c>
      <c r="S780" s="182"/>
      <c r="T780" s="65"/>
      <c r="U780" s="65"/>
      <c r="V780" s="65"/>
      <c r="Y780" s="89"/>
      <c r="Z780" s="358"/>
      <c r="AA780" s="120"/>
      <c r="AB780" s="120"/>
    </row>
    <row r="781" spans="1:29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49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77"/>
        <v>50</v>
      </c>
      <c r="Q781" s="120">
        <f t="shared" si="78"/>
        <v>0</v>
      </c>
      <c r="R781" s="106">
        <f t="shared" si="74"/>
        <v>1</v>
      </c>
      <c r="S781" s="183" t="str">
        <f>D781</f>
        <v>K-6 Ambient</v>
      </c>
      <c r="T781" s="65"/>
      <c r="U781" s="65"/>
      <c r="V781" s="65"/>
      <c r="Y781" s="89" t="str">
        <f>D781</f>
        <v>K-6 Ambient</v>
      </c>
      <c r="Z781" s="352">
        <f>SUMIFS($P$701:$P$764, $D$701:$D$764, Y781, $F$701:$F$764, "&lt;200") + SUMIFS($Q$701:$Q$764, $D$701:$D$764, Y781, $F$701:$F$764, "&lt;200")</f>
        <v>8229.1666666666661</v>
      </c>
      <c r="AA781" s="120">
        <f>SUM(P781:Q784)</f>
        <v>8237.5</v>
      </c>
      <c r="AB781" s="120">
        <f>SUMIFS(Collection!O:O, Collection!B:B, "*" &amp; 'Bucket Counts'!Y781 &amp; "*", Collection!A:A, "&lt;" &amp; 'Bucket Counts'!A781,Collection!A:A,  "&gt;=" &amp; 'Bucket Counts'!$A$701)</f>
        <v>0</v>
      </c>
      <c r="AC781" s="106">
        <f>AA781/(Z781+AB781)</f>
        <v>1.0010126582278482</v>
      </c>
    </row>
    <row r="782" spans="1:29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49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77"/>
        <v>2291.666666666667</v>
      </c>
      <c r="Q782" s="120">
        <f t="shared" si="78"/>
        <v>1466.6666666666665</v>
      </c>
      <c r="R782" s="106">
        <f t="shared" si="74"/>
        <v>0.60975609756097571</v>
      </c>
      <c r="S782" s="181">
        <f>(SUM(P781:P784)/(SUM(P781:Q784)))</f>
        <v>0.34344967121901876</v>
      </c>
      <c r="T782" s="65"/>
      <c r="U782" s="65"/>
      <c r="V782" s="65"/>
      <c r="Y782" s="89"/>
      <c r="Z782" s="358"/>
      <c r="AA782" s="120"/>
      <c r="AB782" s="120"/>
    </row>
    <row r="783" spans="1:29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49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77"/>
        <v>487.49999999999994</v>
      </c>
      <c r="Q783" s="120">
        <f t="shared" si="78"/>
        <v>75</v>
      </c>
      <c r="R783" s="106">
        <f t="shared" si="74"/>
        <v>0.86666666666666659</v>
      </c>
      <c r="S783" s="182"/>
      <c r="T783" s="65"/>
      <c r="U783" s="65"/>
      <c r="V783" s="65"/>
      <c r="Y783" s="89"/>
      <c r="Z783" s="358"/>
      <c r="AA783" s="120"/>
      <c r="AB783" s="120"/>
    </row>
    <row r="784" spans="1:29" s="62" customFormat="1">
      <c r="A784" s="88">
        <v>42929</v>
      </c>
      <c r="B784" s="60"/>
      <c r="C784" s="60"/>
      <c r="D784" s="62" t="s">
        <v>38</v>
      </c>
      <c r="F784" s="89" t="s">
        <v>203</v>
      </c>
      <c r="G784" s="89">
        <v>1</v>
      </c>
      <c r="H784" s="249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77"/>
        <v>0</v>
      </c>
      <c r="Q784" s="120">
        <f t="shared" si="78"/>
        <v>3866.6666666666665</v>
      </c>
      <c r="R784" s="106">
        <f t="shared" si="74"/>
        <v>0</v>
      </c>
      <c r="S784" s="182"/>
      <c r="T784" s="65"/>
      <c r="U784" s="65"/>
      <c r="V784" s="65"/>
      <c r="Y784" s="89"/>
      <c r="Z784" s="358"/>
      <c r="AA784" s="120"/>
      <c r="AB784" s="120"/>
    </row>
    <row r="785" spans="1:29" s="62" customFormat="1">
      <c r="A785" s="88">
        <v>42929</v>
      </c>
      <c r="B785" s="60"/>
      <c r="C785" s="60"/>
      <c r="D785" s="272" t="s">
        <v>21</v>
      </c>
      <c r="F785" s="89">
        <v>224</v>
      </c>
      <c r="G785" s="89">
        <v>2</v>
      </c>
      <c r="H785" s="249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77"/>
        <v>220</v>
      </c>
      <c r="Q785" s="120">
        <f t="shared" si="78"/>
        <v>36.666666666666664</v>
      </c>
      <c r="R785" s="106">
        <f t="shared" si="74"/>
        <v>0.8571428571428571</v>
      </c>
      <c r="S785" s="183" t="str">
        <f>D785</f>
        <v>HL-6 Low</v>
      </c>
      <c r="T785" s="65"/>
      <c r="U785" s="65"/>
      <c r="V785" s="65"/>
      <c r="Y785" s="89" t="str">
        <f>D785</f>
        <v>HL-6 Low</v>
      </c>
      <c r="Z785" s="352">
        <f>SUMIFS($P$701:$P$764, $D$701:$D$764, Y785, $F$701:$F$764, "&lt;200") + SUMIFS($Q$701:$Q$764, $D$701:$D$764, Y785, $F$701:$F$764, "&lt;200")</f>
        <v>7800</v>
      </c>
      <c r="AA785" s="120">
        <f>SUM(P785:Q788)</f>
        <v>9373.3333333333339</v>
      </c>
      <c r="AB785" s="120">
        <f>SUMIFS(Collection!O:O, Collection!B:B, "*" &amp; 'Bucket Counts'!Y785 &amp; "*", Collection!A:A, "&lt;" &amp; 'Bucket Counts'!A785,Collection!A:A,  "&gt;=" &amp; 'Bucket Counts'!$A$701)</f>
        <v>0</v>
      </c>
      <c r="AC785" s="106">
        <f>AA785/(Z785+AB785)</f>
        <v>1.2017094017094019</v>
      </c>
    </row>
    <row r="786" spans="1:29" s="62" customFormat="1">
      <c r="A786" s="88">
        <v>42929</v>
      </c>
      <c r="B786" s="60"/>
      <c r="C786" s="60"/>
      <c r="D786" s="272" t="s">
        <v>21</v>
      </c>
      <c r="F786" s="89">
        <v>180</v>
      </c>
      <c r="G786" s="89">
        <v>1</v>
      </c>
      <c r="H786" s="249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77"/>
        <v>4200</v>
      </c>
      <c r="Q786" s="120">
        <f t="shared" si="78"/>
        <v>300</v>
      </c>
      <c r="R786" s="106">
        <f t="shared" si="74"/>
        <v>0.93333333333333335</v>
      </c>
      <c r="S786" s="181">
        <f>(SUM(P785:P788)/(SUM(P785:Q788)))</f>
        <v>0.51155761024182078</v>
      </c>
      <c r="T786" s="65"/>
      <c r="Y786" s="89"/>
      <c r="Z786" s="358"/>
      <c r="AA786" s="120"/>
      <c r="AB786" s="120"/>
    </row>
    <row r="787" spans="1:29" s="62" customFormat="1">
      <c r="A787" s="88">
        <v>42929</v>
      </c>
      <c r="B787" s="60"/>
      <c r="C787" s="60"/>
      <c r="D787" s="272" t="s">
        <v>21</v>
      </c>
      <c r="F787" s="89">
        <v>100</v>
      </c>
      <c r="G787" s="89">
        <v>2</v>
      </c>
      <c r="H787" s="249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77"/>
        <v>375</v>
      </c>
      <c r="Q787" s="120">
        <f t="shared" si="78"/>
        <v>75</v>
      </c>
      <c r="R787" s="106">
        <f t="shared" si="74"/>
        <v>0.83333333333333337</v>
      </c>
      <c r="S787" s="182"/>
      <c r="T787" s="65"/>
      <c r="Y787" s="89"/>
      <c r="Z787" s="358"/>
      <c r="AA787" s="120"/>
      <c r="AB787" s="120"/>
    </row>
    <row r="788" spans="1:29" s="62" customFormat="1">
      <c r="A788" s="88">
        <v>42929</v>
      </c>
      <c r="B788" s="60"/>
      <c r="C788" s="60"/>
      <c r="D788" s="272" t="s">
        <v>21</v>
      </c>
      <c r="F788" s="89" t="s">
        <v>203</v>
      </c>
      <c r="G788" s="89">
        <v>1</v>
      </c>
      <c r="H788" s="249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77"/>
        <v>0</v>
      </c>
      <c r="Q788" s="120">
        <f t="shared" si="78"/>
        <v>4166.666666666667</v>
      </c>
      <c r="R788" s="106">
        <f t="shared" si="74"/>
        <v>0</v>
      </c>
      <c r="S788" s="182"/>
      <c r="T788" s="65"/>
      <c r="Y788" s="89"/>
      <c r="Z788" s="358"/>
      <c r="AA788" s="120"/>
      <c r="AB788" s="120"/>
    </row>
    <row r="789" spans="1:29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49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77"/>
        <v>112.5</v>
      </c>
      <c r="Q789" s="120">
        <f t="shared" si="78"/>
        <v>37.5</v>
      </c>
      <c r="R789" s="106">
        <f t="shared" si="74"/>
        <v>0.75</v>
      </c>
      <c r="S789" s="180" t="str">
        <f>D789</f>
        <v>HL-6 Ambient</v>
      </c>
      <c r="T789" s="65"/>
      <c r="Y789" s="89" t="str">
        <f>D789</f>
        <v>HL-6 Ambient</v>
      </c>
      <c r="Z789" s="352">
        <f>SUMIFS($P$701:$P$764, $D$701:$D$764, Y789, $F$701:$F$764, "&lt;200") + SUMIFS($Q$701:$Q$764, $D$701:$D$764, Y789, $F$701:$F$764, "&lt;200")</f>
        <v>1228.3333333333335</v>
      </c>
      <c r="AA789" s="120">
        <f>SUM(P789:Q792)</f>
        <v>1538.8888888888889</v>
      </c>
      <c r="AB789" s="120">
        <f>SUMIFS(Collection!O:O, Collection!B:B, "*" &amp; 'Bucket Counts'!Y789 &amp; "*", Collection!A:A, "&lt;" &amp; 'Bucket Counts'!A789,Collection!A:A,  "&gt;=" &amp; 'Bucket Counts'!$A$701)</f>
        <v>0</v>
      </c>
      <c r="AC789" s="106">
        <f>AA789/(Z789+AB789)</f>
        <v>1.2528267752148348</v>
      </c>
    </row>
    <row r="790" spans="1:29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49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77"/>
        <v>500</v>
      </c>
      <c r="Q790" s="120">
        <f t="shared" si="78"/>
        <v>166.66666666666666</v>
      </c>
      <c r="R790" s="106">
        <f t="shared" si="74"/>
        <v>0.75</v>
      </c>
      <c r="S790" s="181">
        <f>(SUM(P789:P792)/(SUM(P789:Q792)))</f>
        <v>0.49440433212996393</v>
      </c>
      <c r="T790" s="65"/>
      <c r="Y790" s="89"/>
      <c r="Z790" s="358"/>
      <c r="AA790" s="120"/>
      <c r="AB790" s="120"/>
    </row>
    <row r="791" spans="1:29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49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77"/>
        <v>73.333333333333329</v>
      </c>
      <c r="Q791" s="120">
        <f t="shared" si="78"/>
        <v>48.888888888888886</v>
      </c>
      <c r="R791" s="106">
        <f t="shared" si="74"/>
        <v>0.6</v>
      </c>
      <c r="S791" s="179"/>
      <c r="T791" s="65"/>
      <c r="Y791" s="89"/>
      <c r="Z791" s="358"/>
      <c r="AA791" s="120"/>
      <c r="AB791" s="120"/>
    </row>
    <row r="792" spans="1:29" s="62" customFormat="1">
      <c r="A792" s="88">
        <v>42929</v>
      </c>
      <c r="B792" s="60"/>
      <c r="C792" s="60"/>
      <c r="D792" s="61" t="s">
        <v>119</v>
      </c>
      <c r="F792" s="89" t="s">
        <v>203</v>
      </c>
      <c r="G792" s="89">
        <v>1</v>
      </c>
      <c r="H792" s="249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78"/>
        <v>525</v>
      </c>
      <c r="R792" s="106">
        <f t="shared" si="74"/>
        <v>0.125</v>
      </c>
      <c r="S792" s="182"/>
      <c r="T792" s="65"/>
      <c r="Y792" s="89"/>
      <c r="Z792" s="358"/>
      <c r="AA792" s="120"/>
      <c r="AB792" s="120"/>
    </row>
    <row r="793" spans="1:29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49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79">(AVERAGE(I793,K793,M793)/G793)*H793</f>
        <v>48.888888888888886</v>
      </c>
      <c r="Q793" s="120">
        <f t="shared" si="78"/>
        <v>0</v>
      </c>
      <c r="R793" s="106">
        <f t="shared" si="74"/>
        <v>1</v>
      </c>
      <c r="S793" s="183" t="str">
        <f>D793</f>
        <v>SN-6 Ambient</v>
      </c>
      <c r="T793" s="65"/>
      <c r="Y793" s="89" t="str">
        <f>D793</f>
        <v>SN-6 Ambient</v>
      </c>
      <c r="Z793" s="352">
        <f>SUMIFS($P$701:$P$764, $D$701:$D$764, Y793, $F$701:$F$764, "&lt;200") + SUMIFS($Q$701:$Q$764, $D$701:$D$764, Y793, $F$701:$F$764, "&lt;200")</f>
        <v>462.22222222222217</v>
      </c>
      <c r="AA793" s="120">
        <f>SUM(P793:Q796)</f>
        <v>728.88888888888891</v>
      </c>
      <c r="AB793" s="120">
        <f>SUMIFS(Collection!O:O, Collection!B:B, "*" &amp; 'Bucket Counts'!Y793 &amp; "*", Collection!A:A, "&lt;" &amp; 'Bucket Counts'!A793,Collection!A:A,  "&gt;=" &amp; 'Bucket Counts'!$A$701)</f>
        <v>0</v>
      </c>
      <c r="AC793" s="106">
        <f>AA793/(Z793+AB793)</f>
        <v>1.5769230769230771</v>
      </c>
    </row>
    <row r="794" spans="1:29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49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79"/>
        <v>160</v>
      </c>
      <c r="Q794" s="120">
        <f t="shared" si="78"/>
        <v>0</v>
      </c>
      <c r="R794" s="106">
        <f t="shared" si="74"/>
        <v>1</v>
      </c>
      <c r="S794" s="181">
        <f>(SUM(P793:P796)/(SUM(P793:Q796)))</f>
        <v>0.28658536585365851</v>
      </c>
      <c r="T794" s="65"/>
      <c r="Y794" s="89"/>
      <c r="Z794" s="358"/>
      <c r="AA794" s="120"/>
      <c r="AB794" s="120"/>
    </row>
    <row r="795" spans="1:29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49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79"/>
        <v>0</v>
      </c>
      <c r="Q795" s="120">
        <f t="shared" si="78"/>
        <v>0</v>
      </c>
      <c r="R795" s="106" t="e">
        <f t="shared" si="74"/>
        <v>#DIV/0!</v>
      </c>
      <c r="S795" s="182"/>
      <c r="T795" s="65"/>
      <c r="Y795" s="89"/>
      <c r="Z795" s="358"/>
      <c r="AA795" s="120"/>
      <c r="AB795" s="120"/>
    </row>
    <row r="796" spans="1:29" s="62" customFormat="1">
      <c r="A796" s="88">
        <v>42929</v>
      </c>
      <c r="B796" s="60"/>
      <c r="C796" s="60"/>
      <c r="D796" s="61" t="s">
        <v>87</v>
      </c>
      <c r="F796" s="89" t="s">
        <v>203</v>
      </c>
      <c r="G796" s="89">
        <v>1</v>
      </c>
      <c r="H796" s="249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79"/>
        <v>0</v>
      </c>
      <c r="Q796" s="120">
        <f t="shared" si="78"/>
        <v>520</v>
      </c>
      <c r="R796" s="106">
        <f t="shared" si="74"/>
        <v>0</v>
      </c>
      <c r="S796" s="182"/>
      <c r="T796" s="65"/>
      <c r="Y796" s="89"/>
      <c r="Z796" s="358"/>
      <c r="AA796" s="120"/>
      <c r="AB796" s="120"/>
    </row>
    <row r="797" spans="1:29" s="62" customFormat="1">
      <c r="A797" s="88">
        <v>42929</v>
      </c>
      <c r="B797" s="60"/>
      <c r="C797" s="60"/>
      <c r="D797" s="62" t="s">
        <v>20</v>
      </c>
      <c r="F797" s="89">
        <v>224</v>
      </c>
      <c r="G797" s="89" t="s">
        <v>355</v>
      </c>
      <c r="H797" s="249"/>
      <c r="P797" s="120">
        <v>24</v>
      </c>
      <c r="Q797" s="120">
        <v>8</v>
      </c>
      <c r="R797" s="106">
        <f t="shared" si="74"/>
        <v>0.75</v>
      </c>
      <c r="S797" s="183" t="str">
        <f>D797</f>
        <v>K-10 Low</v>
      </c>
      <c r="Y797" s="89" t="str">
        <f>D797</f>
        <v>K-10 Low</v>
      </c>
      <c r="Z797" s="352">
        <f>SUMIFS($P$701:$P$764, $D$701:$D$764, Y797, $F$701:$F$764, "&lt;200") + SUMIFS($Q$701:$Q$764, $D$701:$D$764, Y797, $F$701:$F$764, "&lt;200")</f>
        <v>1466.6666666666665</v>
      </c>
      <c r="AA797" s="120">
        <f>SUM(P797:Q800)</f>
        <v>810.33333333333326</v>
      </c>
      <c r="AB797" s="120">
        <f>SUMIFS(Collection!O:O, Collection!B:B, "*" &amp; 'Bucket Counts'!Y797 &amp; "*", Collection!A:A, "&lt;" &amp; 'Bucket Counts'!A797,Collection!A:A,  "&gt;=" &amp; 'Bucket Counts'!$A$701)</f>
        <v>0</v>
      </c>
      <c r="AC797" s="106">
        <f>AA797/(Z797+AB797)</f>
        <v>0.55249999999999999</v>
      </c>
    </row>
    <row r="798" spans="1:29" s="62" customFormat="1">
      <c r="A798" s="88">
        <v>42929</v>
      </c>
      <c r="B798" s="60"/>
      <c r="C798" s="60"/>
      <c r="D798" s="62" t="s">
        <v>20</v>
      </c>
      <c r="F798" s="89">
        <v>180</v>
      </c>
      <c r="G798" s="89">
        <v>3</v>
      </c>
      <c r="H798" s="249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0">(AVERAGE(I798,K798,M798)/G798)*H798</f>
        <v>293.33333333333331</v>
      </c>
      <c r="Q798" s="120">
        <f t="shared" ref="Q798:Q809" si="81">(AVERAGE(J798,L798,N798)/G798)*H798</f>
        <v>26.666666666666664</v>
      </c>
      <c r="R798" s="106">
        <f t="shared" si="74"/>
        <v>0.91666666666666663</v>
      </c>
      <c r="S798" s="181">
        <f>(SUM(P797:P800)/(SUM(P797:Q800)))</f>
        <v>0.49444672974084741</v>
      </c>
      <c r="Y798" s="89"/>
      <c r="Z798" s="358"/>
      <c r="AA798" s="120"/>
      <c r="AB798" s="120"/>
    </row>
    <row r="799" spans="1:29" s="62" customFormat="1">
      <c r="A799" s="88">
        <v>42929</v>
      </c>
      <c r="B799" s="60"/>
      <c r="C799" s="60"/>
      <c r="D799" s="62" t="s">
        <v>20</v>
      </c>
      <c r="F799" s="89">
        <v>100</v>
      </c>
      <c r="G799" s="89">
        <v>2</v>
      </c>
      <c r="H799" s="249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0"/>
        <v>0</v>
      </c>
      <c r="Q799" s="120">
        <f t="shared" si="81"/>
        <v>83.333333333333329</v>
      </c>
      <c r="R799" s="106">
        <f t="shared" si="74"/>
        <v>0</v>
      </c>
      <c r="S799" s="182"/>
      <c r="Y799" s="89"/>
      <c r="Z799" s="358"/>
      <c r="AA799" s="120"/>
      <c r="AB799" s="120"/>
    </row>
    <row r="800" spans="1:29" s="62" customFormat="1">
      <c r="A800" s="88">
        <v>42929</v>
      </c>
      <c r="B800" s="60"/>
      <c r="C800" s="60"/>
      <c r="D800" s="62" t="s">
        <v>20</v>
      </c>
      <c r="F800" s="89" t="s">
        <v>203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0"/>
        <v>83.333333333333329</v>
      </c>
      <c r="Q800" s="120">
        <f t="shared" si="81"/>
        <v>291.66666666666669</v>
      </c>
      <c r="R800" s="106">
        <f t="shared" si="74"/>
        <v>0.22222222222222221</v>
      </c>
      <c r="S800" s="182"/>
      <c r="Y800" s="89"/>
      <c r="Z800" s="358"/>
      <c r="AA800" s="120"/>
      <c r="AB800" s="120"/>
    </row>
    <row r="801" spans="1:29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355</v>
      </c>
      <c r="P801" s="120">
        <v>1</v>
      </c>
      <c r="Q801" s="120">
        <v>0</v>
      </c>
      <c r="R801" s="106">
        <f t="shared" si="74"/>
        <v>1</v>
      </c>
      <c r="S801" s="183" t="str">
        <f>D801</f>
        <v>NF-10 Ambient</v>
      </c>
      <c r="T801" s="65"/>
      <c r="U801" s="65"/>
      <c r="V801" s="65"/>
      <c r="Y801" s="89" t="str">
        <f>D801</f>
        <v>NF-10 Ambient</v>
      </c>
      <c r="Z801" s="352">
        <f>SUMIFS($P$701:$P$764, $D$701:$D$764, Y801, $F$701:$F$764, "&lt;200") + SUMIFS($Q$701:$Q$764, $D$701:$D$764, Y801, $F$701:$F$764, "&lt;200")</f>
        <v>391.11111111111109</v>
      </c>
      <c r="AA801" s="120">
        <f>SUM(P801:Q804)</f>
        <v>264</v>
      </c>
      <c r="AB801" s="120">
        <f>SUMIFS(Collection!O:O, Collection!B:B, "*" &amp; 'Bucket Counts'!Y801 &amp; "*", Collection!A:A, "&lt;" &amp; 'Bucket Counts'!A801,Collection!A:A,  "&gt;=" &amp; 'Bucket Counts'!$A$701)</f>
        <v>0</v>
      </c>
      <c r="AC801" s="106">
        <f>AA801/(Z801+AB801)</f>
        <v>0.67500000000000004</v>
      </c>
    </row>
    <row r="802" spans="1:29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355</v>
      </c>
      <c r="P802" s="120">
        <v>45</v>
      </c>
      <c r="Q802" s="120">
        <v>18</v>
      </c>
      <c r="R802" s="106">
        <f t="shared" si="74"/>
        <v>0.7142857142857143</v>
      </c>
      <c r="S802" s="181">
        <f>(SUM(P801:P804)/(SUM(P801:Q804)))</f>
        <v>0.17424242424242425</v>
      </c>
      <c r="T802" s="65"/>
      <c r="U802" s="65"/>
      <c r="V802" s="65"/>
      <c r="Y802" s="89"/>
      <c r="Z802" s="358"/>
      <c r="AA802" s="120"/>
      <c r="AB802" s="120"/>
    </row>
    <row r="803" spans="1:29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0"/>
        <v>0</v>
      </c>
      <c r="Q803" s="120">
        <f t="shared" si="81"/>
        <v>0</v>
      </c>
      <c r="R803" s="106" t="e">
        <f t="shared" si="74"/>
        <v>#DIV/0!</v>
      </c>
      <c r="S803" s="182"/>
      <c r="T803" s="65"/>
      <c r="U803" s="65"/>
      <c r="V803" s="65"/>
      <c r="Y803" s="89"/>
      <c r="Z803" s="358"/>
      <c r="AA803" s="120"/>
      <c r="AB803" s="120"/>
    </row>
    <row r="804" spans="1:29" s="62" customFormat="1">
      <c r="A804" s="88">
        <v>42929</v>
      </c>
      <c r="B804" s="60"/>
      <c r="C804" s="60"/>
      <c r="D804" s="62" t="s">
        <v>84</v>
      </c>
      <c r="F804" s="89" t="s">
        <v>203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0"/>
        <v>0</v>
      </c>
      <c r="Q804" s="120">
        <f t="shared" si="81"/>
        <v>200</v>
      </c>
      <c r="R804" s="106">
        <f t="shared" ref="R804:R867" si="82">P804/(P804+Q804)</f>
        <v>0</v>
      </c>
      <c r="S804" s="182"/>
      <c r="T804" s="65"/>
      <c r="U804" s="65"/>
      <c r="V804" s="65"/>
      <c r="Y804" s="89"/>
      <c r="Z804" s="358"/>
      <c r="AA804" s="120"/>
      <c r="AB804" s="120"/>
    </row>
    <row r="805" spans="1:29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0"/>
        <v>25</v>
      </c>
      <c r="Q805" s="120">
        <f t="shared" si="81"/>
        <v>50</v>
      </c>
      <c r="R805" s="106">
        <f t="shared" si="82"/>
        <v>0.33333333333333331</v>
      </c>
      <c r="S805" s="183" t="str">
        <f>D805</f>
        <v>K-10 Ambient</v>
      </c>
      <c r="T805" s="65"/>
      <c r="U805" s="65"/>
      <c r="V805" s="65"/>
      <c r="Y805" s="89" t="str">
        <f>D805</f>
        <v>K-10 Ambient</v>
      </c>
      <c r="Z805" s="352">
        <f>SUMIFS($P$701:$P$764, $D$701:$D$764, Y805, $F$701:$F$764, "&lt;200") + SUMIFS($Q$701:$Q$764, $D$701:$D$764, Y805, $F$701:$F$764, "&lt;200")</f>
        <v>1894.4444444444443</v>
      </c>
      <c r="AA805" s="120">
        <f>SUM(P805:Q808)</f>
        <v>581.66666666666674</v>
      </c>
      <c r="AB805" s="120">
        <f>SUMIFS(Collection!O:O, Collection!B:B, "*" &amp; 'Bucket Counts'!Y805 &amp; "*", Collection!A:A, "&lt;" &amp; 'Bucket Counts'!A805,Collection!A:A,  "&gt;=" &amp; 'Bucket Counts'!$A$701)</f>
        <v>0</v>
      </c>
      <c r="AC805" s="106">
        <f>AA805/(Z805+AB805)</f>
        <v>0.30703812316715551</v>
      </c>
    </row>
    <row r="806" spans="1:29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1"/>
        <v>106.66666666666666</v>
      </c>
      <c r="R806" s="106">
        <f t="shared" si="82"/>
        <v>0.76470588235294112</v>
      </c>
      <c r="S806" s="181">
        <f>(SUM(P805:P808)/(SUM(P805:Q808)))</f>
        <v>0.63896848137535811</v>
      </c>
      <c r="T806" s="65"/>
      <c r="U806" s="65"/>
      <c r="V806" s="65"/>
      <c r="Y806" s="89"/>
      <c r="Z806" s="358"/>
      <c r="AA806" s="120"/>
      <c r="AB806" s="120"/>
    </row>
    <row r="807" spans="1:29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3">(AVERAGE(I807,K807,M807)/G807)*H807</f>
        <v>0</v>
      </c>
      <c r="Q807" s="120">
        <f t="shared" si="81"/>
        <v>53.333333333333329</v>
      </c>
      <c r="R807" s="106">
        <f t="shared" si="82"/>
        <v>0</v>
      </c>
      <c r="S807" s="182"/>
      <c r="T807" s="65"/>
      <c r="U807" s="65"/>
      <c r="V807" s="65"/>
      <c r="Y807" s="89"/>
      <c r="Z807" s="358"/>
      <c r="AA807" s="120"/>
      <c r="AB807" s="120"/>
    </row>
    <row r="808" spans="1:29" s="62" customFormat="1">
      <c r="A808" s="88">
        <v>42929</v>
      </c>
      <c r="B808" s="60"/>
      <c r="C808" s="60"/>
      <c r="D808" s="62" t="s">
        <v>17</v>
      </c>
      <c r="F808" s="89" t="s">
        <v>203</v>
      </c>
      <c r="G808" s="89"/>
      <c r="P808" s="120">
        <v>0</v>
      </c>
      <c r="Q808" s="120">
        <v>0</v>
      </c>
      <c r="R808" s="106" t="e">
        <f t="shared" si="82"/>
        <v>#DIV/0!</v>
      </c>
      <c r="S808" s="182"/>
      <c r="T808" s="65"/>
      <c r="U808" s="65"/>
      <c r="V808" s="65"/>
      <c r="Y808" s="89"/>
      <c r="Z808" s="358"/>
      <c r="AA808" s="120"/>
      <c r="AB808" s="120"/>
    </row>
    <row r="809" spans="1:29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84">(AVERAGE(I809,K809,M809)/G809)*H809</f>
        <v>75</v>
      </c>
      <c r="Q809" s="120">
        <f t="shared" si="81"/>
        <v>0</v>
      </c>
      <c r="R809" s="106">
        <f t="shared" si="82"/>
        <v>1</v>
      </c>
      <c r="S809" s="183" t="str">
        <f>D809</f>
        <v>HL-10 Ambient</v>
      </c>
      <c r="T809" s="65"/>
      <c r="U809" s="65"/>
      <c r="V809" s="65"/>
      <c r="Y809" s="89" t="str">
        <f>D809</f>
        <v>HL-10 Ambient</v>
      </c>
      <c r="Z809" s="352">
        <f>SUMIFS($P$701:$P$764, $D$701:$D$764, Y809, $F$701:$F$764, "&lt;200") + SUMIFS($Q$701:$Q$764, $D$701:$D$764, Y809, $F$701:$F$764, "&lt;200")</f>
        <v>51333.333333333328</v>
      </c>
      <c r="AA809" s="120">
        <f>SUM(P809:Q812)</f>
        <v>27376.666666666664</v>
      </c>
      <c r="AB809" s="120">
        <f>SUMIFS(Collection!O:O, Collection!B:B, "*" &amp; 'Bucket Counts'!Y809 &amp; "*", Collection!A:A, "&lt;" &amp; 'Bucket Counts'!A809,Collection!A:A,  "&gt;=" &amp; 'Bucket Counts'!$A$701)</f>
        <v>0</v>
      </c>
      <c r="AC809" s="106">
        <f>AA809/(Z809+AB809)</f>
        <v>0.53331168831168829</v>
      </c>
    </row>
    <row r="810" spans="1:29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85">(AVERAGE(I810,K810,M810)/G810)*H810</f>
        <v>3840</v>
      </c>
      <c r="Q810" s="120">
        <f t="shared" ref="Q810:Q813" si="86">(AVERAGE(J810,L810,N810)/G810)*H810</f>
        <v>0</v>
      </c>
      <c r="R810" s="106">
        <f t="shared" si="82"/>
        <v>1</v>
      </c>
      <c r="S810" s="181">
        <f>(SUM(P809:P812)/(SUM(P809:Q812)))</f>
        <v>0.6038597345671497</v>
      </c>
      <c r="T810" s="65"/>
      <c r="U810" s="65"/>
      <c r="V810" s="65"/>
      <c r="Y810" s="89"/>
      <c r="Z810" s="358"/>
      <c r="AA810" s="120"/>
      <c r="AB810" s="120"/>
    </row>
    <row r="811" spans="1:29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85"/>
        <v>10450</v>
      </c>
      <c r="Q811" s="120">
        <f t="shared" si="86"/>
        <v>791.66666666666674</v>
      </c>
      <c r="R811" s="106">
        <f t="shared" si="82"/>
        <v>0.92957746478873249</v>
      </c>
      <c r="S811" s="182"/>
      <c r="T811" s="65"/>
      <c r="U811" s="65"/>
      <c r="V811" s="65"/>
      <c r="Y811" s="89"/>
      <c r="Z811" s="358"/>
      <c r="AA811" s="120"/>
      <c r="AB811" s="120"/>
    </row>
    <row r="812" spans="1:29" s="62" customFormat="1">
      <c r="A812" s="88">
        <v>42929</v>
      </c>
      <c r="B812" s="60"/>
      <c r="C812" s="60"/>
      <c r="D812" s="62" t="s">
        <v>88</v>
      </c>
      <c r="F812" s="89" t="s">
        <v>203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85"/>
        <v>2166.666666666667</v>
      </c>
      <c r="Q812" s="120">
        <f t="shared" si="86"/>
        <v>10053.333333333332</v>
      </c>
      <c r="R812" s="106">
        <f t="shared" si="82"/>
        <v>0.17730496453900713</v>
      </c>
      <c r="S812" s="182"/>
      <c r="T812" s="65"/>
      <c r="U812" s="65"/>
      <c r="V812" s="65"/>
      <c r="Y812" s="89"/>
      <c r="Z812" s="358"/>
      <c r="AA812" s="120"/>
      <c r="AB812" s="120"/>
    </row>
    <row r="813" spans="1:29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85"/>
        <v>27.777777777777775</v>
      </c>
      <c r="Q813" s="120">
        <f t="shared" si="86"/>
        <v>55.55555555555555</v>
      </c>
      <c r="R813" s="106">
        <f t="shared" si="82"/>
        <v>0.33333333333333331</v>
      </c>
      <c r="S813" s="183" t="str">
        <f>D813</f>
        <v>K-6 Low</v>
      </c>
      <c r="T813" s="65"/>
      <c r="U813" s="65"/>
      <c r="V813" s="65"/>
      <c r="Y813" s="89" t="str">
        <f>D813</f>
        <v>K-6 Low</v>
      </c>
      <c r="Z813" s="352">
        <f>SUMIFS($P$701:$P$764, $D$701:$D$764, Y813, $F$701:$F$764, "&lt;200") + SUMIFS($Q$701:$Q$764, $D$701:$D$764, Y813, $F$701:$F$764, "&lt;200")</f>
        <v>3800.8333333333335</v>
      </c>
      <c r="AA813" s="120">
        <f>SUM(P813:Q816)</f>
        <v>4148.3333333333339</v>
      </c>
      <c r="AB813" s="120">
        <f>SUMIFS(Collection!O:O, Collection!B:B, "*" &amp; 'Bucket Counts'!Y813 &amp; "*", Collection!A:A, "&lt;" &amp; 'Bucket Counts'!A813,Collection!A:A,  "&gt;=" &amp; 'Bucket Counts'!$A$701)</f>
        <v>0</v>
      </c>
      <c r="AC813" s="106">
        <f>AA813/(Z813+AB813)</f>
        <v>1.091427318570489</v>
      </c>
    </row>
    <row r="814" spans="1:29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1" si="87">(AVERAGE(I814,K814,M814)/G814)*H814</f>
        <v>320</v>
      </c>
      <c r="Q814" s="120">
        <f t="shared" ref="Q814:Q821" si="88">(AVERAGE(J814,L814,N814)/G814)*H814</f>
        <v>453.33333333333337</v>
      </c>
      <c r="R814" s="106">
        <f t="shared" si="82"/>
        <v>0.41379310344827586</v>
      </c>
      <c r="S814" s="181">
        <f>(SUM(P813:P816)/(SUM(P813:Q816)))</f>
        <v>9.6692111959287508E-2</v>
      </c>
      <c r="T814" s="65"/>
      <c r="U814" s="65"/>
      <c r="V814" s="65"/>
      <c r="Y814" s="89"/>
      <c r="Z814" s="358"/>
      <c r="AA814" s="120"/>
      <c r="AB814" s="120"/>
    </row>
    <row r="815" spans="1:29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87"/>
        <v>53.333333333333329</v>
      </c>
      <c r="Q815" s="120">
        <f t="shared" si="88"/>
        <v>213.33333333333331</v>
      </c>
      <c r="R815" s="106">
        <f t="shared" si="82"/>
        <v>0.2</v>
      </c>
      <c r="S815" s="182"/>
      <c r="T815" s="65"/>
      <c r="U815" s="65"/>
      <c r="V815" s="65"/>
      <c r="Y815" s="89"/>
      <c r="Z815" s="358"/>
      <c r="AA815" s="120"/>
      <c r="AB815" s="120"/>
    </row>
    <row r="816" spans="1:29" s="62" customFormat="1">
      <c r="A816" s="88">
        <v>42929</v>
      </c>
      <c r="B816" s="60"/>
      <c r="C816" s="60"/>
      <c r="D816" s="62" t="s">
        <v>46</v>
      </c>
      <c r="F816" s="89" t="s">
        <v>203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87"/>
        <v>0</v>
      </c>
      <c r="Q816" s="120">
        <f t="shared" si="88"/>
        <v>3025</v>
      </c>
      <c r="R816" s="106">
        <f t="shared" si="82"/>
        <v>0</v>
      </c>
      <c r="S816" s="182"/>
      <c r="T816" s="65"/>
      <c r="U816" s="65"/>
      <c r="V816" s="65"/>
      <c r="Y816" s="89"/>
      <c r="Z816" s="358"/>
      <c r="AA816" s="120"/>
      <c r="AB816" s="120"/>
    </row>
    <row r="817" spans="1:29" s="62" customFormat="1">
      <c r="A817" s="88">
        <v>42929</v>
      </c>
      <c r="B817" s="60"/>
      <c r="C817" s="60"/>
      <c r="D817" s="62" t="s">
        <v>109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87"/>
        <v>333.33333333333331</v>
      </c>
      <c r="Q817" s="120">
        <f t="shared" si="88"/>
        <v>27.777777777777775</v>
      </c>
      <c r="R817" s="106">
        <f t="shared" si="82"/>
        <v>0.92307692307692313</v>
      </c>
      <c r="S817" s="183" t="str">
        <f>D817</f>
        <v>HL-10 Low</v>
      </c>
      <c r="T817" s="65"/>
      <c r="U817" s="65"/>
      <c r="V817" s="65"/>
      <c r="Y817" s="89" t="str">
        <f>D817</f>
        <v>HL-10 Low</v>
      </c>
      <c r="Z817" s="352">
        <f>SUMIFS($P$701:$P$764, $D$701:$D$764, Y817, $F$701:$F$764, "&lt;200") + SUMIFS($Q$701:$Q$764, $D$701:$D$764, Y817, $F$701:$F$764, "&lt;200")</f>
        <v>20760.000000000004</v>
      </c>
      <c r="AA817" s="120">
        <f>SUM(P817:Q820)</f>
        <v>12797.777777777779</v>
      </c>
      <c r="AB817" s="120">
        <f>SUMIFS(Collection!O:O, Collection!B:B, "*" &amp; 'Bucket Counts'!Y817 &amp; "*", Collection!A:A, "&lt;" &amp; 'Bucket Counts'!A817,Collection!A:A,  "&gt;=" &amp; 'Bucket Counts'!$A$701)</f>
        <v>0</v>
      </c>
      <c r="AC817" s="106">
        <f>AA817/(Z817+AB817)</f>
        <v>0.61646328409334183</v>
      </c>
    </row>
    <row r="818" spans="1:29" s="62" customFormat="1">
      <c r="A818" s="88">
        <v>42929</v>
      </c>
      <c r="B818" s="60"/>
      <c r="C818" s="60"/>
      <c r="D818" s="62" t="s">
        <v>109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87"/>
        <v>8333.3333333333339</v>
      </c>
      <c r="Q818" s="120">
        <f t="shared" si="88"/>
        <v>0</v>
      </c>
      <c r="R818" s="106">
        <f t="shared" si="82"/>
        <v>1</v>
      </c>
      <c r="S818" s="181">
        <f>(SUM(P817:P820)/(SUM(P817:Q820)))</f>
        <v>0.85171036638305264</v>
      </c>
      <c r="T818" s="65"/>
      <c r="U818" s="65"/>
      <c r="V818" s="65"/>
      <c r="Y818" s="89"/>
      <c r="Z818" s="358"/>
      <c r="AA818" s="120"/>
      <c r="AB818" s="120"/>
    </row>
    <row r="819" spans="1:29" s="62" customFormat="1">
      <c r="A819" s="88">
        <v>42929</v>
      </c>
      <c r="B819" s="60"/>
      <c r="C819" s="60"/>
      <c r="D819" s="62" t="s">
        <v>109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87"/>
        <v>1700</v>
      </c>
      <c r="Q819" s="120">
        <f t="shared" si="88"/>
        <v>750</v>
      </c>
      <c r="R819" s="106">
        <f t="shared" si="82"/>
        <v>0.69387755102040816</v>
      </c>
      <c r="S819" s="182"/>
      <c r="T819" s="65"/>
      <c r="U819" s="65"/>
      <c r="V819" s="65"/>
      <c r="Y819" s="89"/>
      <c r="Z819" s="358"/>
      <c r="AA819" s="120"/>
      <c r="AB819" s="120"/>
    </row>
    <row r="820" spans="1:29" s="62" customFormat="1" ht="16" thickBot="1">
      <c r="A820" s="88">
        <v>42929</v>
      </c>
      <c r="B820" s="60"/>
      <c r="C820" s="60"/>
      <c r="D820" s="62" t="s">
        <v>109</v>
      </c>
      <c r="F820" s="89" t="s">
        <v>203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87"/>
        <v>533.33333333333337</v>
      </c>
      <c r="Q820" s="120">
        <f t="shared" si="88"/>
        <v>1120</v>
      </c>
      <c r="R820" s="106">
        <f t="shared" si="82"/>
        <v>0.32258064516129031</v>
      </c>
      <c r="S820" s="182"/>
      <c r="T820" s="65"/>
      <c r="U820" s="65"/>
      <c r="V820" s="65"/>
      <c r="Y820" s="89"/>
      <c r="Z820" s="358"/>
      <c r="AA820" s="120"/>
      <c r="AB820" s="120"/>
    </row>
    <row r="821" spans="1:29" s="263" customFormat="1">
      <c r="A821" s="72">
        <v>42933</v>
      </c>
      <c r="B821" s="262"/>
      <c r="C821" s="262"/>
      <c r="D821" s="74" t="s">
        <v>105</v>
      </c>
      <c r="E821" s="146"/>
      <c r="F821" s="264">
        <v>224</v>
      </c>
      <c r="G821" s="86">
        <v>3</v>
      </c>
      <c r="H821" s="263">
        <v>250</v>
      </c>
      <c r="I821" s="80">
        <v>0</v>
      </c>
      <c r="J821" s="80">
        <v>0</v>
      </c>
      <c r="K821" s="80">
        <v>2</v>
      </c>
      <c r="L821" s="80">
        <v>0</v>
      </c>
      <c r="M821" s="87">
        <v>2</v>
      </c>
      <c r="N821" s="80">
        <v>0</v>
      </c>
      <c r="P821" s="124">
        <f t="shared" si="87"/>
        <v>111.1111111111111</v>
      </c>
      <c r="Q821" s="124">
        <f t="shared" si="88"/>
        <v>0</v>
      </c>
      <c r="R821" s="266">
        <f t="shared" si="82"/>
        <v>1</v>
      </c>
      <c r="S821" s="267" t="str">
        <f>D821</f>
        <v>NF-6 Low</v>
      </c>
      <c r="T821" s="268"/>
      <c r="U821" s="268"/>
      <c r="V821" s="268"/>
      <c r="Y821" s="87" t="str">
        <f>D821</f>
        <v>NF-6 Low</v>
      </c>
      <c r="Z821" s="353">
        <f>SUMIFS($P$765:$P$820, $D$765:$D$820, Y821, $F$765:$F$820, "&lt;200") + SUMIFS($Q$765:$Q$820, $D$765:$D$820, Y821, $F$765:$F$820, "&lt;200")</f>
        <v>2274.4444444444443</v>
      </c>
      <c r="AA821" s="124">
        <f>SUM(P821:Q824)</f>
        <v>1161.1111111111113</v>
      </c>
      <c r="AB821" s="124">
        <f>SUMIFS(Collection!O:O, Collection!B:B, "*" &amp; 'Bucket Counts'!Y821 &amp; "*", Collection!A:A, "&lt;" &amp; 'Bucket Counts'!A821,Collection!A:A,  "&gt;=" &amp; 'Bucket Counts'!$A$765)</f>
        <v>0</v>
      </c>
      <c r="AC821" s="161">
        <f>AA821/(Z821+AB821)</f>
        <v>0.5105031753786029</v>
      </c>
    </row>
    <row r="822" spans="1:29" s="80" customFormat="1">
      <c r="A822" s="77">
        <v>42933</v>
      </c>
      <c r="B822" s="78"/>
      <c r="C822" s="78"/>
      <c r="D822" s="79" t="s">
        <v>105</v>
      </c>
      <c r="E822" s="146"/>
      <c r="F822" s="87">
        <v>180</v>
      </c>
      <c r="G822" s="87">
        <v>2</v>
      </c>
      <c r="H822" s="80">
        <v>325</v>
      </c>
      <c r="I822" s="157">
        <v>2</v>
      </c>
      <c r="J822" s="157">
        <v>1</v>
      </c>
      <c r="K822" s="157">
        <v>1</v>
      </c>
      <c r="L822" s="157">
        <v>0</v>
      </c>
      <c r="M822" s="157">
        <v>4</v>
      </c>
      <c r="N822" s="157">
        <v>0</v>
      </c>
      <c r="P822" s="303">
        <f t="shared" ref="P822:P828" si="89">(AVERAGE(I822,K822,M822)/G822)*H822</f>
        <v>379.16666666666669</v>
      </c>
      <c r="Q822" s="124">
        <f t="shared" ref="Q822:Q828" si="90">(AVERAGE(J822,L822,N822)/G822)*H822</f>
        <v>54.166666666666664</v>
      </c>
      <c r="R822" s="161">
        <f t="shared" si="82"/>
        <v>0.875</v>
      </c>
      <c r="S822" s="185">
        <f>(SUM(P821:P824)/(SUM(P821:Q824)))</f>
        <v>0.4222488038277511</v>
      </c>
      <c r="T822" s="81"/>
      <c r="U822" s="81"/>
      <c r="V822" s="81"/>
      <c r="W822" s="302"/>
      <c r="Y822" s="87"/>
      <c r="Z822" s="362"/>
      <c r="AA822" s="124"/>
      <c r="AB822" s="124"/>
    </row>
    <row r="823" spans="1:29" s="157" customFormat="1">
      <c r="A823" s="77">
        <v>42933</v>
      </c>
      <c r="B823" s="156"/>
      <c r="C823" s="156"/>
      <c r="D823" s="79" t="s">
        <v>105</v>
      </c>
      <c r="E823" s="146"/>
      <c r="F823" s="158">
        <v>100</v>
      </c>
      <c r="G823" s="87">
        <v>3</v>
      </c>
      <c r="H823" s="157">
        <v>300</v>
      </c>
      <c r="I823" s="157">
        <v>0</v>
      </c>
      <c r="J823" s="157">
        <v>1</v>
      </c>
      <c r="K823" s="157">
        <v>0</v>
      </c>
      <c r="L823" s="157">
        <v>0</v>
      </c>
      <c r="M823" s="157">
        <v>0</v>
      </c>
      <c r="N823" s="157">
        <v>0</v>
      </c>
      <c r="P823" s="124">
        <f t="shared" si="89"/>
        <v>0</v>
      </c>
      <c r="Q823" s="124">
        <f t="shared" si="90"/>
        <v>33.333333333333329</v>
      </c>
      <c r="R823" s="162">
        <f t="shared" si="82"/>
        <v>0</v>
      </c>
      <c r="S823" s="187"/>
      <c r="T823" s="269"/>
      <c r="U823" s="269"/>
      <c r="V823" s="269"/>
      <c r="W823" s="302"/>
      <c r="Y823" s="158"/>
      <c r="Z823" s="363"/>
      <c r="AA823" s="159"/>
      <c r="AB823" s="159"/>
    </row>
    <row r="824" spans="1:29" s="80" customFormat="1">
      <c r="A824" s="77">
        <v>42933</v>
      </c>
      <c r="B824" s="78"/>
      <c r="C824" s="78"/>
      <c r="D824" s="79" t="s">
        <v>105</v>
      </c>
      <c r="E824" s="146"/>
      <c r="F824" s="87" t="s">
        <v>203</v>
      </c>
      <c r="G824" s="87">
        <v>2</v>
      </c>
      <c r="H824" s="80">
        <v>250</v>
      </c>
      <c r="I824" s="80">
        <v>0</v>
      </c>
      <c r="J824" s="80">
        <v>4</v>
      </c>
      <c r="K824" s="80">
        <v>0</v>
      </c>
      <c r="L824" s="80">
        <v>4</v>
      </c>
      <c r="M824" s="80">
        <v>0</v>
      </c>
      <c r="N824" s="80">
        <v>6</v>
      </c>
      <c r="P824" s="124">
        <f t="shared" si="89"/>
        <v>0</v>
      </c>
      <c r="Q824" s="124">
        <f t="shared" si="90"/>
        <v>583.33333333333337</v>
      </c>
      <c r="R824" s="161">
        <f t="shared" si="82"/>
        <v>0</v>
      </c>
      <c r="S824" s="188"/>
      <c r="T824" s="81"/>
      <c r="U824" s="81"/>
      <c r="V824" s="81"/>
      <c r="Y824" s="87"/>
      <c r="Z824" s="362"/>
      <c r="AA824" s="124"/>
      <c r="AB824" s="124"/>
    </row>
    <row r="825" spans="1:29" s="80" customFormat="1">
      <c r="A825" s="77">
        <v>42933</v>
      </c>
      <c r="B825" s="78"/>
      <c r="C825" s="78"/>
      <c r="D825" s="80" t="s">
        <v>83</v>
      </c>
      <c r="E825" s="146"/>
      <c r="F825" s="87">
        <v>224</v>
      </c>
      <c r="G825" s="87">
        <v>3</v>
      </c>
      <c r="H825" s="80">
        <v>350</v>
      </c>
      <c r="I825" s="80">
        <v>0</v>
      </c>
      <c r="J825" s="80">
        <v>0</v>
      </c>
      <c r="K825" s="80">
        <v>0</v>
      </c>
      <c r="L825" s="80">
        <v>0</v>
      </c>
      <c r="M825" s="80">
        <v>0</v>
      </c>
      <c r="N825" s="80">
        <v>0</v>
      </c>
      <c r="P825" s="124">
        <f t="shared" si="89"/>
        <v>0</v>
      </c>
      <c r="Q825" s="124">
        <f t="shared" si="90"/>
        <v>0</v>
      </c>
      <c r="R825" s="161" t="e">
        <f t="shared" si="82"/>
        <v>#DIV/0!</v>
      </c>
      <c r="S825" s="189" t="str">
        <f>D825</f>
        <v>NF-10 Low</v>
      </c>
      <c r="T825" s="81"/>
      <c r="U825" s="81"/>
      <c r="V825" s="81"/>
      <c r="Y825" s="87" t="str">
        <f>D825</f>
        <v>NF-10 Low</v>
      </c>
      <c r="Z825" s="353">
        <f>SUMIFS($P$765:$P$820, $D$765:$D$820, Y825, $F$765:$F$820, "&lt;200") + SUMIFS($Q$765:$Q$820, $D$765:$D$820, Y825, $F$765:$F$820, "&lt;200")</f>
        <v>1888.8888888888889</v>
      </c>
      <c r="AA825" s="124">
        <f>SUM(P825:Q828)</f>
        <v>1117.2222222222222</v>
      </c>
      <c r="AB825" s="124">
        <f>SUMIFS(Collection!O:O, Collection!B:B, "*" &amp; 'Bucket Counts'!Y825 &amp; "*", Collection!A:A, "&lt;" &amp; 'Bucket Counts'!A825,Collection!A:A,  "&gt;=" &amp; 'Bucket Counts'!$A$765)</f>
        <v>0</v>
      </c>
      <c r="AC825" s="161">
        <f>AA825/(Z825+AB825)</f>
        <v>0.59147058823529408</v>
      </c>
    </row>
    <row r="826" spans="1:29" s="80" customFormat="1">
      <c r="A826" s="77">
        <v>42933</v>
      </c>
      <c r="B826" s="78"/>
      <c r="C826" s="78"/>
      <c r="D826" s="80" t="s">
        <v>83</v>
      </c>
      <c r="E826" s="146"/>
      <c r="F826" s="87">
        <v>180</v>
      </c>
      <c r="G826" s="87">
        <v>3</v>
      </c>
      <c r="H826" s="80">
        <v>325</v>
      </c>
      <c r="I826" s="80">
        <v>4</v>
      </c>
      <c r="J826" s="80">
        <v>0</v>
      </c>
      <c r="K826" s="80">
        <v>5</v>
      </c>
      <c r="L826" s="80">
        <v>3</v>
      </c>
      <c r="M826" s="80">
        <v>3</v>
      </c>
      <c r="N826" s="80">
        <v>0</v>
      </c>
      <c r="P826" s="124">
        <f t="shared" si="89"/>
        <v>433.33333333333331</v>
      </c>
      <c r="Q826" s="124">
        <f t="shared" si="90"/>
        <v>108.33333333333333</v>
      </c>
      <c r="R826" s="161">
        <f t="shared" si="82"/>
        <v>0.8</v>
      </c>
      <c r="S826" s="187">
        <f>(SUM(P825:P828)/(SUM(P825:Q828)))</f>
        <v>0.64644455494778719</v>
      </c>
      <c r="T826" s="81"/>
      <c r="U826" s="81"/>
      <c r="V826" s="81"/>
      <c r="Y826" s="87"/>
      <c r="Z826" s="362"/>
      <c r="AA826" s="124"/>
      <c r="AB826" s="124"/>
    </row>
    <row r="827" spans="1:29" s="80" customFormat="1">
      <c r="A827" s="77">
        <v>42933</v>
      </c>
      <c r="B827" s="78"/>
      <c r="C827" s="78"/>
      <c r="D827" s="80" t="s">
        <v>83</v>
      </c>
      <c r="E827" s="146"/>
      <c r="F827" s="87">
        <v>100</v>
      </c>
      <c r="G827" s="87">
        <v>3</v>
      </c>
      <c r="H827" s="80">
        <v>325</v>
      </c>
      <c r="I827" s="80">
        <v>1</v>
      </c>
      <c r="J827" s="80">
        <v>0</v>
      </c>
      <c r="K827" s="80">
        <v>4</v>
      </c>
      <c r="L827" s="80">
        <v>2</v>
      </c>
      <c r="M827" s="80">
        <v>3</v>
      </c>
      <c r="N827" s="80">
        <v>2</v>
      </c>
      <c r="P827" s="124">
        <f t="shared" si="89"/>
        <v>288.88888888888886</v>
      </c>
      <c r="Q827" s="124">
        <f t="shared" si="90"/>
        <v>144.44444444444443</v>
      </c>
      <c r="R827" s="161">
        <f t="shared" si="82"/>
        <v>0.66666666666666674</v>
      </c>
      <c r="S827" s="188"/>
      <c r="T827" s="81"/>
      <c r="U827" s="81"/>
      <c r="V827" s="81"/>
      <c r="Y827" s="87"/>
      <c r="Z827" s="362"/>
      <c r="AA827" s="124"/>
      <c r="AB827" s="124"/>
    </row>
    <row r="828" spans="1:29" s="80" customFormat="1">
      <c r="A828" s="77">
        <v>42933</v>
      </c>
      <c r="B828" s="78"/>
      <c r="C828" s="78"/>
      <c r="D828" s="80" t="s">
        <v>83</v>
      </c>
      <c r="E828" s="146"/>
      <c r="F828" s="87" t="s">
        <v>203</v>
      </c>
      <c r="G828" s="87">
        <v>3</v>
      </c>
      <c r="H828" s="80">
        <v>320</v>
      </c>
      <c r="I828" s="80">
        <v>0</v>
      </c>
      <c r="J828" s="80">
        <v>1</v>
      </c>
      <c r="K828" s="80">
        <v>0</v>
      </c>
      <c r="L828" s="80">
        <v>0</v>
      </c>
      <c r="M828" s="80">
        <v>0</v>
      </c>
      <c r="N828" s="80">
        <v>3</v>
      </c>
      <c r="P828" s="124">
        <f t="shared" si="89"/>
        <v>0</v>
      </c>
      <c r="Q828" s="124">
        <f t="shared" si="90"/>
        <v>142.22222222222223</v>
      </c>
      <c r="R828" s="161">
        <f t="shared" si="82"/>
        <v>0</v>
      </c>
      <c r="S828" s="188"/>
      <c r="T828" s="81"/>
      <c r="U828" s="81"/>
      <c r="V828" s="81"/>
      <c r="Y828" s="87"/>
      <c r="Z828" s="362"/>
      <c r="AA828" s="124"/>
      <c r="AB828" s="124"/>
    </row>
    <row r="829" spans="1:29" s="80" customFormat="1">
      <c r="A829" s="77">
        <v>42933</v>
      </c>
      <c r="B829" s="78"/>
      <c r="C829" s="78"/>
      <c r="D829" s="80" t="s">
        <v>74</v>
      </c>
      <c r="F829" s="87">
        <v>224</v>
      </c>
      <c r="G829" s="87" t="s">
        <v>355</v>
      </c>
      <c r="P829" s="124">
        <v>1</v>
      </c>
      <c r="Q829" s="124">
        <v>2</v>
      </c>
      <c r="R829" s="161" t="e">
        <f>#REF!/(#REF!+#REF!)</f>
        <v>#REF!</v>
      </c>
      <c r="S829" s="189" t="str">
        <f>D829</f>
        <v>SN-10 Low</v>
      </c>
      <c r="T829" s="81"/>
      <c r="U829" s="81"/>
      <c r="V829" s="81"/>
      <c r="Y829" s="87" t="str">
        <f>D829</f>
        <v>SN-10 Low</v>
      </c>
      <c r="Z829" s="353">
        <f>SUMIFS($P$765:$P$820, $D$765:$D$820, Y829, $F$765:$F$820, "&lt;200") + SUMIFS($Q$765:$Q$820, $D$765:$D$820, Y829, $F$765:$F$820, "&lt;200")</f>
        <v>102.77777777777777</v>
      </c>
      <c r="AA829" s="124">
        <f>SUM(P829:Q832)</f>
        <v>178.55555555555554</v>
      </c>
      <c r="AB829" s="124">
        <f>SUMIFS(Collection!O:O, Collection!B:B, "*" &amp; 'Bucket Counts'!Y829 &amp; "*", Collection!A:A, "&lt;" &amp; 'Bucket Counts'!A829,Collection!A:A,  "&gt;=" &amp; 'Bucket Counts'!$A$765)</f>
        <v>0</v>
      </c>
      <c r="AC829" s="161">
        <f>AA829/(Z829+AB829)</f>
        <v>1.7372972972972973</v>
      </c>
    </row>
    <row r="830" spans="1:29" s="80" customFormat="1">
      <c r="A830" s="77">
        <v>42933</v>
      </c>
      <c r="B830" s="78"/>
      <c r="C830" s="78"/>
      <c r="D830" s="80" t="s">
        <v>74</v>
      </c>
      <c r="F830" s="87">
        <v>180</v>
      </c>
      <c r="G830" s="80">
        <v>3</v>
      </c>
      <c r="H830" s="229">
        <v>330</v>
      </c>
      <c r="I830" s="80">
        <v>0</v>
      </c>
      <c r="J830" s="80">
        <v>0</v>
      </c>
      <c r="K830" s="80">
        <v>1</v>
      </c>
      <c r="L830" s="80">
        <v>0</v>
      </c>
      <c r="M830" s="80">
        <v>0</v>
      </c>
      <c r="N830" s="80">
        <v>1</v>
      </c>
      <c r="P830" s="303">
        <f t="shared" ref="P830:P832" si="91">(AVERAGE(I830,K830,M830)/G830)*H830</f>
        <v>36.666666666666664</v>
      </c>
      <c r="Q830" s="124">
        <f t="shared" ref="Q830:Q832" si="92">(AVERAGE(J830,L830,N830)/G830)*H830</f>
        <v>36.666666666666664</v>
      </c>
      <c r="R830" s="161">
        <f>P829/(P829+Q829)</f>
        <v>0.33333333333333331</v>
      </c>
      <c r="S830" s="187">
        <f>(SUM(P829:P832)/(SUM(P829:Q832)))</f>
        <v>0.21095208462974488</v>
      </c>
      <c r="T830" s="81"/>
      <c r="U830" s="81"/>
      <c r="V830" s="81"/>
      <c r="Y830" s="87"/>
      <c r="Z830" s="362"/>
      <c r="AA830" s="124"/>
      <c r="AB830" s="124"/>
    </row>
    <row r="831" spans="1:29" s="80" customFormat="1">
      <c r="A831" s="77">
        <v>42933</v>
      </c>
      <c r="B831" s="78"/>
      <c r="C831" s="78"/>
      <c r="D831" s="80" t="s">
        <v>74</v>
      </c>
      <c r="F831" s="87">
        <v>100</v>
      </c>
      <c r="G831" s="87">
        <v>3</v>
      </c>
      <c r="H831" s="229">
        <v>350</v>
      </c>
      <c r="I831" s="80">
        <v>0</v>
      </c>
      <c r="J831" s="80">
        <v>0</v>
      </c>
      <c r="K831" s="80">
        <v>0</v>
      </c>
      <c r="L831" s="80">
        <v>0</v>
      </c>
      <c r="M831" s="80">
        <v>0</v>
      </c>
      <c r="N831" s="80">
        <v>0</v>
      </c>
      <c r="P831" s="124">
        <f t="shared" si="91"/>
        <v>0</v>
      </c>
      <c r="Q831" s="124">
        <f t="shared" si="92"/>
        <v>0</v>
      </c>
      <c r="R831" s="161" t="e">
        <f t="shared" si="82"/>
        <v>#DIV/0!</v>
      </c>
      <c r="S831" s="188"/>
      <c r="T831" s="81"/>
      <c r="U831" s="81"/>
      <c r="V831" s="81"/>
      <c r="Y831" s="87"/>
      <c r="Z831" s="362"/>
      <c r="AA831" s="124"/>
      <c r="AB831" s="124"/>
    </row>
    <row r="832" spans="1:29" s="80" customFormat="1">
      <c r="A832" s="77">
        <v>42933</v>
      </c>
      <c r="B832" s="78"/>
      <c r="C832" s="78"/>
      <c r="D832" s="80" t="s">
        <v>74</v>
      </c>
      <c r="F832" s="87" t="s">
        <v>203</v>
      </c>
      <c r="G832" s="87">
        <v>3</v>
      </c>
      <c r="H832" s="229">
        <v>460</v>
      </c>
      <c r="I832" s="80">
        <v>0</v>
      </c>
      <c r="J832" s="80">
        <v>0</v>
      </c>
      <c r="K832" s="80">
        <v>0</v>
      </c>
      <c r="L832" s="80">
        <v>0</v>
      </c>
      <c r="M832" s="80">
        <v>0</v>
      </c>
      <c r="N832" s="80">
        <v>2</v>
      </c>
      <c r="P832" s="124">
        <f t="shared" si="91"/>
        <v>0</v>
      </c>
      <c r="Q832" s="124">
        <f t="shared" si="92"/>
        <v>102.22222222222221</v>
      </c>
      <c r="R832" s="161">
        <f t="shared" si="82"/>
        <v>0</v>
      </c>
      <c r="S832" s="188"/>
      <c r="T832" s="81"/>
      <c r="U832" s="81"/>
      <c r="V832" s="81"/>
      <c r="Y832" s="87"/>
      <c r="Z832" s="362"/>
      <c r="AA832" s="124"/>
      <c r="AB832" s="124"/>
    </row>
    <row r="833" spans="1:29" s="80" customFormat="1">
      <c r="A833" s="77">
        <v>42933</v>
      </c>
      <c r="B833" s="78"/>
      <c r="C833" s="78"/>
      <c r="D833" s="79" t="s">
        <v>86</v>
      </c>
      <c r="F833" s="87">
        <v>224</v>
      </c>
      <c r="G833" s="87" t="s">
        <v>355</v>
      </c>
      <c r="H833" s="229"/>
      <c r="P833" s="124">
        <v>10</v>
      </c>
      <c r="Q833" s="124">
        <v>0</v>
      </c>
      <c r="R833" s="161" t="e">
        <f>#REF!/(#REF!+#REF!)</f>
        <v>#REF!</v>
      </c>
      <c r="S833" s="189" t="str">
        <f>D833</f>
        <v>SN-10 Ambient</v>
      </c>
      <c r="T833" s="81"/>
      <c r="U833" s="81"/>
      <c r="V833" s="81"/>
      <c r="Y833" s="87" t="str">
        <f>D833</f>
        <v>SN-10 Ambient</v>
      </c>
      <c r="Z833" s="353">
        <f>SUMIFS($P$765:$P$820, $D$765:$D$820, Y833, $F$765:$F$820, "&lt;200") + SUMIFS($Q$765:$Q$820, $D$765:$D$820, Y833, $F$765:$F$820, "&lt;200")</f>
        <v>50061.111111111109</v>
      </c>
      <c r="AA833" s="124">
        <f>SUM(P833:Q836)</f>
        <v>50430</v>
      </c>
      <c r="AB833" s="124">
        <f>SUMIFS(Collection!O:O, Collection!B:B, "*" &amp; 'Bucket Counts'!Y833 &amp; "*", Collection!A:A, "&lt;" &amp; 'Bucket Counts'!A833,Collection!A:A,  "&gt;=" &amp; 'Bucket Counts'!$A$765)</f>
        <v>0</v>
      </c>
      <c r="AC833" s="161">
        <f>AA833/(Z833+AB833)</f>
        <v>1.0073687715014983</v>
      </c>
    </row>
    <row r="834" spans="1:29" s="80" customFormat="1">
      <c r="A834" s="77">
        <v>42933</v>
      </c>
      <c r="B834" s="78"/>
      <c r="C834" s="78"/>
      <c r="D834" s="79" t="s">
        <v>86</v>
      </c>
      <c r="F834" s="87">
        <v>180</v>
      </c>
      <c r="G834" s="80">
        <v>1</v>
      </c>
      <c r="H834" s="229">
        <v>340</v>
      </c>
      <c r="I834" s="80">
        <v>85</v>
      </c>
      <c r="J834" s="80">
        <v>0</v>
      </c>
      <c r="K834" s="80">
        <v>70</v>
      </c>
      <c r="L834" s="80">
        <v>0</v>
      </c>
      <c r="M834" s="80">
        <v>58</v>
      </c>
      <c r="N834" s="80">
        <v>0</v>
      </c>
      <c r="P834" s="124">
        <f t="shared" ref="P834:P838" si="93">(AVERAGE(I834,K834,M834)/G834)*H834</f>
        <v>24140</v>
      </c>
      <c r="Q834" s="124">
        <f t="shared" ref="Q834:Q838" si="94">(AVERAGE(J834,L834,N834)/G834)*H834</f>
        <v>0</v>
      </c>
      <c r="R834" s="161">
        <f>P833/(P833+Q833)</f>
        <v>1</v>
      </c>
      <c r="S834" s="187">
        <f>(SUM(P833:P836)/(SUM(P833:Q836)))</f>
        <v>0.73673078194196584</v>
      </c>
      <c r="T834" s="81"/>
      <c r="U834" s="81"/>
      <c r="V834" s="81"/>
      <c r="Y834" s="87"/>
      <c r="Z834" s="362"/>
      <c r="AA834" s="124"/>
      <c r="AB834" s="124"/>
    </row>
    <row r="835" spans="1:29" s="80" customFormat="1">
      <c r="A835" s="77">
        <v>42933</v>
      </c>
      <c r="B835" s="78"/>
      <c r="C835" s="78"/>
      <c r="D835" s="79" t="s">
        <v>86</v>
      </c>
      <c r="F835" s="87">
        <v>100</v>
      </c>
      <c r="G835" s="87">
        <v>1</v>
      </c>
      <c r="H835" s="229">
        <v>350</v>
      </c>
      <c r="I835" s="80">
        <v>7</v>
      </c>
      <c r="J835" s="80">
        <v>50</v>
      </c>
      <c r="K835" s="80">
        <v>45</v>
      </c>
      <c r="L835" s="80">
        <v>8</v>
      </c>
      <c r="M835" s="80">
        <v>59</v>
      </c>
      <c r="N835" s="80">
        <v>11</v>
      </c>
      <c r="P835" s="124">
        <f t="shared" si="93"/>
        <v>12950</v>
      </c>
      <c r="Q835" s="124">
        <f t="shared" si="94"/>
        <v>8050</v>
      </c>
      <c r="R835" s="161">
        <f t="shared" si="82"/>
        <v>0.6166666666666667</v>
      </c>
      <c r="S835" s="188"/>
      <c r="T835" s="81"/>
      <c r="U835" s="81"/>
      <c r="V835" s="81"/>
      <c r="Y835" s="87"/>
      <c r="Z835" s="362"/>
      <c r="AA835" s="124"/>
      <c r="AB835" s="124"/>
    </row>
    <row r="836" spans="1:29" s="80" customFormat="1">
      <c r="A836" s="77">
        <v>42933</v>
      </c>
      <c r="B836" s="78"/>
      <c r="C836" s="78"/>
      <c r="D836" s="79" t="s">
        <v>86</v>
      </c>
      <c r="F836" s="87" t="s">
        <v>203</v>
      </c>
      <c r="G836" s="87">
        <v>2</v>
      </c>
      <c r="H836" s="229">
        <v>320</v>
      </c>
      <c r="I836" s="80">
        <v>1</v>
      </c>
      <c r="J836" s="80">
        <v>33</v>
      </c>
      <c r="K836" s="80">
        <v>0</v>
      </c>
      <c r="L836" s="80">
        <v>30</v>
      </c>
      <c r="M836" s="80">
        <v>0</v>
      </c>
      <c r="N836" s="80">
        <v>35</v>
      </c>
      <c r="P836" s="124">
        <f t="shared" si="93"/>
        <v>53.333333333333329</v>
      </c>
      <c r="Q836" s="124">
        <f t="shared" si="94"/>
        <v>5226.6666666666661</v>
      </c>
      <c r="R836" s="161">
        <f t="shared" si="82"/>
        <v>1.0101010101010102E-2</v>
      </c>
      <c r="S836" s="188"/>
      <c r="T836" s="81"/>
      <c r="U836" s="81"/>
      <c r="V836" s="81"/>
      <c r="Y836" s="87"/>
      <c r="Z836" s="362"/>
      <c r="AA836" s="124"/>
      <c r="AB836" s="124"/>
    </row>
    <row r="837" spans="1:29" s="80" customFormat="1">
      <c r="A837" s="77">
        <v>42933</v>
      </c>
      <c r="B837" s="78"/>
      <c r="C837" s="78"/>
      <c r="D837" s="80" t="s">
        <v>38</v>
      </c>
      <c r="F837" s="87">
        <v>224</v>
      </c>
      <c r="G837" s="87">
        <v>3</v>
      </c>
      <c r="H837" s="229">
        <v>290</v>
      </c>
      <c r="I837" s="80">
        <v>4</v>
      </c>
      <c r="J837" s="80">
        <v>0</v>
      </c>
      <c r="K837" s="80">
        <v>0</v>
      </c>
      <c r="L837" s="80">
        <v>0</v>
      </c>
      <c r="M837" s="80">
        <v>1</v>
      </c>
      <c r="N837" s="80">
        <v>0</v>
      </c>
      <c r="P837" s="124">
        <f t="shared" si="93"/>
        <v>161.11111111111111</v>
      </c>
      <c r="Q837" s="124">
        <f t="shared" si="94"/>
        <v>0</v>
      </c>
      <c r="R837" s="161">
        <f t="shared" si="82"/>
        <v>1</v>
      </c>
      <c r="S837" s="189" t="str">
        <f>D837</f>
        <v>K-6 Ambient</v>
      </c>
      <c r="T837" s="81"/>
      <c r="U837" s="81"/>
      <c r="V837" s="81"/>
      <c r="Y837" s="87" t="str">
        <f>D837</f>
        <v>K-6 Ambient</v>
      </c>
      <c r="Z837" s="353">
        <f>SUMIFS($P$765:$P$820, $D$765:$D$820, Y837, $F$765:$F$820, "&lt;200") + SUMIFS($Q$765:$Q$820, $D$765:$D$820, Y837, $F$765:$F$820, "&lt;200")</f>
        <v>4320.8333333333339</v>
      </c>
      <c r="AA837" s="124">
        <f>SUM(P837:Q840)</f>
        <v>995.33333333333348</v>
      </c>
      <c r="AB837" s="124">
        <f>SUMIFS(Collection!O:O, Collection!B:B, "*" &amp; 'Bucket Counts'!Y837 &amp; "*", Collection!A:A, "&lt;" &amp; 'Bucket Counts'!A837,Collection!A:A,  "&gt;=" &amp; 'Bucket Counts'!$A$765)</f>
        <v>0</v>
      </c>
      <c r="AC837" s="161">
        <f>AA837/(Z837+AB837)</f>
        <v>0.23035679845708776</v>
      </c>
    </row>
    <row r="838" spans="1:29" s="80" customFormat="1">
      <c r="A838" s="77">
        <v>42933</v>
      </c>
      <c r="B838" s="78"/>
      <c r="C838" s="78"/>
      <c r="D838" s="80" t="s">
        <v>38</v>
      </c>
      <c r="F838" s="87">
        <v>180</v>
      </c>
      <c r="G838" s="87">
        <v>3</v>
      </c>
      <c r="H838" s="229">
        <v>300</v>
      </c>
      <c r="I838" s="80">
        <v>1</v>
      </c>
      <c r="J838" s="80">
        <v>1</v>
      </c>
      <c r="K838" s="80">
        <v>3</v>
      </c>
      <c r="L838" s="80">
        <v>0</v>
      </c>
      <c r="M838" s="80">
        <v>6</v>
      </c>
      <c r="N838" s="80">
        <v>0</v>
      </c>
      <c r="P838" s="124">
        <f t="shared" si="93"/>
        <v>333.33333333333337</v>
      </c>
      <c r="Q838" s="124">
        <f t="shared" si="94"/>
        <v>33.333333333333329</v>
      </c>
      <c r="R838" s="161">
        <f t="shared" si="82"/>
        <v>0.90909090909090917</v>
      </c>
      <c r="S838" s="187">
        <f>(SUM(P837:P840)/(SUM(P837:Q840)))</f>
        <v>0.65293592319714211</v>
      </c>
      <c r="T838" s="81"/>
      <c r="U838" s="81"/>
      <c r="V838" s="81"/>
      <c r="Y838" s="87"/>
      <c r="Z838" s="362"/>
      <c r="AA838" s="124"/>
      <c r="AB838" s="124"/>
    </row>
    <row r="839" spans="1:29" s="80" customFormat="1">
      <c r="A839" s="77">
        <v>42933</v>
      </c>
      <c r="B839" s="78"/>
      <c r="C839" s="78"/>
      <c r="D839" s="80" t="s">
        <v>38</v>
      </c>
      <c r="F839" s="87">
        <v>100</v>
      </c>
      <c r="G839" s="87" t="s">
        <v>355</v>
      </c>
      <c r="H839" s="229"/>
      <c r="P839" s="124">
        <v>31</v>
      </c>
      <c r="Q839" s="124">
        <v>1</v>
      </c>
      <c r="R839" s="161">
        <f t="shared" si="82"/>
        <v>0.96875</v>
      </c>
      <c r="S839" s="188"/>
      <c r="T839" s="81"/>
      <c r="U839" s="81"/>
      <c r="V839" s="81"/>
      <c r="Y839" s="87"/>
      <c r="Z839" s="362"/>
      <c r="AA839" s="124"/>
      <c r="AB839" s="124"/>
    </row>
    <row r="840" spans="1:29" s="80" customFormat="1">
      <c r="A840" s="77">
        <v>42933</v>
      </c>
      <c r="B840" s="78"/>
      <c r="C840" s="78"/>
      <c r="D840" s="80" t="s">
        <v>38</v>
      </c>
      <c r="F840" s="87" t="s">
        <v>203</v>
      </c>
      <c r="G840" s="87">
        <v>3</v>
      </c>
      <c r="H840" s="229">
        <v>280</v>
      </c>
      <c r="I840" s="80">
        <v>0</v>
      </c>
      <c r="J840" s="80">
        <v>6</v>
      </c>
      <c r="K840" s="80">
        <v>1</v>
      </c>
      <c r="L840" s="80">
        <v>0</v>
      </c>
      <c r="M840" s="80">
        <v>3</v>
      </c>
      <c r="N840" s="80">
        <v>4</v>
      </c>
      <c r="P840" s="124">
        <f t="shared" ref="P840:P848" si="95">(AVERAGE(I840,K840,M840)/G840)*H840</f>
        <v>124.44444444444444</v>
      </c>
      <c r="Q840" s="124">
        <f t="shared" ref="Q840:Q848" si="96">(AVERAGE(J840,L840,N840)/G840)*H840</f>
        <v>311.11111111111114</v>
      </c>
      <c r="R840" s="161">
        <f t="shared" si="82"/>
        <v>0.2857142857142857</v>
      </c>
      <c r="S840" s="188"/>
      <c r="T840" s="81"/>
      <c r="U840" s="81"/>
      <c r="V840" s="81"/>
      <c r="Y840" s="87"/>
      <c r="Z840" s="362"/>
      <c r="AA840" s="124"/>
      <c r="AB840" s="124"/>
    </row>
    <row r="841" spans="1:29" s="80" customFormat="1">
      <c r="A841" s="77">
        <v>42933</v>
      </c>
      <c r="B841" s="78"/>
      <c r="C841" s="78"/>
      <c r="D841" s="80" t="s">
        <v>119</v>
      </c>
      <c r="F841" s="87">
        <v>224</v>
      </c>
      <c r="G841" s="87">
        <v>3</v>
      </c>
      <c r="H841" s="229">
        <v>300</v>
      </c>
      <c r="I841" s="80">
        <v>1</v>
      </c>
      <c r="J841" s="80">
        <v>0</v>
      </c>
      <c r="K841" s="80">
        <v>2</v>
      </c>
      <c r="L841" s="80">
        <v>1</v>
      </c>
      <c r="M841" s="80">
        <v>0</v>
      </c>
      <c r="N841" s="80">
        <v>0</v>
      </c>
      <c r="P841" s="124">
        <f t="shared" si="95"/>
        <v>100</v>
      </c>
      <c r="Q841" s="124">
        <f t="shared" si="96"/>
        <v>33.333333333333329</v>
      </c>
      <c r="R841" s="161">
        <f t="shared" si="82"/>
        <v>0.75000000000000011</v>
      </c>
      <c r="S841" s="189" t="str">
        <f>D841</f>
        <v>HL-6 Ambient</v>
      </c>
      <c r="T841" s="81"/>
      <c r="U841" s="81"/>
      <c r="V841" s="81"/>
      <c r="Y841" s="87" t="str">
        <f>D841</f>
        <v>HL-6 Ambient</v>
      </c>
      <c r="Z841" s="353">
        <f>SUMIFS($P$765:$P$820, $D$765:$D$820, Y841, $F$765:$F$820, "&lt;200") + SUMIFS($Q$765:$Q$820, $D$765:$D$820, Y841, $F$765:$F$820, "&lt;200")</f>
        <v>788.88888888888891</v>
      </c>
      <c r="AA841" s="124">
        <f>SUM(P841:Q844)</f>
        <v>768.33333333333337</v>
      </c>
      <c r="AB841" s="124">
        <f>SUMIFS(Collection!O:O, Collection!B:B, "*" &amp; 'Bucket Counts'!Y841 &amp; "*", Collection!A:A, "&lt;" &amp; 'Bucket Counts'!A841,Collection!A:A,  "&gt;=" &amp; 'Bucket Counts'!$A$765)</f>
        <v>0</v>
      </c>
      <c r="AC841" s="161">
        <f>AA841/(Z841+AB841)</f>
        <v>0.97394366197183102</v>
      </c>
    </row>
    <row r="842" spans="1:29" s="80" customFormat="1">
      <c r="A842" s="77">
        <v>42933</v>
      </c>
      <c r="B842" s="78"/>
      <c r="C842" s="78"/>
      <c r="D842" s="80" t="s">
        <v>119</v>
      </c>
      <c r="F842" s="87">
        <v>180</v>
      </c>
      <c r="G842" s="87">
        <v>3</v>
      </c>
      <c r="H842" s="229">
        <v>375</v>
      </c>
      <c r="I842" s="80">
        <v>1</v>
      </c>
      <c r="J842" s="80">
        <v>0</v>
      </c>
      <c r="K842" s="80">
        <v>1</v>
      </c>
      <c r="L842" s="80">
        <v>0</v>
      </c>
      <c r="M842" s="80">
        <v>4</v>
      </c>
      <c r="N842" s="80">
        <v>0</v>
      </c>
      <c r="P842" s="303">
        <f t="shared" si="95"/>
        <v>250</v>
      </c>
      <c r="Q842" s="124">
        <f t="shared" si="96"/>
        <v>0</v>
      </c>
      <c r="R842" s="161">
        <f t="shared" si="82"/>
        <v>1</v>
      </c>
      <c r="S842" s="187">
        <f>(SUM(P841:P844)/(SUM(P841:Q844)))</f>
        <v>0.74909616775126531</v>
      </c>
      <c r="T842" s="81"/>
      <c r="Y842" s="87"/>
      <c r="Z842" s="362"/>
      <c r="AA842" s="124"/>
      <c r="AB842" s="124"/>
    </row>
    <row r="843" spans="1:29" s="80" customFormat="1">
      <c r="A843" s="77">
        <v>42933</v>
      </c>
      <c r="B843" s="78"/>
      <c r="C843" s="78"/>
      <c r="D843" s="80" t="s">
        <v>119</v>
      </c>
      <c r="F843" s="87">
        <v>100</v>
      </c>
      <c r="G843" s="87">
        <v>3</v>
      </c>
      <c r="H843" s="80">
        <v>275</v>
      </c>
      <c r="I843" s="80">
        <v>0</v>
      </c>
      <c r="J843" s="80">
        <v>1</v>
      </c>
      <c r="K843" s="80">
        <v>0</v>
      </c>
      <c r="L843" s="80">
        <v>0</v>
      </c>
      <c r="M843" s="80">
        <v>0</v>
      </c>
      <c r="N843" s="80">
        <v>0</v>
      </c>
      <c r="P843" s="124">
        <f t="shared" si="95"/>
        <v>0</v>
      </c>
      <c r="Q843" s="124">
        <f t="shared" si="96"/>
        <v>30.555555555555554</v>
      </c>
      <c r="R843" s="161">
        <f t="shared" si="82"/>
        <v>0</v>
      </c>
      <c r="S843" s="188"/>
      <c r="T843" s="81"/>
      <c r="Y843" s="87"/>
      <c r="Z843" s="362"/>
      <c r="AA843" s="124"/>
      <c r="AB843" s="124"/>
    </row>
    <row r="844" spans="1:29" s="80" customFormat="1">
      <c r="A844" s="77">
        <v>42933</v>
      </c>
      <c r="B844" s="78"/>
      <c r="C844" s="78"/>
      <c r="D844" s="80" t="s">
        <v>119</v>
      </c>
      <c r="F844" s="87" t="s">
        <v>203</v>
      </c>
      <c r="G844" s="87">
        <v>3</v>
      </c>
      <c r="H844" s="80">
        <v>290</v>
      </c>
      <c r="I844" s="80">
        <v>1</v>
      </c>
      <c r="J844" s="80">
        <v>3</v>
      </c>
      <c r="K844" s="80">
        <v>4</v>
      </c>
      <c r="L844" s="80">
        <v>0</v>
      </c>
      <c r="M844" s="80">
        <v>2</v>
      </c>
      <c r="N844" s="80">
        <v>1</v>
      </c>
      <c r="P844" s="124">
        <f t="shared" si="95"/>
        <v>225.55555555555557</v>
      </c>
      <c r="Q844" s="124">
        <f t="shared" si="96"/>
        <v>128.88888888888889</v>
      </c>
      <c r="R844" s="161">
        <f t="shared" si="82"/>
        <v>0.63636363636363635</v>
      </c>
      <c r="S844" s="188"/>
      <c r="T844" s="81"/>
      <c r="Y844" s="87"/>
      <c r="Z844" s="362"/>
      <c r="AA844" s="124"/>
      <c r="AB844" s="124"/>
    </row>
    <row r="845" spans="1:29" s="80" customFormat="1">
      <c r="A845" s="77">
        <v>42933</v>
      </c>
      <c r="B845" s="78"/>
      <c r="C845" s="78"/>
      <c r="D845" s="79" t="s">
        <v>21</v>
      </c>
      <c r="F845" s="87">
        <v>224</v>
      </c>
      <c r="G845" s="87">
        <v>3</v>
      </c>
      <c r="H845" s="80">
        <v>350</v>
      </c>
      <c r="I845" s="80">
        <v>0</v>
      </c>
      <c r="J845" s="80">
        <v>0</v>
      </c>
      <c r="K845" s="80">
        <v>0</v>
      </c>
      <c r="L845" s="80">
        <v>0</v>
      </c>
      <c r="M845" s="80">
        <v>2</v>
      </c>
      <c r="N845" s="80">
        <v>1</v>
      </c>
      <c r="P845" s="124">
        <f t="shared" si="95"/>
        <v>77.777777777777771</v>
      </c>
      <c r="Q845" s="124">
        <f t="shared" si="96"/>
        <v>38.888888888888886</v>
      </c>
      <c r="R845" s="161">
        <f t="shared" si="82"/>
        <v>0.66666666666666663</v>
      </c>
      <c r="S845" s="186" t="str">
        <f>D845</f>
        <v>HL-6 Low</v>
      </c>
      <c r="T845" s="81"/>
      <c r="Y845" s="87" t="str">
        <f>D845</f>
        <v>HL-6 Low</v>
      </c>
      <c r="Z845" s="353">
        <f>SUMIFS($P$765:$P$820, $D$765:$D$820, Y845, $F$765:$F$820, "&lt;200") + SUMIFS($Q$765:$Q$820, $D$765:$D$820, Y845, $F$765:$F$820, "&lt;200")</f>
        <v>4950</v>
      </c>
      <c r="AA845" s="124">
        <f>SUM(P845:Q848)</f>
        <v>2427.2222222222222</v>
      </c>
      <c r="AB845" s="124">
        <f>SUMIFS(Collection!O:O, Collection!B:B, "*" &amp; 'Bucket Counts'!Y845 &amp; "*", Collection!A:A, "&lt;" &amp; 'Bucket Counts'!A845,Collection!A:A,  "&gt;=" &amp; 'Bucket Counts'!$A$765)</f>
        <v>0</v>
      </c>
      <c r="AC845" s="161">
        <f>AA845/(Z845+AB845)</f>
        <v>0.49034792368125701</v>
      </c>
    </row>
    <row r="846" spans="1:29" s="80" customFormat="1">
      <c r="A846" s="77">
        <v>42933</v>
      </c>
      <c r="B846" s="78"/>
      <c r="C846" s="78"/>
      <c r="D846" s="79" t="s">
        <v>21</v>
      </c>
      <c r="F846" s="87">
        <v>180</v>
      </c>
      <c r="G846" s="87">
        <v>3</v>
      </c>
      <c r="H846" s="80">
        <v>340</v>
      </c>
      <c r="I846" s="80">
        <v>7</v>
      </c>
      <c r="J846" s="80">
        <v>1</v>
      </c>
      <c r="K846" s="80">
        <v>12</v>
      </c>
      <c r="L846" s="80">
        <v>2</v>
      </c>
      <c r="M846" s="80">
        <v>5</v>
      </c>
      <c r="N846" s="80">
        <v>1</v>
      </c>
      <c r="P846" s="124">
        <f t="shared" si="95"/>
        <v>906.66666666666663</v>
      </c>
      <c r="Q846" s="124">
        <f t="shared" si="96"/>
        <v>151.11111111111111</v>
      </c>
      <c r="R846" s="161">
        <f t="shared" si="82"/>
        <v>0.8571428571428571</v>
      </c>
      <c r="S846" s="187">
        <f>(SUM(P845:P848)/(SUM(P845:Q848)))</f>
        <v>0.46898603799496452</v>
      </c>
      <c r="T846" s="81"/>
      <c r="Y846" s="87"/>
      <c r="Z846" s="362"/>
      <c r="AA846" s="124"/>
      <c r="AB846" s="124"/>
    </row>
    <row r="847" spans="1:29" s="80" customFormat="1">
      <c r="A847" s="77">
        <v>42933</v>
      </c>
      <c r="B847" s="78"/>
      <c r="C847" s="78"/>
      <c r="D847" s="79" t="s">
        <v>21</v>
      </c>
      <c r="F847" s="87">
        <v>100</v>
      </c>
      <c r="G847" s="87">
        <v>3</v>
      </c>
      <c r="H847" s="228">
        <v>440</v>
      </c>
      <c r="I847" s="80">
        <v>0</v>
      </c>
      <c r="J847" s="80">
        <v>0</v>
      </c>
      <c r="K847" s="80">
        <v>0</v>
      </c>
      <c r="L847" s="80">
        <v>1</v>
      </c>
      <c r="M847" s="80">
        <v>1</v>
      </c>
      <c r="N847" s="80">
        <v>0</v>
      </c>
      <c r="P847" s="124">
        <f t="shared" si="95"/>
        <v>48.888888888888886</v>
      </c>
      <c r="Q847" s="124">
        <f t="shared" si="96"/>
        <v>48.888888888888886</v>
      </c>
      <c r="R847" s="161">
        <f t="shared" si="82"/>
        <v>0.5</v>
      </c>
      <c r="S847" s="185"/>
      <c r="T847" s="81"/>
      <c r="Y847" s="87"/>
      <c r="Z847" s="362"/>
      <c r="AA847" s="124"/>
      <c r="AB847" s="124"/>
    </row>
    <row r="848" spans="1:29" s="80" customFormat="1">
      <c r="A848" s="77">
        <v>42933</v>
      </c>
      <c r="B848" s="78"/>
      <c r="C848" s="78"/>
      <c r="D848" s="79" t="s">
        <v>21</v>
      </c>
      <c r="F848" s="87" t="s">
        <v>203</v>
      </c>
      <c r="G848" s="87">
        <v>3</v>
      </c>
      <c r="H848" s="228">
        <v>315</v>
      </c>
      <c r="I848" s="80">
        <v>0</v>
      </c>
      <c r="J848" s="80">
        <v>12</v>
      </c>
      <c r="K848" s="80">
        <v>0</v>
      </c>
      <c r="L848" s="80">
        <v>10</v>
      </c>
      <c r="M848" s="80">
        <v>3</v>
      </c>
      <c r="N848" s="80">
        <v>8</v>
      </c>
      <c r="P848" s="124">
        <f t="shared" si="95"/>
        <v>105</v>
      </c>
      <c r="Q848" s="124">
        <f t="shared" si="96"/>
        <v>1050</v>
      </c>
      <c r="R848" s="161">
        <f t="shared" si="82"/>
        <v>9.0909090909090912E-2</v>
      </c>
      <c r="S848" s="188"/>
      <c r="T848" s="81"/>
      <c r="Y848" s="87"/>
      <c r="Z848" s="362"/>
      <c r="AA848" s="124"/>
      <c r="AB848" s="124"/>
    </row>
    <row r="849" spans="1:29" s="80" customFormat="1">
      <c r="A849" s="77">
        <v>42933</v>
      </c>
      <c r="B849" s="78"/>
      <c r="C849" s="78"/>
      <c r="D849" s="79" t="s">
        <v>20</v>
      </c>
      <c r="F849" s="87">
        <v>224</v>
      </c>
      <c r="G849" s="87" t="s">
        <v>355</v>
      </c>
      <c r="P849" s="124">
        <v>6</v>
      </c>
      <c r="Q849" s="124">
        <v>0</v>
      </c>
      <c r="R849" s="161">
        <f t="shared" si="82"/>
        <v>1</v>
      </c>
      <c r="S849" s="189" t="str">
        <f>D849</f>
        <v>K-10 Low</v>
      </c>
      <c r="T849" s="81"/>
      <c r="Y849" s="87" t="str">
        <f>D849</f>
        <v>K-10 Low</v>
      </c>
      <c r="Z849" s="353">
        <f>SUMIFS($P$765:$P$820, $D$765:$D$820, Y849, $F$765:$F$820, "&lt;200") + SUMIFS($Q$765:$Q$820, $D$765:$D$820, Y849, $F$765:$F$820, "&lt;200")</f>
        <v>403.33333333333331</v>
      </c>
      <c r="AA849" s="124">
        <f>SUM(P849:Q852)</f>
        <v>226</v>
      </c>
      <c r="AB849" s="124">
        <f>SUMIFS(Collection!O:O, Collection!B:B, "*" &amp; 'Bucket Counts'!Y849 &amp; "*", Collection!A:A, "&lt;" &amp; 'Bucket Counts'!A849,Collection!A:A,  "&gt;=" &amp; 'Bucket Counts'!$A$765)</f>
        <v>0</v>
      </c>
      <c r="AC849" s="161">
        <f>AA849/(Z849+AB849)</f>
        <v>0.56033057851239676</v>
      </c>
    </row>
    <row r="850" spans="1:29" s="80" customFormat="1">
      <c r="A850" s="77">
        <v>42933</v>
      </c>
      <c r="B850" s="78"/>
      <c r="C850" s="78"/>
      <c r="D850" s="79" t="s">
        <v>20</v>
      </c>
      <c r="F850" s="87">
        <v>180</v>
      </c>
      <c r="G850" s="87">
        <v>3</v>
      </c>
      <c r="H850" s="80">
        <v>310</v>
      </c>
      <c r="I850" s="80">
        <v>0</v>
      </c>
      <c r="J850" s="80">
        <v>0</v>
      </c>
      <c r="K850" s="80">
        <v>2</v>
      </c>
      <c r="L850" s="80">
        <v>0</v>
      </c>
      <c r="M850" s="80">
        <v>1</v>
      </c>
      <c r="N850" s="80">
        <v>0</v>
      </c>
      <c r="P850" s="124">
        <f t="shared" ref="P850:P854" si="97">(AVERAGE(I850,K850,M850)/G850)*H850</f>
        <v>103.33333333333333</v>
      </c>
      <c r="Q850" s="124">
        <f t="shared" ref="Q850:Q854" si="98">(AVERAGE(J850,L850,N850)/G850)*H850</f>
        <v>0</v>
      </c>
      <c r="R850" s="161">
        <f t="shared" si="82"/>
        <v>1</v>
      </c>
      <c r="S850" s="187">
        <f>(SUM(P849:P852)/(SUM(P849:Q852)))</f>
        <v>0.631268436578171</v>
      </c>
      <c r="T850" s="81"/>
      <c r="Y850" s="87"/>
      <c r="Z850" s="362"/>
      <c r="AA850" s="124"/>
      <c r="AB850" s="124"/>
    </row>
    <row r="851" spans="1:29" s="80" customFormat="1">
      <c r="A851" s="77">
        <v>42933</v>
      </c>
      <c r="B851" s="78"/>
      <c r="C851" s="78"/>
      <c r="D851" s="79" t="s">
        <v>20</v>
      </c>
      <c r="F851" s="87">
        <v>100</v>
      </c>
      <c r="G851" s="87">
        <v>3</v>
      </c>
      <c r="H851" s="228">
        <v>300</v>
      </c>
      <c r="I851" s="80">
        <v>0</v>
      </c>
      <c r="J851" s="80">
        <v>0</v>
      </c>
      <c r="K851" s="80">
        <v>0</v>
      </c>
      <c r="L851" s="80">
        <v>0</v>
      </c>
      <c r="M851" s="80">
        <v>1</v>
      </c>
      <c r="N851" s="80">
        <v>0</v>
      </c>
      <c r="P851" s="124">
        <f t="shared" si="97"/>
        <v>33.333333333333329</v>
      </c>
      <c r="Q851" s="124">
        <f t="shared" si="98"/>
        <v>0</v>
      </c>
      <c r="R851" s="161">
        <f t="shared" si="82"/>
        <v>1</v>
      </c>
      <c r="S851" s="188"/>
      <c r="T851" s="81"/>
      <c r="Y851" s="87"/>
      <c r="Z851" s="362"/>
      <c r="AA851" s="124"/>
      <c r="AB851" s="124"/>
    </row>
    <row r="852" spans="1:29" s="80" customFormat="1">
      <c r="A852" s="77">
        <v>42933</v>
      </c>
      <c r="B852" s="78"/>
      <c r="C852" s="78"/>
      <c r="D852" s="79" t="s">
        <v>20</v>
      </c>
      <c r="F852" s="87" t="s">
        <v>203</v>
      </c>
      <c r="G852" s="87">
        <v>3</v>
      </c>
      <c r="H852" s="228">
        <v>250</v>
      </c>
      <c r="I852" s="80">
        <v>0</v>
      </c>
      <c r="J852" s="80">
        <v>2</v>
      </c>
      <c r="K852" s="80">
        <v>0</v>
      </c>
      <c r="L852" s="80">
        <v>1</v>
      </c>
      <c r="M852" s="80">
        <v>0</v>
      </c>
      <c r="N852" s="80">
        <v>0</v>
      </c>
      <c r="P852" s="124">
        <f t="shared" si="97"/>
        <v>0</v>
      </c>
      <c r="Q852" s="124">
        <f t="shared" si="98"/>
        <v>83.333333333333329</v>
      </c>
      <c r="R852" s="161">
        <f t="shared" si="82"/>
        <v>0</v>
      </c>
      <c r="S852" s="188"/>
      <c r="T852" s="81"/>
      <c r="Y852" s="87"/>
      <c r="Z852" s="362"/>
      <c r="AA852" s="124"/>
      <c r="AB852" s="124"/>
    </row>
    <row r="853" spans="1:29" s="80" customFormat="1">
      <c r="A853" s="77">
        <v>42933</v>
      </c>
      <c r="B853" s="78"/>
      <c r="C853" s="78"/>
      <c r="D853" s="80" t="s">
        <v>87</v>
      </c>
      <c r="F853" s="87">
        <v>224</v>
      </c>
      <c r="G853" s="87">
        <v>3</v>
      </c>
      <c r="H853" s="80">
        <v>250</v>
      </c>
      <c r="I853" s="80">
        <v>0</v>
      </c>
      <c r="J853" s="80">
        <v>0</v>
      </c>
      <c r="K853" s="80">
        <v>1</v>
      </c>
      <c r="L853" s="80">
        <v>0</v>
      </c>
      <c r="M853" s="80">
        <v>0</v>
      </c>
      <c r="N853" s="80">
        <v>0</v>
      </c>
      <c r="P853" s="124">
        <f t="shared" si="97"/>
        <v>27.777777777777775</v>
      </c>
      <c r="Q853" s="124">
        <f t="shared" si="98"/>
        <v>0</v>
      </c>
      <c r="R853" s="161">
        <f t="shared" si="82"/>
        <v>1</v>
      </c>
      <c r="S853" s="189" t="str">
        <f>D853</f>
        <v>SN-6 Ambient</v>
      </c>
      <c r="Y853" s="87" t="str">
        <f>D853</f>
        <v>SN-6 Ambient</v>
      </c>
      <c r="Z853" s="353">
        <f>SUMIFS($P$765:$P$820, $D$765:$D$820, Y853, $F$765:$F$820, "&lt;200") + SUMIFS($Q$765:$Q$820, $D$765:$D$820, Y853, $F$765:$F$820, "&lt;200")</f>
        <v>160</v>
      </c>
      <c r="AA853" s="124">
        <f>SUM(P853:Q856)</f>
        <v>118.88888888888887</v>
      </c>
      <c r="AB853" s="124">
        <f>SUMIFS(Collection!O:O, Collection!B:B, "*" &amp; 'Bucket Counts'!Y853 &amp; "*", Collection!A:A, "&lt;" &amp; 'Bucket Counts'!A853,Collection!A:A,  "&gt;=" &amp; 'Bucket Counts'!$A$765)</f>
        <v>0</v>
      </c>
      <c r="AC853" s="161">
        <f>AA853/(Z853+AB853)</f>
        <v>0.74305555555555547</v>
      </c>
    </row>
    <row r="854" spans="1:29" s="80" customFormat="1">
      <c r="A854" s="77">
        <v>42933</v>
      </c>
      <c r="B854" s="78"/>
      <c r="C854" s="78"/>
      <c r="D854" s="80" t="s">
        <v>87</v>
      </c>
      <c r="F854" s="87">
        <v>180</v>
      </c>
      <c r="G854" s="87">
        <v>3</v>
      </c>
      <c r="H854" s="80">
        <v>260</v>
      </c>
      <c r="I854" s="80">
        <v>1</v>
      </c>
      <c r="J854" s="80">
        <v>0</v>
      </c>
      <c r="K854" s="80">
        <v>0</v>
      </c>
      <c r="L854" s="80">
        <v>0</v>
      </c>
      <c r="M854" s="80">
        <v>1</v>
      </c>
      <c r="N854" s="80">
        <v>0</v>
      </c>
      <c r="P854" s="124">
        <f t="shared" si="97"/>
        <v>57.777777777777771</v>
      </c>
      <c r="Q854" s="124">
        <f t="shared" si="98"/>
        <v>0</v>
      </c>
      <c r="R854" s="161">
        <f t="shared" si="82"/>
        <v>1</v>
      </c>
      <c r="S854" s="187">
        <f>(SUM(P853:P856)/(SUM(P853:Q856)))</f>
        <v>0.71962616822429903</v>
      </c>
      <c r="Y854" s="87"/>
      <c r="Z854" s="362"/>
      <c r="AA854" s="124"/>
      <c r="AB854" s="124"/>
    </row>
    <row r="855" spans="1:29" s="80" customFormat="1">
      <c r="A855" s="77">
        <v>42933</v>
      </c>
      <c r="B855" s="78"/>
      <c r="C855" s="78"/>
      <c r="D855" s="80" t="s">
        <v>87</v>
      </c>
      <c r="F855" s="87">
        <v>100</v>
      </c>
      <c r="G855" s="87" t="s">
        <v>355</v>
      </c>
      <c r="P855" s="124">
        <v>0</v>
      </c>
      <c r="Q855" s="124">
        <v>0</v>
      </c>
      <c r="R855" s="161" t="e">
        <f t="shared" si="82"/>
        <v>#DIV/0!</v>
      </c>
      <c r="S855" s="188"/>
      <c r="Y855" s="87"/>
      <c r="Z855" s="362"/>
      <c r="AA855" s="124"/>
      <c r="AB855" s="124"/>
    </row>
    <row r="856" spans="1:29" s="80" customFormat="1">
      <c r="A856" s="77">
        <v>42933</v>
      </c>
      <c r="B856" s="78"/>
      <c r="C856" s="78"/>
      <c r="D856" s="80" t="s">
        <v>87</v>
      </c>
      <c r="F856" s="87" t="s">
        <v>203</v>
      </c>
      <c r="G856" s="87">
        <v>3</v>
      </c>
      <c r="H856" s="80">
        <v>300</v>
      </c>
      <c r="I856" s="80">
        <v>0</v>
      </c>
      <c r="J856" s="80">
        <v>1</v>
      </c>
      <c r="K856" s="80">
        <v>0</v>
      </c>
      <c r="L856" s="80">
        <v>0</v>
      </c>
      <c r="M856" s="80">
        <v>0</v>
      </c>
      <c r="N856" s="80">
        <v>0</v>
      </c>
      <c r="P856" s="124">
        <f t="shared" ref="P856:P860" si="99">(AVERAGE(I856,K856,M856)/G856)*H856</f>
        <v>0</v>
      </c>
      <c r="Q856" s="124">
        <f t="shared" ref="Q856:Q860" si="100">(AVERAGE(J856,L856,N856)/G856)*H856</f>
        <v>33.333333333333329</v>
      </c>
      <c r="R856" s="161">
        <f t="shared" si="82"/>
        <v>0</v>
      </c>
      <c r="S856" s="188"/>
      <c r="Y856" s="87"/>
      <c r="Z856" s="362"/>
      <c r="AA856" s="124"/>
      <c r="AB856" s="124"/>
    </row>
    <row r="857" spans="1:29" s="80" customFormat="1">
      <c r="A857" s="77">
        <v>42933</v>
      </c>
      <c r="B857" s="78"/>
      <c r="C857" s="78"/>
      <c r="D857" s="80" t="s">
        <v>84</v>
      </c>
      <c r="F857" s="87">
        <v>224</v>
      </c>
      <c r="G857" s="87">
        <v>3</v>
      </c>
      <c r="H857" s="80">
        <v>250</v>
      </c>
      <c r="I857" s="80">
        <v>0</v>
      </c>
      <c r="J857" s="80">
        <v>0</v>
      </c>
      <c r="K857" s="80">
        <v>0</v>
      </c>
      <c r="L857" s="80">
        <v>0</v>
      </c>
      <c r="M857" s="80">
        <v>1</v>
      </c>
      <c r="N857" s="80">
        <v>0</v>
      </c>
      <c r="P857" s="346">
        <f t="shared" si="99"/>
        <v>27.777777777777775</v>
      </c>
      <c r="Q857" s="124">
        <f t="shared" si="100"/>
        <v>0</v>
      </c>
      <c r="R857" s="161">
        <f t="shared" si="82"/>
        <v>1</v>
      </c>
      <c r="S857" s="189" t="str">
        <f>D857</f>
        <v>NF-10 Ambient</v>
      </c>
      <c r="T857" s="81"/>
      <c r="U857" s="81"/>
      <c r="V857" s="81"/>
      <c r="W857" s="80" t="s">
        <v>364</v>
      </c>
      <c r="Y857" s="87" t="str">
        <f>D857</f>
        <v>NF-10 Ambient</v>
      </c>
      <c r="Z857" s="353">
        <f>SUMIFS($P$765:$P$820, $D$765:$D$820, Y857, $F$765:$F$820, "&lt;200") + SUMIFS($Q$765:$Q$820, $D$765:$D$820, Y857, $F$765:$F$820, "&lt;200")</f>
        <v>63</v>
      </c>
      <c r="AA857" s="124">
        <f>SUM(P857:Q860)</f>
        <v>465.55555555555554</v>
      </c>
      <c r="AB857" s="124">
        <f>SUMIFS(Collection!O:O, Collection!B:B, "*" &amp; 'Bucket Counts'!Y857 &amp; "*", Collection!A:A, "&lt;" &amp; 'Bucket Counts'!A857,Collection!A:A,  "&gt;=" &amp; 'Bucket Counts'!$A$765)</f>
        <v>0</v>
      </c>
      <c r="AC857" s="161">
        <f>AA857/(Z857+AB857)</f>
        <v>7.3897707231040561</v>
      </c>
    </row>
    <row r="858" spans="1:29" s="80" customFormat="1">
      <c r="A858" s="77">
        <v>42933</v>
      </c>
      <c r="B858" s="78"/>
      <c r="C858" s="78"/>
      <c r="D858" s="80" t="s">
        <v>84</v>
      </c>
      <c r="F858" s="87">
        <v>180</v>
      </c>
      <c r="G858" s="87">
        <v>3</v>
      </c>
      <c r="H858" s="80">
        <v>250</v>
      </c>
      <c r="I858" s="80">
        <v>1</v>
      </c>
      <c r="J858" s="80">
        <v>0</v>
      </c>
      <c r="K858" s="80">
        <v>0</v>
      </c>
      <c r="L858" s="80">
        <v>0</v>
      </c>
      <c r="M858" s="80">
        <v>1</v>
      </c>
      <c r="N858" s="80">
        <v>0</v>
      </c>
      <c r="P858" s="124">
        <f t="shared" si="99"/>
        <v>55.55555555555555</v>
      </c>
      <c r="Q858" s="124">
        <f t="shared" si="100"/>
        <v>0</v>
      </c>
      <c r="R858" s="161">
        <f t="shared" si="82"/>
        <v>1</v>
      </c>
      <c r="S858" s="187">
        <f>(SUM(P857:P860)/(SUM(P857:Q860)))</f>
        <v>0.30668257756563244</v>
      </c>
      <c r="T858" s="81"/>
      <c r="U858" s="81"/>
      <c r="V858" s="81"/>
      <c r="Y858" s="87"/>
      <c r="Z858" s="362"/>
      <c r="AA858" s="124"/>
      <c r="AB858" s="124"/>
    </row>
    <row r="859" spans="1:29" s="80" customFormat="1">
      <c r="A859" s="77">
        <v>42933</v>
      </c>
      <c r="B859" s="78"/>
      <c r="C859" s="78"/>
      <c r="D859" s="80" t="s">
        <v>84</v>
      </c>
      <c r="F859" s="87">
        <v>100</v>
      </c>
      <c r="G859" s="87">
        <v>3</v>
      </c>
      <c r="H859" s="80">
        <v>275</v>
      </c>
      <c r="I859" s="80">
        <v>0</v>
      </c>
      <c r="J859" s="80">
        <v>1</v>
      </c>
      <c r="K859" s="80">
        <v>0</v>
      </c>
      <c r="L859" s="80">
        <v>2</v>
      </c>
      <c r="M859" s="80">
        <v>1</v>
      </c>
      <c r="N859" s="80">
        <v>0</v>
      </c>
      <c r="P859" s="124">
        <f t="shared" si="99"/>
        <v>30.555555555555554</v>
      </c>
      <c r="Q859" s="124">
        <f t="shared" si="100"/>
        <v>91.666666666666657</v>
      </c>
      <c r="R859" s="161">
        <f t="shared" si="82"/>
        <v>0.25</v>
      </c>
      <c r="S859" s="188"/>
      <c r="T859" s="81"/>
      <c r="U859" s="81"/>
      <c r="V859" s="81"/>
      <c r="Y859" s="87"/>
      <c r="Z859" s="362"/>
      <c r="AA859" s="124"/>
      <c r="AB859" s="124"/>
    </row>
    <row r="860" spans="1:29" s="80" customFormat="1">
      <c r="A860" s="77">
        <v>42933</v>
      </c>
      <c r="B860" s="78"/>
      <c r="C860" s="78"/>
      <c r="D860" s="80" t="s">
        <v>84</v>
      </c>
      <c r="F860" s="87" t="s">
        <v>203</v>
      </c>
      <c r="G860" s="87">
        <v>3</v>
      </c>
      <c r="H860" s="80">
        <v>260</v>
      </c>
      <c r="I860" s="80">
        <v>0</v>
      </c>
      <c r="J860" s="80">
        <v>5</v>
      </c>
      <c r="K860" s="80">
        <v>0</v>
      </c>
      <c r="L860" s="80">
        <v>1</v>
      </c>
      <c r="M860" s="80">
        <v>1</v>
      </c>
      <c r="N860" s="80">
        <v>2</v>
      </c>
      <c r="P860" s="124">
        <f t="shared" si="99"/>
        <v>28.888888888888886</v>
      </c>
      <c r="Q860" s="124">
        <f t="shared" si="100"/>
        <v>231.11111111111109</v>
      </c>
      <c r="R860" s="161">
        <f t="shared" si="82"/>
        <v>0.1111111111111111</v>
      </c>
      <c r="S860" s="188"/>
      <c r="T860" s="81"/>
      <c r="U860" s="81"/>
      <c r="V860" s="81"/>
      <c r="Y860" s="87"/>
      <c r="Z860" s="362"/>
      <c r="AA860" s="124"/>
      <c r="AB860" s="124"/>
    </row>
    <row r="861" spans="1:29" s="80" customFormat="1">
      <c r="A861" s="77">
        <v>42933</v>
      </c>
      <c r="B861" s="78"/>
      <c r="C861" s="78"/>
      <c r="D861" s="80" t="s">
        <v>17</v>
      </c>
      <c r="F861" s="87">
        <v>224</v>
      </c>
      <c r="G861" s="87" t="s">
        <v>355</v>
      </c>
      <c r="P861" s="124">
        <v>3</v>
      </c>
      <c r="Q861" s="124">
        <v>0</v>
      </c>
      <c r="R861" s="161">
        <f t="shared" si="82"/>
        <v>1</v>
      </c>
      <c r="S861" s="189" t="str">
        <f>D861</f>
        <v>K-10 Ambient</v>
      </c>
      <c r="T861" s="81"/>
      <c r="U861" s="81"/>
      <c r="V861" s="81"/>
      <c r="Y861" s="87" t="str">
        <f>D861</f>
        <v>K-10 Ambient</v>
      </c>
      <c r="Z861" s="353">
        <f>SUMIFS($P$765:$P$820, $D$765:$D$820, Y861, $F$765:$F$820, "&lt;200") + SUMIFS($Q$765:$Q$820, $D$765:$D$820, Y861, $F$765:$F$820, "&lt;200")</f>
        <v>506.66666666666669</v>
      </c>
      <c r="AA861" s="124">
        <f>SUM(P861:Q864)</f>
        <v>91.888888888888886</v>
      </c>
      <c r="AB861" s="124">
        <f>SUMIFS(Collection!O:O, Collection!B:B, "*" &amp; 'Bucket Counts'!Y861 &amp; "*", Collection!A:A, "&lt;" &amp; 'Bucket Counts'!A861,Collection!A:A,  "&gt;=" &amp; 'Bucket Counts'!$A$765)</f>
        <v>0</v>
      </c>
      <c r="AC861" s="161">
        <f>AA861/(Z861+AB861)</f>
        <v>0.181359649122807</v>
      </c>
    </row>
    <row r="862" spans="1:29" s="80" customFormat="1">
      <c r="A862" s="77">
        <v>42933</v>
      </c>
      <c r="B862" s="78"/>
      <c r="C862" s="78"/>
      <c r="D862" s="80" t="s">
        <v>17</v>
      </c>
      <c r="F862" s="87">
        <v>180</v>
      </c>
      <c r="G862" s="87">
        <v>3</v>
      </c>
      <c r="H862" s="80">
        <v>250</v>
      </c>
      <c r="I862" s="80">
        <v>0</v>
      </c>
      <c r="J862" s="80">
        <v>0</v>
      </c>
      <c r="K862" s="80">
        <v>0</v>
      </c>
      <c r="L862" s="80">
        <v>0</v>
      </c>
      <c r="M862" s="80">
        <v>1</v>
      </c>
      <c r="N862" s="80">
        <v>0</v>
      </c>
      <c r="P862" s="303">
        <f t="shared" ref="P862" si="101">(AVERAGE(I862,K862,M862)/G862)*H862</f>
        <v>27.777777777777775</v>
      </c>
      <c r="Q862" s="124">
        <f t="shared" ref="Q862" si="102">(AVERAGE(J862,L862,N862)/G862)*H862</f>
        <v>0</v>
      </c>
      <c r="R862" s="161">
        <f t="shared" si="82"/>
        <v>1</v>
      </c>
      <c r="S862" s="187">
        <f>(SUM(P861:P864)/(SUM(P861:Q864)))</f>
        <v>0.33494558645707373</v>
      </c>
      <c r="T862" s="81"/>
      <c r="U862" s="81"/>
      <c r="V862" s="81"/>
      <c r="Y862" s="87"/>
      <c r="Z862" s="362"/>
      <c r="AA862" s="124"/>
      <c r="AB862" s="124"/>
    </row>
    <row r="863" spans="1:29" s="80" customFormat="1">
      <c r="A863" s="77">
        <v>42933</v>
      </c>
      <c r="B863" s="78"/>
      <c r="C863" s="78"/>
      <c r="D863" s="80" t="s">
        <v>17</v>
      </c>
      <c r="F863" s="87">
        <v>100</v>
      </c>
      <c r="G863" s="87" t="s">
        <v>355</v>
      </c>
      <c r="P863" s="124">
        <v>0</v>
      </c>
      <c r="Q863" s="124">
        <v>0</v>
      </c>
      <c r="R863" s="161" t="e">
        <f t="shared" si="82"/>
        <v>#DIV/0!</v>
      </c>
      <c r="S863" s="188"/>
      <c r="T863" s="81"/>
      <c r="U863" s="81"/>
      <c r="V863" s="81"/>
      <c r="Y863" s="87"/>
      <c r="Z863" s="362"/>
      <c r="AA863" s="124"/>
      <c r="AB863" s="124"/>
    </row>
    <row r="864" spans="1:29" s="80" customFormat="1">
      <c r="A864" s="77">
        <v>42933</v>
      </c>
      <c r="B864" s="78"/>
      <c r="C864" s="78"/>
      <c r="D864" s="80" t="s">
        <v>17</v>
      </c>
      <c r="F864" s="87" t="s">
        <v>203</v>
      </c>
      <c r="G864" s="87">
        <v>3</v>
      </c>
      <c r="H864" s="80">
        <v>275</v>
      </c>
      <c r="I864" s="80">
        <v>0</v>
      </c>
      <c r="J864" s="80">
        <v>1</v>
      </c>
      <c r="K864" s="80">
        <v>0</v>
      </c>
      <c r="L864" s="80">
        <v>0</v>
      </c>
      <c r="M864" s="80">
        <v>0</v>
      </c>
      <c r="N864" s="80">
        <v>1</v>
      </c>
      <c r="P864" s="124">
        <f t="shared" ref="P864:P872" si="103">(AVERAGE(I864,K864,M864)/G864)*H864</f>
        <v>0</v>
      </c>
      <c r="Q864" s="124">
        <f t="shared" ref="Q864:Q872" si="104">(AVERAGE(J864,L864,N864)/G864)*H864</f>
        <v>61.111111111111107</v>
      </c>
      <c r="R864" s="161">
        <f t="shared" si="82"/>
        <v>0</v>
      </c>
      <c r="S864" s="188"/>
      <c r="T864" s="81"/>
      <c r="U864" s="81"/>
      <c r="V864" s="81"/>
      <c r="Y864" s="87"/>
      <c r="Z864" s="362"/>
      <c r="AA864" s="124"/>
      <c r="AB864" s="124"/>
    </row>
    <row r="865" spans="1:29" s="80" customFormat="1">
      <c r="A865" s="77">
        <v>42933</v>
      </c>
      <c r="B865" s="78"/>
      <c r="C865" s="78"/>
      <c r="D865" s="80" t="s">
        <v>109</v>
      </c>
      <c r="F865" s="87">
        <v>224</v>
      </c>
      <c r="G865" s="87">
        <v>3</v>
      </c>
      <c r="H865" s="80">
        <v>260</v>
      </c>
      <c r="I865" s="80">
        <v>4</v>
      </c>
      <c r="J865" s="80">
        <v>0</v>
      </c>
      <c r="K865" s="80">
        <v>5</v>
      </c>
      <c r="L865" s="80">
        <v>0</v>
      </c>
      <c r="M865" s="80">
        <v>9</v>
      </c>
      <c r="N865" s="80">
        <v>0</v>
      </c>
      <c r="P865" s="346">
        <f t="shared" si="103"/>
        <v>520</v>
      </c>
      <c r="Q865" s="124">
        <f t="shared" si="104"/>
        <v>0</v>
      </c>
      <c r="R865" s="161">
        <f t="shared" si="82"/>
        <v>1</v>
      </c>
      <c r="S865" s="189" t="str">
        <f>D865</f>
        <v>HL-10 Low</v>
      </c>
      <c r="T865" s="81"/>
      <c r="U865" s="81"/>
      <c r="V865" s="81"/>
      <c r="Y865" s="87" t="str">
        <f>D865</f>
        <v>HL-10 Low</v>
      </c>
      <c r="Z865" s="353">
        <f>SUMIFS($P$765:$P$820, $D$765:$D$820, Y865, $F$765:$F$820, "&lt;200") + SUMIFS($Q$765:$Q$820, $D$765:$D$820, Y865, $F$765:$F$820, "&lt;200")</f>
        <v>10783.333333333334</v>
      </c>
      <c r="AA865" s="124">
        <f>SUM(P865:Q868)</f>
        <v>8668.8888888888887</v>
      </c>
      <c r="AB865" s="124">
        <f>SUMIFS(Collection!O:O, Collection!B:B, "*" &amp; 'Bucket Counts'!Y865 &amp; "*", Collection!A:A, "&lt;" &amp; 'Bucket Counts'!A865,Collection!A:A,  "&gt;=" &amp; 'Bucket Counts'!$A$765)</f>
        <v>0</v>
      </c>
      <c r="AC865" s="161">
        <f>AA865/(Z865+AB865)</f>
        <v>0.80391550747037599</v>
      </c>
    </row>
    <row r="866" spans="1:29" s="80" customFormat="1">
      <c r="A866" s="77">
        <v>42933</v>
      </c>
      <c r="B866" s="78"/>
      <c r="C866" s="78"/>
      <c r="D866" s="80" t="s">
        <v>109</v>
      </c>
      <c r="F866" s="87">
        <v>180</v>
      </c>
      <c r="G866" s="87">
        <v>3</v>
      </c>
      <c r="H866" s="80">
        <v>235</v>
      </c>
      <c r="I866" s="80">
        <v>57</v>
      </c>
      <c r="J866" s="80">
        <v>5</v>
      </c>
      <c r="K866" s="80">
        <v>56</v>
      </c>
      <c r="L866" s="80">
        <v>7</v>
      </c>
      <c r="M866" s="80">
        <v>45</v>
      </c>
      <c r="N866" s="80">
        <v>7</v>
      </c>
      <c r="P866" s="124">
        <f t="shared" si="103"/>
        <v>4125.5555555555547</v>
      </c>
      <c r="Q866" s="124">
        <f t="shared" si="104"/>
        <v>496.11111111111114</v>
      </c>
      <c r="R866" s="161">
        <f t="shared" si="82"/>
        <v>0.89265536723163841</v>
      </c>
      <c r="S866" s="187">
        <f>(SUM(P865:P868)/(SUM(P865:Q868)))</f>
        <v>0.58491412458344005</v>
      </c>
      <c r="T866" s="81"/>
      <c r="U866" s="81"/>
      <c r="V866" s="81"/>
      <c r="Y866" s="87"/>
      <c r="Z866" s="362"/>
      <c r="AA866" s="124"/>
      <c r="AB866" s="124"/>
    </row>
    <row r="867" spans="1:29" s="80" customFormat="1">
      <c r="A867" s="77">
        <v>42933</v>
      </c>
      <c r="B867" s="78"/>
      <c r="C867" s="78"/>
      <c r="D867" s="80" t="s">
        <v>109</v>
      </c>
      <c r="F867" s="87">
        <v>100</v>
      </c>
      <c r="G867" s="87">
        <v>3</v>
      </c>
      <c r="H867" s="80">
        <v>255</v>
      </c>
      <c r="I867" s="80">
        <v>2</v>
      </c>
      <c r="J867" s="80">
        <v>2</v>
      </c>
      <c r="K867" s="80">
        <v>3</v>
      </c>
      <c r="L867" s="80">
        <v>2</v>
      </c>
      <c r="M867" s="80">
        <v>10</v>
      </c>
      <c r="N867" s="80">
        <v>2</v>
      </c>
      <c r="P867" s="124">
        <f t="shared" si="103"/>
        <v>425</v>
      </c>
      <c r="Q867" s="124">
        <f t="shared" si="104"/>
        <v>170</v>
      </c>
      <c r="R867" s="161">
        <f t="shared" si="82"/>
        <v>0.7142857142857143</v>
      </c>
      <c r="S867" s="188"/>
      <c r="T867" s="81"/>
      <c r="U867" s="81"/>
      <c r="V867" s="81"/>
      <c r="Y867" s="87"/>
      <c r="Z867" s="362"/>
      <c r="AA867" s="124"/>
      <c r="AB867" s="124"/>
    </row>
    <row r="868" spans="1:29" s="80" customFormat="1">
      <c r="A868" s="77">
        <v>42933</v>
      </c>
      <c r="B868" s="78"/>
      <c r="C868" s="78"/>
      <c r="D868" s="80" t="s">
        <v>109</v>
      </c>
      <c r="F868" s="87" t="s">
        <v>203</v>
      </c>
      <c r="G868" s="87">
        <v>3</v>
      </c>
      <c r="H868" s="80">
        <v>290</v>
      </c>
      <c r="I868" s="80">
        <v>0</v>
      </c>
      <c r="J868" s="80">
        <v>33</v>
      </c>
      <c r="K868" s="80">
        <v>0</v>
      </c>
      <c r="L868" s="80">
        <v>32</v>
      </c>
      <c r="M868" s="80">
        <v>0</v>
      </c>
      <c r="N868" s="80">
        <v>26</v>
      </c>
      <c r="P868" s="124">
        <f t="shared" si="103"/>
        <v>0</v>
      </c>
      <c r="Q868" s="124">
        <f t="shared" si="104"/>
        <v>2932.2222222222222</v>
      </c>
      <c r="R868" s="161">
        <f t="shared" ref="R868:R912" si="105">P868/(P868+Q868)</f>
        <v>0</v>
      </c>
      <c r="S868" s="188"/>
      <c r="T868" s="81"/>
      <c r="U868" s="81"/>
      <c r="V868" s="81"/>
      <c r="Y868" s="87"/>
      <c r="Z868" s="362"/>
      <c r="AA868" s="124"/>
      <c r="AB868" s="124"/>
    </row>
    <row r="869" spans="1:29" s="80" customFormat="1">
      <c r="A869" s="77">
        <v>42933</v>
      </c>
      <c r="B869" s="78"/>
      <c r="C869" s="78"/>
      <c r="D869" s="80" t="s">
        <v>88</v>
      </c>
      <c r="F869" s="87">
        <v>224</v>
      </c>
      <c r="G869" s="87">
        <v>3</v>
      </c>
      <c r="H869" s="80">
        <v>275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P869" s="124">
        <f t="shared" si="103"/>
        <v>61.111111111111107</v>
      </c>
      <c r="Q869" s="124">
        <f t="shared" si="104"/>
        <v>0</v>
      </c>
      <c r="R869" s="161">
        <f t="shared" si="105"/>
        <v>1</v>
      </c>
      <c r="S869" s="189" t="str">
        <f>D869</f>
        <v>HL-10 Ambient</v>
      </c>
      <c r="T869" s="81"/>
      <c r="U869" s="81"/>
      <c r="V869" s="81"/>
      <c r="Y869" s="87" t="str">
        <f>D869</f>
        <v>HL-10 Ambient</v>
      </c>
      <c r="Z869" s="353">
        <f>SUMIFS($P$765:$P$820, $D$765:$D$820, Y869, $F$765:$F$820, "&lt;200") + SUMIFS($Q$765:$Q$820, $D$765:$D$820, Y869, $F$765:$F$820, "&lt;200")</f>
        <v>15081.666666666666</v>
      </c>
      <c r="AA869" s="124">
        <f>SUM(P869:Q872)</f>
        <v>7761.1111111111113</v>
      </c>
      <c r="AB869" s="124">
        <f>SUMIFS(Collection!O:O, Collection!B:B, "*" &amp; 'Bucket Counts'!Y869 &amp; "*", Collection!A:A, "&lt;" &amp; 'Bucket Counts'!A869,Collection!A:A,  "&gt;=" &amp; 'Bucket Counts'!$A$765)</f>
        <v>0</v>
      </c>
      <c r="AC869" s="161">
        <f>AA869/(Z869+AB869)</f>
        <v>0.51460566545106279</v>
      </c>
    </row>
    <row r="870" spans="1:29" s="80" customFormat="1">
      <c r="A870" s="77">
        <v>42933</v>
      </c>
      <c r="B870" s="78"/>
      <c r="C870" s="78"/>
      <c r="D870" s="80" t="s">
        <v>88</v>
      </c>
      <c r="F870" s="87">
        <v>180</v>
      </c>
      <c r="G870" s="87">
        <v>3</v>
      </c>
      <c r="H870" s="80">
        <v>260</v>
      </c>
      <c r="I870" s="80">
        <v>20</v>
      </c>
      <c r="J870" s="80">
        <v>5</v>
      </c>
      <c r="K870" s="80">
        <v>12</v>
      </c>
      <c r="L870" s="80">
        <v>2</v>
      </c>
      <c r="M870" s="80">
        <v>14</v>
      </c>
      <c r="N870" s="80">
        <v>2</v>
      </c>
      <c r="P870" s="124">
        <f t="shared" si="103"/>
        <v>1328.8888888888889</v>
      </c>
      <c r="Q870" s="124">
        <f t="shared" si="104"/>
        <v>260</v>
      </c>
      <c r="R870" s="161">
        <f t="shared" si="105"/>
        <v>0.83636363636363642</v>
      </c>
      <c r="S870" s="187">
        <f>(SUM(P869:P872)/(SUM(P869:Q872)))</f>
        <v>0.41889763779527556</v>
      </c>
      <c r="T870" s="81"/>
      <c r="U870" s="81"/>
      <c r="V870" s="81"/>
      <c r="Y870" s="87"/>
      <c r="Z870" s="362"/>
      <c r="AA870" s="124"/>
      <c r="AB870" s="124"/>
    </row>
    <row r="871" spans="1:29" s="80" customFormat="1">
      <c r="A871" s="77">
        <v>42933</v>
      </c>
      <c r="B871" s="78"/>
      <c r="C871" s="78"/>
      <c r="D871" s="80" t="s">
        <v>88</v>
      </c>
      <c r="F871" s="87">
        <v>100</v>
      </c>
      <c r="G871" s="87">
        <v>3</v>
      </c>
      <c r="H871" s="80">
        <v>250</v>
      </c>
      <c r="I871" s="80">
        <v>20</v>
      </c>
      <c r="J871" s="80">
        <v>13</v>
      </c>
      <c r="K871" s="80">
        <v>24</v>
      </c>
      <c r="L871" s="80">
        <v>7</v>
      </c>
      <c r="M871" s="80">
        <v>23</v>
      </c>
      <c r="N871" s="80">
        <v>12</v>
      </c>
      <c r="P871" s="124">
        <f t="shared" si="103"/>
        <v>1861.1111111111109</v>
      </c>
      <c r="Q871" s="124">
        <f t="shared" si="104"/>
        <v>888.8888888888888</v>
      </c>
      <c r="R871" s="161">
        <f t="shared" si="105"/>
        <v>0.6767676767676768</v>
      </c>
      <c r="S871" s="188"/>
      <c r="T871" s="81"/>
      <c r="U871" s="81"/>
      <c r="V871" s="81"/>
      <c r="Y871" s="87"/>
      <c r="Z871" s="362"/>
      <c r="AA871" s="124"/>
      <c r="AB871" s="124"/>
    </row>
    <row r="872" spans="1:29" s="80" customFormat="1">
      <c r="A872" s="77">
        <v>42933</v>
      </c>
      <c r="B872" s="78"/>
      <c r="C872" s="78"/>
      <c r="D872" s="80" t="s">
        <v>88</v>
      </c>
      <c r="F872" s="87" t="s">
        <v>203</v>
      </c>
      <c r="G872" s="87">
        <v>3</v>
      </c>
      <c r="H872" s="80">
        <v>250</v>
      </c>
      <c r="I872" s="80">
        <v>0</v>
      </c>
      <c r="J872" s="80">
        <v>33</v>
      </c>
      <c r="K872" s="80">
        <v>0</v>
      </c>
      <c r="L872" s="80">
        <v>45</v>
      </c>
      <c r="M872" s="80">
        <v>0</v>
      </c>
      <c r="N872" s="80">
        <v>43</v>
      </c>
      <c r="P872" s="124">
        <f t="shared" si="103"/>
        <v>0</v>
      </c>
      <c r="Q872" s="124">
        <f t="shared" si="104"/>
        <v>3361.1111111111113</v>
      </c>
      <c r="R872" s="161">
        <f t="shared" si="105"/>
        <v>0</v>
      </c>
      <c r="S872" s="188"/>
      <c r="T872" s="81"/>
      <c r="U872" s="81"/>
      <c r="V872" s="81"/>
      <c r="Y872" s="87"/>
      <c r="Z872" s="362"/>
      <c r="AA872" s="124"/>
      <c r="AB872" s="124"/>
    </row>
    <row r="873" spans="1:29" s="80" customFormat="1">
      <c r="A873" s="77">
        <v>42933</v>
      </c>
      <c r="B873" s="78"/>
      <c r="C873" s="78"/>
      <c r="D873" s="80" t="s">
        <v>46</v>
      </c>
      <c r="F873" s="87">
        <v>224</v>
      </c>
      <c r="G873" s="87" t="s">
        <v>355</v>
      </c>
      <c r="P873" s="124">
        <v>18</v>
      </c>
      <c r="Q873" s="124">
        <v>1</v>
      </c>
      <c r="R873" s="161">
        <f t="shared" si="105"/>
        <v>0.94736842105263153</v>
      </c>
      <c r="S873" s="189" t="str">
        <f>D873</f>
        <v>K-6 Low</v>
      </c>
      <c r="T873" s="81"/>
      <c r="U873" s="81"/>
      <c r="V873" s="81"/>
      <c r="Y873" s="87" t="str">
        <f>D873</f>
        <v>K-6 Low</v>
      </c>
      <c r="Z873" s="353">
        <f>SUMIFS($P$765:$P$820, $D$765:$D$820, Y873, $F$765:$F$820, "&lt;200") + SUMIFS($Q$765:$Q$820, $D$765:$D$820, Y873, $F$765:$F$820, "&lt;200")</f>
        <v>1040</v>
      </c>
      <c r="AA873" s="124">
        <f>SUM(P873:Q876)</f>
        <v>647.33333333333326</v>
      </c>
      <c r="AB873" s="124">
        <f>SUMIFS(Collection!O:O, Collection!B:B, "*" &amp; 'Bucket Counts'!Y873 &amp; "*", Collection!A:A, "&lt;" &amp; 'Bucket Counts'!A873,Collection!A:A,  "&gt;=" &amp; 'Bucket Counts'!$A$765)</f>
        <v>0</v>
      </c>
      <c r="AC873" s="161">
        <f>AA873/(Z873+AB873)</f>
        <v>0.62243589743589733</v>
      </c>
    </row>
    <row r="874" spans="1:29" s="80" customFormat="1">
      <c r="A874" s="77">
        <v>42933</v>
      </c>
      <c r="B874" s="78"/>
      <c r="C874" s="78"/>
      <c r="D874" s="80" t="s">
        <v>46</v>
      </c>
      <c r="F874" s="87">
        <v>180</v>
      </c>
      <c r="G874" s="87">
        <v>3</v>
      </c>
      <c r="H874" s="80">
        <v>250</v>
      </c>
      <c r="I874" s="80">
        <v>1</v>
      </c>
      <c r="J874" s="80">
        <v>0</v>
      </c>
      <c r="K874" s="80">
        <v>3</v>
      </c>
      <c r="L874" s="80">
        <v>0</v>
      </c>
      <c r="M874" s="80">
        <v>3</v>
      </c>
      <c r="N874" s="80">
        <v>0</v>
      </c>
      <c r="P874" s="124">
        <f t="shared" ref="P874:P876" si="106">(AVERAGE(I874,K874,M874)/G874)*H874</f>
        <v>194.44444444444446</v>
      </c>
      <c r="Q874" s="124">
        <f t="shared" ref="Q874:Q876" si="107">(AVERAGE(J874,L874,N874)/G874)*H874</f>
        <v>0</v>
      </c>
      <c r="R874" s="161">
        <f t="shared" si="105"/>
        <v>1</v>
      </c>
      <c r="S874" s="187">
        <f>(SUM(P873:P876)/(SUM(P873:Q876)))</f>
        <v>0.37538619979402682</v>
      </c>
      <c r="T874" s="81"/>
      <c r="U874" s="81"/>
      <c r="V874" s="81"/>
      <c r="Y874" s="87"/>
      <c r="Z874" s="362"/>
      <c r="AA874" s="124"/>
      <c r="AB874" s="124"/>
    </row>
    <row r="875" spans="1:29" s="80" customFormat="1">
      <c r="A875" s="77">
        <v>42933</v>
      </c>
      <c r="B875" s="78"/>
      <c r="C875" s="78"/>
      <c r="D875" s="80" t="s">
        <v>46</v>
      </c>
      <c r="F875" s="87">
        <v>100</v>
      </c>
      <c r="G875" s="87">
        <v>3</v>
      </c>
      <c r="H875" s="80">
        <v>275</v>
      </c>
      <c r="I875" s="80">
        <v>1</v>
      </c>
      <c r="J875" s="80">
        <v>1</v>
      </c>
      <c r="K875" s="80">
        <v>0</v>
      </c>
      <c r="L875" s="80">
        <v>1</v>
      </c>
      <c r="M875" s="80">
        <v>0</v>
      </c>
      <c r="N875" s="80">
        <v>0</v>
      </c>
      <c r="P875" s="124">
        <f t="shared" si="106"/>
        <v>30.555555555555554</v>
      </c>
      <c r="Q875" s="124">
        <f t="shared" si="107"/>
        <v>61.111111111111107</v>
      </c>
      <c r="R875" s="161">
        <f t="shared" si="105"/>
        <v>0.33333333333333337</v>
      </c>
      <c r="S875" s="188"/>
      <c r="T875" s="81"/>
      <c r="U875" s="81"/>
      <c r="V875" s="81"/>
      <c r="Y875" s="87"/>
      <c r="Z875" s="362"/>
      <c r="AA875" s="124"/>
      <c r="AB875" s="124"/>
    </row>
    <row r="876" spans="1:29" s="80" customFormat="1" ht="16" thickBot="1">
      <c r="A876" s="77">
        <v>42933</v>
      </c>
      <c r="B876" s="78"/>
      <c r="C876" s="78"/>
      <c r="D876" s="80" t="s">
        <v>46</v>
      </c>
      <c r="F876" s="87" t="s">
        <v>203</v>
      </c>
      <c r="G876" s="87">
        <v>3</v>
      </c>
      <c r="H876" s="80">
        <v>280</v>
      </c>
      <c r="I876" s="80">
        <v>0</v>
      </c>
      <c r="J876" s="80">
        <v>4</v>
      </c>
      <c r="K876" s="80">
        <v>0</v>
      </c>
      <c r="L876" s="80">
        <v>5</v>
      </c>
      <c r="M876" s="80">
        <v>0</v>
      </c>
      <c r="N876" s="80">
        <v>2</v>
      </c>
      <c r="P876" s="124">
        <f t="shared" si="106"/>
        <v>0</v>
      </c>
      <c r="Q876" s="124">
        <f t="shared" si="107"/>
        <v>342.22222222222217</v>
      </c>
      <c r="R876" s="161">
        <f t="shared" si="105"/>
        <v>0</v>
      </c>
      <c r="S876" s="188"/>
      <c r="T876" s="81"/>
      <c r="U876" s="81"/>
      <c r="V876" s="81"/>
      <c r="Y876" s="87"/>
      <c r="Z876" s="362"/>
      <c r="AA876" s="124"/>
      <c r="AB876" s="124"/>
    </row>
    <row r="877" spans="1:29" s="241" customFormat="1">
      <c r="A877" s="304">
        <v>42936</v>
      </c>
      <c r="B877" s="239"/>
      <c r="C877" s="239"/>
      <c r="D877" s="271" t="s">
        <v>88</v>
      </c>
      <c r="F877" s="242">
        <v>224</v>
      </c>
      <c r="G877" s="242" t="s">
        <v>355</v>
      </c>
      <c r="P877" s="120">
        <v>20</v>
      </c>
      <c r="Q877" s="120">
        <v>7</v>
      </c>
      <c r="R877" s="120" t="e">
        <f t="shared" ref="R877" si="108">(AVERAGE(K877,M877,O877)/H877)*I877</f>
        <v>#DIV/0!</v>
      </c>
      <c r="S877" s="245" t="str">
        <f>D877</f>
        <v>HL-10 Ambient</v>
      </c>
      <c r="T877" s="246"/>
      <c r="U877" s="246"/>
      <c r="V877" s="246"/>
      <c r="Y877" s="89" t="str">
        <f>D877</f>
        <v>HL-10 Ambient</v>
      </c>
      <c r="Z877" s="352">
        <f>SUMIFS($P$821:$P$876, $D$821:$D$876, Y877, $F$821:$F$876, "&lt;200") + SUMIFS($Q$821:$Q$876, $D$821:$D$876, Y877, $F$821:$F$876, "&lt;200")</f>
        <v>4338.8888888888887</v>
      </c>
      <c r="AA877" s="120">
        <f>SUM(P877:Q880)</f>
        <v>3159.7777777777774</v>
      </c>
      <c r="AB877" s="120">
        <f>SUMIFS(Collection!O:O, Collection!B:B, "*" &amp; 'Bucket Counts'!Y877 &amp; "*", Collection!A:A, "&lt;" &amp; 'Bucket Counts'!A877,Collection!A:A,  "&gt;=" &amp; 'Bucket Counts'!$A$821)</f>
        <v>0</v>
      </c>
      <c r="AC877" s="106">
        <f>AA877/(Z877+AB877)</f>
        <v>0.72824583866837378</v>
      </c>
    </row>
    <row r="878" spans="1:29" s="62" customFormat="1">
      <c r="A878" s="88">
        <v>42936</v>
      </c>
      <c r="B878" s="60"/>
      <c r="C878" s="60"/>
      <c r="D878" s="61" t="s">
        <v>88</v>
      </c>
      <c r="E878" s="137"/>
      <c r="F878" s="89">
        <v>180</v>
      </c>
      <c r="G878" s="89">
        <v>3</v>
      </c>
      <c r="H878" s="62">
        <v>220</v>
      </c>
      <c r="I878" s="62">
        <v>2</v>
      </c>
      <c r="J878" s="62">
        <v>2</v>
      </c>
      <c r="K878" s="62">
        <v>5</v>
      </c>
      <c r="L878" s="62">
        <v>1</v>
      </c>
      <c r="M878" s="89">
        <v>3</v>
      </c>
      <c r="N878" s="62">
        <v>3</v>
      </c>
      <c r="P878" s="120">
        <f t="shared" ref="P878:P884" si="109">(AVERAGE(I878,K878,M878)/G878)*H878</f>
        <v>244.44444444444446</v>
      </c>
      <c r="Q878" s="120">
        <f t="shared" ref="Q878:Q884" si="110">(AVERAGE(J878,L878,N878)/G878)*H878</f>
        <v>146.66666666666666</v>
      </c>
      <c r="R878" s="106">
        <f t="shared" si="105"/>
        <v>0.62500000000000011</v>
      </c>
      <c r="S878" s="181">
        <f>(SUM(P877:P880)/(SUM(P877:Q880)))</f>
        <v>0.1047893663408116</v>
      </c>
      <c r="T878" s="65"/>
      <c r="U878" s="65"/>
      <c r="V878" s="65"/>
      <c r="Y878" s="89"/>
      <c r="Z878" s="358"/>
      <c r="AA878" s="120"/>
      <c r="AB878" s="120"/>
    </row>
    <row r="879" spans="1:29" s="62" customFormat="1">
      <c r="A879" s="88">
        <v>42936</v>
      </c>
      <c r="B879" s="60"/>
      <c r="C879" s="60"/>
      <c r="D879" s="61" t="s">
        <v>88</v>
      </c>
      <c r="E879" s="137"/>
      <c r="F879" s="89">
        <v>100</v>
      </c>
      <c r="G879" s="89">
        <v>3</v>
      </c>
      <c r="H879" s="62">
        <v>200</v>
      </c>
      <c r="I879" s="62">
        <v>1</v>
      </c>
      <c r="J879" s="62">
        <v>4</v>
      </c>
      <c r="K879" s="62">
        <v>1</v>
      </c>
      <c r="L879" s="62">
        <v>1</v>
      </c>
      <c r="M879" s="62">
        <v>1</v>
      </c>
      <c r="N879" s="62">
        <v>1</v>
      </c>
      <c r="P879" s="120">
        <f t="shared" si="109"/>
        <v>66.666666666666657</v>
      </c>
      <c r="Q879" s="120">
        <f t="shared" si="110"/>
        <v>133.33333333333331</v>
      </c>
      <c r="R879" s="106">
        <f t="shared" si="105"/>
        <v>0.33333333333333331</v>
      </c>
      <c r="S879" s="179"/>
      <c r="T879" s="65"/>
      <c r="U879" s="65"/>
      <c r="V879" s="65"/>
      <c r="Y879" s="89"/>
      <c r="Z879" s="358"/>
      <c r="AA879" s="120"/>
      <c r="AB879" s="120"/>
    </row>
    <row r="880" spans="1:29" s="62" customFormat="1">
      <c r="A880" s="88">
        <v>42936</v>
      </c>
      <c r="B880" s="60"/>
      <c r="C880" s="60"/>
      <c r="D880" s="61" t="s">
        <v>88</v>
      </c>
      <c r="E880" s="137"/>
      <c r="F880" s="89" t="s">
        <v>203</v>
      </c>
      <c r="G880" s="89">
        <v>2</v>
      </c>
      <c r="H880" s="62">
        <v>250</v>
      </c>
      <c r="I880" s="62">
        <v>0</v>
      </c>
      <c r="J880" s="62">
        <v>22</v>
      </c>
      <c r="K880" s="62">
        <v>0</v>
      </c>
      <c r="L880" s="62">
        <v>21</v>
      </c>
      <c r="M880" s="62">
        <v>0</v>
      </c>
      <c r="N880" s="62">
        <v>18</v>
      </c>
      <c r="P880" s="120">
        <f t="shared" si="109"/>
        <v>0</v>
      </c>
      <c r="Q880" s="120">
        <f t="shared" si="110"/>
        <v>2541.6666666666665</v>
      </c>
      <c r="R880" s="106">
        <f t="shared" si="105"/>
        <v>0</v>
      </c>
      <c r="S880" s="182"/>
      <c r="T880" s="65"/>
      <c r="U880" s="65"/>
      <c r="V880" s="65"/>
      <c r="Y880" s="89"/>
      <c r="Z880" s="358"/>
      <c r="AA880" s="120"/>
      <c r="AB880" s="120"/>
    </row>
    <row r="881" spans="1:29" s="62" customFormat="1">
      <c r="A881" s="88">
        <v>42936</v>
      </c>
      <c r="B881" s="60"/>
      <c r="C881" s="60"/>
      <c r="D881" s="62" t="s">
        <v>84</v>
      </c>
      <c r="E881" s="137"/>
      <c r="F881" s="89">
        <v>224</v>
      </c>
      <c r="G881" s="89" t="s">
        <v>355</v>
      </c>
      <c r="P881" s="346">
        <v>12</v>
      </c>
      <c r="Q881" s="120">
        <v>16</v>
      </c>
      <c r="R881" s="106">
        <f t="shared" si="105"/>
        <v>0.42857142857142855</v>
      </c>
      <c r="S881" s="183" t="str">
        <f>D881</f>
        <v>NF-10 Ambient</v>
      </c>
      <c r="T881" s="65"/>
      <c r="U881" s="65"/>
      <c r="V881" s="65"/>
      <c r="Y881" s="89" t="str">
        <f>D881</f>
        <v>NF-10 Ambient</v>
      </c>
      <c r="Z881" s="352">
        <f>SUMIFS($P$821:$P$876, $D$821:$D$876, Y881, $F$821:$F$876, "&lt;200") + SUMIFS($Q$821:$Q$876, $D$821:$D$876, Y881, $F$821:$F$876, "&lt;200")</f>
        <v>177.77777777777777</v>
      </c>
      <c r="AA881" s="120">
        <f>SUM(P881:Q884)</f>
        <v>223</v>
      </c>
      <c r="AB881" s="120">
        <f>SUMIFS(Collection!O:O, Collection!B:B, "*" &amp; 'Bucket Counts'!Y881 &amp; "*", Collection!A:A, "&lt;" &amp; 'Bucket Counts'!A881,Collection!A:A,  "&gt;=" &amp; 'Bucket Counts'!$A$821)</f>
        <v>0</v>
      </c>
      <c r="AC881" s="106">
        <f>AA881/(Z881+AB881)</f>
        <v>1.254375</v>
      </c>
    </row>
    <row r="882" spans="1:29" s="62" customFormat="1">
      <c r="A882" s="88">
        <v>42936</v>
      </c>
      <c r="B882" s="60"/>
      <c r="C882" s="60"/>
      <c r="D882" s="62" t="s">
        <v>84</v>
      </c>
      <c r="E882" s="137"/>
      <c r="F882" s="89">
        <v>180</v>
      </c>
      <c r="G882" s="89" t="s">
        <v>355</v>
      </c>
      <c r="P882" s="346">
        <v>25</v>
      </c>
      <c r="Q882" s="120">
        <v>30</v>
      </c>
      <c r="R882" s="106">
        <f t="shared" si="105"/>
        <v>0.45454545454545453</v>
      </c>
      <c r="S882" s="181">
        <f>(SUM(P881:P884)/(SUM(P881:Q884)))</f>
        <v>0.16591928251121077</v>
      </c>
      <c r="T882" s="65"/>
      <c r="U882" s="65"/>
      <c r="V882" s="65"/>
      <c r="Y882" s="89"/>
      <c r="Z882" s="358"/>
      <c r="AA882" s="120"/>
      <c r="AB882" s="120"/>
    </row>
    <row r="883" spans="1:29" s="62" customFormat="1">
      <c r="A883" s="88">
        <v>42936</v>
      </c>
      <c r="B883" s="60"/>
      <c r="C883" s="60"/>
      <c r="D883" s="62" t="s">
        <v>84</v>
      </c>
      <c r="E883" s="137"/>
      <c r="F883" s="89">
        <v>100</v>
      </c>
      <c r="G883" s="89">
        <v>3</v>
      </c>
      <c r="H883" s="62">
        <v>230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P883" s="120">
        <f t="shared" si="109"/>
        <v>0</v>
      </c>
      <c r="Q883" s="120">
        <f t="shared" si="110"/>
        <v>0</v>
      </c>
      <c r="R883" s="106" t="e">
        <f t="shared" si="105"/>
        <v>#DIV/0!</v>
      </c>
      <c r="S883" s="182"/>
      <c r="T883" s="65"/>
      <c r="U883" s="65"/>
      <c r="V883" s="65"/>
      <c r="Y883" s="89"/>
      <c r="Z883" s="358"/>
      <c r="AA883" s="120"/>
      <c r="AB883" s="120"/>
    </row>
    <row r="884" spans="1:29" s="62" customFormat="1">
      <c r="A884" s="88">
        <v>42936</v>
      </c>
      <c r="B884" s="60"/>
      <c r="C884" s="60"/>
      <c r="D884" s="62" t="s">
        <v>84</v>
      </c>
      <c r="E884" s="137"/>
      <c r="F884" s="89" t="s">
        <v>203</v>
      </c>
      <c r="G884" s="89">
        <v>2</v>
      </c>
      <c r="H884" s="62">
        <v>280</v>
      </c>
      <c r="I884" s="62">
        <v>0</v>
      </c>
      <c r="J884" s="62">
        <v>0</v>
      </c>
      <c r="K884" s="62">
        <v>0</v>
      </c>
      <c r="L884" s="62">
        <v>1</v>
      </c>
      <c r="M884" s="62">
        <v>0</v>
      </c>
      <c r="N884" s="62">
        <v>2</v>
      </c>
      <c r="P884" s="120">
        <f t="shared" si="109"/>
        <v>0</v>
      </c>
      <c r="Q884" s="120">
        <f t="shared" si="110"/>
        <v>140</v>
      </c>
      <c r="R884" s="106">
        <f t="shared" si="105"/>
        <v>0</v>
      </c>
      <c r="S884" s="182"/>
      <c r="T884" s="65"/>
      <c r="U884" s="65"/>
      <c r="V884" s="65"/>
      <c r="Y884" s="89"/>
      <c r="Z884" s="358"/>
      <c r="AA884" s="120"/>
      <c r="AB884" s="120"/>
    </row>
    <row r="885" spans="1:29" s="62" customFormat="1">
      <c r="A885" s="88">
        <v>42936</v>
      </c>
      <c r="B885" s="60"/>
      <c r="C885" s="60"/>
      <c r="D885" s="62" t="s">
        <v>109</v>
      </c>
      <c r="F885" s="89">
        <v>224</v>
      </c>
      <c r="G885" s="89">
        <v>2</v>
      </c>
      <c r="H885" s="62">
        <v>300</v>
      </c>
      <c r="I885" s="62">
        <v>2</v>
      </c>
      <c r="J885" s="62">
        <v>0</v>
      </c>
      <c r="K885" s="62">
        <v>5</v>
      </c>
      <c r="L885" s="62">
        <v>0</v>
      </c>
      <c r="M885" s="62">
        <v>4</v>
      </c>
      <c r="N885" s="62">
        <v>1</v>
      </c>
      <c r="P885" s="346">
        <f t="shared" ref="P885" si="111">(AVERAGE(I885,K885,M885)/G885)*H885</f>
        <v>550</v>
      </c>
      <c r="Q885" s="120">
        <f t="shared" ref="Q885" si="112">(AVERAGE(J885,L885,N885)/G885)*H885</f>
        <v>50</v>
      </c>
      <c r="R885" s="106">
        <f t="shared" si="105"/>
        <v>0.91666666666666663</v>
      </c>
      <c r="S885" s="183" t="str">
        <f>D885</f>
        <v>HL-10 Low</v>
      </c>
      <c r="T885" s="65"/>
      <c r="U885" s="65"/>
      <c r="V885" s="65"/>
      <c r="W885" s="62" t="s">
        <v>365</v>
      </c>
      <c r="Y885" s="89" t="str">
        <f>D885</f>
        <v>HL-10 Low</v>
      </c>
      <c r="Z885" s="352">
        <f>SUMIFS($P$821:$P$876, $D$821:$D$876, Y885, $F$821:$F$876, "&lt;200") + SUMIFS($Q$821:$Q$876, $D$821:$D$876, Y885, $F$821:$F$876, "&lt;200")</f>
        <v>5216.6666666666661</v>
      </c>
      <c r="AA885" s="120">
        <f>SUM(P885:Q888)</f>
        <v>4900</v>
      </c>
      <c r="AB885" s="120">
        <f>SUMIFS(Collection!O:O, Collection!B:B, "*" &amp; 'Bucket Counts'!Y885 &amp; "*", Collection!A:A, "&lt;" &amp; 'Bucket Counts'!A885,Collection!A:A,  "&gt;=" &amp; 'Bucket Counts'!$A$821)</f>
        <v>0</v>
      </c>
      <c r="AC885" s="106">
        <f>AA885/(Z885+AB885)</f>
        <v>0.93929712460063908</v>
      </c>
    </row>
    <row r="886" spans="1:29" s="62" customFormat="1">
      <c r="A886" s="88">
        <v>42936</v>
      </c>
      <c r="B886" s="60"/>
      <c r="C886" s="60"/>
      <c r="D886" s="62" t="s">
        <v>109</v>
      </c>
      <c r="F886" s="89">
        <v>180</v>
      </c>
      <c r="G886" s="89">
        <v>2</v>
      </c>
      <c r="H886" s="62">
        <v>280</v>
      </c>
      <c r="I886" s="62">
        <v>8</v>
      </c>
      <c r="J886" s="62">
        <v>0</v>
      </c>
      <c r="K886" s="62">
        <v>7</v>
      </c>
      <c r="L886" s="62">
        <v>4</v>
      </c>
      <c r="M886" s="62">
        <v>6</v>
      </c>
      <c r="N886" s="62">
        <v>5</v>
      </c>
      <c r="P886" s="120">
        <f t="shared" ref="P886:P889" si="113">(AVERAGE(I886,K886,M886)/G886)*H886</f>
        <v>980</v>
      </c>
      <c r="Q886" s="120">
        <f t="shared" ref="Q886:Q889" si="114">(AVERAGE(J886,L886,N886)/G886)*H886</f>
        <v>420</v>
      </c>
      <c r="R886" s="106">
        <f t="shared" si="105"/>
        <v>0.7</v>
      </c>
      <c r="S886" s="181">
        <f>(SUM(P885:P888)/(SUM(P885:Q888)))</f>
        <v>0.34183673469387754</v>
      </c>
      <c r="T886" s="65"/>
      <c r="U886" s="65"/>
      <c r="V886" s="65"/>
      <c r="Y886" s="89"/>
      <c r="Z886" s="358"/>
      <c r="AA886" s="120"/>
      <c r="AB886" s="120"/>
    </row>
    <row r="887" spans="1:29" s="62" customFormat="1">
      <c r="A887" s="88">
        <v>42936</v>
      </c>
      <c r="B887" s="60"/>
      <c r="C887" s="60"/>
      <c r="D887" s="62" t="s">
        <v>109</v>
      </c>
      <c r="F887" s="89">
        <v>100</v>
      </c>
      <c r="G887" s="89">
        <v>2</v>
      </c>
      <c r="H887" s="62">
        <v>290</v>
      </c>
      <c r="I887" s="62">
        <v>2</v>
      </c>
      <c r="J887" s="62">
        <v>0</v>
      </c>
      <c r="K887" s="62">
        <v>1</v>
      </c>
      <c r="L887" s="62">
        <v>0</v>
      </c>
      <c r="M887" s="62">
        <v>0</v>
      </c>
      <c r="N887" s="62">
        <v>1</v>
      </c>
      <c r="P887" s="120">
        <f t="shared" si="113"/>
        <v>145</v>
      </c>
      <c r="Q887" s="120">
        <f t="shared" si="114"/>
        <v>48.333333333333329</v>
      </c>
      <c r="R887" s="106">
        <f t="shared" si="105"/>
        <v>0.75000000000000011</v>
      </c>
      <c r="S887" s="182"/>
      <c r="T887" s="65"/>
      <c r="U887" s="65"/>
      <c r="V887" s="65"/>
      <c r="Y887" s="89"/>
      <c r="Z887" s="358"/>
      <c r="AA887" s="120"/>
      <c r="AB887" s="120"/>
    </row>
    <row r="888" spans="1:29" s="62" customFormat="1">
      <c r="A888" s="88">
        <v>42936</v>
      </c>
      <c r="B888" s="60"/>
      <c r="C888" s="60"/>
      <c r="D888" s="62" t="s">
        <v>109</v>
      </c>
      <c r="F888" s="89" t="s">
        <v>203</v>
      </c>
      <c r="G888" s="89">
        <v>2</v>
      </c>
      <c r="H888" s="249">
        <v>290</v>
      </c>
      <c r="I888" s="62">
        <v>0</v>
      </c>
      <c r="J888" s="62">
        <v>21</v>
      </c>
      <c r="K888" s="62">
        <v>0</v>
      </c>
      <c r="L888" s="62">
        <v>20</v>
      </c>
      <c r="M888" s="62">
        <v>0</v>
      </c>
      <c r="N888" s="62">
        <v>15</v>
      </c>
      <c r="P888" s="120">
        <f t="shared" si="113"/>
        <v>0</v>
      </c>
      <c r="Q888" s="120">
        <f t="shared" si="114"/>
        <v>2706.666666666667</v>
      </c>
      <c r="R888" s="106">
        <f t="shared" si="105"/>
        <v>0</v>
      </c>
      <c r="S888" s="182"/>
      <c r="T888" s="65"/>
      <c r="U888" s="65"/>
      <c r="V888" s="65"/>
      <c r="Y888" s="89"/>
      <c r="Z888" s="358"/>
      <c r="AA888" s="120"/>
      <c r="AB888" s="120"/>
    </row>
    <row r="889" spans="1:29" s="62" customFormat="1">
      <c r="A889" s="88">
        <v>42936</v>
      </c>
      <c r="B889" s="60"/>
      <c r="C889" s="60"/>
      <c r="D889" s="61" t="s">
        <v>20</v>
      </c>
      <c r="F889" s="89">
        <v>224</v>
      </c>
      <c r="G889" s="89">
        <v>3</v>
      </c>
      <c r="H889" s="249">
        <v>250</v>
      </c>
      <c r="I889" s="62">
        <v>0</v>
      </c>
      <c r="J889" s="62">
        <v>0</v>
      </c>
      <c r="K889" s="62">
        <v>0</v>
      </c>
      <c r="L889" s="62">
        <v>0</v>
      </c>
      <c r="M889" s="62">
        <v>1</v>
      </c>
      <c r="N889" s="62">
        <v>0</v>
      </c>
      <c r="P889" s="120">
        <f t="shared" si="113"/>
        <v>27.777777777777775</v>
      </c>
      <c r="Q889" s="120">
        <f t="shared" si="114"/>
        <v>0</v>
      </c>
      <c r="R889" s="106">
        <f t="shared" si="105"/>
        <v>1</v>
      </c>
      <c r="S889" s="183" t="str">
        <f>D889</f>
        <v>K-10 Low</v>
      </c>
      <c r="T889" s="65"/>
      <c r="U889" s="65"/>
      <c r="V889" s="65"/>
      <c r="Y889" s="89" t="str">
        <f>D889</f>
        <v>K-10 Low</v>
      </c>
      <c r="Z889" s="352">
        <f>SUMIFS($P$821:$P$876, $D$821:$D$876, Y889, $F$821:$F$876, "&lt;200") + SUMIFS($Q$821:$Q$876, $D$821:$D$876, Y889, $F$821:$F$876, "&lt;200")</f>
        <v>136.66666666666666</v>
      </c>
      <c r="AA889" s="120">
        <f>SUM(P889:Q892)</f>
        <v>73.6111111111111</v>
      </c>
      <c r="AB889" s="120">
        <f>SUMIFS(Collection!O:O, Collection!B:B, "*" &amp; 'Bucket Counts'!Y889 &amp; "*", Collection!A:A, "&lt;" &amp; 'Bucket Counts'!A889,Collection!A:A,  "&gt;=" &amp; 'Bucket Counts'!$A$821)</f>
        <v>0</v>
      </c>
      <c r="AC889" s="106">
        <f>AA889/(Z889+AB889)</f>
        <v>0.53861788617886175</v>
      </c>
    </row>
    <row r="890" spans="1:29" s="62" customFormat="1">
      <c r="A890" s="88">
        <v>42936</v>
      </c>
      <c r="B890" s="60"/>
      <c r="C890" s="60"/>
      <c r="D890" s="61" t="s">
        <v>20</v>
      </c>
      <c r="F890" s="89">
        <v>180</v>
      </c>
      <c r="G890" s="89">
        <v>3</v>
      </c>
      <c r="H890" s="249">
        <v>275</v>
      </c>
      <c r="I890" s="62">
        <v>0</v>
      </c>
      <c r="J890" s="62">
        <v>0</v>
      </c>
      <c r="K890" s="62">
        <v>0</v>
      </c>
      <c r="L890" s="62">
        <v>0</v>
      </c>
      <c r="M890" s="62">
        <v>0</v>
      </c>
      <c r="N890" s="62">
        <v>0</v>
      </c>
      <c r="P890" s="120">
        <f t="shared" ref="P890:P896" si="115">(AVERAGE(I890,K890,M890)/G890)*H890</f>
        <v>0</v>
      </c>
      <c r="Q890" s="120">
        <f t="shared" ref="Q890:Q896" si="116">(AVERAGE(J890,L890,N890)/G890)*H890</f>
        <v>0</v>
      </c>
      <c r="R890" s="106" t="e">
        <f t="shared" si="105"/>
        <v>#DIV/0!</v>
      </c>
      <c r="S890" s="181">
        <f>(SUM(P889:P892)/(SUM(P889:Q892)))</f>
        <v>0.37735849056603776</v>
      </c>
      <c r="T890" s="65"/>
      <c r="U890" s="65"/>
      <c r="V890" s="65"/>
      <c r="Y890" s="89"/>
      <c r="Z890" s="358"/>
      <c r="AA890" s="120"/>
      <c r="AB890" s="120"/>
    </row>
    <row r="891" spans="1:29" s="62" customFormat="1">
      <c r="A891" s="88">
        <v>42936</v>
      </c>
      <c r="B891" s="60"/>
      <c r="C891" s="60"/>
      <c r="D891" s="61" t="s">
        <v>20</v>
      </c>
      <c r="F891" s="89">
        <v>100</v>
      </c>
      <c r="G891" s="89" t="s">
        <v>355</v>
      </c>
      <c r="H891" s="249"/>
      <c r="P891" s="120">
        <v>0</v>
      </c>
      <c r="Q891" s="120">
        <v>0</v>
      </c>
      <c r="R891" s="106" t="e">
        <f t="shared" si="105"/>
        <v>#DIV/0!</v>
      </c>
      <c r="S891" s="182"/>
      <c r="T891" s="65"/>
      <c r="U891" s="65"/>
      <c r="V891" s="65"/>
      <c r="Y891" s="89"/>
      <c r="Z891" s="358"/>
      <c r="AA891" s="120"/>
      <c r="AB891" s="120"/>
    </row>
    <row r="892" spans="1:29" s="62" customFormat="1">
      <c r="A892" s="88">
        <v>42936</v>
      </c>
      <c r="B892" s="60"/>
      <c r="C892" s="60"/>
      <c r="D892" s="61" t="s">
        <v>20</v>
      </c>
      <c r="F892" s="89" t="s">
        <v>203</v>
      </c>
      <c r="G892" s="89">
        <v>2</v>
      </c>
      <c r="H892" s="249">
        <v>275</v>
      </c>
      <c r="I892" s="62">
        <v>0</v>
      </c>
      <c r="J892" s="62">
        <v>1</v>
      </c>
      <c r="K892" s="62">
        <v>0</v>
      </c>
      <c r="L892" s="62">
        <v>0</v>
      </c>
      <c r="M892" s="62">
        <v>0</v>
      </c>
      <c r="N892" s="62">
        <v>0</v>
      </c>
      <c r="P892" s="120">
        <f t="shared" si="115"/>
        <v>0</v>
      </c>
      <c r="Q892" s="120">
        <f t="shared" si="116"/>
        <v>45.833333333333329</v>
      </c>
      <c r="R892" s="106">
        <f t="shared" si="105"/>
        <v>0</v>
      </c>
      <c r="S892" s="182"/>
      <c r="T892" s="65"/>
      <c r="U892" s="65"/>
      <c r="V892" s="65"/>
      <c r="Y892" s="89"/>
      <c r="Z892" s="358"/>
      <c r="AA892" s="120"/>
      <c r="AB892" s="120"/>
    </row>
    <row r="893" spans="1:29" s="62" customFormat="1">
      <c r="A893" s="88">
        <v>42936</v>
      </c>
      <c r="B893" s="60"/>
      <c r="C893" s="60"/>
      <c r="D893" s="61" t="s">
        <v>46</v>
      </c>
      <c r="F893" s="89">
        <v>224</v>
      </c>
      <c r="G893" s="89">
        <v>3</v>
      </c>
      <c r="H893" s="249">
        <v>275</v>
      </c>
      <c r="I893" s="62">
        <v>0</v>
      </c>
      <c r="J893" s="62">
        <v>0</v>
      </c>
      <c r="K893" s="62">
        <v>0</v>
      </c>
      <c r="L893" s="62">
        <v>0</v>
      </c>
      <c r="M893" s="62">
        <v>0</v>
      </c>
      <c r="N893" s="62">
        <v>0</v>
      </c>
      <c r="P893" s="120">
        <f t="shared" si="115"/>
        <v>0</v>
      </c>
      <c r="Q893" s="120">
        <f t="shared" si="116"/>
        <v>0</v>
      </c>
      <c r="R893" s="106" t="e">
        <f t="shared" si="105"/>
        <v>#DIV/0!</v>
      </c>
      <c r="S893" s="182"/>
      <c r="T893" s="65"/>
      <c r="U893" s="65"/>
      <c r="V893" s="65"/>
      <c r="Y893" s="89" t="str">
        <f>D893</f>
        <v>K-6 Low</v>
      </c>
      <c r="Z893" s="352">
        <f>SUMIFS($P$821:$P$876, $D$821:$D$876, Y893, $F$821:$F$876, "&lt;200") + SUMIFS($Q$821:$Q$876, $D$821:$D$876, Y893, $F$821:$F$876, "&lt;200")</f>
        <v>286.11111111111109</v>
      </c>
      <c r="AA893" s="120">
        <f>SUM(P893:Q896)</f>
        <v>108.88888888888889</v>
      </c>
      <c r="AB893" s="120">
        <f>SUMIFS(Collection!O:O, Collection!B:B, "*" &amp; 'Bucket Counts'!Y893 &amp; "*", Collection!A:A, "&lt;" &amp; 'Bucket Counts'!A893,Collection!A:A,  "&gt;=" &amp; 'Bucket Counts'!$A$821)</f>
        <v>0</v>
      </c>
      <c r="AC893" s="106">
        <f>AA893/(Z893+AB893)</f>
        <v>0.38058252427184469</v>
      </c>
    </row>
    <row r="894" spans="1:29" s="62" customFormat="1">
      <c r="A894" s="88">
        <v>42936</v>
      </c>
      <c r="B894" s="60"/>
      <c r="C894" s="60"/>
      <c r="D894" s="61" t="s">
        <v>46</v>
      </c>
      <c r="F894" s="89">
        <v>180</v>
      </c>
      <c r="G894" s="89">
        <v>3</v>
      </c>
      <c r="H894" s="249">
        <v>270</v>
      </c>
      <c r="I894" s="62">
        <v>0</v>
      </c>
      <c r="J894" s="62">
        <v>0</v>
      </c>
      <c r="K894" s="62">
        <v>0</v>
      </c>
      <c r="L894" s="62">
        <v>0</v>
      </c>
      <c r="M894" s="62">
        <v>0</v>
      </c>
      <c r="N894" s="62">
        <v>2</v>
      </c>
      <c r="P894" s="120">
        <f t="shared" si="115"/>
        <v>0</v>
      </c>
      <c r="Q894" s="120">
        <f t="shared" si="116"/>
        <v>60</v>
      </c>
      <c r="R894" s="106">
        <f t="shared" si="105"/>
        <v>0</v>
      </c>
      <c r="S894" s="182"/>
      <c r="T894" s="65"/>
      <c r="U894" s="65"/>
      <c r="V894" s="65"/>
      <c r="Y894" s="89"/>
      <c r="Z894" s="358"/>
      <c r="AA894" s="120"/>
      <c r="AB894" s="120"/>
    </row>
    <row r="895" spans="1:29" s="62" customFormat="1">
      <c r="A895" s="88">
        <v>42936</v>
      </c>
      <c r="B895" s="60"/>
      <c r="C895" s="60"/>
      <c r="D895" s="61" t="s">
        <v>46</v>
      </c>
      <c r="F895" s="89">
        <v>100</v>
      </c>
      <c r="G895" s="89">
        <v>3</v>
      </c>
      <c r="H895" s="249">
        <v>210</v>
      </c>
      <c r="I895" s="62">
        <v>0</v>
      </c>
      <c r="J895" s="62">
        <v>0</v>
      </c>
      <c r="K895" s="62">
        <v>0</v>
      </c>
      <c r="L895" s="62">
        <v>0</v>
      </c>
      <c r="M895" s="62">
        <v>0</v>
      </c>
      <c r="N895" s="62">
        <v>0</v>
      </c>
      <c r="P895" s="120">
        <f t="shared" si="115"/>
        <v>0</v>
      </c>
      <c r="Q895" s="120">
        <f t="shared" si="116"/>
        <v>0</v>
      </c>
      <c r="R895" s="106" t="e">
        <f t="shared" si="105"/>
        <v>#DIV/0!</v>
      </c>
      <c r="S895" s="182"/>
      <c r="T895" s="65"/>
      <c r="U895" s="65"/>
      <c r="V895" s="65"/>
      <c r="Y895" s="89"/>
      <c r="Z895" s="358"/>
      <c r="AA895" s="120"/>
      <c r="AB895" s="120"/>
    </row>
    <row r="896" spans="1:29" s="62" customFormat="1">
      <c r="A896" s="88">
        <v>42936</v>
      </c>
      <c r="B896" s="60"/>
      <c r="C896" s="60"/>
      <c r="D896" s="61" t="s">
        <v>46</v>
      </c>
      <c r="F896" s="89" t="s">
        <v>203</v>
      </c>
      <c r="G896" s="89">
        <v>3</v>
      </c>
      <c r="H896" s="249">
        <v>220</v>
      </c>
      <c r="I896" s="62">
        <v>0</v>
      </c>
      <c r="J896" s="62">
        <v>1</v>
      </c>
      <c r="K896" s="62">
        <v>0</v>
      </c>
      <c r="L896" s="62">
        <v>1</v>
      </c>
      <c r="M896" s="62">
        <v>0</v>
      </c>
      <c r="N896" s="62">
        <v>0</v>
      </c>
      <c r="P896" s="120">
        <f t="shared" si="115"/>
        <v>0</v>
      </c>
      <c r="Q896" s="120">
        <f t="shared" si="116"/>
        <v>48.888888888888886</v>
      </c>
      <c r="R896" s="106">
        <f t="shared" si="105"/>
        <v>0</v>
      </c>
      <c r="S896" s="182"/>
      <c r="T896" s="65"/>
      <c r="U896" s="65"/>
      <c r="V896" s="65"/>
      <c r="Y896" s="89"/>
      <c r="Z896" s="358"/>
      <c r="AA896" s="120"/>
      <c r="AB896" s="120"/>
    </row>
    <row r="897" spans="1:29" s="62" customFormat="1">
      <c r="A897" s="88">
        <v>42936</v>
      </c>
      <c r="B897" s="60"/>
      <c r="C897" s="60"/>
      <c r="D897" s="62" t="s">
        <v>21</v>
      </c>
      <c r="F897" s="89">
        <v>224</v>
      </c>
      <c r="G897" s="89">
        <v>3</v>
      </c>
      <c r="H897" s="249">
        <v>200</v>
      </c>
      <c r="I897" s="62">
        <v>0</v>
      </c>
      <c r="J897" s="62">
        <v>0</v>
      </c>
      <c r="K897" s="62">
        <v>1</v>
      </c>
      <c r="L897" s="62">
        <v>0</v>
      </c>
      <c r="M897" s="62">
        <v>2</v>
      </c>
      <c r="N897" s="62">
        <v>0</v>
      </c>
      <c r="P897" s="120">
        <f t="shared" ref="P897:P907" si="117">(AVERAGE(I897,K897,M897)/G897)*H897</f>
        <v>66.666666666666657</v>
      </c>
      <c r="Q897" s="120">
        <f t="shared" ref="Q897:Q912" si="118">(AVERAGE(J897,L897,N897)/G897)*H897</f>
        <v>0</v>
      </c>
      <c r="R897" s="106">
        <f t="shared" si="105"/>
        <v>1</v>
      </c>
      <c r="S897" s="183" t="str">
        <f>D897</f>
        <v>HL-6 Low</v>
      </c>
      <c r="T897" s="65"/>
      <c r="U897" s="65"/>
      <c r="V897" s="65"/>
      <c r="Y897" s="89" t="str">
        <f>D897</f>
        <v>HL-6 Low</v>
      </c>
      <c r="Z897" s="352">
        <f>SUMIFS($P$821:$P$876, $D$821:$D$876, Y897, $F$821:$F$876, "&lt;200") + SUMIFS($Q$821:$Q$876, $D$821:$D$876, Y897, $F$821:$F$876, "&lt;200")</f>
        <v>1155.5555555555557</v>
      </c>
      <c r="AA897" s="120">
        <f>SUM(P897:Q900)</f>
        <v>900</v>
      </c>
      <c r="AB897" s="120">
        <f>SUMIFS(Collection!O:O, Collection!B:B, "*" &amp; 'Bucket Counts'!Y897 &amp; "*", Collection!A:A, "&lt;" &amp; 'Bucket Counts'!A897,Collection!A:A,  "&gt;=" &amp; 'Bucket Counts'!$A$821)</f>
        <v>0</v>
      </c>
      <c r="AC897" s="106">
        <f>AA897/(Z897+AB897)</f>
        <v>0.77884615384615374</v>
      </c>
    </row>
    <row r="898" spans="1:29" s="62" customFormat="1">
      <c r="A898" s="88">
        <v>42936</v>
      </c>
      <c r="B898" s="60"/>
      <c r="C898" s="60"/>
      <c r="D898" s="62" t="s">
        <v>21</v>
      </c>
      <c r="F898" s="89">
        <v>180</v>
      </c>
      <c r="G898" s="89">
        <v>3</v>
      </c>
      <c r="H898" s="249">
        <v>300</v>
      </c>
      <c r="I898" s="62">
        <v>3</v>
      </c>
      <c r="J898" s="62">
        <v>1</v>
      </c>
      <c r="K898" s="62">
        <v>0</v>
      </c>
      <c r="L898" s="62">
        <v>0</v>
      </c>
      <c r="M898" s="62">
        <v>1</v>
      </c>
      <c r="N898" s="62">
        <v>0</v>
      </c>
      <c r="P898" s="303">
        <f t="shared" si="117"/>
        <v>133.33333333333331</v>
      </c>
      <c r="Q898" s="120">
        <f t="shared" si="118"/>
        <v>33.333333333333329</v>
      </c>
      <c r="R898" s="106">
        <f t="shared" si="105"/>
        <v>0.8</v>
      </c>
      <c r="S898" s="181">
        <f>(SUM(P897:P900)/(SUM(P897:Q900)))</f>
        <v>0.22222222222222218</v>
      </c>
      <c r="T898" s="65"/>
      <c r="U898" s="65"/>
      <c r="V898" s="65"/>
      <c r="Y898" s="89"/>
      <c r="Z898" s="358"/>
      <c r="AA898" s="120"/>
      <c r="AB898" s="120"/>
    </row>
    <row r="899" spans="1:29" s="62" customFormat="1">
      <c r="A899" s="88">
        <v>42936</v>
      </c>
      <c r="B899" s="60"/>
      <c r="C899" s="60"/>
      <c r="D899" s="62" t="s">
        <v>21</v>
      </c>
      <c r="F899" s="89">
        <v>100</v>
      </c>
      <c r="G899" s="89">
        <v>3</v>
      </c>
      <c r="H899" s="249">
        <v>200</v>
      </c>
      <c r="I899" s="62">
        <v>0</v>
      </c>
      <c r="J899" s="62">
        <v>0</v>
      </c>
      <c r="K899" s="62">
        <v>0</v>
      </c>
      <c r="L899" s="62">
        <v>0</v>
      </c>
      <c r="M899" s="62">
        <v>0</v>
      </c>
      <c r="N899" s="62">
        <v>0</v>
      </c>
      <c r="P899" s="120">
        <f t="shared" si="117"/>
        <v>0</v>
      </c>
      <c r="Q899" s="120">
        <f t="shared" si="118"/>
        <v>0</v>
      </c>
      <c r="R899" s="106" t="e">
        <f t="shared" si="105"/>
        <v>#DIV/0!</v>
      </c>
      <c r="S899" s="182"/>
      <c r="T899" s="65"/>
      <c r="U899" s="65"/>
      <c r="V899" s="65"/>
      <c r="Y899" s="89"/>
      <c r="Z899" s="358"/>
      <c r="AA899" s="120"/>
      <c r="AB899" s="120"/>
    </row>
    <row r="900" spans="1:29" s="62" customFormat="1">
      <c r="A900" s="88">
        <v>42936</v>
      </c>
      <c r="B900" s="60"/>
      <c r="C900" s="60"/>
      <c r="D900" s="62" t="s">
        <v>21</v>
      </c>
      <c r="F900" s="89" t="s">
        <v>203</v>
      </c>
      <c r="G900" s="89">
        <v>2</v>
      </c>
      <c r="H900" s="249">
        <v>250</v>
      </c>
      <c r="I900" s="62">
        <v>0</v>
      </c>
      <c r="J900" s="62">
        <v>3</v>
      </c>
      <c r="K900" s="62">
        <v>0</v>
      </c>
      <c r="L900" s="62">
        <v>7</v>
      </c>
      <c r="M900" s="62">
        <v>0</v>
      </c>
      <c r="N900" s="62">
        <v>6</v>
      </c>
      <c r="P900" s="120">
        <f t="shared" si="117"/>
        <v>0</v>
      </c>
      <c r="Q900" s="120">
        <f t="shared" si="118"/>
        <v>666.66666666666663</v>
      </c>
      <c r="R900" s="106">
        <f t="shared" si="105"/>
        <v>0</v>
      </c>
      <c r="S900" s="182"/>
      <c r="T900" s="65"/>
      <c r="U900" s="65"/>
      <c r="V900" s="65"/>
      <c r="Y900" s="89"/>
      <c r="Z900" s="358"/>
      <c r="AA900" s="120"/>
      <c r="AB900" s="120"/>
    </row>
    <row r="901" spans="1:29" s="62" customFormat="1">
      <c r="A901" s="88">
        <v>42936</v>
      </c>
      <c r="B901" s="60"/>
      <c r="C901" s="60"/>
      <c r="D901" s="272" t="s">
        <v>38</v>
      </c>
      <c r="F901" s="89">
        <v>224</v>
      </c>
      <c r="G901" s="89">
        <v>3</v>
      </c>
      <c r="H901" s="249">
        <v>300</v>
      </c>
      <c r="I901" s="62">
        <v>0</v>
      </c>
      <c r="J901" s="62">
        <v>0</v>
      </c>
      <c r="K901" s="62">
        <v>0</v>
      </c>
      <c r="L901" s="62">
        <v>0</v>
      </c>
      <c r="M901" s="62">
        <v>2</v>
      </c>
      <c r="N901" s="62">
        <v>0</v>
      </c>
      <c r="P901" s="120">
        <f t="shared" si="117"/>
        <v>66.666666666666657</v>
      </c>
      <c r="Q901" s="120">
        <f t="shared" si="118"/>
        <v>0</v>
      </c>
      <c r="R901" s="106">
        <f t="shared" si="105"/>
        <v>1</v>
      </c>
      <c r="S901" s="183" t="str">
        <f>D901</f>
        <v>K-6 Ambient</v>
      </c>
      <c r="T901" s="65"/>
      <c r="U901" s="65"/>
      <c r="V901" s="65"/>
      <c r="Y901" s="89" t="str">
        <f>D901</f>
        <v>K-6 Ambient</v>
      </c>
      <c r="Z901" s="352">
        <f>SUMIFS($P$821:$P$876, $D$821:$D$876, Y901, $F$821:$F$876, "&lt;200") + SUMIFS($Q$821:$Q$876, $D$821:$D$876, Y901, $F$821:$F$876, "&lt;200")</f>
        <v>398.66666666666669</v>
      </c>
      <c r="AA901" s="120">
        <f>SUM(P901:Q904)</f>
        <v>286.66666666666663</v>
      </c>
      <c r="AB901" s="120">
        <f>SUMIFS(Collection!O:O, Collection!B:B, "*" &amp; 'Bucket Counts'!Y901 &amp; "*", Collection!A:A, "&lt;" &amp; 'Bucket Counts'!A901,Collection!A:A,  "&gt;=" &amp; 'Bucket Counts'!$A$821)</f>
        <v>0</v>
      </c>
      <c r="AC901" s="106">
        <f>AA901/(Z901+AB901)</f>
        <v>0.71906354515050153</v>
      </c>
    </row>
    <row r="902" spans="1:29" s="62" customFormat="1">
      <c r="A902" s="88">
        <v>42936</v>
      </c>
      <c r="B902" s="60"/>
      <c r="C902" s="60"/>
      <c r="D902" s="272" t="s">
        <v>38</v>
      </c>
      <c r="F902" s="89">
        <v>180</v>
      </c>
      <c r="G902" s="89">
        <v>3</v>
      </c>
      <c r="H902" s="249">
        <v>240</v>
      </c>
      <c r="I902" s="62">
        <v>0</v>
      </c>
      <c r="J902" s="62">
        <v>1</v>
      </c>
      <c r="K902" s="62">
        <v>1</v>
      </c>
      <c r="L902" s="62">
        <v>0</v>
      </c>
      <c r="M902" s="62">
        <v>0</v>
      </c>
      <c r="N902" s="62">
        <v>1</v>
      </c>
      <c r="P902" s="120">
        <f t="shared" si="117"/>
        <v>26.666666666666664</v>
      </c>
      <c r="Q902" s="120">
        <f t="shared" si="118"/>
        <v>53.333333333333329</v>
      </c>
      <c r="R902" s="106">
        <f t="shared" si="105"/>
        <v>0.33333333333333331</v>
      </c>
      <c r="S902" s="181">
        <f>(SUM(P901:P904)/(SUM(P901:Q904)))</f>
        <v>0.32558139534883718</v>
      </c>
      <c r="T902" s="65"/>
      <c r="Y902" s="89"/>
      <c r="Z902" s="358"/>
      <c r="AA902" s="120"/>
      <c r="AB902" s="120"/>
    </row>
    <row r="903" spans="1:29" s="62" customFormat="1">
      <c r="A903" s="88">
        <v>42936</v>
      </c>
      <c r="B903" s="60"/>
      <c r="C903" s="60"/>
      <c r="D903" s="272" t="s">
        <v>38</v>
      </c>
      <c r="F903" s="89">
        <v>100</v>
      </c>
      <c r="G903" s="89">
        <v>3</v>
      </c>
      <c r="H903" s="249">
        <v>250</v>
      </c>
      <c r="I903" s="62">
        <v>0</v>
      </c>
      <c r="J903" s="62">
        <v>0</v>
      </c>
      <c r="K903" s="62">
        <v>0</v>
      </c>
      <c r="L903" s="62">
        <v>0</v>
      </c>
      <c r="M903" s="62">
        <v>0</v>
      </c>
      <c r="N903" s="62">
        <v>0</v>
      </c>
      <c r="P903" s="120">
        <f t="shared" si="117"/>
        <v>0</v>
      </c>
      <c r="Q903" s="120">
        <f t="shared" si="118"/>
        <v>0</v>
      </c>
      <c r="R903" s="106" t="e">
        <f t="shared" si="105"/>
        <v>#DIV/0!</v>
      </c>
      <c r="S903" s="182"/>
      <c r="T903" s="65"/>
      <c r="Y903" s="89"/>
      <c r="Z903" s="358"/>
      <c r="AA903" s="120"/>
      <c r="AB903" s="120"/>
    </row>
    <row r="904" spans="1:29" s="62" customFormat="1">
      <c r="A904" s="88">
        <v>42936</v>
      </c>
      <c r="B904" s="60"/>
      <c r="C904" s="60"/>
      <c r="D904" s="272" t="s">
        <v>38</v>
      </c>
      <c r="F904" s="89" t="s">
        <v>203</v>
      </c>
      <c r="G904" s="89">
        <v>2</v>
      </c>
      <c r="H904" s="249">
        <v>280</v>
      </c>
      <c r="I904" s="62">
        <v>0</v>
      </c>
      <c r="J904" s="62">
        <v>0</v>
      </c>
      <c r="K904" s="62">
        <v>0</v>
      </c>
      <c r="L904" s="62">
        <v>1</v>
      </c>
      <c r="M904" s="62">
        <v>0</v>
      </c>
      <c r="N904" s="62">
        <v>2</v>
      </c>
      <c r="P904" s="120">
        <f t="shared" si="117"/>
        <v>0</v>
      </c>
      <c r="Q904" s="120">
        <f t="shared" si="118"/>
        <v>140</v>
      </c>
      <c r="R904" s="106">
        <f t="shared" si="105"/>
        <v>0</v>
      </c>
      <c r="S904" s="182"/>
      <c r="T904" s="65"/>
      <c r="Y904" s="89"/>
      <c r="Z904" s="358"/>
      <c r="AA904" s="120"/>
      <c r="AB904" s="120"/>
    </row>
    <row r="905" spans="1:29" s="62" customFormat="1">
      <c r="A905" s="88">
        <v>42936</v>
      </c>
      <c r="B905" s="60"/>
      <c r="C905" s="60"/>
      <c r="D905" s="61" t="s">
        <v>83</v>
      </c>
      <c r="F905" s="89">
        <v>224</v>
      </c>
      <c r="G905" s="89">
        <v>3</v>
      </c>
      <c r="H905" s="249">
        <v>250</v>
      </c>
      <c r="I905" s="62">
        <v>4</v>
      </c>
      <c r="J905" s="62">
        <v>0</v>
      </c>
      <c r="K905" s="62">
        <v>1</v>
      </c>
      <c r="L905" s="62">
        <v>0</v>
      </c>
      <c r="M905" s="62">
        <v>1</v>
      </c>
      <c r="N905" s="62">
        <v>1</v>
      </c>
      <c r="P905" s="120">
        <f t="shared" si="117"/>
        <v>166.66666666666666</v>
      </c>
      <c r="Q905" s="120">
        <f t="shared" si="118"/>
        <v>27.777777777777775</v>
      </c>
      <c r="R905" s="106">
        <f t="shared" si="105"/>
        <v>0.85714285714285721</v>
      </c>
      <c r="S905" s="180" t="str">
        <f>D905</f>
        <v>NF-10 Low</v>
      </c>
      <c r="T905" s="65"/>
      <c r="Y905" s="89" t="str">
        <f>D905</f>
        <v>NF-10 Low</v>
      </c>
      <c r="Z905" s="352">
        <f>SUMIFS($P$821:$P$876, $D$821:$D$876, Y905, $F$821:$F$876, "&lt;200") + SUMIFS($Q$821:$Q$876, $D$821:$D$876, Y905, $F$821:$F$876, "&lt;200")</f>
        <v>975</v>
      </c>
      <c r="AA905" s="120">
        <f>SUM(P905:Q908)</f>
        <v>794.44444444444446</v>
      </c>
      <c r="AB905" s="120">
        <f>SUMIFS(Collection!O:O, Collection!B:B, "*" &amp; 'Bucket Counts'!Y905 &amp; "*", Collection!A:A, "&lt;" &amp; 'Bucket Counts'!A905,Collection!A:A,  "&gt;=" &amp; 'Bucket Counts'!$A$821)</f>
        <v>0</v>
      </c>
      <c r="AC905" s="106">
        <f>AA905/(Z905+AB905)</f>
        <v>0.81481481481481488</v>
      </c>
    </row>
    <row r="906" spans="1:29" s="62" customFormat="1">
      <c r="A906" s="88">
        <v>42936</v>
      </c>
      <c r="B906" s="60"/>
      <c r="C906" s="60"/>
      <c r="D906" s="61" t="s">
        <v>83</v>
      </c>
      <c r="F906" s="89">
        <v>180</v>
      </c>
      <c r="G906" s="89">
        <v>3</v>
      </c>
      <c r="H906" s="249">
        <v>250</v>
      </c>
      <c r="I906" s="62">
        <v>3</v>
      </c>
      <c r="J906" s="62">
        <v>0</v>
      </c>
      <c r="K906" s="62">
        <v>5</v>
      </c>
      <c r="L906" s="62">
        <v>0</v>
      </c>
      <c r="M906" s="62">
        <v>1</v>
      </c>
      <c r="N906" s="62">
        <v>0</v>
      </c>
      <c r="P906" s="120">
        <f t="shared" si="117"/>
        <v>250</v>
      </c>
      <c r="Q906" s="120">
        <f t="shared" si="118"/>
        <v>0</v>
      </c>
      <c r="R906" s="106">
        <f t="shared" si="105"/>
        <v>1</v>
      </c>
      <c r="S906" s="181">
        <f>(SUM(P905:P908)/(SUM(P905:Q908)))</f>
        <v>0.55594405594405594</v>
      </c>
      <c r="T906" s="65"/>
      <c r="Y906" s="89"/>
      <c r="Z906" s="358"/>
      <c r="AA906" s="120"/>
      <c r="AB906" s="120"/>
    </row>
    <row r="907" spans="1:29" s="62" customFormat="1">
      <c r="A907" s="88">
        <v>42936</v>
      </c>
      <c r="B907" s="60"/>
      <c r="C907" s="60"/>
      <c r="D907" s="61" t="s">
        <v>83</v>
      </c>
      <c r="F907" s="89">
        <v>100</v>
      </c>
      <c r="G907" s="89">
        <v>3</v>
      </c>
      <c r="H907" s="249">
        <v>225</v>
      </c>
      <c r="I907" s="62">
        <v>0</v>
      </c>
      <c r="J907" s="62">
        <v>0</v>
      </c>
      <c r="K907" s="62">
        <v>1</v>
      </c>
      <c r="L907" s="62">
        <v>0</v>
      </c>
      <c r="M907" s="62">
        <v>0</v>
      </c>
      <c r="N907" s="62">
        <v>1</v>
      </c>
      <c r="P907" s="120">
        <f t="shared" si="117"/>
        <v>25</v>
      </c>
      <c r="Q907" s="120">
        <f t="shared" si="118"/>
        <v>25</v>
      </c>
      <c r="R907" s="106">
        <f t="shared" si="105"/>
        <v>0.5</v>
      </c>
      <c r="S907" s="179"/>
      <c r="T907" s="65"/>
      <c r="Y907" s="89"/>
      <c r="Z907" s="358"/>
      <c r="AA907" s="120"/>
      <c r="AB907" s="120"/>
    </row>
    <row r="908" spans="1:29" s="62" customFormat="1">
      <c r="A908" s="88">
        <v>42936</v>
      </c>
      <c r="B908" s="60"/>
      <c r="C908" s="60"/>
      <c r="D908" s="61" t="s">
        <v>83</v>
      </c>
      <c r="F908" s="89" t="s">
        <v>203</v>
      </c>
      <c r="G908" s="89">
        <v>2</v>
      </c>
      <c r="H908" s="249">
        <v>300</v>
      </c>
      <c r="I908" s="62">
        <v>0</v>
      </c>
      <c r="J908" s="62">
        <v>1</v>
      </c>
      <c r="K908" s="62">
        <v>0</v>
      </c>
      <c r="L908" s="62">
        <v>3</v>
      </c>
      <c r="M908" s="62">
        <v>0</v>
      </c>
      <c r="N908" s="62">
        <v>2</v>
      </c>
      <c r="P908" s="120">
        <f>(AVERAGE(I908,K908,M908)/G908)*H908</f>
        <v>0</v>
      </c>
      <c r="Q908" s="120">
        <f t="shared" si="118"/>
        <v>300</v>
      </c>
      <c r="R908" s="106">
        <f t="shared" si="105"/>
        <v>0</v>
      </c>
      <c r="S908" s="182"/>
      <c r="T908" s="65"/>
      <c r="Y908" s="89"/>
      <c r="Z908" s="358"/>
      <c r="AA908" s="120"/>
      <c r="AB908" s="120"/>
    </row>
    <row r="909" spans="1:29" s="62" customFormat="1">
      <c r="A909" s="88">
        <v>42936</v>
      </c>
      <c r="B909" s="60"/>
      <c r="C909" s="60"/>
      <c r="D909" s="61" t="s">
        <v>86</v>
      </c>
      <c r="F909" s="89">
        <v>224</v>
      </c>
      <c r="G909" s="89">
        <v>2</v>
      </c>
      <c r="H909" s="249">
        <v>430</v>
      </c>
      <c r="I909" s="62">
        <v>48</v>
      </c>
      <c r="J909" s="62">
        <v>0</v>
      </c>
      <c r="K909" s="62">
        <v>31</v>
      </c>
      <c r="L909" s="62">
        <v>0</v>
      </c>
      <c r="M909" s="62">
        <v>32</v>
      </c>
      <c r="N909" s="62">
        <v>0</v>
      </c>
      <c r="P909" s="120">
        <f t="shared" ref="P909:P923" si="119">(AVERAGE(I909,K909,M909)/G909)*H909</f>
        <v>7955</v>
      </c>
      <c r="Q909" s="120">
        <f t="shared" si="118"/>
        <v>0</v>
      </c>
      <c r="R909" s="106">
        <f t="shared" si="105"/>
        <v>1</v>
      </c>
      <c r="S909" s="183" t="str">
        <f>D909</f>
        <v>SN-10 Ambient</v>
      </c>
      <c r="T909" s="65"/>
      <c r="Y909" s="89" t="str">
        <f>D909</f>
        <v>SN-10 Ambient</v>
      </c>
      <c r="Z909" s="352">
        <f>SUMIFS($P$821:$P$876, $D$821:$D$876, Y909, $F$821:$F$876, "&lt;200") + SUMIFS($Q$821:$Q$876, $D$821:$D$876, Y909, $F$821:$F$876, "&lt;200")</f>
        <v>45140</v>
      </c>
      <c r="AA909" s="120">
        <f>SUM(P909:Q912)</f>
        <v>27988.333333333336</v>
      </c>
      <c r="AB909" s="120">
        <f>SUMIFS(Collection!O:O, Collection!B:B, "*" &amp; 'Bucket Counts'!Y909 &amp; "*", Collection!A:A, "&lt;" &amp; 'Bucket Counts'!A909,Collection!A:A,  "&gt;=" &amp; 'Bucket Counts'!$A$821)</f>
        <v>0</v>
      </c>
      <c r="AC909" s="106">
        <f>AA909/(Z909+AB909)</f>
        <v>0.62003396839462421</v>
      </c>
    </row>
    <row r="910" spans="1:29" s="62" customFormat="1">
      <c r="A910" s="88">
        <v>42936</v>
      </c>
      <c r="B910" s="60"/>
      <c r="C910" s="60"/>
      <c r="D910" s="61" t="s">
        <v>86</v>
      </c>
      <c r="F910" s="89">
        <v>180</v>
      </c>
      <c r="G910" s="89">
        <v>1</v>
      </c>
      <c r="H910" s="249">
        <v>300</v>
      </c>
      <c r="I910" s="62">
        <v>18</v>
      </c>
      <c r="J910" s="62">
        <v>7</v>
      </c>
      <c r="K910" s="62">
        <v>24</v>
      </c>
      <c r="L910" s="62">
        <v>3</v>
      </c>
      <c r="M910" s="62">
        <v>23</v>
      </c>
      <c r="N910" s="62">
        <v>3</v>
      </c>
      <c r="P910" s="120">
        <f t="shared" si="119"/>
        <v>6500</v>
      </c>
      <c r="Q910" s="120">
        <f t="shared" si="118"/>
        <v>1300</v>
      </c>
      <c r="R910" s="106">
        <f t="shared" si="105"/>
        <v>0.83333333333333337</v>
      </c>
      <c r="S910" s="181">
        <f>(SUM(P909:P912)/(SUM(P909:Q912)))</f>
        <v>0.55672006193056622</v>
      </c>
      <c r="T910" s="65"/>
      <c r="Y910" s="89"/>
      <c r="Z910" s="358"/>
      <c r="AA910" s="120"/>
      <c r="AB910" s="120"/>
    </row>
    <row r="911" spans="1:29" s="62" customFormat="1">
      <c r="A911" s="88">
        <v>42936</v>
      </c>
      <c r="B911" s="60"/>
      <c r="C911" s="60"/>
      <c r="D911" s="61" t="s">
        <v>86</v>
      </c>
      <c r="F911" s="89">
        <v>100</v>
      </c>
      <c r="G911" s="89">
        <v>1</v>
      </c>
      <c r="H911" s="249">
        <v>260</v>
      </c>
      <c r="I911" s="62">
        <v>5</v>
      </c>
      <c r="J911" s="62">
        <v>10</v>
      </c>
      <c r="K911" s="62">
        <v>3</v>
      </c>
      <c r="L911" s="62">
        <v>6</v>
      </c>
      <c r="M911" s="62">
        <v>5</v>
      </c>
      <c r="N911" s="62">
        <v>6</v>
      </c>
      <c r="P911" s="120">
        <f t="shared" si="119"/>
        <v>1126.6666666666665</v>
      </c>
      <c r="Q911" s="120">
        <f t="shared" si="118"/>
        <v>1906.6666666666665</v>
      </c>
      <c r="R911" s="106">
        <f t="shared" si="105"/>
        <v>0.37142857142857144</v>
      </c>
      <c r="S911" s="182"/>
      <c r="T911" s="65"/>
      <c r="Y911" s="89"/>
      <c r="Z911" s="358"/>
      <c r="AA911" s="120"/>
      <c r="AB911" s="120"/>
    </row>
    <row r="912" spans="1:29" s="335" customFormat="1" ht="16" thickBot="1">
      <c r="A912" s="333">
        <v>42936</v>
      </c>
      <c r="B912" s="334"/>
      <c r="C912" s="334"/>
      <c r="D912" s="248" t="s">
        <v>86</v>
      </c>
      <c r="F912" s="336" t="s">
        <v>203</v>
      </c>
      <c r="G912" s="336">
        <v>1</v>
      </c>
      <c r="H912" s="337">
        <v>300</v>
      </c>
      <c r="I912" s="335">
        <v>0</v>
      </c>
      <c r="J912" s="335">
        <v>34</v>
      </c>
      <c r="K912" s="335">
        <v>0</v>
      </c>
      <c r="L912" s="335">
        <v>27</v>
      </c>
      <c r="M912" s="335">
        <v>0</v>
      </c>
      <c r="N912" s="335">
        <v>31</v>
      </c>
      <c r="P912" s="338">
        <f t="shared" si="119"/>
        <v>0</v>
      </c>
      <c r="Q912" s="338">
        <f t="shared" si="118"/>
        <v>9200</v>
      </c>
      <c r="R912" s="339">
        <f t="shared" si="105"/>
        <v>0</v>
      </c>
      <c r="S912" s="340"/>
      <c r="T912" s="341"/>
      <c r="Y912" s="336"/>
      <c r="Z912" s="367"/>
      <c r="AA912" s="338"/>
      <c r="AB912" s="338"/>
    </row>
    <row r="913" spans="1:29" s="75" customFormat="1">
      <c r="A913" s="72">
        <v>42941</v>
      </c>
      <c r="B913" s="73"/>
      <c r="C913" s="73"/>
      <c r="D913" s="75" t="s">
        <v>86</v>
      </c>
      <c r="F913" s="86">
        <v>224</v>
      </c>
      <c r="G913" s="86">
        <v>3</v>
      </c>
      <c r="H913" s="342">
        <v>375</v>
      </c>
      <c r="I913" s="75">
        <v>0</v>
      </c>
      <c r="J913" s="75">
        <v>5</v>
      </c>
      <c r="K913" s="75">
        <v>0</v>
      </c>
      <c r="L913" s="75">
        <v>12</v>
      </c>
      <c r="M913" s="75">
        <v>0</v>
      </c>
      <c r="N913" s="75">
        <v>11</v>
      </c>
      <c r="P913" s="122">
        <f t="shared" si="119"/>
        <v>0</v>
      </c>
      <c r="Q913" s="122">
        <f t="shared" ref="Q913:Q928" si="120">(AVERAGE(J913,L913,N913)/G913)*H913</f>
        <v>1166.6666666666667</v>
      </c>
      <c r="R913" s="160">
        <f t="shared" ref="R913:R928" si="121">P913/(P913+Q913)</f>
        <v>0</v>
      </c>
      <c r="S913" s="343" t="str">
        <f>D913</f>
        <v>SN-10 Ambient</v>
      </c>
      <c r="T913" s="76"/>
      <c r="U913" s="76"/>
      <c r="V913" s="76"/>
      <c r="Y913" s="87" t="str">
        <f>D913</f>
        <v>SN-10 Ambient</v>
      </c>
      <c r="Z913" s="353">
        <f>SUMIFS($P$877:$P$912, $D$877:$D$912, Y913, $F$877:$F$912, "&lt;200") + SUMIFS($Q$877:$Q$912, $D$877:$D$912, Y913, $F$877:$F$912, "&lt;200")</f>
        <v>10833.333333333332</v>
      </c>
      <c r="AA913" s="124">
        <f>SUM(P913:Q916)</f>
        <v>12190</v>
      </c>
      <c r="AB913" s="124">
        <f>SUMIFS(Collection!O:O, Collection!B:B, "*" &amp; 'Bucket Counts'!Y913 &amp; "*", Collection!A:A, "&lt;" &amp; 'Bucket Counts'!A913,Collection!A:A,  "&gt;=" &amp; 'Bucket Counts'!$A$877)</f>
        <v>0</v>
      </c>
      <c r="AC913" s="161">
        <f>AA913/(Z913+AB913)</f>
        <v>1.1252307692307693</v>
      </c>
    </row>
    <row r="914" spans="1:29" s="80" customFormat="1">
      <c r="A914" s="77">
        <v>42941</v>
      </c>
      <c r="B914" s="78"/>
      <c r="C914" s="78"/>
      <c r="D914" s="80" t="s">
        <v>86</v>
      </c>
      <c r="F914" s="87">
        <v>180</v>
      </c>
      <c r="G914" s="87">
        <v>3</v>
      </c>
      <c r="H914" s="229">
        <v>260</v>
      </c>
      <c r="I914" s="80">
        <v>0</v>
      </c>
      <c r="J914" s="80">
        <v>21</v>
      </c>
      <c r="K914" s="80">
        <v>0</v>
      </c>
      <c r="L914" s="80">
        <v>24</v>
      </c>
      <c r="M914" s="80">
        <v>0</v>
      </c>
      <c r="N914" s="80">
        <v>28</v>
      </c>
      <c r="P914" s="124">
        <f t="shared" si="119"/>
        <v>0</v>
      </c>
      <c r="Q914" s="124">
        <f t="shared" si="120"/>
        <v>2108.8888888888887</v>
      </c>
      <c r="R914" s="161">
        <f t="shared" si="121"/>
        <v>0</v>
      </c>
      <c r="S914" s="187">
        <f>(SUM(P913:P916)/(SUM(P913:Q916)))</f>
        <v>0</v>
      </c>
      <c r="T914" s="81"/>
      <c r="U914" s="81"/>
      <c r="V914" s="81"/>
      <c r="Y914" s="87"/>
      <c r="Z914" s="362"/>
      <c r="AA914" s="124"/>
      <c r="AB914" s="124"/>
    </row>
    <row r="915" spans="1:29" s="80" customFormat="1">
      <c r="A915" s="77">
        <v>42941</v>
      </c>
      <c r="B915" s="78"/>
      <c r="C915" s="78"/>
      <c r="D915" s="80" t="s">
        <v>86</v>
      </c>
      <c r="F915" s="87">
        <v>100</v>
      </c>
      <c r="G915" s="87">
        <v>3</v>
      </c>
      <c r="H915" s="229">
        <v>280</v>
      </c>
      <c r="I915" s="80">
        <v>0</v>
      </c>
      <c r="J915" s="80">
        <v>11</v>
      </c>
      <c r="K915" s="80">
        <v>0</v>
      </c>
      <c r="L915" s="80">
        <v>5</v>
      </c>
      <c r="M915" s="80">
        <v>0</v>
      </c>
      <c r="N915" s="80">
        <v>0</v>
      </c>
      <c r="P915" s="124">
        <f t="shared" si="119"/>
        <v>0</v>
      </c>
      <c r="Q915" s="124">
        <f t="shared" si="120"/>
        <v>497.77777777777777</v>
      </c>
      <c r="R915" s="161">
        <f t="shared" si="121"/>
        <v>0</v>
      </c>
      <c r="S915" s="188"/>
      <c r="T915" s="81"/>
      <c r="U915" s="81"/>
      <c r="V915" s="81"/>
      <c r="Y915" s="87"/>
      <c r="Z915" s="362"/>
      <c r="AA915" s="124"/>
      <c r="AB915" s="124"/>
    </row>
    <row r="916" spans="1:29" s="80" customFormat="1">
      <c r="A916" s="77">
        <v>42941</v>
      </c>
      <c r="B916" s="78"/>
      <c r="C916" s="78"/>
      <c r="D916" s="80" t="s">
        <v>86</v>
      </c>
      <c r="F916" s="87" t="s">
        <v>203</v>
      </c>
      <c r="G916" s="87">
        <v>3</v>
      </c>
      <c r="H916" s="229">
        <v>250</v>
      </c>
      <c r="I916" s="80">
        <v>0</v>
      </c>
      <c r="J916" s="80">
        <v>101</v>
      </c>
      <c r="K916" s="80">
        <v>0</v>
      </c>
      <c r="L916" s="80">
        <v>114</v>
      </c>
      <c r="M916" s="80">
        <v>0</v>
      </c>
      <c r="N916" s="80">
        <v>88</v>
      </c>
      <c r="P916" s="124">
        <f t="shared" si="119"/>
        <v>0</v>
      </c>
      <c r="Q916" s="124">
        <f t="shared" si="120"/>
        <v>8416.6666666666661</v>
      </c>
      <c r="R916" s="161">
        <f t="shared" si="121"/>
        <v>0</v>
      </c>
      <c r="S916" s="188"/>
      <c r="T916" s="81"/>
      <c r="U916" s="81"/>
      <c r="V916" s="81"/>
      <c r="Y916" s="87"/>
      <c r="Z916" s="362"/>
      <c r="AA916" s="124"/>
      <c r="AB916" s="124"/>
    </row>
    <row r="917" spans="1:29" s="80" customFormat="1">
      <c r="A917" s="77">
        <v>42941</v>
      </c>
      <c r="B917" s="78"/>
      <c r="C917" s="78"/>
      <c r="D917" s="332" t="s">
        <v>83</v>
      </c>
      <c r="F917" s="87">
        <v>224</v>
      </c>
      <c r="G917" s="87">
        <v>3</v>
      </c>
      <c r="H917" s="229">
        <v>240</v>
      </c>
      <c r="I917" s="80">
        <v>0</v>
      </c>
      <c r="J917" s="80">
        <v>0</v>
      </c>
      <c r="K917" s="80">
        <v>0</v>
      </c>
      <c r="L917" s="80">
        <v>0</v>
      </c>
      <c r="M917" s="80">
        <v>0</v>
      </c>
      <c r="N917" s="80">
        <v>1</v>
      </c>
      <c r="P917" s="124">
        <f t="shared" si="119"/>
        <v>0</v>
      </c>
      <c r="Q917" s="124">
        <f t="shared" si="120"/>
        <v>26.666666666666664</v>
      </c>
      <c r="R917" s="161">
        <f t="shared" si="121"/>
        <v>0</v>
      </c>
      <c r="S917" s="189" t="str">
        <f>D917</f>
        <v>NF-10 Low</v>
      </c>
      <c r="T917" s="81"/>
      <c r="U917" s="81"/>
      <c r="V917" s="81"/>
      <c r="Y917" s="87" t="str">
        <f>D917</f>
        <v>NF-10 Low</v>
      </c>
      <c r="Z917" s="353">
        <f>SUMIFS($P$877:$P$912, $D$877:$D$912, Y917, $F$877:$F$912, "&lt;200") + SUMIFS($Q$877:$Q$912, $D$877:$D$912, Y917, $F$877:$F$912, "&lt;200")</f>
        <v>300</v>
      </c>
      <c r="AA917" s="124">
        <f>SUM(P917:Q920)</f>
        <v>182.22222222222223</v>
      </c>
      <c r="AB917" s="124">
        <f>SUMIFS(Collection!O:O, Collection!B:B, "*" &amp; 'Bucket Counts'!Y917 &amp; "*", Collection!A:A, "&lt;" &amp; 'Bucket Counts'!A917,Collection!A:A,  "&gt;=" &amp; 'Bucket Counts'!$A$877)</f>
        <v>0</v>
      </c>
      <c r="AC917" s="161">
        <f>AA917/(Z917+AB917)</f>
        <v>0.6074074074074074</v>
      </c>
    </row>
    <row r="918" spans="1:29" s="80" customFormat="1">
      <c r="A918" s="77">
        <v>42941</v>
      </c>
      <c r="B918" s="78"/>
      <c r="C918" s="78"/>
      <c r="D918" s="332" t="s">
        <v>83</v>
      </c>
      <c r="F918" s="87">
        <v>180</v>
      </c>
      <c r="G918" s="87">
        <v>2</v>
      </c>
      <c r="H918" s="229">
        <v>100</v>
      </c>
      <c r="I918" s="80">
        <v>0</v>
      </c>
      <c r="J918" s="80">
        <v>0</v>
      </c>
      <c r="K918" s="80">
        <v>0</v>
      </c>
      <c r="L918" s="80">
        <v>1</v>
      </c>
      <c r="M918" s="80">
        <v>0</v>
      </c>
      <c r="N918" s="80">
        <v>1</v>
      </c>
      <c r="P918" s="124">
        <f t="shared" si="119"/>
        <v>0</v>
      </c>
      <c r="Q918" s="124">
        <f t="shared" si="120"/>
        <v>33.333333333333329</v>
      </c>
      <c r="R918" s="161">
        <f t="shared" si="121"/>
        <v>0</v>
      </c>
      <c r="S918" s="187">
        <f>(SUM(P917:P920)/(SUM(P917:Q920)))</f>
        <v>0</v>
      </c>
      <c r="T918" s="81"/>
      <c r="W918" s="80" t="s">
        <v>366</v>
      </c>
      <c r="Y918" s="87"/>
      <c r="Z918" s="362"/>
      <c r="AA918" s="124"/>
      <c r="AB918" s="124"/>
    </row>
    <row r="919" spans="1:29" s="80" customFormat="1">
      <c r="A919" s="77">
        <v>42941</v>
      </c>
      <c r="B919" s="78"/>
      <c r="C919" s="78"/>
      <c r="D919" s="332" t="s">
        <v>83</v>
      </c>
      <c r="F919" s="87">
        <v>100</v>
      </c>
      <c r="G919" s="87">
        <v>3</v>
      </c>
      <c r="H919" s="229">
        <v>200</v>
      </c>
      <c r="I919" s="80">
        <v>0</v>
      </c>
      <c r="J919" s="80">
        <v>1</v>
      </c>
      <c r="K919" s="80">
        <v>0</v>
      </c>
      <c r="L919" s="80">
        <v>0</v>
      </c>
      <c r="M919" s="80">
        <v>0</v>
      </c>
      <c r="N919" s="80">
        <v>0</v>
      </c>
      <c r="P919" s="124">
        <f t="shared" si="119"/>
        <v>0</v>
      </c>
      <c r="Q919" s="124">
        <f t="shared" si="120"/>
        <v>22.222222222222221</v>
      </c>
      <c r="R919" s="161">
        <f t="shared" si="121"/>
        <v>0</v>
      </c>
      <c r="S919" s="188"/>
      <c r="T919" s="81"/>
      <c r="Y919" s="87"/>
      <c r="Z919" s="362"/>
      <c r="AA919" s="124"/>
      <c r="AB919" s="124"/>
    </row>
    <row r="920" spans="1:29" s="80" customFormat="1">
      <c r="A920" s="77">
        <v>42941</v>
      </c>
      <c r="B920" s="78"/>
      <c r="C920" s="78"/>
      <c r="D920" s="332" t="s">
        <v>83</v>
      </c>
      <c r="F920" s="87" t="s">
        <v>203</v>
      </c>
      <c r="G920" s="87">
        <v>2</v>
      </c>
      <c r="H920" s="229">
        <v>200</v>
      </c>
      <c r="I920" s="80">
        <v>0</v>
      </c>
      <c r="J920" s="80">
        <v>2</v>
      </c>
      <c r="K920" s="80">
        <v>0</v>
      </c>
      <c r="L920" s="80">
        <v>1</v>
      </c>
      <c r="M920" s="80">
        <v>0</v>
      </c>
      <c r="N920" s="80">
        <v>0</v>
      </c>
      <c r="P920" s="124">
        <f t="shared" si="119"/>
        <v>0</v>
      </c>
      <c r="Q920" s="124">
        <f t="shared" si="120"/>
        <v>100</v>
      </c>
      <c r="R920" s="161">
        <f t="shared" si="121"/>
        <v>0</v>
      </c>
      <c r="S920" s="188"/>
      <c r="T920" s="81"/>
      <c r="Y920" s="87"/>
      <c r="Z920" s="362"/>
      <c r="AA920" s="124"/>
      <c r="AB920" s="124"/>
    </row>
    <row r="921" spans="1:29" s="80" customFormat="1">
      <c r="A921" s="77">
        <v>42941</v>
      </c>
      <c r="B921" s="78"/>
      <c r="C921" s="78"/>
      <c r="D921" s="79" t="s">
        <v>109</v>
      </c>
      <c r="F921" s="87">
        <v>224</v>
      </c>
      <c r="G921" s="87">
        <v>3</v>
      </c>
      <c r="H921" s="229">
        <v>225</v>
      </c>
      <c r="I921" s="80">
        <v>0</v>
      </c>
      <c r="J921" s="80">
        <v>3</v>
      </c>
      <c r="K921" s="80">
        <v>3</v>
      </c>
      <c r="L921" s="80">
        <v>0</v>
      </c>
      <c r="M921" s="80">
        <v>2</v>
      </c>
      <c r="N921" s="80">
        <v>1</v>
      </c>
      <c r="P921" s="124">
        <f t="shared" si="119"/>
        <v>125</v>
      </c>
      <c r="Q921" s="124">
        <f t="shared" si="120"/>
        <v>100</v>
      </c>
      <c r="R921" s="161">
        <f t="shared" si="121"/>
        <v>0.55555555555555558</v>
      </c>
      <c r="S921" s="186" t="str">
        <f>D921</f>
        <v>HL-10 Low</v>
      </c>
      <c r="T921" s="81"/>
      <c r="Y921" s="87" t="str">
        <f>D921</f>
        <v>HL-10 Low</v>
      </c>
      <c r="Z921" s="353">
        <f>SUMIFS($P$877:$P$912, $D$877:$D$912, Y921, $F$877:$F$912, "&lt;200") + SUMIFS($Q$877:$Q$912, $D$877:$D$912, Y921, $F$877:$F$912, "&lt;200")</f>
        <v>1593.3333333333333</v>
      </c>
      <c r="AA921" s="124">
        <f>SUM(P921:Q924)</f>
        <v>1791.6666666666665</v>
      </c>
      <c r="AB921" s="124">
        <f>SUMIFS(Collection!O:O, Collection!B:B, "*" &amp; 'Bucket Counts'!Y921 &amp; "*", Collection!A:A, "&lt;" &amp; 'Bucket Counts'!A921,Collection!A:A,  "&gt;=" &amp; 'Bucket Counts'!$A$877)</f>
        <v>0</v>
      </c>
      <c r="AC921" s="161">
        <f>AA921/(Z921+AB921)</f>
        <v>1.1244769874476988</v>
      </c>
    </row>
    <row r="922" spans="1:29" s="80" customFormat="1">
      <c r="A922" s="77">
        <v>42941</v>
      </c>
      <c r="B922" s="78"/>
      <c r="C922" s="78"/>
      <c r="D922" s="79" t="s">
        <v>109</v>
      </c>
      <c r="F922" s="87">
        <v>180</v>
      </c>
      <c r="G922" s="87">
        <v>3</v>
      </c>
      <c r="H922" s="229">
        <v>250</v>
      </c>
      <c r="I922" s="80">
        <v>2</v>
      </c>
      <c r="J922" s="80">
        <v>6</v>
      </c>
      <c r="K922" s="80">
        <v>2</v>
      </c>
      <c r="L922" s="80">
        <v>4</v>
      </c>
      <c r="M922" s="80">
        <v>2</v>
      </c>
      <c r="N922" s="80">
        <v>5</v>
      </c>
      <c r="P922" s="303">
        <f t="shared" si="119"/>
        <v>166.66666666666666</v>
      </c>
      <c r="Q922" s="124">
        <f t="shared" si="120"/>
        <v>416.66666666666669</v>
      </c>
      <c r="R922" s="161">
        <f t="shared" si="121"/>
        <v>0.2857142857142857</v>
      </c>
      <c r="S922" s="187">
        <f>(SUM(P921:P924)/(SUM(P921:Q924)))</f>
        <v>0.17519379844961239</v>
      </c>
      <c r="T922" s="81"/>
      <c r="Y922" s="87"/>
      <c r="Z922" s="362"/>
      <c r="AA922" s="124"/>
      <c r="AB922" s="124"/>
    </row>
    <row r="923" spans="1:29" s="80" customFormat="1">
      <c r="A923" s="77">
        <v>42941</v>
      </c>
      <c r="B923" s="78"/>
      <c r="C923" s="78"/>
      <c r="D923" s="79" t="s">
        <v>109</v>
      </c>
      <c r="F923" s="87">
        <v>100</v>
      </c>
      <c r="G923" s="87">
        <v>3</v>
      </c>
      <c r="H923" s="229">
        <v>200</v>
      </c>
      <c r="I923" s="80">
        <v>0</v>
      </c>
      <c r="J923" s="80">
        <v>0</v>
      </c>
      <c r="K923" s="80">
        <v>0</v>
      </c>
      <c r="L923" s="80">
        <v>2</v>
      </c>
      <c r="M923" s="80">
        <v>1</v>
      </c>
      <c r="N923" s="80">
        <v>0</v>
      </c>
      <c r="P923" s="124">
        <f t="shared" si="119"/>
        <v>22.222222222222221</v>
      </c>
      <c r="Q923" s="124">
        <f t="shared" si="120"/>
        <v>44.444444444444443</v>
      </c>
      <c r="R923" s="161">
        <f t="shared" si="121"/>
        <v>0.33333333333333337</v>
      </c>
      <c r="S923" s="185"/>
      <c r="T923" s="81"/>
      <c r="Y923" s="87"/>
      <c r="Z923" s="362"/>
      <c r="AA923" s="124"/>
      <c r="AB923" s="124"/>
    </row>
    <row r="924" spans="1:29" s="80" customFormat="1">
      <c r="A924" s="77">
        <v>42941</v>
      </c>
      <c r="B924" s="78"/>
      <c r="C924" s="78"/>
      <c r="D924" s="79" t="s">
        <v>109</v>
      </c>
      <c r="F924" s="87" t="s">
        <v>203</v>
      </c>
      <c r="G924" s="87">
        <v>2</v>
      </c>
      <c r="H924" s="229">
        <v>250</v>
      </c>
      <c r="I924" s="80">
        <v>0</v>
      </c>
      <c r="J924" s="80">
        <v>4</v>
      </c>
      <c r="K924" s="80">
        <v>0</v>
      </c>
      <c r="L924" s="80">
        <v>10</v>
      </c>
      <c r="M924" s="80">
        <v>0</v>
      </c>
      <c r="N924" s="80">
        <v>8</v>
      </c>
      <c r="P924" s="124">
        <f>(AVERAGE(I924,K924,M924)/G924)*H924</f>
        <v>0</v>
      </c>
      <c r="Q924" s="124">
        <f t="shared" si="120"/>
        <v>916.66666666666663</v>
      </c>
      <c r="R924" s="161">
        <f t="shared" si="121"/>
        <v>0</v>
      </c>
      <c r="S924" s="188"/>
      <c r="T924" s="81"/>
      <c r="Y924" s="87"/>
      <c r="Z924" s="362"/>
      <c r="AA924" s="124"/>
      <c r="AB924" s="124"/>
    </row>
    <row r="925" spans="1:29" s="80" customFormat="1">
      <c r="A925" s="77">
        <v>42941</v>
      </c>
      <c r="B925" s="78"/>
      <c r="C925" s="78"/>
      <c r="D925" s="79" t="s">
        <v>88</v>
      </c>
      <c r="F925" s="87">
        <v>224</v>
      </c>
      <c r="G925" s="87">
        <v>3</v>
      </c>
      <c r="H925" s="229">
        <v>250</v>
      </c>
      <c r="I925" s="80">
        <v>0</v>
      </c>
      <c r="J925" s="80">
        <v>1</v>
      </c>
      <c r="K925" s="80">
        <v>1</v>
      </c>
      <c r="L925" s="80">
        <v>0</v>
      </c>
      <c r="M925" s="80">
        <v>0</v>
      </c>
      <c r="N925" s="80">
        <v>1</v>
      </c>
      <c r="P925" s="124">
        <f t="shared" ref="P925:P928" si="122">(AVERAGE(I925,K925,M925)/G925)*H925</f>
        <v>27.777777777777775</v>
      </c>
      <c r="Q925" s="124">
        <f t="shared" si="120"/>
        <v>55.55555555555555</v>
      </c>
      <c r="R925" s="161">
        <f t="shared" si="121"/>
        <v>0.33333333333333331</v>
      </c>
      <c r="S925" s="189" t="str">
        <f>D925</f>
        <v>HL-10 Ambient</v>
      </c>
      <c r="T925" s="81"/>
      <c r="Y925" s="87" t="str">
        <f>D925</f>
        <v>HL-10 Ambient</v>
      </c>
      <c r="Z925" s="353">
        <f>SUMIFS($P$877:$P$912, $D$877:$D$912, Y925, $F$877:$F$912, "&lt;200") + SUMIFS($Q$877:$Q$912, $D$877:$D$912, Y925, $F$877:$F$912, "&lt;200")</f>
        <v>591.11111111111109</v>
      </c>
      <c r="AA925" s="124">
        <f>SUM(P925:Q928)</f>
        <v>561.11111111111109</v>
      </c>
      <c r="AB925" s="124">
        <f>SUMIFS(Collection!O:O, Collection!B:B, "*" &amp; 'Bucket Counts'!Y925 &amp; "*", Collection!A:A, "&lt;" &amp; 'Bucket Counts'!A925,Collection!A:A,  "&gt;=" &amp; 'Bucket Counts'!$A$877)</f>
        <v>0</v>
      </c>
      <c r="AC925" s="161">
        <f>AA925/(Z925+AB925)</f>
        <v>0.9492481203007519</v>
      </c>
    </row>
    <row r="926" spans="1:29" s="80" customFormat="1">
      <c r="A926" s="77">
        <v>42941</v>
      </c>
      <c r="B926" s="78"/>
      <c r="C926" s="78"/>
      <c r="D926" s="79" t="s">
        <v>88</v>
      </c>
      <c r="F926" s="87">
        <v>180</v>
      </c>
      <c r="G926" s="87">
        <v>3</v>
      </c>
      <c r="H926" s="229">
        <v>250</v>
      </c>
      <c r="I926" s="80">
        <v>0</v>
      </c>
      <c r="J926" s="80">
        <v>1</v>
      </c>
      <c r="K926" s="80">
        <v>1</v>
      </c>
      <c r="L926" s="80">
        <v>2</v>
      </c>
      <c r="M926" s="80">
        <v>2</v>
      </c>
      <c r="N926" s="80">
        <v>1</v>
      </c>
      <c r="P926" s="303">
        <f t="shared" si="122"/>
        <v>83.333333333333329</v>
      </c>
      <c r="Q926" s="124">
        <f t="shared" si="120"/>
        <v>111.1111111111111</v>
      </c>
      <c r="R926" s="161">
        <f t="shared" si="121"/>
        <v>0.4285714285714286</v>
      </c>
      <c r="S926" s="187">
        <f>(SUM(P925:P928)/(SUM(P925:Q928)))</f>
        <v>0.198019801980198</v>
      </c>
      <c r="T926" s="81"/>
      <c r="Y926" s="87"/>
      <c r="Z926" s="362"/>
      <c r="AA926" s="124"/>
      <c r="AB926" s="124"/>
    </row>
    <row r="927" spans="1:29" s="80" customFormat="1">
      <c r="A927" s="77">
        <v>42941</v>
      </c>
      <c r="B927" s="78"/>
      <c r="C927" s="78"/>
      <c r="D927" s="79" t="s">
        <v>88</v>
      </c>
      <c r="F927" s="87">
        <v>100</v>
      </c>
      <c r="G927" s="87">
        <v>3</v>
      </c>
      <c r="H927" s="229">
        <v>200</v>
      </c>
      <c r="I927" s="80">
        <v>0</v>
      </c>
      <c r="J927" s="80">
        <v>0</v>
      </c>
      <c r="K927" s="80">
        <v>0</v>
      </c>
      <c r="L927" s="80">
        <v>0</v>
      </c>
      <c r="M927" s="80">
        <v>0</v>
      </c>
      <c r="N927" s="80">
        <v>0</v>
      </c>
      <c r="P927" s="124">
        <f t="shared" si="122"/>
        <v>0</v>
      </c>
      <c r="Q927" s="124">
        <f t="shared" si="120"/>
        <v>0</v>
      </c>
      <c r="R927" s="161" t="e">
        <f t="shared" si="121"/>
        <v>#DIV/0!</v>
      </c>
      <c r="S927" s="188"/>
      <c r="T927" s="81"/>
      <c r="Y927" s="87"/>
      <c r="Z927" s="362"/>
      <c r="AA927" s="124"/>
      <c r="AB927" s="124"/>
    </row>
    <row r="928" spans="1:29" s="85" customFormat="1" ht="16" thickBot="1">
      <c r="A928" s="82">
        <v>42941</v>
      </c>
      <c r="B928" s="83"/>
      <c r="C928" s="83"/>
      <c r="D928" s="84" t="s">
        <v>88</v>
      </c>
      <c r="F928" s="140" t="s">
        <v>203</v>
      </c>
      <c r="G928" s="140">
        <v>3</v>
      </c>
      <c r="H928" s="344">
        <v>150</v>
      </c>
      <c r="I928" s="85">
        <v>0</v>
      </c>
      <c r="J928" s="85">
        <v>7</v>
      </c>
      <c r="K928" s="85">
        <v>0</v>
      </c>
      <c r="L928" s="85">
        <v>3</v>
      </c>
      <c r="M928" s="85">
        <v>0</v>
      </c>
      <c r="N928" s="85">
        <v>7</v>
      </c>
      <c r="P928" s="141">
        <f t="shared" si="122"/>
        <v>0</v>
      </c>
      <c r="Q928" s="141">
        <f t="shared" si="120"/>
        <v>283.33333333333337</v>
      </c>
      <c r="R928" s="164">
        <f t="shared" si="121"/>
        <v>0</v>
      </c>
      <c r="S928" s="199"/>
      <c r="T928" s="345"/>
      <c r="Y928" s="140"/>
      <c r="Z928" s="364"/>
      <c r="AA928" s="141"/>
      <c r="AB928" s="141"/>
    </row>
    <row r="929" spans="29:29">
      <c r="AC929" s="369">
        <f>AVERAGE(AC193:AC928)</f>
        <v>0.93532630874381129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34"/>
  <sheetViews>
    <sheetView topLeftCell="A103" workbookViewId="0">
      <selection activeCell="H127" sqref="H127"/>
    </sheetView>
  </sheetViews>
  <sheetFormatPr baseColWidth="10" defaultRowHeight="15" x14ac:dyDescent="0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3" customWidth="1"/>
    <col min="19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1" thickBot="1">
      <c r="A1" s="32" t="s">
        <v>216</v>
      </c>
      <c r="C1" s="200" t="s">
        <v>120</v>
      </c>
      <c r="D1" s="200" t="s">
        <v>307</v>
      </c>
      <c r="E1" s="200" t="s">
        <v>122</v>
      </c>
      <c r="F1" s="200" t="s">
        <v>177</v>
      </c>
      <c r="G1" s="200" t="s">
        <v>178</v>
      </c>
      <c r="H1" s="200" t="s">
        <v>210</v>
      </c>
      <c r="I1" s="200" t="s">
        <v>218</v>
      </c>
      <c r="J1" s="202" t="s">
        <v>137</v>
      </c>
      <c r="K1" s="260" t="s">
        <v>217</v>
      </c>
      <c r="L1" s="32" t="s">
        <v>306</v>
      </c>
      <c r="M1" s="32" t="s">
        <v>349</v>
      </c>
      <c r="N1" s="32" t="s">
        <v>373</v>
      </c>
      <c r="O1" s="32" t="s">
        <v>375</v>
      </c>
      <c r="P1" s="32" t="s">
        <v>374</v>
      </c>
      <c r="Q1" s="32" t="s">
        <v>376</v>
      </c>
      <c r="R1" s="32" t="s">
        <v>350</v>
      </c>
      <c r="S1" s="32" t="s">
        <v>353</v>
      </c>
      <c r="T1" s="32" t="s">
        <v>354</v>
      </c>
      <c r="U1" s="32" t="s">
        <v>362</v>
      </c>
      <c r="V1" s="32" t="s">
        <v>363</v>
      </c>
      <c r="W1" s="32" t="s">
        <v>352</v>
      </c>
      <c r="X1" s="32" t="s">
        <v>351</v>
      </c>
      <c r="AC1" t="s">
        <v>390</v>
      </c>
      <c r="AD1" t="s">
        <v>302</v>
      </c>
      <c r="AE1" s="32" t="s">
        <v>363</v>
      </c>
      <c r="AF1" s="32" t="s">
        <v>352</v>
      </c>
      <c r="AG1" s="32" t="s">
        <v>351</v>
      </c>
      <c r="AH1" s="222" t="s">
        <v>376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3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>
        <f>SUMIFS('Bucket Counts'!P:P, 'Bucket Counts'!F:F, "100 Morts", 'Bucket Counts'!D:D, 'Total Larvae to Date'!J2 &amp;"*")</f>
        <v>10215.555555555557</v>
      </c>
      <c r="O2" s="17">
        <f>'Bucket Counts'!P882+'Bucket Counts'!P881+'Bucket Counts'!AD389+'Bucket Counts'!P857</f>
        <v>34597.444444444453</v>
      </c>
      <c r="P2" s="17"/>
      <c r="Q2" s="17">
        <f t="shared" ref="Q2:Q17" si="1">M2-N2-O2</f>
        <v>274463.66666666669</v>
      </c>
      <c r="R2" s="53">
        <f t="shared" ref="R2:R17" si="2">Q72+P2</f>
        <v>3697.8888888888887</v>
      </c>
      <c r="S2">
        <v>47</v>
      </c>
      <c r="T2">
        <v>12</v>
      </c>
      <c r="U2">
        <v>626</v>
      </c>
      <c r="V2" s="314">
        <f>R2/Q2</f>
        <v>1.3473145403176214E-2</v>
      </c>
      <c r="W2" s="327">
        <f>(U2+(S2-T2))/R2</f>
        <v>0.17875063850244885</v>
      </c>
      <c r="X2" s="309">
        <f>(U2+(S2-T2))/Q2</f>
        <v>2.4083333434540819E-3</v>
      </c>
      <c r="AC2" s="387" t="s">
        <v>386</v>
      </c>
      <c r="AD2" s="203" t="s">
        <v>381</v>
      </c>
      <c r="AE2" s="376">
        <v>1.3473145403176214E-2</v>
      </c>
      <c r="AF2" s="376">
        <v>0.17875063850244885</v>
      </c>
      <c r="AG2" s="377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3" t="s">
        <v>83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>
        <f>SUMIFS('Bucket Counts'!P:P, 'Bucket Counts'!F:F, "100 Morts", 'Bucket Counts'!D:D, 'Total Larvae to Date'!J3 &amp;"*")</f>
        <v>510</v>
      </c>
      <c r="O3" s="17"/>
      <c r="P3" s="17"/>
      <c r="Q3" s="17">
        <f t="shared" si="1"/>
        <v>210906.66666666666</v>
      </c>
      <c r="R3" s="53">
        <f t="shared" si="2"/>
        <v>2977.333333333333</v>
      </c>
      <c r="S3">
        <v>4</v>
      </c>
      <c r="T3">
        <v>2</v>
      </c>
      <c r="U3">
        <v>75</v>
      </c>
      <c r="V3" s="315">
        <f t="shared" ref="V3:V17" si="3">R3/Q3</f>
        <v>1.411682892906815E-2</v>
      </c>
      <c r="W3" s="328">
        <f t="shared" ref="W3:W9" si="4">(U3+(S3-T3))/R3</f>
        <v>2.5862068965517244E-2</v>
      </c>
      <c r="X3" s="310">
        <f t="shared" ref="X3:X17" si="5">(U3+(S3-T3))/Q3</f>
        <v>3.650904033379694E-4</v>
      </c>
      <c r="AC3" s="387"/>
      <c r="AD3" s="203" t="s">
        <v>382</v>
      </c>
      <c r="AE3" s="376">
        <v>1.411682892906815E-2</v>
      </c>
      <c r="AF3" s="376">
        <v>2.5862068965517244E-2</v>
      </c>
      <c r="AG3" s="377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3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>
        <f>SUMIFS('Bucket Counts'!P:P, 'Bucket Counts'!F:F, "100 Morts", 'Bucket Counts'!D:D, 'Total Larvae to Date'!J4 &amp;"*")</f>
        <v>670</v>
      </c>
      <c r="P4" s="17">
        <f>'Bucket Counts'!P762</f>
        <v>13</v>
      </c>
      <c r="Q4" s="17">
        <f t="shared" si="1"/>
        <v>131005</v>
      </c>
      <c r="R4" s="53">
        <f t="shared" si="2"/>
        <v>11119.444444444443</v>
      </c>
      <c r="S4">
        <v>19</v>
      </c>
      <c r="T4">
        <v>14</v>
      </c>
      <c r="U4">
        <v>1503</v>
      </c>
      <c r="V4" s="316">
        <f t="shared" si="3"/>
        <v>8.487801568218345E-2</v>
      </c>
      <c r="W4" s="329">
        <f t="shared" si="4"/>
        <v>0.13561828628528605</v>
      </c>
      <c r="X4" s="311">
        <f t="shared" si="5"/>
        <v>1.1511011030113354E-2</v>
      </c>
      <c r="AC4" s="387"/>
      <c r="AD4" s="379" t="s">
        <v>383</v>
      </c>
      <c r="AE4" s="376">
        <v>8.487801568218345E-2</v>
      </c>
      <c r="AF4" s="376">
        <v>0.13561828628528605</v>
      </c>
      <c r="AG4" s="377">
        <v>1.1511011030113354E-2</v>
      </c>
      <c r="AH4" s="17">
        <v>131005</v>
      </c>
    </row>
    <row r="5" spans="1:3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3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N5" s="17">
        <f>SUMIFS('Bucket Counts'!P:P, 'Bucket Counts'!F:F, "100 Morts", 'Bucket Counts'!D:D, 'Total Larvae to Date'!J5 &amp;"*")</f>
        <v>1580.0000000000002</v>
      </c>
      <c r="O5" s="17"/>
      <c r="P5" s="17">
        <f>'Bucket Counts'!P822</f>
        <v>379.16666666666669</v>
      </c>
      <c r="Q5" s="17">
        <f t="shared" si="1"/>
        <v>369435.55555555556</v>
      </c>
      <c r="R5" s="53">
        <f t="shared" si="2"/>
        <v>11779.999999999998</v>
      </c>
      <c r="S5">
        <v>22</v>
      </c>
      <c r="T5">
        <v>8</v>
      </c>
      <c r="U5">
        <v>670</v>
      </c>
      <c r="V5" s="317">
        <f t="shared" si="3"/>
        <v>3.1886481479253631E-2</v>
      </c>
      <c r="W5" s="330">
        <f t="shared" si="4"/>
        <v>5.8064516129032268E-2</v>
      </c>
      <c r="X5" s="313">
        <f t="shared" si="5"/>
        <v>1.8514731181502112E-3</v>
      </c>
      <c r="AC5" s="387"/>
      <c r="AD5" s="379" t="s">
        <v>384</v>
      </c>
      <c r="AE5" s="376">
        <v>3.1886481479253631E-2</v>
      </c>
      <c r="AF5" s="376">
        <v>5.8064516129032268E-2</v>
      </c>
      <c r="AG5" s="377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3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>
        <f>SUMIFS('Bucket Counts'!P:P, 'Bucket Counts'!F:F, "100 Morts", 'Bucket Counts'!D:D, 'Total Larvae to Date'!J6 &amp;"*")</f>
        <v>11556.111111111113</v>
      </c>
      <c r="O6" s="17">
        <f>'Bucket Counts'!P261</f>
        <v>30333.333333333332</v>
      </c>
      <c r="P6" s="17"/>
      <c r="Q6" s="17">
        <f t="shared" si="1"/>
        <v>708903.88888888899</v>
      </c>
      <c r="R6" s="53">
        <f t="shared" si="2"/>
        <v>29595.333333333332</v>
      </c>
      <c r="S6">
        <v>3</v>
      </c>
      <c r="T6">
        <v>1</v>
      </c>
      <c r="U6">
        <v>52</v>
      </c>
      <c r="V6" s="314">
        <f t="shared" si="3"/>
        <v>4.1748019438460147E-2</v>
      </c>
      <c r="W6" s="327">
        <f t="shared" si="4"/>
        <v>1.8246119883765458E-3</v>
      </c>
      <c r="X6" s="309">
        <f t="shared" si="5"/>
        <v>7.6173936758391469E-5</v>
      </c>
      <c r="AC6" s="388" t="s">
        <v>385</v>
      </c>
      <c r="AD6" s="203" t="s">
        <v>381</v>
      </c>
      <c r="AE6" s="376">
        <v>4.1748019438460147E-2</v>
      </c>
      <c r="AF6" s="376">
        <v>1.8246119883765458E-3</v>
      </c>
      <c r="AG6" s="377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3" t="s">
        <v>74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>
        <f>SUMIFS('Bucket Counts'!P:P, 'Bucket Counts'!F:F, "100 Morts", 'Bucket Counts'!D:D, 'Total Larvae to Date'!J7 &amp;"*")</f>
        <v>9573.3333333333321</v>
      </c>
      <c r="O7" s="17">
        <f>'Bucket Counts'!P83 + 'Bucket Counts'!P107 + 'Bucket Counts'!P151 + 'Bucket Counts'!P209</f>
        <v>4348.0555555555557</v>
      </c>
      <c r="P7" s="17">
        <f>'Bucket Counts'!P830</f>
        <v>36.666666666666664</v>
      </c>
      <c r="Q7" s="17">
        <f t="shared" si="1"/>
        <v>646528.61111111112</v>
      </c>
      <c r="R7" s="53">
        <f t="shared" si="2"/>
        <v>4756.9444444444453</v>
      </c>
      <c r="S7">
        <v>1</v>
      </c>
      <c r="T7">
        <v>0</v>
      </c>
      <c r="U7">
        <v>34</v>
      </c>
      <c r="V7" s="315">
        <f t="shared" si="3"/>
        <v>7.3576704304999831E-3</v>
      </c>
      <c r="W7" s="328">
        <f t="shared" si="4"/>
        <v>7.3576642335766414E-3</v>
      </c>
      <c r="X7" s="310">
        <f t="shared" si="5"/>
        <v>5.4135268568934178E-5</v>
      </c>
      <c r="AC7" s="388"/>
      <c r="AD7" s="203" t="s">
        <v>382</v>
      </c>
      <c r="AE7" s="376">
        <v>7.3576704304999831E-3</v>
      </c>
      <c r="AF7" s="376">
        <v>7.3576642335766414E-3</v>
      </c>
      <c r="AG7" s="377">
        <v>5.4135268568934178E-5</v>
      </c>
      <c r="AH7" s="17">
        <v>646528.61111111112</v>
      </c>
    </row>
    <row r="8" spans="1:34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3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>
        <f>SUMIFS('Bucket Counts'!P:P, 'Bucket Counts'!F:F, "100 Morts", 'Bucket Counts'!D:D, 'Total Larvae to Date'!J8 &amp;"*")</f>
        <v>19053.333333333332</v>
      </c>
      <c r="O8" s="17">
        <f>'Bucket Counts'!AD513</f>
        <v>23111.866666666661</v>
      </c>
      <c r="P8" s="17"/>
      <c r="Q8" s="17">
        <f t="shared" si="1"/>
        <v>435238.13333333336</v>
      </c>
      <c r="R8" s="53">
        <f t="shared" si="2"/>
        <v>11930.666666666666</v>
      </c>
      <c r="S8">
        <v>5</v>
      </c>
      <c r="T8">
        <v>1</v>
      </c>
      <c r="U8">
        <v>124</v>
      </c>
      <c r="V8" s="316">
        <f t="shared" si="3"/>
        <v>2.7411813793276688E-2</v>
      </c>
      <c r="W8" s="329">
        <f t="shared" si="4"/>
        <v>1.0728654447921324E-2</v>
      </c>
      <c r="X8" s="311">
        <f t="shared" si="5"/>
        <v>2.9409187797882903E-4</v>
      </c>
      <c r="AC8" s="388"/>
      <c r="AD8" s="379" t="s">
        <v>383</v>
      </c>
      <c r="AE8" s="376">
        <v>2.7411813793276688E-2</v>
      </c>
      <c r="AF8" s="376">
        <v>1.0728654447921324E-2</v>
      </c>
      <c r="AG8" s="377">
        <v>2.9409187797882903E-4</v>
      </c>
      <c r="AH8" s="17">
        <v>435238.13333333336</v>
      </c>
    </row>
    <row r="9" spans="1:3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3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>
        <f>SUMIFS('Bucket Counts'!P:P, 'Bucket Counts'!F:F, "100 Morts", 'Bucket Counts'!D:D, 'Total Larvae to Date'!J9 &amp;"*")</f>
        <v>16628.333333333332</v>
      </c>
      <c r="P9" s="17">
        <f>'Bucket Counts'!P702</f>
        <v>27</v>
      </c>
      <c r="Q9" s="17">
        <f t="shared" si="1"/>
        <v>515788.33333333331</v>
      </c>
      <c r="R9" s="53">
        <f t="shared" si="2"/>
        <v>6029.4444444444443</v>
      </c>
      <c r="S9">
        <v>23</v>
      </c>
      <c r="T9">
        <v>4</v>
      </c>
      <c r="U9">
        <v>192</v>
      </c>
      <c r="V9" s="317">
        <f t="shared" si="3"/>
        <v>1.1689765073743644E-2</v>
      </c>
      <c r="W9" s="330">
        <f t="shared" si="4"/>
        <v>3.4994932276789827E-2</v>
      </c>
      <c r="X9" s="313">
        <f t="shared" si="5"/>
        <v>4.0908253708724188E-4</v>
      </c>
      <c r="AC9" s="388"/>
      <c r="AD9" s="379" t="s">
        <v>384</v>
      </c>
      <c r="AE9" s="378">
        <v>1.1689765073743644E-2</v>
      </c>
      <c r="AF9" s="376">
        <v>3.4994932276789799E-2</v>
      </c>
      <c r="AG9" s="377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3" t="s">
        <v>88</v>
      </c>
      <c r="K10" s="118">
        <f t="shared" ref="K10:L17" si="6">C18</f>
        <v>939467.77777777775</v>
      </c>
      <c r="L10" s="118">
        <f t="shared" si="6"/>
        <v>5</v>
      </c>
      <c r="M10" s="17">
        <f>L44</f>
        <v>283857.77777777775</v>
      </c>
      <c r="N10" s="17">
        <f>SUMIFS('Bucket Counts'!P:P, 'Bucket Counts'!F:F, "100 Morts", 'Bucket Counts'!D:D, 'Total Larvae to Date'!J10 &amp;"*")</f>
        <v>13988.333333333332</v>
      </c>
      <c r="O10" s="17"/>
      <c r="P10" s="17">
        <f>'Bucket Counts'!P926</f>
        <v>83.333333333333329</v>
      </c>
      <c r="Q10" s="17">
        <f t="shared" si="1"/>
        <v>269869.44444444444</v>
      </c>
      <c r="R10" s="53">
        <f t="shared" si="2"/>
        <v>13916.666666666668</v>
      </c>
      <c r="S10">
        <v>42</v>
      </c>
      <c r="T10">
        <v>0</v>
      </c>
      <c r="U10">
        <v>1311</v>
      </c>
      <c r="V10" s="318">
        <f t="shared" si="3"/>
        <v>5.1568145090733181E-2</v>
      </c>
      <c r="W10" s="327">
        <f t="shared" ref="W10:W17" si="7">(U10+(S10-T10))/R10</f>
        <v>9.7221556886227536E-2</v>
      </c>
      <c r="X10" s="323">
        <f>(U10+(S10-T10))/Q10</f>
        <v>5.0135353514559507E-3</v>
      </c>
      <c r="AC10" s="387" t="s">
        <v>387</v>
      </c>
      <c r="AD10" s="203" t="s">
        <v>381</v>
      </c>
      <c r="AE10" s="376">
        <v>5.1568145090733181E-2</v>
      </c>
      <c r="AF10" s="376">
        <v>9.7221556886227536E-2</v>
      </c>
      <c r="AG10" s="376">
        <v>5.0135353514559507E-3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3" t="s">
        <v>109</v>
      </c>
      <c r="K11" s="118">
        <f t="shared" si="6"/>
        <v>705188.33333333337</v>
      </c>
      <c r="L11" s="118">
        <f t="shared" si="6"/>
        <v>6</v>
      </c>
      <c r="M11" s="17">
        <f t="shared" ref="M11:M16" si="8">L45</f>
        <v>310875</v>
      </c>
      <c r="N11" s="17">
        <f>SUMIFS('Bucket Counts'!P:P, 'Bucket Counts'!F:F, "100 Morts", 'Bucket Counts'!D:D, 'Total Larvae to Date'!J11 &amp;"*")</f>
        <v>9740</v>
      </c>
      <c r="O11" s="17">
        <f>'Bucket Counts'!P865 + 'Bucket Counts'!P885</f>
        <v>1070</v>
      </c>
      <c r="P11" s="17">
        <f>'Bucket Counts'!P922</f>
        <v>166.66666666666666</v>
      </c>
      <c r="Q11" s="17">
        <f t="shared" si="1"/>
        <v>300065</v>
      </c>
      <c r="R11" s="53">
        <f t="shared" si="2"/>
        <v>19857.5</v>
      </c>
      <c r="S11">
        <v>92</v>
      </c>
      <c r="T11">
        <v>0</v>
      </c>
      <c r="U11">
        <v>1091</v>
      </c>
      <c r="V11" s="319">
        <f t="shared" si="3"/>
        <v>6.6177328245546799E-2</v>
      </c>
      <c r="W11" s="328">
        <f t="shared" si="7"/>
        <v>5.9574468085106386E-2</v>
      </c>
      <c r="X11" s="324">
        <f t="shared" ref="X11:X13" si="9">(U11+(S11-T11))/Q11</f>
        <v>3.942479129521937E-3</v>
      </c>
      <c r="AC11" s="387"/>
      <c r="AD11" s="203" t="s">
        <v>382</v>
      </c>
      <c r="AE11" s="376">
        <v>6.6177328245546799E-2</v>
      </c>
      <c r="AF11" s="376">
        <v>5.9574468085106386E-2</v>
      </c>
      <c r="AG11" s="376">
        <v>3.942479129521937E-3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3" t="s">
        <v>119</v>
      </c>
      <c r="K12" s="118">
        <f t="shared" si="6"/>
        <v>105133.33333333334</v>
      </c>
      <c r="L12" s="118">
        <f t="shared" si="6"/>
        <v>1</v>
      </c>
      <c r="M12" s="17">
        <f t="shared" si="8"/>
        <v>65666.666666666672</v>
      </c>
      <c r="N12" s="17">
        <f>SUMIFS('Bucket Counts'!P:P, 'Bucket Counts'!F:F, "100 Morts", 'Bucket Counts'!D:D, 'Total Larvae to Date'!J12 &amp;"*")</f>
        <v>9880.5555555555529</v>
      </c>
      <c r="O12" s="17">
        <f>'Bucket Counts'!AD581</f>
        <v>6857.533333333331</v>
      </c>
      <c r="P12" s="17">
        <f>'Bucket Counts'!P842</f>
        <v>250</v>
      </c>
      <c r="Q12" s="17">
        <f t="shared" si="1"/>
        <v>48928.577777777784</v>
      </c>
      <c r="R12" s="53">
        <f t="shared" si="2"/>
        <v>2495.833333333333</v>
      </c>
      <c r="S12">
        <v>160</v>
      </c>
      <c r="T12">
        <v>0</v>
      </c>
      <c r="U12">
        <v>501</v>
      </c>
      <c r="V12" s="320">
        <f t="shared" si="3"/>
        <v>5.1009725740830389E-2</v>
      </c>
      <c r="W12" s="329">
        <f t="shared" si="7"/>
        <v>0.26484140233722875</v>
      </c>
      <c r="X12" s="325">
        <f t="shared" si="9"/>
        <v>1.3509487298038953E-2</v>
      </c>
      <c r="AC12" s="387"/>
      <c r="AD12" s="379" t="s">
        <v>383</v>
      </c>
      <c r="AE12" s="376">
        <v>5.1009725740830389E-2</v>
      </c>
      <c r="AF12" s="376">
        <v>0.26484140233722875</v>
      </c>
      <c r="AG12" s="376">
        <v>1.3509487298038953E-2</v>
      </c>
      <c r="AH12" s="17">
        <v>48928.577777777784</v>
      </c>
    </row>
    <row r="13" spans="1:3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3" t="s">
        <v>21</v>
      </c>
      <c r="K13" s="118">
        <f t="shared" si="6"/>
        <v>959265</v>
      </c>
      <c r="L13" s="118">
        <f t="shared" si="6"/>
        <v>3</v>
      </c>
      <c r="M13" s="17">
        <f t="shared" si="8"/>
        <v>255370.55555555556</v>
      </c>
      <c r="N13" s="17">
        <f>SUMIFS('Bucket Counts'!P:P, 'Bucket Counts'!F:F, "100 Morts", 'Bucket Counts'!D:D, 'Total Larvae to Date'!J13 &amp;"*")</f>
        <v>27659.999999999996</v>
      </c>
      <c r="O13" s="17"/>
      <c r="P13" s="17">
        <f>'Bucket Counts'!P898</f>
        <v>133.33333333333331</v>
      </c>
      <c r="Q13" s="17">
        <f t="shared" si="1"/>
        <v>227710.55555555556</v>
      </c>
      <c r="R13" s="53">
        <f t="shared" si="2"/>
        <v>10686.111111111111</v>
      </c>
      <c r="S13">
        <v>162</v>
      </c>
      <c r="T13">
        <v>0</v>
      </c>
      <c r="U13">
        <v>834</v>
      </c>
      <c r="V13" s="321">
        <f t="shared" si="3"/>
        <v>4.6928483772040043E-2</v>
      </c>
      <c r="W13" s="330">
        <f t="shared" si="7"/>
        <v>9.3205094879126593E-2</v>
      </c>
      <c r="X13" s="326">
        <f t="shared" si="9"/>
        <v>4.3739737825065446E-3</v>
      </c>
      <c r="AC13" s="387"/>
      <c r="AD13" s="379" t="s">
        <v>384</v>
      </c>
      <c r="AE13" s="376">
        <v>4.6928483772040043E-2</v>
      </c>
      <c r="AF13" s="376">
        <v>9.3205094879126593E-2</v>
      </c>
      <c r="AG13" s="376">
        <v>4.3739737825065446E-3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3" t="s">
        <v>17</v>
      </c>
      <c r="K14" s="118">
        <f t="shared" si="6"/>
        <v>466208.33333333337</v>
      </c>
      <c r="L14" s="118">
        <f t="shared" si="6"/>
        <v>9</v>
      </c>
      <c r="M14" s="17">
        <f t="shared" si="8"/>
        <v>324165.00000000006</v>
      </c>
      <c r="N14" s="17">
        <f>SUMIFS('Bucket Counts'!P:P, 'Bucket Counts'!F:F, "100 Morts", 'Bucket Counts'!D:D, 'Total Larvae to Date'!J14 &amp;"*")</f>
        <v>9727.5</v>
      </c>
      <c r="O14" s="17"/>
      <c r="P14" s="17">
        <f>'Bucket Counts'!P862</f>
        <v>27.777777777777775</v>
      </c>
      <c r="Q14" s="17">
        <f t="shared" si="1"/>
        <v>314437.50000000006</v>
      </c>
      <c r="R14" s="53">
        <f t="shared" si="2"/>
        <v>13931.611111111111</v>
      </c>
      <c r="S14">
        <v>13</v>
      </c>
      <c r="T14">
        <v>0</v>
      </c>
      <c r="U14">
        <v>246</v>
      </c>
      <c r="V14" s="322">
        <f t="shared" si="3"/>
        <v>4.4306455531261724E-2</v>
      </c>
      <c r="W14" s="331">
        <f t="shared" si="7"/>
        <v>1.8590814654123915E-2</v>
      </c>
      <c r="X14" s="312">
        <f t="shared" si="5"/>
        <v>8.2369310276287006E-4</v>
      </c>
      <c r="AC14" s="388" t="s">
        <v>388</v>
      </c>
      <c r="AD14" s="203" t="s">
        <v>381</v>
      </c>
      <c r="AE14" s="376">
        <v>4.4306455531261724E-2</v>
      </c>
      <c r="AF14" s="376">
        <v>1.8590814654123915E-2</v>
      </c>
      <c r="AG14" s="377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3" t="s">
        <v>20</v>
      </c>
      <c r="K15" s="118">
        <f t="shared" si="6"/>
        <v>653356.66666666663</v>
      </c>
      <c r="L15" s="118">
        <f t="shared" si="6"/>
        <v>7</v>
      </c>
      <c r="M15" s="17">
        <f t="shared" si="8"/>
        <v>225873.33333333331</v>
      </c>
      <c r="N15" s="17">
        <f>SUMIFS('Bucket Counts'!P:P, 'Bucket Counts'!F:F, "100 Morts", 'Bucket Counts'!D:D, 'Total Larvae to Date'!J15 &amp;"*")</f>
        <v>4386.6666666666661</v>
      </c>
      <c r="O15" s="17"/>
      <c r="P15" s="17"/>
      <c r="Q15" s="17">
        <f t="shared" si="1"/>
        <v>221486.66666666666</v>
      </c>
      <c r="R15" s="53">
        <f t="shared" si="2"/>
        <v>2105.5555555555552</v>
      </c>
      <c r="S15">
        <v>9</v>
      </c>
      <c r="T15">
        <v>0</v>
      </c>
      <c r="U15">
        <v>113</v>
      </c>
      <c r="V15" s="315">
        <f t="shared" si="3"/>
        <v>9.5064664037965655E-3</v>
      </c>
      <c r="W15" s="328">
        <f t="shared" si="7"/>
        <v>5.7941952506596318E-2</v>
      </c>
      <c r="X15" s="310">
        <f t="shared" si="5"/>
        <v>5.5082322487433409E-4</v>
      </c>
      <c r="AC15" s="388"/>
      <c r="AD15" s="203" t="s">
        <v>382</v>
      </c>
      <c r="AE15" s="376">
        <v>9.5064664037965655E-3</v>
      </c>
      <c r="AF15" s="376">
        <v>5.7941952506596318E-2</v>
      </c>
      <c r="AG15" s="377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3" t="s">
        <v>38</v>
      </c>
      <c r="K16" s="118">
        <f t="shared" si="6"/>
        <v>517545</v>
      </c>
      <c r="L16" s="118">
        <f t="shared" si="6"/>
        <v>6</v>
      </c>
      <c r="M16" s="17">
        <f t="shared" si="8"/>
        <v>353768.33333333326</v>
      </c>
      <c r="N16" s="17">
        <f>SUMIFS('Bucket Counts'!P:P, 'Bucket Counts'!F:F, "100 Morts", 'Bucket Counts'!D:D, 'Total Larvae to Date'!J16 &amp;"*")</f>
        <v>20591.111111111113</v>
      </c>
      <c r="O16" s="17"/>
      <c r="P16" s="17"/>
      <c r="Q16" s="17">
        <f t="shared" si="1"/>
        <v>333177.22222222213</v>
      </c>
      <c r="R16" s="53">
        <f t="shared" si="2"/>
        <v>22186.111111111113</v>
      </c>
      <c r="S16">
        <v>16</v>
      </c>
      <c r="T16">
        <v>0</v>
      </c>
      <c r="U16">
        <v>356</v>
      </c>
      <c r="V16" s="316">
        <f t="shared" si="3"/>
        <v>6.6589519424930702E-2</v>
      </c>
      <c r="W16" s="329">
        <f t="shared" si="7"/>
        <v>1.6767246776011015E-2</v>
      </c>
      <c r="X16" s="311">
        <f t="shared" si="5"/>
        <v>1.1165229048937923E-3</v>
      </c>
      <c r="AC16" s="388"/>
      <c r="AD16" s="379" t="s">
        <v>383</v>
      </c>
      <c r="AE16" s="376">
        <v>6.6589519424930702E-2</v>
      </c>
      <c r="AF16" s="376">
        <v>1.6767246776011015E-2</v>
      </c>
      <c r="AG16" s="377">
        <v>1.1165229048937923E-3</v>
      </c>
      <c r="AH16" s="17">
        <v>333177.22222222213</v>
      </c>
    </row>
    <row r="17" spans="1:34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4" t="s">
        <v>46</v>
      </c>
      <c r="K17" s="119">
        <f t="shared" si="6"/>
        <v>370073.33333333337</v>
      </c>
      <c r="L17" s="118">
        <f t="shared" si="6"/>
        <v>5</v>
      </c>
      <c r="M17" s="17">
        <f>L51</f>
        <v>179716.66666666666</v>
      </c>
      <c r="N17" s="17">
        <f>SUMIFS('Bucket Counts'!P:P, 'Bucket Counts'!F:F, "100 Morts", 'Bucket Counts'!D:D, 'Total Larvae to Date'!J17 &amp;"*")</f>
        <v>7718.8888888888896</v>
      </c>
      <c r="O17" s="17"/>
      <c r="P17" s="17"/>
      <c r="Q17" s="17">
        <f t="shared" si="1"/>
        <v>171997.77777777778</v>
      </c>
      <c r="R17" s="53">
        <f t="shared" si="2"/>
        <v>9734.9444444444434</v>
      </c>
      <c r="S17">
        <v>7</v>
      </c>
      <c r="T17">
        <v>0</v>
      </c>
      <c r="U17">
        <v>334</v>
      </c>
      <c r="V17" s="317">
        <f t="shared" si="3"/>
        <v>5.65992454682877E-2</v>
      </c>
      <c r="W17" s="330">
        <f t="shared" si="7"/>
        <v>3.5028448487407909E-2</v>
      </c>
      <c r="X17" s="313">
        <f t="shared" si="5"/>
        <v>1.9825837543120711E-3</v>
      </c>
      <c r="AC17" s="388"/>
      <c r="AD17" s="379" t="s">
        <v>384</v>
      </c>
      <c r="AE17" s="376">
        <v>5.65992454682877E-2</v>
      </c>
      <c r="AF17" s="376">
        <v>3.5028448487407909E-2</v>
      </c>
      <c r="AG17" s="377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J18" t="s">
        <v>377</v>
      </c>
      <c r="L18" s="53"/>
      <c r="W18" s="105"/>
      <c r="X18" s="105">
        <v>0.03</v>
      </c>
      <c r="AC18" s="388" t="s">
        <v>389</v>
      </c>
      <c r="AD18" s="203" t="s">
        <v>381</v>
      </c>
      <c r="AF18" s="369"/>
      <c r="AG18" s="383">
        <v>5.0000000000000001E-3</v>
      </c>
      <c r="AH18" s="17">
        <v>800</v>
      </c>
    </row>
    <row r="19" spans="1:34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  <c r="J19" t="s">
        <v>378</v>
      </c>
      <c r="W19" s="105"/>
      <c r="X19" s="105">
        <v>0.34375</v>
      </c>
      <c r="AC19" s="388"/>
      <c r="AD19" s="203" t="s">
        <v>382</v>
      </c>
      <c r="AF19" s="369"/>
      <c r="AG19" s="105">
        <v>0.03</v>
      </c>
      <c r="AH19" s="17">
        <v>800</v>
      </c>
    </row>
    <row r="20" spans="1:34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  <c r="J20" t="s">
        <v>379</v>
      </c>
      <c r="W20" s="105"/>
      <c r="X20" s="105">
        <v>5.0000000000000001E-3</v>
      </c>
      <c r="AC20" s="388"/>
      <c r="AD20" s="379" t="s">
        <v>383</v>
      </c>
      <c r="AF20" s="369"/>
      <c r="AG20" s="369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  <c r="J21" t="s">
        <v>380</v>
      </c>
      <c r="W21" s="105"/>
      <c r="X21" s="105">
        <v>0.12</v>
      </c>
      <c r="AC21" s="388"/>
      <c r="AD21" s="379" t="s">
        <v>384</v>
      </c>
      <c r="AF21" s="369"/>
      <c r="AG21" s="369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305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305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305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34" s="212" customFormat="1" ht="16" thickBot="1">
      <c r="A25" s="213" t="s">
        <v>46</v>
      </c>
      <c r="B25" s="214"/>
      <c r="C25" s="214">
        <f>SUMIF(Collection!B:B, A25, Collection!J:J)</f>
        <v>370073.33333333337</v>
      </c>
      <c r="D25" s="214">
        <f>COUNTIFS(Collection!B:B, A25, Collection!O:O, "&gt;0", Collection!J:J, "&gt;5,000")</f>
        <v>5</v>
      </c>
      <c r="E25" s="212">
        <v>126</v>
      </c>
      <c r="F25" s="212" t="s">
        <v>305</v>
      </c>
      <c r="H25" s="214">
        <f t="shared" si="0"/>
        <v>2937.0899470899476</v>
      </c>
      <c r="I25" s="214">
        <f>SUMIF(Collection!B:B, 'Total Larvae to Date'!A25, Collection!O:O)</f>
        <v>179716.66666666666</v>
      </c>
    </row>
    <row r="26" spans="1:34" ht="28" customHeight="1" thickTop="1">
      <c r="C26" s="385" t="s">
        <v>223</v>
      </c>
      <c r="D26" s="385"/>
      <c r="E26" s="385"/>
      <c r="F26" s="385"/>
      <c r="G26" s="385"/>
      <c r="H26" s="385"/>
      <c r="I26" s="385"/>
      <c r="J26" s="385"/>
      <c r="K26" s="385"/>
      <c r="L26" s="205"/>
      <c r="M26" s="205"/>
    </row>
    <row r="27" spans="1:34" s="200" customFormat="1" ht="18">
      <c r="A27" s="32" t="s">
        <v>216</v>
      </c>
      <c r="B27" s="201"/>
      <c r="C27" s="205">
        <v>42891</v>
      </c>
      <c r="D27" s="205">
        <v>42895</v>
      </c>
      <c r="E27" s="205">
        <v>42898</v>
      </c>
      <c r="F27" s="205">
        <v>42901</v>
      </c>
      <c r="G27" s="205">
        <v>42905</v>
      </c>
      <c r="H27" s="205">
        <v>42908</v>
      </c>
      <c r="I27" s="205">
        <v>42912</v>
      </c>
      <c r="J27" s="205">
        <v>42915</v>
      </c>
      <c r="K27" s="205">
        <v>42919</v>
      </c>
      <c r="L27" s="205">
        <v>42922</v>
      </c>
    </row>
    <row r="28" spans="1:34">
      <c r="A28" s="14" t="s">
        <v>98</v>
      </c>
      <c r="B28" s="118"/>
      <c r="C28" s="152">
        <f>SUMIFS(Collection!$O:$O, Collection!$B:$B, 'Total Larvae to Date'!$A28, Collection!$A:$A, "&lt;"&amp;'Total Larvae to Date'!C$27)</f>
        <v>136326.66666666669</v>
      </c>
      <c r="D28" s="152">
        <f>SUMIFS(Collection!$O:$O, Collection!$B:$B, 'Total Larvae to Date'!$A28, Collection!$A:$A, "&lt;"&amp;'Total Larvae to Date'!D$27)</f>
        <v>213510.00000000003</v>
      </c>
      <c r="E28" s="152">
        <f>SUMIFS(Collection!$O:$O, Collection!$B:$B, 'Total Larvae to Date'!$A28, Collection!$A:$A, "&lt;"&amp;'Total Larvae to Date'!E$27)</f>
        <v>213510.00000000003</v>
      </c>
      <c r="F28" s="152">
        <f>SUMIFS(Collection!$O:$O, Collection!$B:$B, 'Total Larvae to Date'!$A28, Collection!$A:$A, "&lt;"&amp;'Total Larvae to Date'!F$27)</f>
        <v>213510.00000000003</v>
      </c>
      <c r="G28" s="152">
        <f>SUMIFS(Collection!$O:$O, Collection!$B:$B, 'Total Larvae to Date'!$A28, Collection!$A:$A, "&lt;"&amp;'Total Larvae to Date'!G$27)</f>
        <v>213510.00000000003</v>
      </c>
      <c r="H28" s="152">
        <f>SUMIFS(Collection!$O:$O, Collection!$B:$B, 'Total Larvae to Date'!$A28, Collection!$A:$A, "&lt;"&amp;'Total Larvae to Date'!H$27)</f>
        <v>213510.00000000003</v>
      </c>
      <c r="I28" s="152">
        <f>SUMIFS(Collection!$O:$O, Collection!$B:$B, 'Total Larvae to Date'!$A28, Collection!$A:$A, "&lt;"&amp;'Total Larvae to Date'!I$27)</f>
        <v>213510.00000000003</v>
      </c>
      <c r="J28" s="152">
        <f>SUMIFS(Collection!$O:$O, Collection!$B:$B, 'Total Larvae to Date'!$A28, Collection!$A:$A, "&lt;"&amp;'Total Larvae to Date'!J$27)</f>
        <v>213510.00000000003</v>
      </c>
      <c r="K28" s="152">
        <f>SUMIFS(Collection!$O:$O, Collection!$B:$B, 'Total Larvae to Date'!$A28, Collection!$A:$A, "&lt;"&amp;'Total Larvae to Date'!K$27)</f>
        <v>213510.00000000003</v>
      </c>
      <c r="L28" s="152">
        <f>SUMIFS(Collection!$O:$O, Collection!$B:$B, 'Total Larvae to Date'!$A28, Collection!$A:$A, "&lt;"&amp;'Total Larvae to Date'!L$27)</f>
        <v>213510.00000000003</v>
      </c>
    </row>
    <row r="29" spans="1:34">
      <c r="A29" s="7" t="s">
        <v>31</v>
      </c>
      <c r="B29" s="118"/>
      <c r="C29" s="152">
        <f>SUMIFS(Collection!$O:$O, Collection!$B:$B, 'Total Larvae to Date'!$A29, Collection!$A:$A, "&lt;"&amp;'Total Larvae to Date'!C$27)</f>
        <v>0</v>
      </c>
      <c r="D29" s="152">
        <f>SUMIFS(Collection!$O:$O, Collection!$B:$B, 'Total Larvae to Date'!$A29, Collection!$A:$A, "&lt;"&amp;'Total Larvae to Date'!D$27)</f>
        <v>0</v>
      </c>
      <c r="E29" s="152">
        <f>SUMIFS(Collection!$O:$O, Collection!$B:$B, 'Total Larvae to Date'!$A29, Collection!$A:$A, "&lt;"&amp;'Total Larvae to Date'!E$27)</f>
        <v>0</v>
      </c>
      <c r="F29" s="152">
        <f>SUMIFS(Collection!$O:$O, Collection!$B:$B, 'Total Larvae to Date'!$A29, Collection!$A:$A, "&lt;"&amp;'Total Larvae to Date'!F$27)</f>
        <v>57866.666666666664</v>
      </c>
      <c r="G29" s="152">
        <f>SUMIFS(Collection!$O:$O, Collection!$B:$B, 'Total Larvae to Date'!$A29, Collection!$A:$A, "&lt;"&amp;'Total Larvae to Date'!G$27)</f>
        <v>105766.66666666667</v>
      </c>
      <c r="H29" s="152">
        <f>SUMIFS(Collection!$O:$O, Collection!$B:$B, 'Total Larvae to Date'!$A29, Collection!$A:$A, "&lt;"&amp;'Total Larvae to Date'!H$27)</f>
        <v>105766.66666666667</v>
      </c>
      <c r="I29" s="152">
        <f>SUMIFS(Collection!$O:$O, Collection!$B:$B, 'Total Larvae to Date'!$A29, Collection!$A:$A, "&lt;"&amp;'Total Larvae to Date'!I$27)</f>
        <v>105766.66666666667</v>
      </c>
      <c r="J29" s="152">
        <f>SUMIFS(Collection!$O:$O, Collection!$B:$B, 'Total Larvae to Date'!$A29, Collection!$A:$A, "&lt;"&amp;'Total Larvae to Date'!J$27)</f>
        <v>105766.66666666667</v>
      </c>
      <c r="K29" s="152">
        <f>SUMIFS(Collection!$O:$O, Collection!$B:$B, 'Total Larvae to Date'!$A29, Collection!$A:$A, "&lt;"&amp;'Total Larvae to Date'!K$27)</f>
        <v>105766.66666666667</v>
      </c>
      <c r="L29" s="152">
        <f>SUMIFS(Collection!$O:$O, Collection!$B:$B, 'Total Larvae to Date'!$A29, Collection!$A:$A, "&lt;"&amp;'Total Larvae to Date'!L$27)</f>
        <v>105766.66666666667</v>
      </c>
    </row>
    <row r="30" spans="1:34">
      <c r="A30" s="14" t="s">
        <v>49</v>
      </c>
      <c r="B30" s="118"/>
      <c r="C30" s="152">
        <f>SUMIFS(Collection!$O:$O, Collection!$B:$B, 'Total Larvae to Date'!$A30, Collection!$A:$A, "&lt;"&amp;'Total Larvae to Date'!C$27)</f>
        <v>5183.3333333333339</v>
      </c>
      <c r="D30" s="152">
        <f>SUMIFS(Collection!$O:$O, Collection!$B:$B, 'Total Larvae to Date'!$A30, Collection!$A:$A, "&lt;"&amp;'Total Larvae to Date'!D$27)</f>
        <v>5183.3333333333339</v>
      </c>
      <c r="E30" s="152">
        <f>SUMIFS(Collection!$O:$O, Collection!$B:$B, 'Total Larvae to Date'!$A30, Collection!$A:$A, "&lt;"&amp;'Total Larvae to Date'!E$27)</f>
        <v>5183.3333333333339</v>
      </c>
      <c r="F30" s="152">
        <f>SUMIFS(Collection!$O:$O, Collection!$B:$B, 'Total Larvae to Date'!$A30, Collection!$A:$A, "&lt;"&amp;'Total Larvae to Date'!F$27)</f>
        <v>5183.3333333333339</v>
      </c>
      <c r="G30" s="152">
        <f>SUMIFS(Collection!$O:$O, Collection!$B:$B, 'Total Larvae to Date'!$A30, Collection!$A:$A, "&lt;"&amp;'Total Larvae to Date'!G$27)</f>
        <v>5183.3333333333339</v>
      </c>
      <c r="H30" s="152">
        <f>SUMIFS(Collection!$O:$O, Collection!$B:$B, 'Total Larvae to Date'!$A30, Collection!$A:$A, "&lt;"&amp;'Total Larvae to Date'!H$27)</f>
        <v>5183.3333333333339</v>
      </c>
      <c r="I30" s="152">
        <f>SUMIFS(Collection!$O:$O, Collection!$B:$B, 'Total Larvae to Date'!$A30, Collection!$A:$A, "&lt;"&amp;'Total Larvae to Date'!I$27)</f>
        <v>5183.3333333333339</v>
      </c>
      <c r="J30" s="152">
        <f>SUMIFS(Collection!$O:$O, Collection!$B:$B, 'Total Larvae to Date'!$A30, Collection!$A:$A, "&lt;"&amp;'Total Larvae to Date'!J$27)</f>
        <v>5183.3333333333339</v>
      </c>
      <c r="K30" s="152">
        <f>SUMIFS(Collection!$O:$O, Collection!$B:$B, 'Total Larvae to Date'!$A30, Collection!$A:$A, "&lt;"&amp;'Total Larvae to Date'!K$27)</f>
        <v>5183.3333333333339</v>
      </c>
      <c r="L30" s="152">
        <f>SUMIFS(Collection!$O:$O, Collection!$B:$B, 'Total Larvae to Date'!$A30, Collection!$A:$A, "&lt;"&amp;'Total Larvae to Date'!L$27)</f>
        <v>47141.666666666664</v>
      </c>
    </row>
    <row r="31" spans="1:34">
      <c r="A31" s="7" t="s">
        <v>47</v>
      </c>
      <c r="B31" s="118"/>
      <c r="C31" s="152">
        <f>SUMIFS(Collection!$O:$O, Collection!$B:$B, 'Total Larvae to Date'!$A31, Collection!$A:$A, "&lt;"&amp;'Total Larvae to Date'!C$27)</f>
        <v>164275</v>
      </c>
      <c r="D31" s="152">
        <f>SUMIFS(Collection!$O:$O, Collection!$B:$B, 'Total Larvae to Date'!$A31, Collection!$A:$A, "&lt;"&amp;'Total Larvae to Date'!D$27)</f>
        <v>164275</v>
      </c>
      <c r="E31" s="152">
        <f>SUMIFS(Collection!$O:$O, Collection!$B:$B, 'Total Larvae to Date'!$A31, Collection!$A:$A, "&lt;"&amp;'Total Larvae to Date'!E$27)</f>
        <v>164275</v>
      </c>
      <c r="F31" s="152">
        <f>SUMIFS(Collection!$O:$O, Collection!$B:$B, 'Total Larvae to Date'!$A31, Collection!$A:$A, "&lt;"&amp;'Total Larvae to Date'!F$27)</f>
        <v>164275</v>
      </c>
      <c r="G31" s="152">
        <f>SUMIFS(Collection!$O:$O, Collection!$B:$B, 'Total Larvae to Date'!$A31, Collection!$A:$A, "&lt;"&amp;'Total Larvae to Date'!G$27)</f>
        <v>164275</v>
      </c>
      <c r="H31" s="152">
        <f>SUMIFS(Collection!$O:$O, Collection!$B:$B, 'Total Larvae to Date'!$A31, Collection!$A:$A, "&lt;"&amp;'Total Larvae to Date'!H$27)</f>
        <v>164275</v>
      </c>
      <c r="I31" s="152">
        <f>SUMIFS(Collection!$O:$O, Collection!$B:$B, 'Total Larvae to Date'!$A31, Collection!$A:$A, "&lt;"&amp;'Total Larvae to Date'!I$27)</f>
        <v>164275</v>
      </c>
      <c r="J31" s="152">
        <f>SUMIFS(Collection!$O:$O, Collection!$B:$B, 'Total Larvae to Date'!$A31, Collection!$A:$A, "&lt;"&amp;'Total Larvae to Date'!J$27)</f>
        <v>164275</v>
      </c>
      <c r="K31" s="152">
        <f>SUMIFS(Collection!$O:$O, Collection!$B:$B, 'Total Larvae to Date'!$A31, Collection!$A:$A, "&lt;"&amp;'Total Larvae to Date'!K$27)</f>
        <v>164275</v>
      </c>
      <c r="L31" s="152">
        <f>SUMIFS(Collection!$O:$O, Collection!$B:$B, 'Total Larvae to Date'!$A31, Collection!$A:$A, "&lt;"&amp;'Total Larvae to Date'!L$27)</f>
        <v>164275</v>
      </c>
    </row>
    <row r="32" spans="1:34">
      <c r="A32" s="7" t="s">
        <v>50</v>
      </c>
      <c r="B32" s="118"/>
      <c r="C32" s="152">
        <f>SUMIFS(Collection!$O:$O, Collection!$B:$B, 'Total Larvae to Date'!$A32, Collection!$A:$A, "&lt;"&amp;'Total Larvae to Date'!C$27)</f>
        <v>66675</v>
      </c>
      <c r="D32" s="152">
        <f>SUMIFS(Collection!$O:$O, Collection!$B:$B, 'Total Larvae to Date'!$A32, Collection!$A:$A, "&lt;"&amp;'Total Larvae to Date'!D$27)</f>
        <v>66675</v>
      </c>
      <c r="E32" s="152">
        <f>SUMIFS(Collection!$O:$O, Collection!$B:$B, 'Total Larvae to Date'!$A32, Collection!$A:$A, "&lt;"&amp;'Total Larvae to Date'!E$27)</f>
        <v>66675</v>
      </c>
      <c r="F32" s="152">
        <f>SUMIFS(Collection!$O:$O, Collection!$B:$B, 'Total Larvae to Date'!$A32, Collection!$A:$A, "&lt;"&amp;'Total Larvae to Date'!F$27)</f>
        <v>66675</v>
      </c>
      <c r="G32" s="152">
        <f>SUMIFS(Collection!$O:$O, Collection!$B:$B, 'Total Larvae to Date'!$A32, Collection!$A:$A, "&lt;"&amp;'Total Larvae to Date'!G$27)</f>
        <v>66675</v>
      </c>
      <c r="H32" s="152">
        <f>SUMIFS(Collection!$O:$O, Collection!$B:$B, 'Total Larvae to Date'!$A32, Collection!$A:$A, "&lt;"&amp;'Total Larvae to Date'!H$27)</f>
        <v>66675</v>
      </c>
      <c r="I32" s="152">
        <f>SUMIFS(Collection!$O:$O, Collection!$B:$B, 'Total Larvae to Date'!$A32, Collection!$A:$A, "&lt;"&amp;'Total Larvae to Date'!I$27)</f>
        <v>66708.333333333328</v>
      </c>
      <c r="J32" s="152">
        <f>SUMIFS(Collection!$O:$O, Collection!$B:$B, 'Total Larvae to Date'!$A32, Collection!$A:$A, "&lt;"&amp;'Total Larvae to Date'!J$27)</f>
        <v>66708.333333333328</v>
      </c>
      <c r="K32" s="152">
        <f>SUMIFS(Collection!$O:$O, Collection!$B:$B, 'Total Larvae to Date'!$A32, Collection!$A:$A, "&lt;"&amp;'Total Larvae to Date'!K$27)</f>
        <v>66708.333333333328</v>
      </c>
      <c r="L32" s="152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2">
        <f>SUMIFS(Collection!$O:$O, Collection!$B:$B, 'Total Larvae to Date'!$A33, Collection!$A:$A, "&lt;"&amp;'Total Larvae to Date'!C$27)</f>
        <v>64966.666666666672</v>
      </c>
      <c r="D33" s="152">
        <f>SUMIFS(Collection!$O:$O, Collection!$B:$B, 'Total Larvae to Date'!$A33, Collection!$A:$A, "&lt;"&amp;'Total Larvae to Date'!D$27)</f>
        <v>64966.666666666672</v>
      </c>
      <c r="E33" s="152">
        <f>SUMIFS(Collection!$O:$O, Collection!$B:$B, 'Total Larvae to Date'!$A33, Collection!$A:$A, "&lt;"&amp;'Total Larvae to Date'!E$27)</f>
        <v>64966.666666666672</v>
      </c>
      <c r="F33" s="152">
        <f>SUMIFS(Collection!$O:$O, Collection!$B:$B, 'Total Larvae to Date'!$A33, Collection!$A:$A, "&lt;"&amp;'Total Larvae to Date'!F$27)</f>
        <v>64966.666666666672</v>
      </c>
      <c r="G33" s="152">
        <f>SUMIFS(Collection!$O:$O, Collection!$B:$B, 'Total Larvae to Date'!$A33, Collection!$A:$A, "&lt;"&amp;'Total Larvae to Date'!G$27)</f>
        <v>64966.666666666672</v>
      </c>
      <c r="H33" s="152">
        <f>SUMIFS(Collection!$O:$O, Collection!$B:$B, 'Total Larvae to Date'!$A33, Collection!$A:$A, "&lt;"&amp;'Total Larvae to Date'!H$27)</f>
        <v>64966.666666666672</v>
      </c>
      <c r="I33" s="152">
        <f>SUMIFS(Collection!$O:$O, Collection!$B:$B, 'Total Larvae to Date'!$A33, Collection!$A:$A, "&lt;"&amp;'Total Larvae to Date'!I$27)</f>
        <v>64966.666666666672</v>
      </c>
      <c r="J33" s="152">
        <f>SUMIFS(Collection!$O:$O, Collection!$B:$B, 'Total Larvae to Date'!$A33, Collection!$A:$A, "&lt;"&amp;'Total Larvae to Date'!J$27)</f>
        <v>64966.666666666672</v>
      </c>
      <c r="K33" s="152">
        <f>SUMIFS(Collection!$O:$O, Collection!$B:$B, 'Total Larvae to Date'!$A33, Collection!$A:$A, "&lt;"&amp;'Total Larvae to Date'!K$27)</f>
        <v>64966.666666666672</v>
      </c>
      <c r="L33" s="152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2">
        <f>SUMIFS(Collection!$O:$O, Collection!$B:$B, 'Total Larvae to Date'!$A34, Collection!$A:$A, "&lt;"&amp;'Total Larvae to Date'!C$27)</f>
        <v>0</v>
      </c>
      <c r="D34" s="152">
        <f>SUMIFS(Collection!$O:$O, Collection!$B:$B, 'Total Larvae to Date'!$A34, Collection!$A:$A, "&lt;"&amp;'Total Larvae to Date'!D$27)</f>
        <v>66100</v>
      </c>
      <c r="E34" s="152">
        <f>SUMIFS(Collection!$O:$O, Collection!$B:$B, 'Total Larvae to Date'!$A34, Collection!$A:$A, "&lt;"&amp;'Total Larvae to Date'!E$27)</f>
        <v>127833.33333333334</v>
      </c>
      <c r="F34" s="152">
        <f>SUMIFS(Collection!$O:$O, Collection!$B:$B, 'Total Larvae to Date'!$A34, Collection!$A:$A, "&lt;"&amp;'Total Larvae to Date'!F$27)</f>
        <v>137233.33333333334</v>
      </c>
      <c r="G34" s="152">
        <f>SUMIFS(Collection!$O:$O, Collection!$B:$B, 'Total Larvae to Date'!$A34, Collection!$A:$A, "&lt;"&amp;'Total Larvae to Date'!G$27)</f>
        <v>137233.33333333334</v>
      </c>
      <c r="H34" s="152">
        <f>SUMIFS(Collection!$O:$O, Collection!$B:$B, 'Total Larvae to Date'!$A34, Collection!$A:$A, "&lt;"&amp;'Total Larvae to Date'!H$27)</f>
        <v>196873.33333333334</v>
      </c>
      <c r="I34" s="152">
        <f>SUMIFS(Collection!$O:$O, Collection!$B:$B, 'Total Larvae to Date'!$A34, Collection!$A:$A, "&lt;"&amp;'Total Larvae to Date'!I$27)</f>
        <v>197762.22222222222</v>
      </c>
      <c r="J34" s="152">
        <f>SUMIFS(Collection!$O:$O, Collection!$B:$B, 'Total Larvae to Date'!$A34, Collection!$A:$A, "&lt;"&amp;'Total Larvae to Date'!J$27)</f>
        <v>197762.22222222222</v>
      </c>
      <c r="K34" s="152">
        <f>SUMIFS(Collection!$O:$O, Collection!$B:$B, 'Total Larvae to Date'!$A34, Collection!$A:$A, "&lt;"&amp;'Total Larvae to Date'!K$27)</f>
        <v>197762.22222222222</v>
      </c>
      <c r="L34" s="152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2">
        <f>SUMIFS(Collection!$O:$O, Collection!$B:$B, 'Total Larvae to Date'!$A35, Collection!$A:$A, "&lt;"&amp;'Total Larvae to Date'!C$27)</f>
        <v>120666.66666666667</v>
      </c>
      <c r="D35" s="152">
        <f>SUMIFS(Collection!$O:$O, Collection!$B:$B, 'Total Larvae to Date'!$A35, Collection!$A:$A, "&lt;"&amp;'Total Larvae to Date'!D$27)</f>
        <v>173253.33333333334</v>
      </c>
      <c r="E35" s="152">
        <f>SUMIFS(Collection!$O:$O, Collection!$B:$B, 'Total Larvae to Date'!$A35, Collection!$A:$A, "&lt;"&amp;'Total Larvae to Date'!E$27)</f>
        <v>173253.33333333334</v>
      </c>
      <c r="F35" s="152">
        <f>SUMIFS(Collection!$O:$O, Collection!$B:$B, 'Total Larvae to Date'!$A35, Collection!$A:$A, "&lt;"&amp;'Total Larvae to Date'!F$27)</f>
        <v>173253.33333333334</v>
      </c>
      <c r="G35" s="152">
        <f>SUMIFS(Collection!$O:$O, Collection!$B:$B, 'Total Larvae to Date'!$A35, Collection!$A:$A, "&lt;"&amp;'Total Larvae to Date'!G$27)</f>
        <v>173253.33333333334</v>
      </c>
      <c r="H35" s="152">
        <f>SUMIFS(Collection!$O:$O, Collection!$B:$B, 'Total Larvae to Date'!$A35, Collection!$A:$A, "&lt;"&amp;'Total Larvae to Date'!H$27)</f>
        <v>173253.33333333334</v>
      </c>
      <c r="I35" s="152">
        <f>SUMIFS(Collection!$O:$O, Collection!$B:$B, 'Total Larvae to Date'!$A35, Collection!$A:$A, "&lt;"&amp;'Total Larvae to Date'!I$27)</f>
        <v>173253.33333333334</v>
      </c>
      <c r="J35" s="152">
        <f>SUMIFS(Collection!$O:$O, Collection!$B:$B, 'Total Larvae to Date'!$A35, Collection!$A:$A, "&lt;"&amp;'Total Larvae to Date'!J$27)</f>
        <v>173253.33333333334</v>
      </c>
      <c r="K35" s="152">
        <f>SUMIFS(Collection!$O:$O, Collection!$B:$B, 'Total Larvae to Date'!$A35, Collection!$A:$A, "&lt;"&amp;'Total Larvae to Date'!K$27)</f>
        <v>173253.33333333334</v>
      </c>
      <c r="L35" s="152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2">
        <f>SUMIFS(Collection!$O:$O, Collection!$B:$B, 'Total Larvae to Date'!$A36, Collection!$A:$A, "&lt;"&amp;'Total Larvae to Date'!C$27)</f>
        <v>368626.66666666669</v>
      </c>
      <c r="D36" s="152">
        <f>SUMIFS(Collection!$O:$O, Collection!$B:$B, 'Total Larvae to Date'!$A36, Collection!$A:$A, "&lt;"&amp;'Total Larvae to Date'!D$27)</f>
        <v>368626.66666666669</v>
      </c>
      <c r="E36" s="152">
        <f>SUMIFS(Collection!$O:$O, Collection!$B:$B, 'Total Larvae to Date'!$A36, Collection!$A:$A, "&lt;"&amp;'Total Larvae to Date'!E$27)</f>
        <v>368626.66666666669</v>
      </c>
      <c r="F36" s="152">
        <f>SUMIFS(Collection!$O:$O, Collection!$B:$B, 'Total Larvae to Date'!$A36, Collection!$A:$A, "&lt;"&amp;'Total Larvae to Date'!F$27)</f>
        <v>368626.66666666669</v>
      </c>
      <c r="G36" s="152">
        <f>SUMIFS(Collection!$O:$O, Collection!$B:$B, 'Total Larvae to Date'!$A36, Collection!$A:$A, "&lt;"&amp;'Total Larvae to Date'!G$27)</f>
        <v>368626.66666666669</v>
      </c>
      <c r="H36" s="152">
        <f>SUMIFS(Collection!$O:$O, Collection!$B:$B, 'Total Larvae to Date'!$A36, Collection!$A:$A, "&lt;"&amp;'Total Larvae to Date'!H$27)</f>
        <v>368626.66666666669</v>
      </c>
      <c r="I36" s="152">
        <f>SUMIFS(Collection!$O:$O, Collection!$B:$B, 'Total Larvae to Date'!$A36, Collection!$A:$A, "&lt;"&amp;'Total Larvae to Date'!I$27)</f>
        <v>368626.66666666669</v>
      </c>
      <c r="J36" s="152">
        <f>SUMIFS(Collection!$O:$O, Collection!$B:$B, 'Total Larvae to Date'!$A36, Collection!$A:$A, "&lt;"&amp;'Total Larvae to Date'!J$27)</f>
        <v>368626.66666666669</v>
      </c>
      <c r="K36" s="152">
        <f>SUMIFS(Collection!$O:$O, Collection!$B:$B, 'Total Larvae to Date'!$A36, Collection!$A:$A, "&lt;"&amp;'Total Larvae to Date'!K$27)</f>
        <v>368626.66666666669</v>
      </c>
      <c r="L36" s="152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2">
        <f>SUMIFS(Collection!$O:$O, Collection!$B:$B, 'Total Larvae to Date'!$A37, Collection!$A:$A, "&lt;"&amp;'Total Larvae to Date'!C$27)</f>
        <v>293333.33333333337</v>
      </c>
      <c r="D37" s="152">
        <f>SUMIFS(Collection!$O:$O, Collection!$B:$B, 'Total Larvae to Date'!$A37, Collection!$A:$A, "&lt;"&amp;'Total Larvae to Date'!D$27)</f>
        <v>293333.33333333337</v>
      </c>
      <c r="E37" s="152">
        <f>SUMIFS(Collection!$O:$O, Collection!$B:$B, 'Total Larvae to Date'!$A37, Collection!$A:$A, "&lt;"&amp;'Total Larvae to Date'!E$27)</f>
        <v>293333.33333333337</v>
      </c>
      <c r="F37" s="152">
        <f>SUMIFS(Collection!$O:$O, Collection!$B:$B, 'Total Larvae to Date'!$A37, Collection!$A:$A, "&lt;"&amp;'Total Larvae to Date'!F$27)</f>
        <v>332333.33333333337</v>
      </c>
      <c r="G37" s="152">
        <f>SUMIFS(Collection!$O:$O, Collection!$B:$B, 'Total Larvae to Date'!$A37, Collection!$A:$A, "&lt;"&amp;'Total Larvae to Date'!G$27)</f>
        <v>382166.66666666674</v>
      </c>
      <c r="H37" s="152">
        <f>SUMIFS(Collection!$O:$O, Collection!$B:$B, 'Total Larvae to Date'!$A37, Collection!$A:$A, "&lt;"&amp;'Total Larvae to Date'!H$27)</f>
        <v>382166.66666666674</v>
      </c>
      <c r="I37" s="152">
        <f>SUMIFS(Collection!$O:$O, Collection!$B:$B, 'Total Larvae to Date'!$A37, Collection!$A:$A, "&lt;"&amp;'Total Larvae to Date'!I$27)</f>
        <v>382166.66666666674</v>
      </c>
      <c r="J37" s="152">
        <f>SUMIFS(Collection!$O:$O, Collection!$B:$B, 'Total Larvae to Date'!$A37, Collection!$A:$A, "&lt;"&amp;'Total Larvae to Date'!J$27)</f>
        <v>382166.66666666674</v>
      </c>
      <c r="K37" s="152">
        <f>SUMIFS(Collection!$O:$O, Collection!$B:$B, 'Total Larvae to Date'!$A37, Collection!$A:$A, "&lt;"&amp;'Total Larvae to Date'!K$27)</f>
        <v>382166.66666666674</v>
      </c>
      <c r="L37" s="152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2">
        <f>SUMIFS(Collection!$O:$O, Collection!$B:$B, 'Total Larvae to Date'!$A38, Collection!$A:$A, "&lt;"&amp;'Total Larvae to Date'!C$27)</f>
        <v>250333.33333333334</v>
      </c>
      <c r="D38" s="152">
        <f>SUMIFS(Collection!$O:$O, Collection!$B:$B, 'Total Larvae to Date'!$A38, Collection!$A:$A, "&lt;"&amp;'Total Larvae to Date'!D$27)</f>
        <v>250333.33333333334</v>
      </c>
      <c r="E38" s="152">
        <f>SUMIFS(Collection!$O:$O, Collection!$B:$B, 'Total Larvae to Date'!$A38, Collection!$A:$A, "&lt;"&amp;'Total Larvae to Date'!E$27)</f>
        <v>250333.33333333334</v>
      </c>
      <c r="F38" s="152">
        <f>SUMIFS(Collection!$O:$O, Collection!$B:$B, 'Total Larvae to Date'!$A38, Collection!$A:$A, "&lt;"&amp;'Total Larvae to Date'!F$27)</f>
        <v>250333.33333333334</v>
      </c>
      <c r="G38" s="152">
        <f>SUMIFS(Collection!$O:$O, Collection!$B:$B, 'Total Larvae to Date'!$A38, Collection!$A:$A, "&lt;"&amp;'Total Larvae to Date'!G$27)</f>
        <v>250333.33333333334</v>
      </c>
      <c r="H38" s="152">
        <f>SUMIFS(Collection!$O:$O, Collection!$B:$B, 'Total Larvae to Date'!$A38, Collection!$A:$A, "&lt;"&amp;'Total Larvae to Date'!H$27)</f>
        <v>250333.33333333334</v>
      </c>
      <c r="I38" s="152">
        <f>SUMIFS(Collection!$O:$O, Collection!$B:$B, 'Total Larvae to Date'!$A38, Collection!$A:$A, "&lt;"&amp;'Total Larvae to Date'!I$27)</f>
        <v>327900</v>
      </c>
      <c r="J38" s="152">
        <f>SUMIFS(Collection!$O:$O, Collection!$B:$B, 'Total Larvae to Date'!$A38, Collection!$A:$A, "&lt;"&amp;'Total Larvae to Date'!J$27)</f>
        <v>327900</v>
      </c>
      <c r="K38" s="152">
        <f>SUMIFS(Collection!$O:$O, Collection!$B:$B, 'Total Larvae to Date'!$A38, Collection!$A:$A, "&lt;"&amp;'Total Larvae to Date'!K$27)</f>
        <v>327900</v>
      </c>
      <c r="L38" s="152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2">
        <f>SUMIFS(Collection!$O:$O, Collection!$B:$B, 'Total Larvae to Date'!$A39, Collection!$A:$A, "&lt;"&amp;'Total Larvae to Date'!C$27)</f>
        <v>202250</v>
      </c>
      <c r="D39" s="152">
        <f>SUMIFS(Collection!$O:$O, Collection!$B:$B, 'Total Larvae to Date'!$A39, Collection!$A:$A, "&lt;"&amp;'Total Larvae to Date'!D$27)</f>
        <v>202250</v>
      </c>
      <c r="E39" s="152">
        <f>SUMIFS(Collection!$O:$O, Collection!$B:$B, 'Total Larvae to Date'!$A39, Collection!$A:$A, "&lt;"&amp;'Total Larvae to Date'!E$27)</f>
        <v>202250</v>
      </c>
      <c r="F39" s="152">
        <f>SUMIFS(Collection!$O:$O, Collection!$B:$B, 'Total Larvae to Date'!$A39, Collection!$A:$A, "&lt;"&amp;'Total Larvae to Date'!F$27)</f>
        <v>281816.66666666669</v>
      </c>
      <c r="G39" s="152">
        <f>SUMIFS(Collection!$O:$O, Collection!$B:$B, 'Total Larvae to Date'!$A39, Collection!$A:$A, "&lt;"&amp;'Total Larvae to Date'!G$27)</f>
        <v>331683.33333333337</v>
      </c>
      <c r="H39" s="152">
        <f>SUMIFS(Collection!$O:$O, Collection!$B:$B, 'Total Larvae to Date'!$A39, Collection!$A:$A, "&lt;"&amp;'Total Larvae to Date'!H$27)</f>
        <v>331683.33333333337</v>
      </c>
      <c r="I39" s="152">
        <f>SUMIFS(Collection!$O:$O, Collection!$B:$B, 'Total Larvae to Date'!$A39, Collection!$A:$A, "&lt;"&amp;'Total Larvae to Date'!I$27)</f>
        <v>332550.00000000006</v>
      </c>
      <c r="J39" s="152">
        <f>SUMIFS(Collection!$O:$O, Collection!$B:$B, 'Total Larvae to Date'!$A39, Collection!$A:$A, "&lt;"&amp;'Total Larvae to Date'!J$27)</f>
        <v>332550.00000000006</v>
      </c>
      <c r="K39" s="152">
        <f>SUMIFS(Collection!$O:$O, Collection!$B:$B, 'Total Larvae to Date'!$A39, Collection!$A:$A, "&lt;"&amp;'Total Larvae to Date'!K$27)</f>
        <v>332550.00000000006</v>
      </c>
      <c r="L39" s="152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2">
        <f>SUMIFS(Collection!$O:$O, Collection!$B:$B, 'Total Larvae to Date'!$A40, Collection!$A:$A, "&lt;"&amp;'Total Larvae to Date'!C$27)</f>
        <v>1400</v>
      </c>
      <c r="D40" s="152">
        <f>SUMIFS(Collection!$O:$O, Collection!$B:$B, 'Total Larvae to Date'!$A40, Collection!$A:$A, "&lt;"&amp;'Total Larvae to Date'!D$27)</f>
        <v>1400</v>
      </c>
      <c r="E40" s="152">
        <f>SUMIFS(Collection!$O:$O, Collection!$B:$B, 'Total Larvae to Date'!$A40, Collection!$A:$A, "&lt;"&amp;'Total Larvae to Date'!E$27)</f>
        <v>1400</v>
      </c>
      <c r="F40" s="152">
        <f>SUMIFS(Collection!$O:$O, Collection!$B:$B, 'Total Larvae to Date'!$A40, Collection!$A:$A, "&lt;"&amp;'Total Larvae to Date'!F$27)</f>
        <v>1400</v>
      </c>
      <c r="G40" s="152">
        <f>SUMIFS(Collection!$O:$O, Collection!$B:$B, 'Total Larvae to Date'!$A40, Collection!$A:$A, "&lt;"&amp;'Total Larvae to Date'!G$27)</f>
        <v>1400</v>
      </c>
      <c r="H40" s="152">
        <f>SUMIFS(Collection!$O:$O, Collection!$B:$B, 'Total Larvae to Date'!$A40, Collection!$A:$A, "&lt;"&amp;'Total Larvae to Date'!H$27)</f>
        <v>57500</v>
      </c>
      <c r="I40" s="152">
        <f>SUMIFS(Collection!$O:$O, Collection!$B:$B, 'Total Larvae to Date'!$A40, Collection!$A:$A, "&lt;"&amp;'Total Larvae to Date'!I$27)</f>
        <v>57500</v>
      </c>
      <c r="J40" s="152">
        <f>SUMIFS(Collection!$O:$O, Collection!$B:$B, 'Total Larvae to Date'!$A40, Collection!$A:$A, "&lt;"&amp;'Total Larvae to Date'!J$27)</f>
        <v>57500</v>
      </c>
      <c r="K40" s="152">
        <f>SUMIFS(Collection!$O:$O, Collection!$B:$B, 'Total Larvae to Date'!$A40, Collection!$A:$A, "&lt;"&amp;'Total Larvae to Date'!K$27)</f>
        <v>57500</v>
      </c>
      <c r="L40" s="152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2">
        <f>SUMIFS(Collection!$O:$O, Collection!$B:$B, 'Total Larvae to Date'!$A41, Collection!$A:$A, "&lt;"&amp;'Total Larvae to Date'!C$27)</f>
        <v>159916.66666666666</v>
      </c>
      <c r="D41" s="152">
        <f>SUMIFS(Collection!$O:$O, Collection!$B:$B, 'Total Larvae to Date'!$A41, Collection!$A:$A, "&lt;"&amp;'Total Larvae to Date'!D$27)</f>
        <v>265850</v>
      </c>
      <c r="E41" s="152">
        <f>SUMIFS(Collection!$O:$O, Collection!$B:$B, 'Total Larvae to Date'!$A41, Collection!$A:$A, "&lt;"&amp;'Total Larvae to Date'!E$27)</f>
        <v>265850</v>
      </c>
      <c r="F41" s="152">
        <f>SUMIFS(Collection!$O:$O, Collection!$B:$B, 'Total Larvae to Date'!$A41, Collection!$A:$A, "&lt;"&amp;'Total Larvae to Date'!F$27)</f>
        <v>265850</v>
      </c>
      <c r="G41" s="152">
        <f>SUMIFS(Collection!$O:$O, Collection!$B:$B, 'Total Larvae to Date'!$A41, Collection!$A:$A, "&lt;"&amp;'Total Larvae to Date'!G$27)</f>
        <v>389983.33333333331</v>
      </c>
      <c r="H41" s="152">
        <f>SUMIFS(Collection!$O:$O, Collection!$B:$B, 'Total Larvae to Date'!$A41, Collection!$A:$A, "&lt;"&amp;'Total Larvae to Date'!H$27)</f>
        <v>419903.33333333331</v>
      </c>
      <c r="I41" s="152">
        <f>SUMIFS(Collection!$O:$O, Collection!$B:$B, 'Total Larvae to Date'!$A41, Collection!$A:$A, "&lt;"&amp;'Total Larvae to Date'!I$27)</f>
        <v>419903.33333333331</v>
      </c>
      <c r="J41" s="152">
        <f>SUMIFS(Collection!$O:$O, Collection!$B:$B, 'Total Larvae to Date'!$A41, Collection!$A:$A, "&lt;"&amp;'Total Larvae to Date'!J$27)</f>
        <v>419903.33333333331</v>
      </c>
      <c r="K41" s="152">
        <f>SUMIFS(Collection!$O:$O, Collection!$B:$B, 'Total Larvae to Date'!$A41, Collection!$A:$A, "&lt;"&amp;'Total Larvae to Date'!K$27)</f>
        <v>419903.33333333331</v>
      </c>
      <c r="L41" s="152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2">
        <f>SUMIFS(Collection!$O:$O, Collection!$B:$B, 'Total Larvae to Date'!$A42, Collection!$A:$A, "&lt;"&amp;'Total Larvae to Date'!C$27)</f>
        <v>152583.33333333334</v>
      </c>
      <c r="D42" s="152">
        <f>SUMIFS(Collection!$O:$O, Collection!$B:$B, 'Total Larvae to Date'!$A42, Collection!$A:$A, "&lt;"&amp;'Total Larvae to Date'!D$27)</f>
        <v>152583.33333333334</v>
      </c>
      <c r="E42" s="152">
        <f>SUMIFS(Collection!$O:$O, Collection!$B:$B, 'Total Larvae to Date'!$A42, Collection!$A:$A, "&lt;"&amp;'Total Larvae to Date'!E$27)</f>
        <v>152583.33333333334</v>
      </c>
      <c r="F42" s="152">
        <f>SUMIFS(Collection!$O:$O, Collection!$B:$B, 'Total Larvae to Date'!$A42, Collection!$A:$A, "&lt;"&amp;'Total Larvae to Date'!F$27)</f>
        <v>152583.33333333334</v>
      </c>
      <c r="G42" s="152">
        <f>SUMIFS(Collection!$O:$O, Collection!$B:$B, 'Total Larvae to Date'!$A42, Collection!$A:$A, "&lt;"&amp;'Total Larvae to Date'!G$27)</f>
        <v>210583.33333333334</v>
      </c>
      <c r="H42" s="152">
        <f>SUMIFS(Collection!$O:$O, Collection!$B:$B, 'Total Larvae to Date'!$A42, Collection!$A:$A, "&lt;"&amp;'Total Larvae to Date'!H$27)</f>
        <v>210583.33333333334</v>
      </c>
      <c r="I42" s="152">
        <f>SUMIFS(Collection!$O:$O, Collection!$B:$B, 'Total Larvae to Date'!$A42, Collection!$A:$A, "&lt;"&amp;'Total Larvae to Date'!I$27)</f>
        <v>210583.33333333334</v>
      </c>
      <c r="J42" s="152">
        <f>SUMIFS(Collection!$O:$O, Collection!$B:$B, 'Total Larvae to Date'!$A42, Collection!$A:$A, "&lt;"&amp;'Total Larvae to Date'!J$27)</f>
        <v>210583.33333333334</v>
      </c>
      <c r="K42" s="152">
        <f>SUMIFS(Collection!$O:$O, Collection!$B:$B, 'Total Larvae to Date'!$A42, Collection!$A:$A, "&lt;"&amp;'Total Larvae to Date'!K$27)</f>
        <v>210583.33333333334</v>
      </c>
      <c r="L42" s="152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2">
        <f>SUMIFS(Collection!$O:$O, Collection!$B:$B, 'Total Larvae to Date'!$A43, Collection!$A:$A, "&lt;"&amp;'Total Larvae to Date'!C$27)</f>
        <v>138400</v>
      </c>
      <c r="D43" s="152">
        <f>SUMIFS(Collection!$O:$O, Collection!$B:$B, 'Total Larvae to Date'!$A43, Collection!$A:$A, "&lt;"&amp;'Total Larvae to Date'!D$27)</f>
        <v>138400</v>
      </c>
      <c r="E43" s="152">
        <f>SUMIFS(Collection!$O:$O, Collection!$B:$B, 'Total Larvae to Date'!$A43, Collection!$A:$A, "&lt;"&amp;'Total Larvae to Date'!E$27)</f>
        <v>138400</v>
      </c>
      <c r="F43" s="152">
        <f>SUMIFS(Collection!$O:$O, Collection!$B:$B, 'Total Larvae to Date'!$A43, Collection!$A:$A, "&lt;"&amp;'Total Larvae to Date'!F$27)</f>
        <v>274600</v>
      </c>
      <c r="G43" s="152">
        <f>SUMIFS(Collection!$O:$O, Collection!$B:$B, 'Total Larvae to Date'!$A43, Collection!$A:$A, "&lt;"&amp;'Total Larvae to Date'!G$27)</f>
        <v>321833.33333333331</v>
      </c>
      <c r="H43" s="152">
        <f>SUMIFS(Collection!$O:$O, Collection!$B:$B, 'Total Larvae to Date'!$A43, Collection!$A:$A, "&lt;"&amp;'Total Larvae to Date'!H$27)</f>
        <v>321833.33333333331</v>
      </c>
      <c r="I43" s="152">
        <f>SUMIFS(Collection!$O:$O, Collection!$B:$B, 'Total Larvae to Date'!$A43, Collection!$A:$A, "&lt;"&amp;'Total Larvae to Date'!I$27)</f>
        <v>321833.33333333331</v>
      </c>
      <c r="J43" s="152">
        <f>SUMIFS(Collection!$O:$O, Collection!$B:$B, 'Total Larvae to Date'!$A43, Collection!$A:$A, "&lt;"&amp;'Total Larvae to Date'!J$27)</f>
        <v>321833.33333333331</v>
      </c>
      <c r="K43" s="152">
        <f>SUMIFS(Collection!$O:$O, Collection!$B:$B, 'Total Larvae to Date'!$A43, Collection!$A:$A, "&lt;"&amp;'Total Larvae to Date'!K$27)</f>
        <v>321833.33333333331</v>
      </c>
      <c r="L43" s="152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2">
        <f>SUMIFS(Collection!$O:$O, Collection!$B:$B, 'Total Larvae to Date'!$A44, Collection!$A:$A, "&lt;"&amp;'Total Larvae to Date'!C$27)</f>
        <v>153386.66666666666</v>
      </c>
      <c r="D44" s="152">
        <f>SUMIFS(Collection!$O:$O, Collection!$B:$B, 'Total Larvae to Date'!$A44, Collection!$A:$A, "&lt;"&amp;'Total Larvae to Date'!D$27)</f>
        <v>153386.66666666666</v>
      </c>
      <c r="E44" s="152">
        <f>SUMIFS(Collection!$O:$O, Collection!$B:$B, 'Total Larvae to Date'!$A44, Collection!$A:$A, "&lt;"&amp;'Total Larvae to Date'!E$27)</f>
        <v>153386.66666666666</v>
      </c>
      <c r="F44" s="152">
        <f>SUMIFS(Collection!$O:$O, Collection!$B:$B, 'Total Larvae to Date'!$A44, Collection!$A:$A, "&lt;"&amp;'Total Larvae to Date'!F$27)</f>
        <v>153386.66666666666</v>
      </c>
      <c r="G44" s="152">
        <f>SUMIFS(Collection!$O:$O, Collection!$B:$B, 'Total Larvae to Date'!$A44, Collection!$A:$A, "&lt;"&amp;'Total Larvae to Date'!G$27)</f>
        <v>153386.66666666666</v>
      </c>
      <c r="H44" s="152">
        <f>SUMIFS(Collection!$O:$O, Collection!$B:$B, 'Total Larvae to Date'!$A44, Collection!$A:$A, "&lt;"&amp;'Total Larvae to Date'!H$27)</f>
        <v>206843.33333333331</v>
      </c>
      <c r="I44" s="152">
        <f>SUMIFS(Collection!$O:$O, Collection!$B:$B, 'Total Larvae to Date'!$A44, Collection!$A:$A, "&lt;"&amp;'Total Larvae to Date'!I$27)</f>
        <v>208407.77777777775</v>
      </c>
      <c r="J44" s="152">
        <f>SUMIFS(Collection!$O:$O, Collection!$B:$B, 'Total Larvae to Date'!$A44, Collection!$A:$A, "&lt;"&amp;'Total Larvae to Date'!J$27)</f>
        <v>208407.77777777775</v>
      </c>
      <c r="K44" s="152">
        <f>SUMIFS(Collection!$O:$O, Collection!$B:$B, 'Total Larvae to Date'!$A44, Collection!$A:$A, "&lt;"&amp;'Total Larvae to Date'!K$27)</f>
        <v>283857.77777777775</v>
      </c>
      <c r="L44" s="152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2">
        <f>SUMIFS(Collection!$O:$O, Collection!$B:$B, 'Total Larvae to Date'!$A45, Collection!$A:$A, "&lt;"&amp;'Total Larvae to Date'!C$27)</f>
        <v>162066.66666666669</v>
      </c>
      <c r="D45" s="152">
        <f>SUMIFS(Collection!$O:$O, Collection!$B:$B, 'Total Larvae to Date'!$A45, Collection!$A:$A, "&lt;"&amp;'Total Larvae to Date'!D$27)</f>
        <v>162066.66666666669</v>
      </c>
      <c r="E45" s="152">
        <f>SUMIFS(Collection!$O:$O, Collection!$B:$B, 'Total Larvae to Date'!$A45, Collection!$A:$A, "&lt;"&amp;'Total Larvae to Date'!E$27)</f>
        <v>216266.66666666669</v>
      </c>
      <c r="F45" s="152">
        <f>SUMIFS(Collection!$O:$O, Collection!$B:$B, 'Total Larvae to Date'!$A45, Collection!$A:$A, "&lt;"&amp;'Total Larvae to Date'!F$27)</f>
        <v>269600</v>
      </c>
      <c r="G45" s="152">
        <f>SUMIFS(Collection!$O:$O, Collection!$B:$B, 'Total Larvae to Date'!$A45, Collection!$A:$A, "&lt;"&amp;'Total Larvae to Date'!G$27)</f>
        <v>300750</v>
      </c>
      <c r="H45" s="152">
        <f>SUMIFS(Collection!$O:$O, Collection!$B:$B, 'Total Larvae to Date'!$A45, Collection!$A:$A, "&lt;"&amp;'Total Larvae to Date'!H$27)</f>
        <v>300875</v>
      </c>
      <c r="I45" s="152">
        <f>SUMIFS(Collection!$O:$O, Collection!$B:$B, 'Total Larvae to Date'!$A45, Collection!$A:$A, "&lt;"&amp;'Total Larvae to Date'!I$27)</f>
        <v>310875</v>
      </c>
      <c r="J45" s="152">
        <f>SUMIFS(Collection!$O:$O, Collection!$B:$B, 'Total Larvae to Date'!$A45, Collection!$A:$A, "&lt;"&amp;'Total Larvae to Date'!J$27)</f>
        <v>310875</v>
      </c>
      <c r="K45" s="152">
        <f>SUMIFS(Collection!$O:$O, Collection!$B:$B, 'Total Larvae to Date'!$A45, Collection!$A:$A, "&lt;"&amp;'Total Larvae to Date'!K$27)</f>
        <v>310875</v>
      </c>
      <c r="L45" s="152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2">
        <f>SUMIFS(Collection!$O:$O, Collection!$B:$B, 'Total Larvae to Date'!$A46, Collection!$A:$A, "&lt;"&amp;'Total Larvae to Date'!C$27)</f>
        <v>0</v>
      </c>
      <c r="D46" s="152">
        <f>SUMIFS(Collection!$O:$O, Collection!$B:$B, 'Total Larvae to Date'!$A46, Collection!$A:$A, "&lt;"&amp;'Total Larvae to Date'!D$27)</f>
        <v>0</v>
      </c>
      <c r="E46" s="152">
        <f>SUMIFS(Collection!$O:$O, Collection!$B:$B, 'Total Larvae to Date'!$A46, Collection!$A:$A, "&lt;"&amp;'Total Larvae to Date'!E$27)</f>
        <v>0</v>
      </c>
      <c r="F46" s="152">
        <f>SUMIFS(Collection!$O:$O, Collection!$B:$B, 'Total Larvae to Date'!$A46, Collection!$A:$A, "&lt;"&amp;'Total Larvae to Date'!F$27)</f>
        <v>65666.666666666672</v>
      </c>
      <c r="G46" s="152">
        <f>SUMIFS(Collection!$O:$O, Collection!$B:$B, 'Total Larvae to Date'!$A46, Collection!$A:$A, "&lt;"&amp;'Total Larvae to Date'!G$27)</f>
        <v>65666.666666666672</v>
      </c>
      <c r="H46" s="152">
        <f>SUMIFS(Collection!$O:$O, Collection!$B:$B, 'Total Larvae to Date'!$A46, Collection!$A:$A, "&lt;"&amp;'Total Larvae to Date'!H$27)</f>
        <v>65666.666666666672</v>
      </c>
      <c r="I46" s="152">
        <f>SUMIFS(Collection!$O:$O, Collection!$B:$B, 'Total Larvae to Date'!$A46, Collection!$A:$A, "&lt;"&amp;'Total Larvae to Date'!I$27)</f>
        <v>65666.666666666672</v>
      </c>
      <c r="J46" s="152">
        <f>SUMIFS(Collection!$O:$O, Collection!$B:$B, 'Total Larvae to Date'!$A46, Collection!$A:$A, "&lt;"&amp;'Total Larvae to Date'!J$27)</f>
        <v>65666.666666666672</v>
      </c>
      <c r="K46" s="152">
        <f>SUMIFS(Collection!$O:$O, Collection!$B:$B, 'Total Larvae to Date'!$A46, Collection!$A:$A, "&lt;"&amp;'Total Larvae to Date'!K$27)</f>
        <v>65666.666666666672</v>
      </c>
      <c r="L46" s="152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2">
        <f>SUMIFS(Collection!$O:$O, Collection!$B:$B, 'Total Larvae to Date'!$A47, Collection!$A:$A, "&lt;"&amp;'Total Larvae to Date'!C$27)</f>
        <v>0</v>
      </c>
      <c r="D47" s="152">
        <f>SUMIFS(Collection!$O:$O, Collection!$B:$B, 'Total Larvae to Date'!$A47, Collection!$A:$A, "&lt;"&amp;'Total Larvae to Date'!D$27)</f>
        <v>92558.333333333343</v>
      </c>
      <c r="E47" s="152">
        <f>SUMIFS(Collection!$O:$O, Collection!$B:$B, 'Total Larvae to Date'!$A47, Collection!$A:$A, "&lt;"&amp;'Total Larvae to Date'!E$27)</f>
        <v>92558.333333333343</v>
      </c>
      <c r="F47" s="152">
        <f>SUMIFS(Collection!$O:$O, Collection!$B:$B, 'Total Larvae to Date'!$A47, Collection!$A:$A, "&lt;"&amp;'Total Larvae to Date'!F$27)</f>
        <v>92558.333333333343</v>
      </c>
      <c r="G47" s="152">
        <f>SUMIFS(Collection!$O:$O, Collection!$B:$B, 'Total Larvae to Date'!$A47, Collection!$A:$A, "&lt;"&amp;'Total Larvae to Date'!G$27)</f>
        <v>204375</v>
      </c>
      <c r="H47" s="152">
        <f>SUMIFS(Collection!$O:$O, Collection!$B:$B, 'Total Larvae to Date'!$A47, Collection!$A:$A, "&lt;"&amp;'Total Larvae to Date'!H$27)</f>
        <v>254375</v>
      </c>
      <c r="I47" s="152">
        <f>SUMIFS(Collection!$O:$O, Collection!$B:$B, 'Total Larvae to Date'!$A47, Collection!$A:$A, "&lt;"&amp;'Total Larvae to Date'!I$27)</f>
        <v>255370.55555555556</v>
      </c>
      <c r="J47" s="152">
        <f>SUMIFS(Collection!$O:$O, Collection!$B:$B, 'Total Larvae to Date'!$A47, Collection!$A:$A, "&lt;"&amp;'Total Larvae to Date'!J$27)</f>
        <v>255370.55555555556</v>
      </c>
      <c r="K47" s="152">
        <f>SUMIFS(Collection!$O:$O, Collection!$B:$B, 'Total Larvae to Date'!$A47, Collection!$A:$A, "&lt;"&amp;'Total Larvae to Date'!K$27)</f>
        <v>255370.55555555556</v>
      </c>
      <c r="L47" s="152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2">
        <f>SUMIFS(Collection!$O:$O, Collection!$B:$B, 'Total Larvae to Date'!$A48, Collection!$A:$A, "&lt;"&amp;'Total Larvae to Date'!C$27)</f>
        <v>268031.66666666669</v>
      </c>
      <c r="D48" s="152">
        <f>SUMIFS(Collection!$O:$O, Collection!$B:$B, 'Total Larvae to Date'!$A48, Collection!$A:$A, "&lt;"&amp;'Total Larvae to Date'!D$27)</f>
        <v>293198.33333333337</v>
      </c>
      <c r="E48" s="152">
        <f>SUMIFS(Collection!$O:$O, Collection!$B:$B, 'Total Larvae to Date'!$A48, Collection!$A:$A, "&lt;"&amp;'Total Larvae to Date'!E$27)</f>
        <v>293198.33333333337</v>
      </c>
      <c r="F48" s="152">
        <f>SUMIFS(Collection!$O:$O, Collection!$B:$B, 'Total Larvae to Date'!$A48, Collection!$A:$A, "&lt;"&amp;'Total Larvae to Date'!F$27)</f>
        <v>293198.33333333337</v>
      </c>
      <c r="G48" s="152">
        <f>SUMIFS(Collection!$O:$O, Collection!$B:$B, 'Total Larvae to Date'!$A48, Collection!$A:$A, "&lt;"&amp;'Total Larvae to Date'!G$27)</f>
        <v>324165.00000000006</v>
      </c>
      <c r="H48" s="152">
        <f>SUMIFS(Collection!$O:$O, Collection!$B:$B, 'Total Larvae to Date'!$A48, Collection!$A:$A, "&lt;"&amp;'Total Larvae to Date'!H$27)</f>
        <v>324165.00000000006</v>
      </c>
      <c r="I48" s="152">
        <f>SUMIFS(Collection!$O:$O, Collection!$B:$B, 'Total Larvae to Date'!$A48, Collection!$A:$A, "&lt;"&amp;'Total Larvae to Date'!I$27)</f>
        <v>324165.00000000006</v>
      </c>
      <c r="J48" s="152">
        <f>SUMIFS(Collection!$O:$O, Collection!$B:$B, 'Total Larvae to Date'!$A48, Collection!$A:$A, "&lt;"&amp;'Total Larvae to Date'!J$27)</f>
        <v>324165.00000000006</v>
      </c>
      <c r="K48" s="152">
        <f>SUMIFS(Collection!$O:$O, Collection!$B:$B, 'Total Larvae to Date'!$A48, Collection!$A:$A, "&lt;"&amp;'Total Larvae to Date'!K$27)</f>
        <v>324165.00000000006</v>
      </c>
      <c r="L48" s="152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2">
        <f>SUMIFS(Collection!$O:$O, Collection!$B:$B, 'Total Larvae to Date'!$A49, Collection!$A:$A, "&lt;"&amp;'Total Larvae to Date'!C$27)</f>
        <v>195566.66666666666</v>
      </c>
      <c r="D49" s="152">
        <f>SUMIFS(Collection!$O:$O, Collection!$B:$B, 'Total Larvae to Date'!$A49, Collection!$A:$A, "&lt;"&amp;'Total Larvae to Date'!D$27)</f>
        <v>212873.33333333331</v>
      </c>
      <c r="E49" s="152">
        <f>SUMIFS(Collection!$O:$O, Collection!$B:$B, 'Total Larvae to Date'!$A49, Collection!$A:$A, "&lt;"&amp;'Total Larvae to Date'!E$27)</f>
        <v>212873.33333333331</v>
      </c>
      <c r="F49" s="152">
        <f>SUMIFS(Collection!$O:$O, Collection!$B:$B, 'Total Larvae to Date'!$A49, Collection!$A:$A, "&lt;"&amp;'Total Larvae to Date'!F$27)</f>
        <v>212873.33333333331</v>
      </c>
      <c r="G49" s="152">
        <f>SUMIFS(Collection!$O:$O, Collection!$B:$B, 'Total Larvae to Date'!$A49, Collection!$A:$A, "&lt;"&amp;'Total Larvae to Date'!G$27)</f>
        <v>212873.33333333331</v>
      </c>
      <c r="H49" s="152">
        <f>SUMIFS(Collection!$O:$O, Collection!$B:$B, 'Total Larvae to Date'!$A49, Collection!$A:$A, "&lt;"&amp;'Total Larvae to Date'!H$27)</f>
        <v>225873.33333333331</v>
      </c>
      <c r="I49" s="152">
        <f>SUMIFS(Collection!$O:$O, Collection!$B:$B, 'Total Larvae to Date'!$A49, Collection!$A:$A, "&lt;"&amp;'Total Larvae to Date'!I$27)</f>
        <v>225873.33333333331</v>
      </c>
      <c r="J49" s="152">
        <f>SUMIFS(Collection!$O:$O, Collection!$B:$B, 'Total Larvae to Date'!$A49, Collection!$A:$A, "&lt;"&amp;'Total Larvae to Date'!J$27)</f>
        <v>225873.33333333331</v>
      </c>
      <c r="K49" s="152">
        <f>SUMIFS(Collection!$O:$O, Collection!$B:$B, 'Total Larvae to Date'!$A49, Collection!$A:$A, "&lt;"&amp;'Total Larvae to Date'!K$27)</f>
        <v>225873.33333333331</v>
      </c>
      <c r="L49" s="152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2">
        <f>SUMIFS(Collection!$O:$O, Collection!$B:$B, 'Total Larvae to Date'!$A50, Collection!$A:$A, "&lt;"&amp;'Total Larvae to Date'!C$27)</f>
        <v>194225</v>
      </c>
      <c r="D50" s="152">
        <f>SUMIFS(Collection!$O:$O, Collection!$B:$B, 'Total Larvae to Date'!$A50, Collection!$A:$A, "&lt;"&amp;'Total Larvae to Date'!D$27)</f>
        <v>194225</v>
      </c>
      <c r="E50" s="152">
        <f>SUMIFS(Collection!$O:$O, Collection!$B:$B, 'Total Larvae to Date'!$A50, Collection!$A:$A, "&lt;"&amp;'Total Larvae to Date'!E$27)</f>
        <v>245691.66666666666</v>
      </c>
      <c r="F50" s="152">
        <f>SUMIFS(Collection!$O:$O, Collection!$B:$B, 'Total Larvae to Date'!$A50, Collection!$A:$A, "&lt;"&amp;'Total Larvae to Date'!F$27)</f>
        <v>249891.66666666666</v>
      </c>
      <c r="G50" s="152">
        <f>SUMIFS(Collection!$O:$O, Collection!$B:$B, 'Total Larvae to Date'!$A50, Collection!$A:$A, "&lt;"&amp;'Total Larvae to Date'!G$27)</f>
        <v>249891.66666666666</v>
      </c>
      <c r="H50" s="152">
        <f>SUMIFS(Collection!$O:$O, Collection!$B:$B, 'Total Larvae to Date'!$A50, Collection!$A:$A, "&lt;"&amp;'Total Larvae to Date'!H$27)</f>
        <v>353574.99999999994</v>
      </c>
      <c r="I50" s="152">
        <f>SUMIFS(Collection!$O:$O, Collection!$B:$B, 'Total Larvae to Date'!$A50, Collection!$A:$A, "&lt;"&amp;'Total Larvae to Date'!I$27)</f>
        <v>353768.33333333326</v>
      </c>
      <c r="J50" s="152">
        <f>SUMIFS(Collection!$O:$O, Collection!$B:$B, 'Total Larvae to Date'!$A50, Collection!$A:$A, "&lt;"&amp;'Total Larvae to Date'!J$27)</f>
        <v>353768.33333333326</v>
      </c>
      <c r="K50" s="152">
        <f>SUMIFS(Collection!$O:$O, Collection!$B:$B, 'Total Larvae to Date'!$A50, Collection!$A:$A, "&lt;"&amp;'Total Larvae to Date'!K$27)</f>
        <v>353768.33333333326</v>
      </c>
      <c r="L50" s="152">
        <f>SUMIFS(Collection!$O:$O, Collection!$B:$B, 'Total Larvae to Date'!$A50, Collection!$A:$A, "&lt;"&amp;'Total Larvae to Date'!L$27)</f>
        <v>353768.33333333326</v>
      </c>
    </row>
    <row r="51" spans="1:12" s="212" customFormat="1" ht="16" thickBot="1">
      <c r="A51" s="213" t="s">
        <v>46</v>
      </c>
      <c r="B51" s="214"/>
      <c r="C51" s="152">
        <f>SUMIFS(Collection!$O:$O, Collection!$B:$B, 'Total Larvae to Date'!$A51, Collection!$A:$A, "&lt;"&amp;'Total Larvae to Date'!C$27)</f>
        <v>131900</v>
      </c>
      <c r="D51" s="152">
        <f>SUMIFS(Collection!$O:$O, Collection!$B:$B, 'Total Larvae to Date'!$A51, Collection!$A:$A, "&lt;"&amp;'Total Larvae to Date'!D$27)</f>
        <v>179716.66666666666</v>
      </c>
      <c r="E51" s="152">
        <f>SUMIFS(Collection!$O:$O, Collection!$B:$B, 'Total Larvae to Date'!$A51, Collection!$A:$A, "&lt;"&amp;'Total Larvae to Date'!E$27)</f>
        <v>179716.66666666666</v>
      </c>
      <c r="F51" s="152">
        <f>SUMIFS(Collection!$O:$O, Collection!$B:$B, 'Total Larvae to Date'!$A51, Collection!$A:$A, "&lt;"&amp;'Total Larvae to Date'!F$27)</f>
        <v>179716.66666666666</v>
      </c>
      <c r="G51" s="152">
        <f>SUMIFS(Collection!$O:$O, Collection!$B:$B, 'Total Larvae to Date'!$A51, Collection!$A:$A, "&lt;"&amp;'Total Larvae to Date'!G$27)</f>
        <v>179716.66666666666</v>
      </c>
      <c r="H51" s="152">
        <f>SUMIFS(Collection!$O:$O, Collection!$B:$B, 'Total Larvae to Date'!$A51, Collection!$A:$A, "&lt;"&amp;'Total Larvae to Date'!H$27)</f>
        <v>179716.66666666666</v>
      </c>
      <c r="I51" s="152">
        <f>SUMIFS(Collection!$O:$O, Collection!$B:$B, 'Total Larvae to Date'!$A51, Collection!$A:$A, "&lt;"&amp;'Total Larvae to Date'!I$27)</f>
        <v>179716.66666666666</v>
      </c>
      <c r="J51" s="152">
        <f>SUMIFS(Collection!$O:$O, Collection!$B:$B, 'Total Larvae to Date'!$A51, Collection!$A:$A, "&lt;"&amp;'Total Larvae to Date'!J$27)</f>
        <v>179716.66666666666</v>
      </c>
      <c r="K51" s="152">
        <f>SUMIFS(Collection!$O:$O, Collection!$B:$B, 'Total Larvae to Date'!$A51, Collection!$A:$A, "&lt;"&amp;'Total Larvae to Date'!K$27)</f>
        <v>179716.66666666666</v>
      </c>
      <c r="L51" s="301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384" t="s">
        <v>220</v>
      </c>
      <c r="D52" s="384"/>
      <c r="E52" s="384"/>
      <c r="F52" s="384"/>
      <c r="G52" s="384"/>
      <c r="H52" s="384"/>
      <c r="I52" s="384"/>
      <c r="J52" s="384"/>
      <c r="K52" s="384"/>
    </row>
    <row r="53" spans="1:12" ht="18">
      <c r="A53" s="200" t="s">
        <v>137</v>
      </c>
      <c r="B53" s="118"/>
      <c r="C53" s="217">
        <f t="shared" ref="C53:L53" si="10">C27</f>
        <v>42891</v>
      </c>
      <c r="D53" s="217">
        <f t="shared" si="10"/>
        <v>42895</v>
      </c>
      <c r="E53" s="217">
        <f t="shared" si="10"/>
        <v>42898</v>
      </c>
      <c r="F53" s="217">
        <f t="shared" si="10"/>
        <v>42901</v>
      </c>
      <c r="G53" s="217">
        <f t="shared" si="10"/>
        <v>42905</v>
      </c>
      <c r="H53" s="217">
        <f t="shared" si="10"/>
        <v>42908</v>
      </c>
      <c r="I53" s="217">
        <f t="shared" si="10"/>
        <v>42912</v>
      </c>
      <c r="J53" s="217">
        <f t="shared" si="10"/>
        <v>42915</v>
      </c>
      <c r="K53" s="217">
        <f t="shared" si="10"/>
        <v>42919</v>
      </c>
      <c r="L53" s="217">
        <f t="shared" si="10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108943.33333333334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0</v>
      </c>
      <c r="D55" s="118">
        <f>(SUMIFS('Bucket Counts'!$P:$P, 'Bucket Counts'!$D:$D, 'Total Larvae to Date'!$A55, 'Bucket Counts'!$A:$A, "="&amp;D$27))</f>
        <v>0</v>
      </c>
      <c r="E55" s="118">
        <f>(SUMIFS('Bucket Counts'!$P:$P, 'Bucket Counts'!$D:$D, 'Total Larvae to Date'!$A55, 'Bucket Counts'!$A:$A, "="&amp;E$27))</f>
        <v>0</v>
      </c>
      <c r="F55" s="118">
        <f>(SUMIFS('Bucket Counts'!$P:$P, 'Bucket Counts'!$D:$D, 'Total Larvae to Date'!$A55, 'Bucket Counts'!$A:$A, "="&amp;F$27))</f>
        <v>0</v>
      </c>
      <c r="G55" s="118">
        <f>(SUMIFS('Bucket Counts'!$P:$P, 'Bucket Counts'!$D:$D, 'Total Larvae to Date'!$A55, 'Bucket Counts'!$A:$A, "="&amp;G$27))</f>
        <v>0</v>
      </c>
      <c r="H55" s="118">
        <f>(SUMIFS('Bucket Counts'!$P:$P, 'Bucket Counts'!$D:$D, 'Total Larvae to Date'!$A55, 'Bucket Counts'!$A:$A, "="&amp;H$27))</f>
        <v>0</v>
      </c>
      <c r="I55" s="118">
        <f>(SUMIFS('Bucket Counts'!$P:$P, 'Bucket Counts'!$D:$D, 'Total Larvae to Date'!$A55, 'Bucket Counts'!$A:$A, "="&amp;I$27))</f>
        <v>0</v>
      </c>
      <c r="J55" s="118">
        <f>(SUMIFS('Bucket Counts'!$P:$P, 'Bucket Counts'!$D:$D, 'Total Larvae to Date'!$A55, 'Bucket Counts'!$A:$A, "="&amp;J$27))</f>
        <v>0</v>
      </c>
      <c r="K55" s="118">
        <f>(SUMIFS('Bucket Counts'!$P:$P, 'Bucket Counts'!$D:$D, 'Total Larvae to Date'!$A55, 'Bucket Counts'!$A:$A, "="&amp;K$27))</f>
        <v>0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20583.333333333336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138919.99999999997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0</v>
      </c>
      <c r="E59" s="118">
        <f>(SUMIFS('Bucket Counts'!$P:$P, 'Bucket Counts'!$D:$D, 'Total Larvae to Date'!$A59, 'Bucket Counts'!$A:$A, "="&amp;E$27))</f>
        <v>0</v>
      </c>
      <c r="F59" s="118">
        <f>(SUMIFS('Bucket Counts'!$P:$P, 'Bucket Counts'!$D:$D, 'Total Larvae to Date'!$A59, 'Bucket Counts'!$A:$A, "="&amp;F$27))</f>
        <v>0</v>
      </c>
      <c r="G59" s="118">
        <f>(SUMIFS('Bucket Counts'!$P:$P, 'Bucket Counts'!$D:$D, 'Total Larvae to Date'!$A59, 'Bucket Counts'!$A:$A, "="&amp;G$27))</f>
        <v>0</v>
      </c>
      <c r="H59" s="118">
        <f>(SUMIFS('Bucket Counts'!$P:$P, 'Bucket Counts'!$D:$D, 'Total Larvae to Date'!$A59, 'Bucket Counts'!$A:$A, "="&amp;H$27))</f>
        <v>0</v>
      </c>
      <c r="I59" s="118">
        <f>(SUMIFS('Bucket Counts'!$P:$P, 'Bucket Counts'!$D:$D, 'Total Larvae to Date'!$A59, 'Bucket Counts'!$A:$A, "="&amp;I$27))</f>
        <v>0</v>
      </c>
      <c r="J59" s="118">
        <f>(SUMIFS('Bucket Counts'!$P:$P, 'Bucket Counts'!$D:$D, 'Total Larvae to Date'!$A59, 'Bucket Counts'!$A:$A, "="&amp;J$27))</f>
        <v>0</v>
      </c>
      <c r="K59" s="118">
        <f>(SUMIFS('Bucket Counts'!$P:$P, 'Bucket Counts'!$D:$D, 'Total Larvae to Date'!$A59, 'Bucket Counts'!$A:$A, "="&amp;K$27))</f>
        <v>0</v>
      </c>
      <c r="L59" s="118">
        <f>(SUMIFS('Bucket Counts'!$P:$P, 'Bucket Counts'!$D:$D, 'Total Larvae to Date'!$A59, 'Bucket Counts'!$A:$A, "="&amp;L$27))</f>
        <v>0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0</v>
      </c>
      <c r="E63" s="118">
        <f>(SUMIFS('Bucket Counts'!$P:$P, 'Bucket Counts'!$D:$D, 'Total Larvae to Date'!$A63, 'Bucket Counts'!$A:$A, "="&amp;E$27))</f>
        <v>0</v>
      </c>
      <c r="F63" s="118">
        <f>(SUMIFS('Bucket Counts'!$P:$P, 'Bucket Counts'!$D:$D, 'Total Larvae to Date'!$A63, 'Bucket Counts'!$A:$A, "="&amp;F$27))</f>
        <v>0</v>
      </c>
      <c r="G63" s="118">
        <f>(SUMIFS('Bucket Counts'!$P:$P, 'Bucket Counts'!$D:$D, 'Total Larvae to Date'!$A63, 'Bucket Counts'!$A:$A, "="&amp;G$27))</f>
        <v>0</v>
      </c>
      <c r="H63" s="118">
        <f>(SUMIFS('Bucket Counts'!$P:$P, 'Bucket Counts'!$D:$D, 'Total Larvae to Date'!$A63, 'Bucket Counts'!$A:$A, "="&amp;H$27))</f>
        <v>0</v>
      </c>
      <c r="I63" s="118">
        <f>(SUMIFS('Bucket Counts'!$P:$P, 'Bucket Counts'!$D:$D, 'Total Larvae to Date'!$A63, 'Bucket Counts'!$A:$A, "="&amp;I$27))</f>
        <v>0</v>
      </c>
      <c r="J63" s="118">
        <f>(SUMIFS('Bucket Counts'!$P:$P, 'Bucket Counts'!$D:$D, 'Total Larvae to Date'!$A63, 'Bucket Counts'!$A:$A, "="&amp;J$27))</f>
        <v>0</v>
      </c>
      <c r="K63" s="118">
        <f>(SUMIFS('Bucket Counts'!$P:$P, 'Bucket Counts'!$D:$D, 'Total Larvae to Date'!$A63, 'Bucket Counts'!$A:$A, "="&amp;K$27))</f>
        <v>0</v>
      </c>
      <c r="L63" s="118">
        <f>(SUMIFS('Bucket Counts'!$P:$P, 'Bucket Counts'!$D:$D, 'Total Larvae to Date'!$A63, 'Bucket Counts'!$A:$A, "="&amp;L$27))</f>
        <v>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9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9">
      <c r="A66" s="24" t="s">
        <v>17</v>
      </c>
      <c r="B66" s="118"/>
      <c r="C66" s="118">
        <f>(SUMIFS('Bucket Counts'!$P:$P, 'Bucket Counts'!$D:$D, 'Total Larvae to Date'!$A66, 'Bucket Counts'!$A:$A, "="&amp;C$27))</f>
        <v>130033.33333333333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9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0</v>
      </c>
      <c r="E67" s="118">
        <f>(SUMIFS('Bucket Counts'!$P:$P, 'Bucket Counts'!$D:$D, 'Total Larvae to Date'!$A67, 'Bucket Counts'!$A:$A, "="&amp;E$27))</f>
        <v>0</v>
      </c>
      <c r="F67" s="118">
        <f>(SUMIFS('Bucket Counts'!$P:$P, 'Bucket Counts'!$D:$D, 'Total Larvae to Date'!$A67, 'Bucket Counts'!$A:$A, "="&amp;F$27))</f>
        <v>0</v>
      </c>
      <c r="G67" s="118">
        <f>(SUMIFS('Bucket Counts'!$P:$P, 'Bucket Counts'!$D:$D, 'Total Larvae to Date'!$A67, 'Bucket Counts'!$A:$A, "="&amp;G$27))</f>
        <v>0</v>
      </c>
      <c r="H67" s="118">
        <f>(SUMIFS('Bucket Counts'!$P:$P, 'Bucket Counts'!$D:$D, 'Total Larvae to Date'!$A67, 'Bucket Counts'!$A:$A, "="&amp;H$27))</f>
        <v>0</v>
      </c>
      <c r="I67" s="118">
        <f>(SUMIFS('Bucket Counts'!$P:$P, 'Bucket Counts'!$D:$D, 'Total Larvae to Date'!$A67, 'Bucket Counts'!$A:$A, "="&amp;I$27))</f>
        <v>0</v>
      </c>
      <c r="J67" s="118">
        <f>(SUMIFS('Bucket Counts'!$P:$P, 'Bucket Counts'!$D:$D, 'Total Larvae to Date'!$A67, 'Bucket Counts'!$A:$A, "="&amp;J$27))</f>
        <v>0</v>
      </c>
      <c r="K67" s="118">
        <f>(SUMIFS('Bucket Counts'!$P:$P, 'Bucket Counts'!$D:$D, 'Total Larvae to Date'!$A67, 'Bucket Counts'!$A:$A, "="&amp;K$27))</f>
        <v>0</v>
      </c>
      <c r="L67" s="118">
        <f>(SUMIFS('Bucket Counts'!$P:$P, 'Bucket Counts'!$D:$D, 'Total Larvae to Date'!$A67, 'Bucket Counts'!$A:$A, "="&amp;L$27))</f>
        <v>0</v>
      </c>
    </row>
    <row r="68" spans="1:19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9" s="212" customFormat="1" ht="16" thickBot="1">
      <c r="A69" s="215" t="s">
        <v>46</v>
      </c>
      <c r="B69" s="214"/>
      <c r="C69" s="214">
        <f>(SUMIFS('Bucket Counts'!$P:$P, 'Bucket Counts'!$D:$D, 'Total Larvae to Date'!$A69, 'Bucket Counts'!$A:$A, "="&amp;C$27))</f>
        <v>2175</v>
      </c>
      <c r="D69" s="214">
        <f>(SUMIFS('Bucket Counts'!$P:$P, 'Bucket Counts'!$D:$D, 'Total Larvae to Date'!$A69, 'Bucket Counts'!$A:$A, "="&amp;D$27))</f>
        <v>56316.666666666672</v>
      </c>
      <c r="E69" s="214">
        <f>(SUMIFS('Bucket Counts'!$P:$P, 'Bucket Counts'!$D:$D, 'Total Larvae to Date'!$A69, 'Bucket Counts'!$A:$A, "="&amp;E$27))</f>
        <v>49492.5</v>
      </c>
      <c r="F69" s="214">
        <f>(SUMIFS('Bucket Counts'!$P:$P, 'Bucket Counts'!$D:$D, 'Total Larvae to Date'!$A69, 'Bucket Counts'!$A:$A, "="&amp;F$27))</f>
        <v>33256.666666666672</v>
      </c>
      <c r="G69" s="214">
        <f>(SUMIFS('Bucket Counts'!$P:$P, 'Bucket Counts'!$D:$D, 'Total Larvae to Date'!$A69, 'Bucket Counts'!$A:$A, "="&amp;G$27))</f>
        <v>35316.666666666664</v>
      </c>
      <c r="H69" s="214">
        <f>(SUMIFS('Bucket Counts'!$P:$P, 'Bucket Counts'!$D:$D, 'Total Larvae to Date'!$A69, 'Bucket Counts'!$A:$A, "="&amp;H$27))</f>
        <v>29233.333333333336</v>
      </c>
      <c r="I69" s="214">
        <f>(SUMIFS('Bucket Counts'!$P:$P, 'Bucket Counts'!$D:$D, 'Total Larvae to Date'!$A69, 'Bucket Counts'!$A:$A, "="&amp;I$27))</f>
        <v>20500</v>
      </c>
      <c r="J69" s="214">
        <f>(SUMIFS('Bucket Counts'!$P:$P, 'Bucket Counts'!$D:$D, 'Total Larvae to Date'!$A69, 'Bucket Counts'!$A:$A, "="&amp;J$27))</f>
        <v>23533.333333333332</v>
      </c>
      <c r="K69" s="214">
        <f>(SUMIFS('Bucket Counts'!$P:$P, 'Bucket Counts'!$D:$D, 'Total Larvae to Date'!$A69, 'Bucket Counts'!$A:$A, "="&amp;K$27))</f>
        <v>16425</v>
      </c>
      <c r="L69" s="214">
        <f>(SUMIFS('Bucket Counts'!$P:$P, 'Bucket Counts'!$D:$D, 'Total Larvae to Date'!$A69, 'Bucket Counts'!$A:$A, "="&amp;L$27))</f>
        <v>7193.3333333333339</v>
      </c>
    </row>
    <row r="70" spans="1:19" s="23" customFormat="1" ht="21" thickTop="1">
      <c r="A70" s="118"/>
      <c r="B70" s="118"/>
      <c r="C70" s="386" t="s">
        <v>221</v>
      </c>
      <c r="D70" s="386"/>
      <c r="E70" s="386"/>
      <c r="F70" s="386"/>
      <c r="G70" s="386"/>
      <c r="H70" s="386"/>
      <c r="I70" s="386"/>
      <c r="J70" s="386"/>
      <c r="K70" s="386"/>
      <c r="S70" s="308" t="s">
        <v>361</v>
      </c>
    </row>
    <row r="71" spans="1:19" s="210" customFormat="1" ht="18">
      <c r="A71" s="211"/>
      <c r="B71" s="211"/>
      <c r="C71" s="216">
        <f>C27-1</f>
        <v>42890</v>
      </c>
      <c r="D71" s="216">
        <f t="shared" ref="D71:L71" si="11">D27-1</f>
        <v>42894</v>
      </c>
      <c r="E71" s="216">
        <f t="shared" si="11"/>
        <v>42897</v>
      </c>
      <c r="F71" s="216">
        <f t="shared" si="11"/>
        <v>42900</v>
      </c>
      <c r="G71" s="216">
        <f t="shared" si="11"/>
        <v>42904</v>
      </c>
      <c r="H71" s="216">
        <f t="shared" si="11"/>
        <v>42907</v>
      </c>
      <c r="I71" s="216">
        <f t="shared" si="11"/>
        <v>42911</v>
      </c>
      <c r="J71" s="216">
        <f t="shared" si="11"/>
        <v>42914</v>
      </c>
      <c r="K71" s="216">
        <f t="shared" si="11"/>
        <v>42918</v>
      </c>
      <c r="L71" s="216">
        <f t="shared" si="11"/>
        <v>42921</v>
      </c>
      <c r="M71" s="216">
        <v>42925</v>
      </c>
      <c r="N71" s="216">
        <v>42928</v>
      </c>
      <c r="O71" s="216">
        <v>42932</v>
      </c>
      <c r="P71" s="216">
        <v>42935</v>
      </c>
      <c r="Q71" s="216">
        <v>42937</v>
      </c>
    </row>
    <row r="72" spans="1:19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3685.8888888888887</v>
      </c>
      <c r="Q72" s="118">
        <f>SUMIFS('Bucket Counts'!$P:$P, 'Bucket Counts'!$F:$F, "224", 'Bucket Counts'!$D:$D, 'Total Larvae to Date'!$A72, 'Bucket Counts'!$A:$A, "&lt;="&amp;'Total Larvae to Date'!Q$71)</f>
        <v>3697.8888888888887</v>
      </c>
    </row>
    <row r="73" spans="1:19">
      <c r="A73" s="24" t="s">
        <v>83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2801.6666666666665</v>
      </c>
      <c r="N73" s="118">
        <f>SUMIFS('Bucket Counts'!$P:$P, 'Bucket Counts'!$F:$F, "224", 'Bucket Counts'!$D:$D, 'Total Larvae to Date'!$A73, 'Bucket Counts'!$A:$A, "&lt;="&amp;'Total Larvae to Date'!N$71)</f>
        <v>2810.6666666666665</v>
      </c>
      <c r="O73" s="118">
        <f>SUMIFS('Bucket Counts'!$P:$P, 'Bucket Counts'!$F:$F, "224", 'Bucket Counts'!$D:$D, 'Total Larvae to Date'!$A73, 'Bucket Counts'!$A:$A, "&lt;="&amp;'Total Larvae to Date'!O$71)</f>
        <v>2810.6666666666665</v>
      </c>
      <c r="P73" s="118">
        <f>SUMIFS('Bucket Counts'!$P:$P, 'Bucket Counts'!$F:$F, "224", 'Bucket Counts'!$D:$D, 'Total Larvae to Date'!$A73, 'Bucket Counts'!$A:$A, "&lt;="&amp;'Total Larvae to Date'!P$71)</f>
        <v>2810.6666666666665</v>
      </c>
      <c r="Q73" s="118">
        <f>SUMIFS('Bucket Counts'!$P:$P, 'Bucket Counts'!$F:$F, "224", 'Bucket Counts'!$D:$D, 'Total Larvae to Date'!$A73, 'Bucket Counts'!$A:$A, "&lt;="&amp;'Total Larvae to Date'!Q$71)</f>
        <v>2977.333333333333</v>
      </c>
    </row>
    <row r="74" spans="1:19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</row>
    <row r="75" spans="1:19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8675.5555555555547</v>
      </c>
      <c r="N75" s="118">
        <f>SUMIFS('Bucket Counts'!$P:$P, 'Bucket Counts'!$F:$F, "224", 'Bucket Counts'!$D:$D, 'Total Larvae to Date'!$A75, 'Bucket Counts'!$A:$A, "&lt;="&amp;'Total Larvae to Date'!N$71)</f>
        <v>11196.388888888887</v>
      </c>
      <c r="O75" s="118">
        <f>SUMIFS('Bucket Counts'!$P:$P, 'Bucket Counts'!$F:$F, "224", 'Bucket Counts'!$D:$D, 'Total Larvae to Date'!$A75, 'Bucket Counts'!$A:$A, "&lt;="&amp;'Total Larvae to Date'!O$71)</f>
        <v>11289.722222222221</v>
      </c>
      <c r="P75" s="118">
        <f>SUMIFS('Bucket Counts'!$P:$P, 'Bucket Counts'!$F:$F, "224", 'Bucket Counts'!$D:$D, 'Total Larvae to Date'!$A75, 'Bucket Counts'!$A:$A, "&lt;="&amp;'Total Larvae to Date'!P$71)</f>
        <v>11400.833333333332</v>
      </c>
      <c r="Q75" s="118">
        <f>SUMIFS('Bucket Counts'!$P:$P, 'Bucket Counts'!$F:$F, "224", 'Bucket Counts'!$D:$D, 'Total Larvae to Date'!$A75, 'Bucket Counts'!$A:$A, "&lt;="&amp;'Total Larvae to Date'!Q$71)</f>
        <v>11400.833333333332</v>
      </c>
    </row>
    <row r="76" spans="1:19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0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0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0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0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0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0">
        <f>SUMIFS('Bucket Counts'!$P:$P, 'Bucket Counts'!$F:$F, "224", 'Bucket Counts'!$D:$D, 'Total Larvae to Date'!$A76, 'Bucket Counts'!$A:$A, "&lt;="&amp;'Total Larvae to Date'!P$71)-'Bucket Counts'!$P$261</f>
        <v>21640.333333333332</v>
      </c>
      <c r="Q76" s="230">
        <f>SUMIFS('Bucket Counts'!$P:$P, 'Bucket Counts'!$F:$F, "224", 'Bucket Counts'!$D:$D, 'Total Larvae to Date'!$A76, 'Bucket Counts'!$A:$A, "&lt;="&amp;'Total Larvae to Date'!Q$71)-'Bucket Counts'!$P$261</f>
        <v>29595.333333333332</v>
      </c>
    </row>
    <row r="77" spans="1:19">
      <c r="A77" s="24" t="s">
        <v>74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4720.2777777777783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4720.2777777777783</v>
      </c>
    </row>
    <row r="78" spans="1:19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11930.666666666666</v>
      </c>
      <c r="Q78" s="118">
        <f>SUMIFS('Bucket Counts'!$P:$P, 'Bucket Counts'!$F:$F, "224", 'Bucket Counts'!$D:$D, 'Total Larvae to Date'!$A78, 'Bucket Counts'!$A:$A, "&lt;="&amp;'Total Larvae to Date'!Q$71)</f>
        <v>11930.666666666666</v>
      </c>
    </row>
    <row r="79" spans="1:19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0">
        <f>SUMIFS('Bucket Counts'!$P:$P, 'Bucket Counts'!$F:$F, "224", 'Bucket Counts'!$D:$D, 'Total Larvae to Date'!$A79, 'Bucket Counts'!$A:$A, "&lt;="&amp;'Total Larvae to Date'!G$71)</f>
        <v>2787.2222222222222</v>
      </c>
      <c r="H79" s="230">
        <f>SUMIFS('Bucket Counts'!$P:$P, 'Bucket Counts'!$F:$F, "224", 'Bucket Counts'!$D:$D, 'Total Larvae to Date'!$A79, 'Bucket Counts'!$A:$A, "&lt;="&amp;'Total Larvae to Date'!H$71)</f>
        <v>5040.5555555555547</v>
      </c>
      <c r="I79" s="230">
        <f>SUMIFS('Bucket Counts'!$P:$P, 'Bucket Counts'!$F:$F, "224", 'Bucket Counts'!$D:$D, 'Total Larvae to Date'!$A79, 'Bucket Counts'!$A:$A, "&lt;="&amp;'Total Larvae to Date'!I$71)</f>
        <v>5440.5555555555547</v>
      </c>
      <c r="J79" s="230">
        <f>SUMIFS('Bucket Counts'!$P:$P, 'Bucket Counts'!$F:$F, "224", 'Bucket Counts'!$D:$D, 'Total Larvae to Date'!$A79, 'Bucket Counts'!$A:$A, "&lt;="&amp;'Total Larvae to Date'!J$71)</f>
        <v>5590.5555555555547</v>
      </c>
      <c r="K79" s="230">
        <f>SUMIFS('Bucket Counts'!$P:$P, 'Bucket Counts'!$F:$F, "224", 'Bucket Counts'!$D:$D, 'Total Larvae to Date'!$A79, 'Bucket Counts'!$A:$A, "&lt;="&amp;'Total Larvae to Date'!K$71)</f>
        <v>5632.2222222222217</v>
      </c>
      <c r="L79" s="230">
        <f>SUMIFS('Bucket Counts'!$P:$P, 'Bucket Counts'!$F:$F, "224", 'Bucket Counts'!$D:$D, 'Total Larvae to Date'!$A79, 'Bucket Counts'!$A:$A, "&lt;="&amp;'Total Larvae to Date'!L$71)</f>
        <v>5954.4444444444443</v>
      </c>
      <c r="M79" s="230">
        <f>SUMIFS('Bucket Counts'!$P:$P, 'Bucket Counts'!$F:$F, "224", 'Bucket Counts'!$D:$D, 'Total Larvae to Date'!$A79, 'Bucket Counts'!$A:$A, "&lt;="&amp;'Total Larvae to Date'!M$71)</f>
        <v>5990.4444444444443</v>
      </c>
      <c r="N79" s="230">
        <f>SUMIFS('Bucket Counts'!$P:$P, 'Bucket Counts'!$F:$F, "224", 'Bucket Counts'!$D:$D, 'Total Larvae to Date'!$A79, 'Bucket Counts'!$A:$A, "&lt;="&amp;'Total Larvae to Date'!N$71)</f>
        <v>6002.4444444444443</v>
      </c>
      <c r="O79" s="230">
        <f>SUMIFS('Bucket Counts'!$P:$P, 'Bucket Counts'!$F:$F, "224", 'Bucket Counts'!$D:$D, 'Total Larvae to Date'!$A79, 'Bucket Counts'!$A:$A, "&lt;="&amp;'Total Larvae to Date'!O$71)</f>
        <v>6002.4444444444443</v>
      </c>
      <c r="P79" s="230">
        <f>SUMIFS('Bucket Counts'!$P:$P, 'Bucket Counts'!$F:$F, "224", 'Bucket Counts'!$D:$D, 'Total Larvae to Date'!$A79, 'Bucket Counts'!$A:$A, "&lt;="&amp;'Total Larvae to Date'!P$71)</f>
        <v>6002.4444444444443</v>
      </c>
      <c r="Q79" s="230">
        <f>SUMIFS('Bucket Counts'!$P:$P, 'Bucket Counts'!$F:$F, "224", 'Bucket Counts'!$D:$D, 'Total Larvae to Date'!$A79, 'Bucket Counts'!$A:$A, "&lt;="&amp;'Total Larvae to Date'!Q$71)</f>
        <v>6002.4444444444443</v>
      </c>
    </row>
    <row r="80" spans="1:19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13813.333333333334</v>
      </c>
      <c r="Q80" s="118">
        <f>SUMIFS('Bucket Counts'!$P:$P, 'Bucket Counts'!$F:$F, "224", 'Bucket Counts'!$D:$D, 'Total Larvae to Date'!$A80, 'Bucket Counts'!$A:$A, "&lt;="&amp;'Total Larvae to Date'!Q$71)</f>
        <v>13833.333333333334</v>
      </c>
    </row>
    <row r="81" spans="1:17">
      <c r="A81" s="24" t="s">
        <v>109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19140.833333333332</v>
      </c>
      <c r="Q81" s="118">
        <f>SUMIFS('Bucket Counts'!$P:$P, 'Bucket Counts'!$F:$F, "224", 'Bucket Counts'!$D:$D, 'Total Larvae to Date'!$A81, 'Bucket Counts'!$A:$A, "&lt;="&amp;'Total Larvae to Date'!Q$71)</f>
        <v>19690.833333333332</v>
      </c>
    </row>
    <row r="82" spans="1:17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2245.833333333333</v>
      </c>
      <c r="Q82" s="118">
        <f>SUMIFS('Bucket Counts'!$P:$P, 'Bucket Counts'!$F:$F, "224", 'Bucket Counts'!$D:$D, 'Total Larvae to Date'!$A82, 'Bucket Counts'!$A:$A, "&lt;="&amp;'Total Larvae to Date'!Q$71)</f>
        <v>2245.833333333333</v>
      </c>
    </row>
    <row r="83" spans="1:17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10486.111111111111</v>
      </c>
      <c r="Q83" s="118">
        <f>SUMIFS('Bucket Counts'!$P:$P, 'Bucket Counts'!$F:$F, "224", 'Bucket Counts'!$D:$D, 'Total Larvae to Date'!$A83, 'Bucket Counts'!$A:$A, "&lt;="&amp;'Total Larvae to Date'!Q$71)</f>
        <v>10552.777777777777</v>
      </c>
    </row>
    <row r="84" spans="1:17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13903.833333333334</v>
      </c>
      <c r="Q84" s="118">
        <f>SUMIFS('Bucket Counts'!$P:$P, 'Bucket Counts'!$F:$F, "224", 'Bucket Counts'!$D:$D, 'Total Larvae to Date'!$A84, 'Bucket Counts'!$A:$A, "&lt;="&amp;'Total Larvae to Date'!Q$71)</f>
        <v>13903.833333333334</v>
      </c>
    </row>
    <row r="85" spans="1:17">
      <c r="A85" s="24" t="s">
        <v>20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0</v>
      </c>
      <c r="E85" s="118">
        <f>SUMIFS('Bucket Counts'!$P:$P, 'Bucket Counts'!$F:$F, "224", 'Bucket Counts'!$D:$D, 'Total Larvae to Date'!$A85, 'Bucket Counts'!$A:$A, "&lt;="&amp;'Total Larvae to Date'!E$71)</f>
        <v>1400</v>
      </c>
      <c r="F85" s="118">
        <f>SUMIFS('Bucket Counts'!$P:$P, 'Bucket Counts'!$F:$F, "224", 'Bucket Counts'!$D:$D, 'Total Larvae to Date'!$A85, 'Bucket Counts'!$A:$A, "&lt;="&amp;'Total Larvae to Date'!F$71)</f>
        <v>1400</v>
      </c>
      <c r="G85" s="118">
        <f>SUMIFS('Bucket Counts'!$P:$P, 'Bucket Counts'!$F:$F, "224", 'Bucket Counts'!$D:$D, 'Total Larvae to Date'!$A85, 'Bucket Counts'!$A:$A, "&lt;="&amp;'Total Larvae to Date'!G$71)</f>
        <v>1400</v>
      </c>
      <c r="H85" s="118">
        <f>SUMIFS('Bucket Counts'!$P:$P, 'Bucket Counts'!$F:$F, "224", 'Bucket Counts'!$D:$D, 'Total Larvae to Date'!$A85, 'Bucket Counts'!$A:$A, "&lt;="&amp;'Total Larvae to Date'!H$71)</f>
        <v>1500</v>
      </c>
      <c r="I85" s="118">
        <f>SUMIFS('Bucket Counts'!$P:$P, 'Bucket Counts'!$F:$F, "224", 'Bucket Counts'!$D:$D, 'Total Larvae to Date'!$A85, 'Bucket Counts'!$A:$A, "&lt;="&amp;'Total Larvae to Date'!I$71)</f>
        <v>1500</v>
      </c>
      <c r="J85" s="118">
        <f>SUMIFS('Bucket Counts'!$P:$P, 'Bucket Counts'!$F:$F, "224", 'Bucket Counts'!$D:$D, 'Total Larvae to Date'!$A85, 'Bucket Counts'!$A:$A, "&lt;="&amp;'Total Larvae to Date'!J$71)</f>
        <v>1625</v>
      </c>
      <c r="K85" s="118">
        <f>SUMIFS('Bucket Counts'!$P:$P, 'Bucket Counts'!$F:$F, "224", 'Bucket Counts'!$D:$D, 'Total Larvae to Date'!$A85, 'Bucket Counts'!$A:$A, "&lt;="&amp;'Total Larvae to Date'!K$71)</f>
        <v>1760</v>
      </c>
      <c r="L85" s="118">
        <f>SUMIFS('Bucket Counts'!$P:$P, 'Bucket Counts'!$F:$F, "224", 'Bucket Counts'!$D:$D, 'Total Larvae to Date'!$A85, 'Bucket Counts'!$A:$A, "&lt;="&amp;'Total Larvae to Date'!L$71)</f>
        <v>1821.1111111111111</v>
      </c>
      <c r="M85" s="118">
        <f>SUMIFS('Bucket Counts'!$P:$P, 'Bucket Counts'!$F:$F, "224", 'Bucket Counts'!$D:$D, 'Total Larvae to Date'!$A85, 'Bucket Counts'!$A:$A, "&lt;="&amp;'Total Larvae to Date'!M$71)</f>
        <v>1954.4444444444443</v>
      </c>
      <c r="N85" s="118">
        <f>SUMIFS('Bucket Counts'!$P:$P, 'Bucket Counts'!$F:$F, "224", 'Bucket Counts'!$D:$D, 'Total Larvae to Date'!$A85, 'Bucket Counts'!$A:$A, "&lt;="&amp;'Total Larvae to Date'!N$71)</f>
        <v>2047.7777777777776</v>
      </c>
      <c r="O85" s="118">
        <f>SUMIFS('Bucket Counts'!$P:$P, 'Bucket Counts'!$F:$F, "224", 'Bucket Counts'!$D:$D, 'Total Larvae to Date'!$A85, 'Bucket Counts'!$A:$A, "&lt;="&amp;'Total Larvae to Date'!O$71)</f>
        <v>2071.7777777777774</v>
      </c>
      <c r="P85" s="118">
        <f>SUMIFS('Bucket Counts'!$P:$P, 'Bucket Counts'!$F:$F, "224", 'Bucket Counts'!$D:$D, 'Total Larvae to Date'!$A85, 'Bucket Counts'!$A:$A, "&lt;="&amp;'Total Larvae to Date'!P$71)</f>
        <v>2077.7777777777774</v>
      </c>
      <c r="Q85" s="118">
        <f>SUMIFS('Bucket Counts'!$P:$P, 'Bucket Counts'!$F:$F, "224", 'Bucket Counts'!$D:$D, 'Total Larvae to Date'!$A85, 'Bucket Counts'!$A:$A, "&lt;="&amp;'Total Larvae to Date'!Q$71)</f>
        <v>2105.5555555555552</v>
      </c>
    </row>
    <row r="86" spans="1:17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22119.444444444445</v>
      </c>
      <c r="Q86" s="118">
        <f>SUMIFS('Bucket Counts'!$P:$P, 'Bucket Counts'!$F:$F, "224", 'Bucket Counts'!$D:$D, 'Total Larvae to Date'!$A86, 'Bucket Counts'!$A:$A, "&lt;="&amp;'Total Larvae to Date'!Q$71)</f>
        <v>22186.111111111113</v>
      </c>
    </row>
    <row r="87" spans="1:17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9734.9444444444434</v>
      </c>
      <c r="Q87" s="118">
        <f>SUMIFS('Bucket Counts'!$P:$P, 'Bucket Counts'!$F:$F, "224", 'Bucket Counts'!$D:$D, 'Total Larvae to Date'!$A87, 'Bucket Counts'!$A:$A, "&lt;="&amp;'Total Larvae to Date'!Q$71)</f>
        <v>9734.9444444444434</v>
      </c>
    </row>
    <row r="88" spans="1:17" s="23" customFormat="1">
      <c r="A88" s="231" t="s">
        <v>250</v>
      </c>
      <c r="B88" s="232"/>
      <c r="C88" s="232">
        <f>SUMIFS('Bucket Counts'!$P:$P, 'Bucket Counts'!$F:$F, "224", 'Bucket Counts'!$D:$D, 'Total Larvae to Date'!$A88, 'Bucket Counts'!$A:$A, "&lt;="&amp;'Total Larvae to Date'!C$71)</f>
        <v>0</v>
      </c>
      <c r="D88" s="232">
        <f>'Bucket Counts'!P83</f>
        <v>115.83333333333333</v>
      </c>
      <c r="E88" s="232">
        <f>D88+'Bucket Counts'!P151</f>
        <v>442.49999999999994</v>
      </c>
      <c r="F88" s="232">
        <f>E88+'Bucket Counts'!P209</f>
        <v>4192.5</v>
      </c>
      <c r="G88" s="232"/>
      <c r="H88" s="118"/>
      <c r="I88" s="118"/>
      <c r="J88" s="118"/>
      <c r="K88" s="118"/>
    </row>
    <row r="89" spans="1:17" s="212" customFormat="1" ht="16" thickBot="1">
      <c r="A89" s="233" t="s">
        <v>249</v>
      </c>
      <c r="B89" s="234"/>
      <c r="C89" s="234">
        <f>SUMIFS('Bucket Counts'!$P:$P, 'Bucket Counts'!$F:$F, "224", 'Bucket Counts'!$D:$D, 'Total Larvae to Date'!$A89, 'Bucket Counts'!$A:$A, "&lt;="&amp;'Total Larvae to Date'!C$71)</f>
        <v>0</v>
      </c>
      <c r="D89" s="234">
        <f>SUMIFS('Bucket Counts'!$P:$P, 'Bucket Counts'!$F:$F, "224", 'Bucket Counts'!$D:$D, 'Total Larvae to Date'!$A89, 'Bucket Counts'!$A:$A, "&lt;="&amp;'Total Larvae to Date'!D$71)</f>
        <v>0</v>
      </c>
      <c r="E89" s="234">
        <f>SUMIFS('Bucket Counts'!$P:$P, 'Bucket Counts'!$F:$F, "224", 'Bucket Counts'!$D:$D, 'Total Larvae to Date'!$A89, 'Bucket Counts'!$A:$A, "&lt;="&amp;'Total Larvae to Date'!E$71)</f>
        <v>0</v>
      </c>
      <c r="F89" s="234">
        <f>SUMIFS('Bucket Counts'!$P:$P, 'Bucket Counts'!$F:$F, "224", 'Bucket Counts'!$D:$D, 'Total Larvae to Date'!$A89, 'Bucket Counts'!$A:$A, "&lt;="&amp;'Total Larvae to Date'!F$71)</f>
        <v>0</v>
      </c>
      <c r="G89" s="234">
        <f>'Bucket Counts'!P261</f>
        <v>30333.333333333332</v>
      </c>
      <c r="H89" s="214">
        <f>SUMIFS('Bucket Counts'!$P:$P, 'Bucket Counts'!$F:$F, "224", 'Bucket Counts'!$D:$D, 'Total Larvae to Date'!$A89, 'Bucket Counts'!$A:$A, "&lt;="&amp;'Total Larvae to Date'!H$71)</f>
        <v>0</v>
      </c>
      <c r="I89" s="214"/>
      <c r="J89" s="214"/>
      <c r="K89" s="214"/>
    </row>
    <row r="90" spans="1:17" s="23" customFormat="1" ht="21" thickTop="1">
      <c r="A90" s="24"/>
      <c r="B90" s="118"/>
      <c r="C90" s="386" t="s">
        <v>222</v>
      </c>
      <c r="D90" s="386"/>
      <c r="E90" s="386"/>
      <c r="F90" s="386"/>
      <c r="G90" s="386"/>
      <c r="H90" s="386"/>
      <c r="I90" s="386"/>
      <c r="J90" s="386"/>
      <c r="K90" s="386"/>
      <c r="L90" s="386"/>
    </row>
    <row r="91" spans="1:17" s="207" customFormat="1" ht="18">
      <c r="B91" s="208"/>
      <c r="C91" s="209">
        <f>C27</f>
        <v>42891</v>
      </c>
      <c r="D91" s="209">
        <f t="shared" ref="D91:L91" si="12">D27</f>
        <v>42895</v>
      </c>
      <c r="E91" s="209">
        <f t="shared" si="12"/>
        <v>42898</v>
      </c>
      <c r="F91" s="209">
        <f t="shared" si="12"/>
        <v>42901</v>
      </c>
      <c r="G91" s="209">
        <f t="shared" si="12"/>
        <v>42905</v>
      </c>
      <c r="H91" s="209">
        <f t="shared" si="12"/>
        <v>42908</v>
      </c>
      <c r="I91" s="209">
        <f t="shared" si="12"/>
        <v>42912</v>
      </c>
      <c r="J91" s="209">
        <f t="shared" si="12"/>
        <v>42915</v>
      </c>
      <c r="K91" s="209">
        <f t="shared" si="12"/>
        <v>42919</v>
      </c>
      <c r="L91" s="209">
        <f t="shared" si="12"/>
        <v>42922</v>
      </c>
      <c r="M91" s="209">
        <v>42926</v>
      </c>
      <c r="N91" s="209">
        <v>42929</v>
      </c>
      <c r="O91" s="209"/>
      <c r="P91" s="209"/>
    </row>
    <row r="92" spans="1:17">
      <c r="A92" s="24" t="s">
        <v>84</v>
      </c>
      <c r="C92" s="105">
        <f t="shared" ref="C92:K92" si="13">(C72+C54)/(C28+C29)</f>
        <v>0.79913443200156487</v>
      </c>
      <c r="D92" s="105">
        <f t="shared" si="13"/>
        <v>0.40889575820024043</v>
      </c>
      <c r="E92" s="105">
        <f t="shared" si="13"/>
        <v>0.39314317830546575</v>
      </c>
      <c r="F92" s="105">
        <f t="shared" si="13"/>
        <v>0.35009150872710748</v>
      </c>
      <c r="G92" s="105">
        <f t="shared" si="13"/>
        <v>0.2356054832277126</v>
      </c>
      <c r="H92" s="105">
        <f t="shared" si="13"/>
        <v>8.2880051783719447E-2</v>
      </c>
      <c r="I92" s="105">
        <f t="shared" si="13"/>
        <v>4.0805779731267547E-2</v>
      </c>
      <c r="J92" s="105">
        <f t="shared" si="13"/>
        <v>7.8714385642546153E-2</v>
      </c>
      <c r="K92" s="105">
        <f t="shared" si="13"/>
        <v>1.5028762932879528E-2</v>
      </c>
      <c r="L92" s="105">
        <f t="shared" ref="L92" si="14">(L72+L54)/(L28+L29)</f>
        <v>1.2698495557666807E-2</v>
      </c>
    </row>
    <row r="93" spans="1:17">
      <c r="A93" s="24" t="s">
        <v>76</v>
      </c>
      <c r="C93" s="105">
        <f t="shared" ref="C93:F93" si="15">(C73+C55)/(C30+C31)</f>
        <v>0</v>
      </c>
      <c r="D93" s="105">
        <f t="shared" si="15"/>
        <v>5.3110400786820751E-4</v>
      </c>
      <c r="E93" s="105">
        <f t="shared" si="15"/>
        <v>1.3769363166953527E-3</v>
      </c>
      <c r="F93" s="105">
        <f t="shared" si="15"/>
        <v>3.1472830095893773E-3</v>
      </c>
      <c r="G93" s="105">
        <f t="shared" ref="G93:I93" si="16">(G73+G55)/(G30+G31)</f>
        <v>1.41627735431522E-2</v>
      </c>
      <c r="H93" s="105">
        <f t="shared" si="16"/>
        <v>1.5165970002458814E-2</v>
      </c>
      <c r="I93" s="105">
        <f t="shared" si="16"/>
        <v>1.6444553725104498E-2</v>
      </c>
      <c r="J93" s="105">
        <f>(J73+J55)/(J30+J31)</f>
        <v>1.6444553725104498E-2</v>
      </c>
      <c r="K93" s="105">
        <f t="shared" ref="K93:L93" si="17">(K73+K55)/(K30+K31)</f>
        <v>1.6444553725104498E-2</v>
      </c>
      <c r="L93" s="105">
        <f t="shared" si="17"/>
        <v>1.3190382341348049E-2</v>
      </c>
    </row>
    <row r="94" spans="1:17">
      <c r="A94" s="24" t="s">
        <v>85</v>
      </c>
      <c r="C94" s="105">
        <f t="shared" ref="C94:F94" si="18">(C74+C56)/(C32+C33)</f>
        <v>0.40495030702032025</v>
      </c>
      <c r="D94" s="105">
        <f t="shared" si="18"/>
        <v>0.38146483509527118</v>
      </c>
      <c r="E94" s="105">
        <f t="shared" si="18"/>
        <v>0.35556118250300689</v>
      </c>
      <c r="F94" s="105">
        <f t="shared" si="18"/>
        <v>0.21140722922073807</v>
      </c>
      <c r="G94" s="105">
        <f t="shared" ref="G94:I94" si="19">(G74+G56)/(G32+G33)</f>
        <v>0.1843894410331075</v>
      </c>
      <c r="H94" s="105">
        <f t="shared" si="19"/>
        <v>0.12002278913717793</v>
      </c>
      <c r="I94" s="105">
        <f t="shared" si="19"/>
        <v>0.10685399658249478</v>
      </c>
      <c r="J94" s="105">
        <f>(J74+J56)/(J32+J33)</f>
        <v>9.8095057274856012E-2</v>
      </c>
      <c r="K94" s="105">
        <f t="shared" ref="K94:L94" si="20">(K74+K56)/(K32+K33)</f>
        <v>9.0635613779718571E-2</v>
      </c>
      <c r="L94" s="105">
        <f t="shared" si="20"/>
        <v>8.5623272788642055E-2</v>
      </c>
    </row>
    <row r="95" spans="1:17">
      <c r="A95" s="24" t="s">
        <v>105</v>
      </c>
      <c r="C95" s="105">
        <f t="shared" ref="C95:F95" si="21">(C75+C57)/(C35+C34)</f>
        <v>6.5543278084714551E-2</v>
      </c>
      <c r="D95" s="105">
        <f t="shared" si="21"/>
        <v>0.16358892943022402</v>
      </c>
      <c r="E95" s="105">
        <f t="shared" si="21"/>
        <v>0.23265726368930317</v>
      </c>
      <c r="F95" s="105">
        <f t="shared" si="21"/>
        <v>0.22549188013083402</v>
      </c>
      <c r="G95" s="105">
        <f t="shared" ref="G95:I95" si="22">(G75+G57)/(G35+G34)</f>
        <v>0.21139573000093045</v>
      </c>
      <c r="H95" s="105">
        <f t="shared" si="22"/>
        <v>0.17699045972249736</v>
      </c>
      <c r="I95" s="105">
        <f t="shared" si="22"/>
        <v>0.13469935372580966</v>
      </c>
      <c r="J95" s="105">
        <f>(J75+J57)/(J35+J34)</f>
        <v>9.5033451727091406E-2</v>
      </c>
      <c r="K95" s="105">
        <f t="shared" ref="K95:L95" si="23">(K75+K57)/(K35+K34)</f>
        <v>8.6669022562695777E-2</v>
      </c>
      <c r="L95" s="105">
        <f t="shared" si="23"/>
        <v>7.1045239193325227E-2</v>
      </c>
    </row>
    <row r="96" spans="1:17">
      <c r="A96" s="24" t="s">
        <v>86</v>
      </c>
      <c r="C96" s="105">
        <f t="shared" ref="C96:F96" si="24">(C76+C58)/(C36+C37)</f>
        <v>0.20986162305879505</v>
      </c>
      <c r="D96" s="105">
        <f t="shared" si="24"/>
        <v>0.22284830906197758</v>
      </c>
      <c r="E96" s="105">
        <f t="shared" si="24"/>
        <v>0.16930781316091606</v>
      </c>
      <c r="F96" s="105">
        <f t="shared" si="24"/>
        <v>0.18696026401886937</v>
      </c>
      <c r="G96" s="105">
        <f t="shared" ref="G96:I96" si="25">(G76+G58)/(G36+G37)</f>
        <v>0.13898409682202822</v>
      </c>
      <c r="H96" s="105">
        <f t="shared" si="25"/>
        <v>6.286683419316455E-2</v>
      </c>
      <c r="I96" s="105">
        <f t="shared" si="25"/>
        <v>2.9380033564496214E-2</v>
      </c>
      <c r="J96" s="105">
        <f>(J76+J58)/(J36+J37)</f>
        <v>3.1293565028991548E-2</v>
      </c>
      <c r="K96" s="105">
        <f t="shared" ref="K96:L96" si="26">(K76+K58)/(K36+K37)</f>
        <v>2.9210879158934097E-2</v>
      </c>
      <c r="L96" s="105">
        <f t="shared" si="26"/>
        <v>2.8832316631000682E-2</v>
      </c>
    </row>
    <row r="97" spans="1:12">
      <c r="A97" s="24" t="s">
        <v>135</v>
      </c>
      <c r="C97" s="105" t="e">
        <f t="shared" ref="C97:F97" si="27">(C77+C59)/(C39+C38)</f>
        <v>#VALUE!</v>
      </c>
      <c r="D97" s="105" t="e">
        <f t="shared" si="27"/>
        <v>#VALUE!</v>
      </c>
      <c r="E97" s="105" t="e">
        <f t="shared" si="27"/>
        <v>#VALUE!</v>
      </c>
      <c r="F97" s="105" t="e">
        <f t="shared" si="27"/>
        <v>#VALUE!</v>
      </c>
      <c r="G97" s="105">
        <f t="shared" ref="G97:I97" si="28">(G77+G59)/(G39+G38)</f>
        <v>0</v>
      </c>
      <c r="H97" s="105">
        <f t="shared" si="28"/>
        <v>2.8636064259328191E-4</v>
      </c>
      <c r="I97" s="105">
        <f t="shared" si="28"/>
        <v>5.5517702576526103E-4</v>
      </c>
      <c r="J97" s="105">
        <f>(J77+J59)/(J39+J38)</f>
        <v>6.7025008201478794E-3</v>
      </c>
      <c r="K97" s="105">
        <f t="shared" ref="K97:L97" si="29">(K77+K59)/(K39+K38)</f>
        <v>6.8728392257804026E-3</v>
      </c>
      <c r="L97" s="105">
        <f t="shared" si="29"/>
        <v>6.9502275384628331E-3</v>
      </c>
    </row>
    <row r="98" spans="1:12">
      <c r="A98" s="24" t="s">
        <v>87</v>
      </c>
      <c r="C98" s="105">
        <f t="shared" ref="C98:F98" si="30">(C78+C60)/(C40+C41)</f>
        <v>0.2423597479078417</v>
      </c>
      <c r="D98" s="105">
        <f t="shared" si="30"/>
        <v>0.12269410664172123</v>
      </c>
      <c r="E98" s="105">
        <f t="shared" si="30"/>
        <v>0.14321172435297788</v>
      </c>
      <c r="F98" s="105">
        <f t="shared" si="30"/>
        <v>8.2126598066729006E-2</v>
      </c>
      <c r="G98" s="105">
        <f t="shared" ref="G98:I98" si="31">(G78+G60)/(G40+G41)</f>
        <v>0.14327811608397567</v>
      </c>
      <c r="H98" s="105">
        <f t="shared" si="31"/>
        <v>0.1938437798926135</v>
      </c>
      <c r="I98" s="105">
        <f t="shared" si="31"/>
        <v>0.11110102568757375</v>
      </c>
      <c r="J98" s="105">
        <f>(J78+J60)/(J40+J41)</f>
        <v>4.0252476941230679E-2</v>
      </c>
      <c r="K98" s="105">
        <f t="shared" ref="K98:L98" si="32">(K78+K60)/(K40+K41)</f>
        <v>3.0277217260969647E-2</v>
      </c>
      <c r="L98" s="105">
        <f t="shared" si="32"/>
        <v>2.7199456318091158E-2</v>
      </c>
    </row>
    <row r="99" spans="1:12">
      <c r="A99" s="24" t="s">
        <v>77</v>
      </c>
      <c r="C99" s="105">
        <f t="shared" ref="C99:F99" si="33">(C79+C61)/(C43+C42)</f>
        <v>0.32767245164862435</v>
      </c>
      <c r="D99" s="105">
        <f t="shared" si="33"/>
        <v>0.14689462932203065</v>
      </c>
      <c r="E99" s="105">
        <f t="shared" si="33"/>
        <v>0.18947438761288346</v>
      </c>
      <c r="F99" s="105">
        <f t="shared" si="33"/>
        <v>0.23285994823976172</v>
      </c>
      <c r="G99" s="105">
        <f t="shared" ref="G99:I99" si="34">(G79+G61)/(G43+G42)</f>
        <v>9.4400793029686458E-2</v>
      </c>
      <c r="H99" s="105">
        <f t="shared" si="34"/>
        <v>5.4219230969896177E-2</v>
      </c>
      <c r="I99" s="105">
        <f t="shared" si="34"/>
        <v>2.1882402045181822E-2</v>
      </c>
      <c r="J99" s="105">
        <f>(J79+J61)/(J43+J42)</f>
        <v>1.5512078050816508E-2</v>
      </c>
      <c r="K99" s="105">
        <f t="shared" ref="K99:L99" si="35">(K79+K61)/(K43+K42)</f>
        <v>1.2820994417488392E-2</v>
      </c>
      <c r="L99" s="105">
        <f t="shared" si="35"/>
        <v>1.1927583868106642E-2</v>
      </c>
    </row>
    <row r="100" spans="1:12">
      <c r="A100" s="24" t="s">
        <v>88</v>
      </c>
      <c r="C100" s="105">
        <f t="shared" ref="C100:F100" si="36">(C80+C62)/(C44)</f>
        <v>0.57519123783032</v>
      </c>
      <c r="D100" s="105">
        <f t="shared" si="36"/>
        <v>0.60955247450162264</v>
      </c>
      <c r="E100" s="105">
        <f t="shared" si="36"/>
        <v>0.5041760836810385</v>
      </c>
      <c r="F100" s="105">
        <f t="shared" si="36"/>
        <v>0.35059906699119148</v>
      </c>
      <c r="G100" s="105">
        <f t="shared" ref="G100:I100" si="37">(G80+G62)/(G44)</f>
        <v>0.19056777352804818</v>
      </c>
      <c r="H100" s="105">
        <f t="shared" si="37"/>
        <v>0.23729983508721042</v>
      </c>
      <c r="I100" s="105">
        <f t="shared" si="37"/>
        <v>0.18444875697750676</v>
      </c>
      <c r="J100" s="105">
        <f t="shared" ref="J100:J107" si="38">(J80+J62)/(J44)</f>
        <v>0.11369004142519742</v>
      </c>
      <c r="K100" s="105">
        <f t="shared" ref="K100:L100" si="39">(K80+K62)/(K44)</f>
        <v>0.30195481305191962</v>
      </c>
      <c r="L100" s="105">
        <f t="shared" si="39"/>
        <v>0.31535354167971447</v>
      </c>
    </row>
    <row r="101" spans="1:12">
      <c r="A101" s="24" t="s">
        <v>134</v>
      </c>
      <c r="C101" s="105">
        <f t="shared" ref="C101:F101" si="40">(C81+C63)/(C45)</f>
        <v>0.43539695598519118</v>
      </c>
      <c r="D101" s="105">
        <f t="shared" si="40"/>
        <v>0</v>
      </c>
      <c r="E101" s="105">
        <f t="shared" si="40"/>
        <v>4.0459309494451288E-4</v>
      </c>
      <c r="F101" s="105">
        <f t="shared" si="40"/>
        <v>1.2972922848664688E-2</v>
      </c>
      <c r="G101" s="105">
        <f t="shared" ref="G101:I101" si="41">(G81+G63)/(G45)</f>
        <v>3.0249376558603491E-2</v>
      </c>
      <c r="H101" s="105">
        <f t="shared" si="41"/>
        <v>3.3006508793795873E-2</v>
      </c>
      <c r="I101" s="105">
        <f t="shared" si="41"/>
        <v>3.5081088325961671E-2</v>
      </c>
      <c r="J101" s="105">
        <f t="shared" si="38"/>
        <v>3.7182683286422734E-2</v>
      </c>
      <c r="K101" s="105">
        <f t="shared" ref="K101:L101" si="42">(K81+K63)/(K45)</f>
        <v>3.7890363222088198E-2</v>
      </c>
      <c r="L101" s="105">
        <f t="shared" si="42"/>
        <v>4.036724299691731E-2</v>
      </c>
    </row>
    <row r="102" spans="1:12">
      <c r="A102" s="24" t="s">
        <v>119</v>
      </c>
      <c r="C102" s="105" t="e">
        <f t="shared" ref="C102:F102" si="43">(C82+C64)/(C46)</f>
        <v>#DIV/0!</v>
      </c>
      <c r="D102" s="105" t="e">
        <f t="shared" si="43"/>
        <v>#DIV/0!</v>
      </c>
      <c r="E102" s="105" t="e">
        <f t="shared" si="43"/>
        <v>#DIV/0!</v>
      </c>
      <c r="F102" s="105">
        <f t="shared" si="43"/>
        <v>0.97868020304568526</v>
      </c>
      <c r="G102" s="105">
        <f t="shared" ref="G102:I102" si="44">(G82+G64)/(G46)</f>
        <v>0.57208121827411174</v>
      </c>
      <c r="H102" s="105">
        <f t="shared" si="44"/>
        <v>0.4291370558375634</v>
      </c>
      <c r="I102" s="105">
        <f t="shared" si="44"/>
        <v>0.42335025380710656</v>
      </c>
      <c r="J102" s="105">
        <f t="shared" si="38"/>
        <v>0.29111675126903552</v>
      </c>
      <c r="K102" s="250">
        <f t="shared" ref="K102:L102" si="45">(K82+K64)/(K46)</f>
        <v>8.6294416243654817E-2</v>
      </c>
      <c r="L102" s="250">
        <f t="shared" si="45"/>
        <v>6.0956006768189505E-2</v>
      </c>
    </row>
    <row r="103" spans="1:12">
      <c r="A103" s="24" t="s">
        <v>21</v>
      </c>
      <c r="C103" s="105" t="e">
        <f t="shared" ref="C103:F103" si="46">(C83+C65)/(C47)</f>
        <v>#DIV/0!</v>
      </c>
      <c r="D103" s="105">
        <f t="shared" si="46"/>
        <v>0.69721797064914015</v>
      </c>
      <c r="E103" s="105">
        <f t="shared" si="46"/>
        <v>0.76856036733591415</v>
      </c>
      <c r="F103" s="105">
        <f t="shared" si="46"/>
        <v>0.30611326190690552</v>
      </c>
      <c r="G103" s="105">
        <f t="shared" ref="G103:I103" si="47">(G83+G65)/(G47)</f>
        <v>0.50316004077471976</v>
      </c>
      <c r="H103" s="105">
        <f t="shared" si="47"/>
        <v>0.34840950040950042</v>
      </c>
      <c r="I103" s="105">
        <f t="shared" si="47"/>
        <v>0.10689694931330723</v>
      </c>
      <c r="J103" s="105">
        <f t="shared" si="38"/>
        <v>0.17776781887757878</v>
      </c>
      <c r="K103" s="105">
        <f t="shared" ref="K103:L103" si="48">(K83+K65)/(K47)</f>
        <v>8.8551059788934142E-2</v>
      </c>
      <c r="L103" s="105">
        <f t="shared" si="48"/>
        <v>0.10711884907987738</v>
      </c>
    </row>
    <row r="104" spans="1:12">
      <c r="A104" s="24" t="s">
        <v>17</v>
      </c>
      <c r="C104" s="105">
        <f t="shared" ref="C104:F104" si="49">(C84+C66)/(C48)</f>
        <v>0.48514168102027738</v>
      </c>
      <c r="D104" s="105">
        <f t="shared" si="49"/>
        <v>0.30656154252809525</v>
      </c>
      <c r="E104" s="105">
        <f t="shared" si="49"/>
        <v>0.23876897890506424</v>
      </c>
      <c r="F104" s="105">
        <f t="shared" si="49"/>
        <v>0.20748185244345405</v>
      </c>
      <c r="G104" s="105">
        <f t="shared" ref="G104:I104" si="50">(G84+G66)/(G48)</f>
        <v>0.13676162859449145</v>
      </c>
      <c r="H104" s="105">
        <f t="shared" si="50"/>
        <v>0.1196921320932241</v>
      </c>
      <c r="I104" s="105">
        <f t="shared" si="50"/>
        <v>7.4828148216700321E-2</v>
      </c>
      <c r="J104" s="105">
        <f t="shared" si="38"/>
        <v>6.1275379307862754E-2</v>
      </c>
      <c r="K104" s="105">
        <f t="shared" ref="K104:L104" si="51">(K84+K66)/(K48)</f>
        <v>5.5421878775726352E-2</v>
      </c>
      <c r="L104" s="105">
        <f t="shared" si="51"/>
        <v>5.1131368284669833E-2</v>
      </c>
    </row>
    <row r="105" spans="1:12">
      <c r="A105" s="24" t="s">
        <v>37</v>
      </c>
      <c r="C105" s="105">
        <f t="shared" ref="C105:F105" si="52">(C85+C67)/(C49)</f>
        <v>0.49575592295892273</v>
      </c>
      <c r="D105" s="105">
        <f t="shared" si="52"/>
        <v>0</v>
      </c>
      <c r="E105" s="105">
        <f t="shared" si="52"/>
        <v>6.5766809683379798E-3</v>
      </c>
      <c r="F105" s="105">
        <f t="shared" si="52"/>
        <v>6.5766809683379798E-3</v>
      </c>
      <c r="G105" s="105">
        <f t="shared" ref="G105:I105" si="53">(G85+G67)/(G49)</f>
        <v>6.5766809683379798E-3</v>
      </c>
      <c r="H105" s="105">
        <f t="shared" si="53"/>
        <v>6.6408901744340488E-3</v>
      </c>
      <c r="I105" s="105">
        <f t="shared" si="53"/>
        <v>6.6408901744340488E-3</v>
      </c>
      <c r="J105" s="105">
        <f t="shared" si="38"/>
        <v>7.19429768897022E-3</v>
      </c>
      <c r="K105" s="105">
        <f t="shared" ref="K105:L105" si="54">(K85+K67)/(K49)</f>
        <v>7.7919778046692846E-3</v>
      </c>
      <c r="L105" s="105">
        <f t="shared" si="54"/>
        <v>8.0625325895536341E-3</v>
      </c>
    </row>
    <row r="106" spans="1:12">
      <c r="A106" s="24" t="s">
        <v>38</v>
      </c>
      <c r="C106" s="105">
        <f t="shared" ref="C106:F106" si="55">(C86+C68)/(C50)</f>
        <v>0.33093348207262485</v>
      </c>
      <c r="D106" s="105">
        <f t="shared" si="55"/>
        <v>0.24483059452811029</v>
      </c>
      <c r="E106" s="105">
        <f t="shared" si="55"/>
        <v>0.38267023934696837</v>
      </c>
      <c r="F106" s="105">
        <f t="shared" si="55"/>
        <v>0.31044341436844852</v>
      </c>
      <c r="G106" s="105">
        <f t="shared" ref="G106:I106" si="56">(G86+G68)/(G50)</f>
        <v>0.19049810473427375</v>
      </c>
      <c r="H106" s="105">
        <f t="shared" si="56"/>
        <v>0.25294177724355205</v>
      </c>
      <c r="I106" s="105">
        <f t="shared" si="56"/>
        <v>0.17147913810513163</v>
      </c>
      <c r="J106" s="105">
        <f t="shared" si="38"/>
        <v>0.18998465725372699</v>
      </c>
      <c r="K106" s="105">
        <f t="shared" ref="K106:L106" si="57">(K86+K68)/(K50)</f>
        <v>0.1301903474181943</v>
      </c>
      <c r="L106" s="105">
        <f t="shared" si="57"/>
        <v>0.10838700153741544</v>
      </c>
    </row>
    <row r="107" spans="1:12" s="212" customFormat="1" ht="16" thickBot="1">
      <c r="A107" s="215" t="s">
        <v>46</v>
      </c>
      <c r="B107" s="214"/>
      <c r="C107" s="218">
        <f t="shared" ref="C107:E107" si="58">(C89+C69)/(C51)</f>
        <v>1.6489764973464747E-2</v>
      </c>
      <c r="D107" s="218">
        <f t="shared" si="58"/>
        <v>0.31336362793285732</v>
      </c>
      <c r="E107" s="218">
        <f t="shared" si="58"/>
        <v>0.27539182045812854</v>
      </c>
      <c r="F107" s="218">
        <f>(F87+F69)/(F51)</f>
        <v>0.19059167207641664</v>
      </c>
      <c r="G107" s="218">
        <f>(G87+G69)/(G51)</f>
        <v>0.20427988500417324</v>
      </c>
      <c r="H107" s="218">
        <f>(H87+H69)/(H51)</f>
        <v>0.17043030696466663</v>
      </c>
      <c r="I107" s="218">
        <f>(I87+I69)/(I51)</f>
        <v>0.12610127051840861</v>
      </c>
      <c r="J107" s="218">
        <f t="shared" si="38"/>
        <v>0.15410831864972643</v>
      </c>
      <c r="K107" s="218">
        <f>(K87+K69)/(K51)</f>
        <v>0.12568394695353799</v>
      </c>
      <c r="L107" s="218">
        <f>(L87+L69)/(L51)</f>
        <v>8.2106092924047122E-2</v>
      </c>
    </row>
    <row r="108" spans="1:12" ht="17" thickTop="1" thickBot="1"/>
    <row r="109" spans="1:12" ht="29" customHeight="1">
      <c r="C109" s="220" t="s">
        <v>393</v>
      </c>
      <c r="D109" s="220" t="s">
        <v>392</v>
      </c>
      <c r="E109" s="220" t="s">
        <v>394</v>
      </c>
      <c r="G109" s="389" t="s">
        <v>397</v>
      </c>
      <c r="H109" s="280" t="s">
        <v>393</v>
      </c>
      <c r="I109" s="280" t="s">
        <v>395</v>
      </c>
      <c r="J109" s="281" t="s">
        <v>396</v>
      </c>
    </row>
    <row r="110" spans="1:12">
      <c r="A110" s="14" t="s">
        <v>98</v>
      </c>
      <c r="C110">
        <f>COUNTIFS(Collection!P:P,"&lt;&gt;*n/a*",Collection!P:P,"?*",Collection!B:B, 'Total Larvae to Date'!A110)</f>
        <v>3</v>
      </c>
      <c r="D110" s="17">
        <f>SUMIFS(Collection!Q:Q,Collection!P:P,"&lt;&gt;*n/a*",Collection!P:P,"?*",Collection!B:B, 'Total Larvae to Date'!A110)</f>
        <v>481353.33333333331</v>
      </c>
      <c r="E110" s="17">
        <f>D110/C110</f>
        <v>160451.11111111109</v>
      </c>
      <c r="G110" s="203" t="s">
        <v>84</v>
      </c>
      <c r="H110" s="23">
        <f>SUM(C110:C111)</f>
        <v>5</v>
      </c>
      <c r="I110" s="118">
        <f>SUM(D110:D111)</f>
        <v>550120</v>
      </c>
      <c r="J110" s="390">
        <f>I110/H110</f>
        <v>110024</v>
      </c>
    </row>
    <row r="111" spans="1:12">
      <c r="A111" s="7" t="s">
        <v>31</v>
      </c>
      <c r="C111">
        <f>COUNTIFS(Collection!P:P,"&lt;&gt;*n/a*",Collection!P:P,"?*",Collection!B:B, 'Total Larvae to Date'!A111)</f>
        <v>2</v>
      </c>
      <c r="D111" s="17">
        <f>SUMIFS(Collection!Q:Q,Collection!P:P,"&lt;&gt;*n/a*",Collection!P:P,"?*",Collection!B:B, 'Total Larvae to Date'!A111)</f>
        <v>68766.666666666657</v>
      </c>
      <c r="E111" s="17">
        <f t="shared" ref="E111:E133" si="59">D111/C111</f>
        <v>34383.333333333328</v>
      </c>
      <c r="G111" s="203" t="s">
        <v>83</v>
      </c>
      <c r="H111" s="23">
        <f>SUM(C112:C113)</f>
        <v>2</v>
      </c>
      <c r="I111" s="118">
        <f>SUM(D112:D113)</f>
        <v>157116.66666666663</v>
      </c>
      <c r="J111" s="390">
        <f t="shared" ref="J111:J125" si="60">I111/H111</f>
        <v>78558.333333333314</v>
      </c>
    </row>
    <row r="112" spans="1:12">
      <c r="A112" s="14" t="s">
        <v>49</v>
      </c>
      <c r="C112">
        <f>COUNTIFS(Collection!P:P,"&lt;&gt;*n/a*",Collection!P:P,"?*",Collection!B:B, 'Total Larvae to Date'!A112)</f>
        <v>0</v>
      </c>
      <c r="D112" s="17">
        <f>SUMIFS(Collection!Q:Q,Collection!P:P,"&lt;&gt;*n/a*",Collection!P:P,"?*",Collection!B:B, 'Total Larvae to Date'!A112)</f>
        <v>0</v>
      </c>
      <c r="E112" s="17" t="e">
        <f t="shared" si="59"/>
        <v>#DIV/0!</v>
      </c>
      <c r="G112" s="203" t="s">
        <v>85</v>
      </c>
      <c r="H112" s="23">
        <f>SUM(C114:C115)</f>
        <v>2</v>
      </c>
      <c r="I112" s="118">
        <f>SUM(D114:D115)</f>
        <v>146033.33333333331</v>
      </c>
      <c r="J112" s="390">
        <f t="shared" si="60"/>
        <v>73016.666666666657</v>
      </c>
    </row>
    <row r="113" spans="1:10">
      <c r="A113" s="7" t="s">
        <v>47</v>
      </c>
      <c r="C113">
        <f>COUNTIFS(Collection!P:P,"&lt;&gt;*n/a*",Collection!P:P,"?*",Collection!B:B, 'Total Larvae to Date'!A113)</f>
        <v>2</v>
      </c>
      <c r="D113" s="17">
        <f>SUMIFS(Collection!Q:Q,Collection!P:P,"&lt;&gt;*n/a*",Collection!P:P,"?*",Collection!B:B, 'Total Larvae to Date'!A113)</f>
        <v>157116.66666666663</v>
      </c>
      <c r="E113" s="17">
        <f t="shared" si="59"/>
        <v>78558.333333333314</v>
      </c>
      <c r="G113" s="203" t="s">
        <v>105</v>
      </c>
      <c r="H113" s="23">
        <f>SUM(C116:C117)</f>
        <v>7</v>
      </c>
      <c r="I113" s="118">
        <f>SUM(D116:D117)</f>
        <v>752835</v>
      </c>
      <c r="J113" s="390">
        <f t="shared" si="60"/>
        <v>107547.85714285714</v>
      </c>
    </row>
    <row r="114" spans="1:10">
      <c r="A114" s="7" t="s">
        <v>50</v>
      </c>
      <c r="C114">
        <f>COUNTIFS(Collection!P:P,"&lt;&gt;*n/a*",Collection!P:P,"?*",Collection!B:B, 'Total Larvae to Date'!A114)</f>
        <v>1</v>
      </c>
      <c r="D114" s="17">
        <f>SUMIFS(Collection!Q:Q,Collection!P:P,"&lt;&gt;*n/a*",Collection!P:P,"?*",Collection!B:B, 'Total Larvae to Date'!A114)</f>
        <v>60599.999999999985</v>
      </c>
      <c r="E114" s="17">
        <f t="shared" si="59"/>
        <v>60599.999999999985</v>
      </c>
      <c r="G114" s="203" t="s">
        <v>86</v>
      </c>
      <c r="H114" s="23">
        <f>SUM(C118:C119)</f>
        <v>13</v>
      </c>
      <c r="I114" s="118">
        <f>SUM(D118:D119)</f>
        <v>1332420</v>
      </c>
      <c r="J114" s="390">
        <f t="shared" si="60"/>
        <v>102493.84615384616</v>
      </c>
    </row>
    <row r="115" spans="1:10">
      <c r="A115" s="14" t="s">
        <v>39</v>
      </c>
      <c r="C115">
        <f>COUNTIFS(Collection!P:P,"&lt;&gt;*n/a*",Collection!P:P,"?*",Collection!B:B, 'Total Larvae to Date'!A115)</f>
        <v>1</v>
      </c>
      <c r="D115" s="17">
        <f>SUMIFS(Collection!Q:Q,Collection!P:P,"&lt;&gt;*n/a*",Collection!P:P,"?*",Collection!B:B, 'Total Larvae to Date'!A115)</f>
        <v>85433.333333333328</v>
      </c>
      <c r="E115" s="17">
        <f t="shared" si="59"/>
        <v>85433.333333333328</v>
      </c>
      <c r="G115" s="203" t="s">
        <v>74</v>
      </c>
      <c r="H115" s="23">
        <f>SUM(C120:C121)</f>
        <v>8</v>
      </c>
      <c r="I115" s="118">
        <f>SUM(D120:D121)</f>
        <v>725306.66666666674</v>
      </c>
      <c r="J115" s="390">
        <f t="shared" si="60"/>
        <v>90663.333333333343</v>
      </c>
    </row>
    <row r="116" spans="1:10">
      <c r="A116" s="7" t="s">
        <v>121</v>
      </c>
      <c r="C116">
        <f>COUNTIFS(Collection!P:P,"&lt;&gt;*n/a*",Collection!P:P,"?*",Collection!B:B, 'Total Larvae to Date'!A116)</f>
        <v>4</v>
      </c>
      <c r="D116" s="17">
        <f>SUMIFS(Collection!Q:Q,Collection!P:P,"&lt;&gt;*n/a*",Collection!P:P,"?*",Collection!B:B, 'Total Larvae to Date'!A116)</f>
        <v>336685</v>
      </c>
      <c r="E116" s="17">
        <f t="shared" si="59"/>
        <v>84171.25</v>
      </c>
      <c r="G116" s="203" t="s">
        <v>87</v>
      </c>
      <c r="H116" s="23">
        <f>SUM(C122:C123)</f>
        <v>7</v>
      </c>
      <c r="I116" s="118">
        <f>SUM(D122:D123)</f>
        <v>947383.33333333337</v>
      </c>
      <c r="J116" s="390">
        <f t="shared" si="60"/>
        <v>135340.47619047618</v>
      </c>
    </row>
    <row r="117" spans="1:10">
      <c r="A117" s="14" t="s">
        <v>97</v>
      </c>
      <c r="C117">
        <f>COUNTIFS(Collection!P:P,"&lt;&gt;*n/a*",Collection!P:P,"?*",Collection!B:B, 'Total Larvae to Date'!A117)</f>
        <v>3</v>
      </c>
      <c r="D117" s="17">
        <f>SUMIFS(Collection!Q:Q,Collection!P:P,"&lt;&gt;*n/a*",Collection!P:P,"?*",Collection!B:B, 'Total Larvae to Date'!A117)</f>
        <v>416150</v>
      </c>
      <c r="E117" s="17">
        <f t="shared" si="59"/>
        <v>138716.66666666666</v>
      </c>
      <c r="G117" s="203" t="s">
        <v>77</v>
      </c>
      <c r="H117" s="23">
        <f>SUM(C124:C125)</f>
        <v>10</v>
      </c>
      <c r="I117" s="118">
        <f>SUM(D124:D125)</f>
        <v>1474860</v>
      </c>
      <c r="J117" s="390">
        <f t="shared" si="60"/>
        <v>147486</v>
      </c>
    </row>
    <row r="118" spans="1:10">
      <c r="A118" s="7" t="s">
        <v>27</v>
      </c>
      <c r="C118">
        <f>COUNTIFS(Collection!P:P,"&lt;&gt;*n/a*",Collection!P:P,"?*",Collection!B:B, 'Total Larvae to Date'!A118)</f>
        <v>6</v>
      </c>
      <c r="D118" s="17">
        <f>SUMIFS(Collection!Q:Q,Collection!P:P,"&lt;&gt;*n/a*",Collection!P:P,"?*",Collection!B:B, 'Total Larvae to Date'!A118)</f>
        <v>941696.66666666674</v>
      </c>
      <c r="E118" s="17">
        <f t="shared" si="59"/>
        <v>156949.44444444447</v>
      </c>
      <c r="G118" s="203" t="s">
        <v>88</v>
      </c>
      <c r="H118" s="23">
        <f>C126</f>
        <v>4</v>
      </c>
      <c r="I118" s="118">
        <f>D126</f>
        <v>306610</v>
      </c>
      <c r="J118" s="390">
        <f t="shared" si="60"/>
        <v>76652.5</v>
      </c>
    </row>
    <row r="119" spans="1:10">
      <c r="A119" s="7" t="s">
        <v>23</v>
      </c>
      <c r="C119">
        <f>COUNTIFS(Collection!P:P,"&lt;&gt;*n/a*",Collection!P:P,"?*",Collection!B:B, 'Total Larvae to Date'!A119)</f>
        <v>7</v>
      </c>
      <c r="D119" s="17">
        <f>SUMIFS(Collection!Q:Q,Collection!P:P,"&lt;&gt;*n/a*",Collection!P:P,"?*",Collection!B:B, 'Total Larvae to Date'!A119)</f>
        <v>390723.33333333331</v>
      </c>
      <c r="E119" s="17">
        <f t="shared" si="59"/>
        <v>55817.619047619046</v>
      </c>
      <c r="G119" s="203" t="s">
        <v>109</v>
      </c>
      <c r="H119" s="23">
        <f>C127</f>
        <v>5</v>
      </c>
      <c r="I119" s="118">
        <f>D127</f>
        <v>394313.33333333331</v>
      </c>
      <c r="J119" s="390">
        <f t="shared" si="60"/>
        <v>78862.666666666657</v>
      </c>
    </row>
    <row r="120" spans="1:10">
      <c r="A120" s="7" t="s">
        <v>24</v>
      </c>
      <c r="C120">
        <f>COUNTIFS(Collection!P:P,"&lt;&gt;*n/a*",Collection!P:P,"?*",Collection!B:B, 'Total Larvae to Date'!A120)</f>
        <v>2</v>
      </c>
      <c r="D120" s="17">
        <f>SUMIFS(Collection!Q:Q,Collection!P:P,"&lt;&gt;*n/a*",Collection!P:P,"?*",Collection!B:B, 'Total Larvae to Date'!A120)</f>
        <v>32900</v>
      </c>
      <c r="E120" s="17">
        <f t="shared" si="59"/>
        <v>16450</v>
      </c>
      <c r="G120" s="203" t="s">
        <v>119</v>
      </c>
      <c r="H120" s="23">
        <f>C128</f>
        <v>1</v>
      </c>
      <c r="I120" s="118">
        <f>D128</f>
        <v>39400</v>
      </c>
      <c r="J120" s="390">
        <f t="shared" si="60"/>
        <v>39400</v>
      </c>
    </row>
    <row r="121" spans="1:10">
      <c r="A121" s="14" t="s">
        <v>34</v>
      </c>
      <c r="C121">
        <f>COUNTIFS(Collection!P:P,"&lt;&gt;*n/a*",Collection!P:P,"?*",Collection!B:B, 'Total Larvae to Date'!A121)</f>
        <v>6</v>
      </c>
      <c r="D121" s="17">
        <f>SUMIFS(Collection!Q:Q,Collection!P:P,"&lt;&gt;*n/a*",Collection!P:P,"?*",Collection!B:B, 'Total Larvae to Date'!A121)</f>
        <v>692406.66666666674</v>
      </c>
      <c r="E121" s="17">
        <f t="shared" si="59"/>
        <v>115401.11111111112</v>
      </c>
      <c r="G121" s="203" t="s">
        <v>21</v>
      </c>
      <c r="H121" s="23">
        <f>C129</f>
        <v>3</v>
      </c>
      <c r="I121" s="118">
        <f>D129</f>
        <v>553900</v>
      </c>
      <c r="J121" s="390">
        <f t="shared" si="60"/>
        <v>184633.33333333334</v>
      </c>
    </row>
    <row r="122" spans="1:10">
      <c r="A122" s="14" t="s">
        <v>25</v>
      </c>
      <c r="C122">
        <f>COUNTIFS(Collection!P:P,"&lt;&gt;*n/a*",Collection!P:P,"?*",Collection!B:B, 'Total Larvae to Date'!A122)</f>
        <v>1</v>
      </c>
      <c r="D122" s="17">
        <f>SUMIFS(Collection!Q:Q,Collection!P:P,"&lt;&gt;*n/a*",Collection!P:P,"?*",Collection!B:B, 'Total Larvae to Date'!A122)</f>
        <v>107100</v>
      </c>
      <c r="E122" s="17">
        <f t="shared" si="59"/>
        <v>107100</v>
      </c>
      <c r="G122" s="203" t="s">
        <v>17</v>
      </c>
      <c r="H122" s="23">
        <f>C130</f>
        <v>3</v>
      </c>
      <c r="I122" s="118">
        <f>D130</f>
        <v>27843.333333333328</v>
      </c>
      <c r="J122" s="390">
        <f t="shared" si="60"/>
        <v>9281.1111111111095</v>
      </c>
    </row>
    <row r="123" spans="1:10">
      <c r="A123" s="7" t="s">
        <v>36</v>
      </c>
      <c r="C123">
        <f>COUNTIFS(Collection!P:P,"&lt;&gt;*n/a*",Collection!P:P,"?*",Collection!B:B, 'Total Larvae to Date'!A123)</f>
        <v>6</v>
      </c>
      <c r="D123" s="17">
        <f>SUMIFS(Collection!Q:Q,Collection!P:P,"&lt;&gt;*n/a*",Collection!P:P,"?*",Collection!B:B, 'Total Larvae to Date'!A123)</f>
        <v>840283.33333333337</v>
      </c>
      <c r="E123" s="17">
        <f t="shared" si="59"/>
        <v>140047.22222222222</v>
      </c>
      <c r="G123" s="203" t="s">
        <v>20</v>
      </c>
      <c r="H123" s="23">
        <f>C131</f>
        <v>3</v>
      </c>
      <c r="I123" s="118">
        <f>D131</f>
        <v>338016.66666666663</v>
      </c>
      <c r="J123" s="390">
        <f t="shared" si="60"/>
        <v>112672.2222222222</v>
      </c>
    </row>
    <row r="124" spans="1:10">
      <c r="A124" s="7" t="s">
        <v>44</v>
      </c>
      <c r="C124">
        <f>COUNTIFS(Collection!P:P,"&lt;&gt;*n/a*",Collection!P:P,"?*",Collection!B:B, 'Total Larvae to Date'!A124)</f>
        <v>4</v>
      </c>
      <c r="D124" s="17">
        <f>SUMIFS(Collection!Q:Q,Collection!P:P,"&lt;&gt;*n/a*",Collection!P:P,"?*",Collection!B:B, 'Total Larvae to Date'!A124)</f>
        <v>399900.00000000006</v>
      </c>
      <c r="E124" s="17">
        <f t="shared" si="59"/>
        <v>99975.000000000015</v>
      </c>
      <c r="G124" s="203" t="s">
        <v>38</v>
      </c>
      <c r="H124" s="23">
        <f>C132</f>
        <v>4</v>
      </c>
      <c r="I124" s="118">
        <f>D132</f>
        <v>163776.66666666669</v>
      </c>
      <c r="J124" s="390">
        <f t="shared" si="60"/>
        <v>40944.166666666672</v>
      </c>
    </row>
    <row r="125" spans="1:10" ht="16" thickBot="1">
      <c r="A125" s="7" t="s">
        <v>48</v>
      </c>
      <c r="C125">
        <f>COUNTIFS(Collection!P:P,"&lt;&gt;*n/a*",Collection!P:P,"?*",Collection!B:B, 'Total Larvae to Date'!A125)</f>
        <v>6</v>
      </c>
      <c r="D125" s="17">
        <f>SUMIFS(Collection!Q:Q,Collection!P:P,"&lt;&gt;*n/a*",Collection!P:P,"?*",Collection!B:B, 'Total Larvae to Date'!A125)</f>
        <v>1074960</v>
      </c>
      <c r="E125" s="17">
        <f t="shared" si="59"/>
        <v>179160</v>
      </c>
      <c r="G125" s="204" t="s">
        <v>46</v>
      </c>
      <c r="H125" s="27">
        <f>C133</f>
        <v>5</v>
      </c>
      <c r="I125" s="119">
        <f>D133</f>
        <v>190356.66666666666</v>
      </c>
      <c r="J125" s="391">
        <f t="shared" si="60"/>
        <v>38071.333333333328</v>
      </c>
    </row>
    <row r="126" spans="1:10">
      <c r="A126" s="14" t="s">
        <v>88</v>
      </c>
      <c r="C126">
        <f>COUNTIFS(Collection!P:P,"&lt;&gt;*n/a*",Collection!P:P,"?*",Collection!B:B, 'Total Larvae to Date'!A126)</f>
        <v>4</v>
      </c>
      <c r="D126" s="17">
        <f>SUMIFS(Collection!Q:Q,Collection!P:P,"&lt;&gt;*n/a*",Collection!P:P,"?*",Collection!B:B, 'Total Larvae to Date'!A126)</f>
        <v>306610</v>
      </c>
      <c r="E126" s="17">
        <f t="shared" si="59"/>
        <v>76652.5</v>
      </c>
      <c r="H126" s="258"/>
    </row>
    <row r="127" spans="1:10">
      <c r="A127" s="14" t="s">
        <v>109</v>
      </c>
      <c r="C127">
        <f>COUNTIFS(Collection!P:P,"&lt;&gt;*n/a*",Collection!P:P,"?*",Collection!B:B, 'Total Larvae to Date'!A127)</f>
        <v>5</v>
      </c>
      <c r="D127" s="17">
        <f>SUMIFS(Collection!Q:Q,Collection!P:P,"&lt;&gt;*n/a*",Collection!P:P,"?*",Collection!B:B, 'Total Larvae to Date'!A127)</f>
        <v>394313.33333333331</v>
      </c>
      <c r="E127" s="17">
        <f t="shared" si="59"/>
        <v>78862.666666666657</v>
      </c>
    </row>
    <row r="128" spans="1:10">
      <c r="A128" s="14" t="s">
        <v>119</v>
      </c>
      <c r="C128">
        <f>COUNTIFS(Collection!P:P,"&lt;&gt;*n/a*",Collection!P:P,"?*",Collection!B:B, 'Total Larvae to Date'!A128)</f>
        <v>1</v>
      </c>
      <c r="D128" s="17">
        <f>SUMIFS(Collection!Q:Q,Collection!P:P,"&lt;&gt;*n/a*",Collection!P:P,"?*",Collection!B:B, 'Total Larvae to Date'!A128)</f>
        <v>39400</v>
      </c>
      <c r="E128" s="17">
        <f t="shared" si="59"/>
        <v>39400</v>
      </c>
    </row>
    <row r="129" spans="1:5">
      <c r="A129" s="7" t="s">
        <v>21</v>
      </c>
      <c r="C129">
        <f>COUNTIFS(Collection!P:P,"&lt;&gt;*n/a*",Collection!P:P,"?*",Collection!B:B, 'Total Larvae to Date'!A129)</f>
        <v>3</v>
      </c>
      <c r="D129" s="17">
        <f>SUMIFS(Collection!Q:Q,Collection!P:P,"&lt;&gt;*n/a*",Collection!P:P,"?*",Collection!B:B, 'Total Larvae to Date'!A129)</f>
        <v>553900</v>
      </c>
      <c r="E129" s="17">
        <f t="shared" si="59"/>
        <v>184633.33333333334</v>
      </c>
    </row>
    <row r="130" spans="1:5">
      <c r="A130" s="14" t="s">
        <v>17</v>
      </c>
      <c r="C130">
        <f>COUNTIFS(Collection!P:P,"&lt;&gt;*n/a*",Collection!P:P,"?*",Collection!B:B, 'Total Larvae to Date'!A130)</f>
        <v>3</v>
      </c>
      <c r="D130" s="17">
        <f>SUMIFS(Collection!Q:Q,Collection!P:P,"&lt;&gt;*n/a*",Collection!P:P,"?*",Collection!B:B, 'Total Larvae to Date'!A130)</f>
        <v>27843.333333333328</v>
      </c>
      <c r="E130" s="17">
        <f t="shared" si="59"/>
        <v>9281.1111111111095</v>
      </c>
    </row>
    <row r="131" spans="1:5">
      <c r="A131" s="7" t="s">
        <v>20</v>
      </c>
      <c r="C131">
        <f>COUNTIFS(Collection!P:P,"&lt;&gt;*n/a*",Collection!P:P,"?*",Collection!B:B, 'Total Larvae to Date'!A131)</f>
        <v>3</v>
      </c>
      <c r="D131" s="17">
        <f>SUMIFS(Collection!Q:Q,Collection!P:P,"&lt;&gt;*n/a*",Collection!P:P,"?*",Collection!B:B, 'Total Larvae to Date'!A131)</f>
        <v>338016.66666666663</v>
      </c>
      <c r="E131" s="17">
        <f t="shared" si="59"/>
        <v>112672.2222222222</v>
      </c>
    </row>
    <row r="132" spans="1:5">
      <c r="A132" s="7" t="s">
        <v>38</v>
      </c>
      <c r="C132">
        <f>COUNTIFS(Collection!P:P,"&lt;&gt;*n/a*",Collection!P:P,"?*",Collection!B:B, 'Total Larvae to Date'!A132)</f>
        <v>4</v>
      </c>
      <c r="D132" s="17">
        <f>SUMIFS(Collection!Q:Q,Collection!P:P,"&lt;&gt;*n/a*",Collection!P:P,"?*",Collection!B:B, 'Total Larvae to Date'!A132)</f>
        <v>163776.66666666669</v>
      </c>
      <c r="E132" s="17">
        <f t="shared" si="59"/>
        <v>40944.166666666672</v>
      </c>
    </row>
    <row r="133" spans="1:5" ht="16" thickBot="1">
      <c r="A133" s="213" t="s">
        <v>46</v>
      </c>
      <c r="C133">
        <f>COUNTIFS(Collection!P:P,"&lt;&gt;*n/a*",Collection!P:P,"?*",Collection!B:B, 'Total Larvae to Date'!A133)</f>
        <v>5</v>
      </c>
      <c r="D133" s="17">
        <f>SUMIFS(Collection!Q:Q,Collection!P:P,"&lt;&gt;*n/a*",Collection!P:P,"?*",Collection!B:B, 'Total Larvae to Date'!A133)</f>
        <v>190356.66666666666</v>
      </c>
      <c r="E133" s="17">
        <f t="shared" si="59"/>
        <v>38071.333333333328</v>
      </c>
    </row>
    <row r="134" spans="1:5" ht="16" thickTop="1"/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topLeftCell="AR1" zoomScale="80" zoomScaleNormal="80" zoomScalePageLayoutView="80" workbookViewId="0">
      <selection activeCell="BD75" sqref="BD75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0" t="s">
        <v>332</v>
      </c>
      <c r="AJ1" s="289" t="s">
        <v>331</v>
      </c>
      <c r="AK1" s="289"/>
      <c r="BE1" s="298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334</v>
      </c>
      <c r="AL2" s="33" t="s">
        <v>119</v>
      </c>
      <c r="AM2" s="293" t="s">
        <v>347</v>
      </c>
      <c r="AN2" s="33" t="s">
        <v>109</v>
      </c>
      <c r="AO2" s="33" t="s">
        <v>348</v>
      </c>
      <c r="AP2" s="33" t="s">
        <v>88</v>
      </c>
      <c r="AQ2" s="33" t="s">
        <v>335</v>
      </c>
      <c r="AR2" s="32" t="s">
        <v>46</v>
      </c>
      <c r="AS2" s="32" t="s">
        <v>336</v>
      </c>
      <c r="AT2" s="32" t="s">
        <v>38</v>
      </c>
      <c r="AU2" s="32" t="s">
        <v>337</v>
      </c>
      <c r="AV2" s="32" t="s">
        <v>20</v>
      </c>
      <c r="AW2" s="32" t="s">
        <v>336</v>
      </c>
      <c r="AX2" s="33" t="s">
        <v>17</v>
      </c>
      <c r="AY2" s="33" t="s">
        <v>338</v>
      </c>
      <c r="AZ2" s="31" t="s">
        <v>77</v>
      </c>
      <c r="BA2" s="31" t="s">
        <v>339</v>
      </c>
      <c r="BB2" s="31" t="s">
        <v>87</v>
      </c>
      <c r="BC2" s="31" t="s">
        <v>340</v>
      </c>
      <c r="BD2" s="31" t="s">
        <v>74</v>
      </c>
      <c r="BE2" s="299" t="s">
        <v>341</v>
      </c>
      <c r="BF2" s="31" t="s">
        <v>86</v>
      </c>
      <c r="BG2" s="31" t="s">
        <v>342</v>
      </c>
      <c r="BH2" s="31" t="s">
        <v>105</v>
      </c>
      <c r="BI2" s="31" t="s">
        <v>343</v>
      </c>
      <c r="BJ2" s="31" t="s">
        <v>85</v>
      </c>
      <c r="BK2" s="31" t="s">
        <v>344</v>
      </c>
      <c r="BL2" s="31" t="s">
        <v>83</v>
      </c>
      <c r="BM2" s="31" t="s">
        <v>345</v>
      </c>
      <c r="BN2" s="31" t="s">
        <v>84</v>
      </c>
      <c r="BO2" s="31" t="s">
        <v>346</v>
      </c>
    </row>
    <row r="3" spans="1:67" s="31" customFormat="1" ht="47" customHeight="1">
      <c r="A3" s="291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8">
        <f>SUM($S3:S$4)</f>
        <v>0</v>
      </c>
      <c r="AK3" s="288">
        <f>AJ3/Resources!$B$10</f>
        <v>0</v>
      </c>
      <c r="AL3" s="288">
        <f>SUM($Y3:Y$4)</f>
        <v>0</v>
      </c>
      <c r="AM3" s="294">
        <f>AL3/Resources!$B$11</f>
        <v>0</v>
      </c>
      <c r="AN3" s="288">
        <f>SUM($L3:L$4)</f>
        <v>0</v>
      </c>
      <c r="AO3" s="288">
        <f>AN3/Resources!$B$12</f>
        <v>0</v>
      </c>
      <c r="AP3" s="288">
        <f>SUM($R3:R$4)</f>
        <v>0</v>
      </c>
      <c r="AQ3" s="288">
        <f>AP3/Resources!$B$13</f>
        <v>0</v>
      </c>
      <c r="AR3" s="288">
        <v>0</v>
      </c>
      <c r="AS3" s="288">
        <f>AR3/Resources!$B$14</f>
        <v>0</v>
      </c>
      <c r="AT3" s="288">
        <v>0</v>
      </c>
      <c r="AU3" s="288">
        <f>AT3/Resources!$B$15</f>
        <v>0</v>
      </c>
      <c r="AV3" s="288">
        <v>0</v>
      </c>
      <c r="AW3" s="288">
        <f>AV3/Resources!$B$16</f>
        <v>0</v>
      </c>
      <c r="AX3" s="288">
        <v>0</v>
      </c>
      <c r="AY3" s="288">
        <f>AX3/Resources!$B$17</f>
        <v>0</v>
      </c>
      <c r="AZ3" s="288">
        <v>0</v>
      </c>
      <c r="BA3" s="288">
        <f>AZ3/Resources!$B$6</f>
        <v>0</v>
      </c>
      <c r="BB3" s="288">
        <v>0</v>
      </c>
      <c r="BC3" s="288">
        <f>BB3/Resources!$B$7</f>
        <v>0</v>
      </c>
      <c r="BD3" s="288">
        <v>0</v>
      </c>
      <c r="BE3" s="300">
        <f>BD3/Resources!$B$8</f>
        <v>0</v>
      </c>
      <c r="BF3" s="288">
        <v>0</v>
      </c>
      <c r="BG3" s="288">
        <f>BF3/Resources!$B$9</f>
        <v>0</v>
      </c>
      <c r="BH3" s="288">
        <v>0</v>
      </c>
      <c r="BI3" s="288">
        <f>BH3/Resources!$B$2</f>
        <v>0</v>
      </c>
      <c r="BJ3" s="288">
        <v>0</v>
      </c>
      <c r="BK3" s="288">
        <f>BJ3/Resources!$B$3</f>
        <v>0</v>
      </c>
      <c r="BL3" s="288">
        <v>0</v>
      </c>
      <c r="BM3" s="288">
        <f>BL3/Resources!$B$4</f>
        <v>0</v>
      </c>
      <c r="BN3" s="288">
        <v>0</v>
      </c>
      <c r="BO3" s="296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88">
        <f>SUM(Q4,P4)</f>
        <v>0</v>
      </c>
      <c r="AJ4" s="288">
        <f>SUM($S$4:S4)</f>
        <v>0</v>
      </c>
      <c r="AK4" s="288">
        <f>AJ4/Resources!$B$10</f>
        <v>0</v>
      </c>
      <c r="AL4" s="288">
        <f>SUM($Y$4:Y4)</f>
        <v>0</v>
      </c>
      <c r="AM4" s="295">
        <f>AL4/Resources!$B$11</f>
        <v>0</v>
      </c>
      <c r="AN4" s="288">
        <f>SUM($L$4:L4)</f>
        <v>0</v>
      </c>
      <c r="AO4" s="288">
        <f>AN4/Resources!$B$12</f>
        <v>0</v>
      </c>
      <c r="AP4" s="288">
        <f>SUM($R$4:R4)</f>
        <v>0</v>
      </c>
      <c r="AQ4" s="288">
        <f>AP4/Resources!$B$13</f>
        <v>0</v>
      </c>
      <c r="AR4" s="288">
        <f>SUM($N$4:N4)</f>
        <v>0</v>
      </c>
      <c r="AS4" s="288">
        <f>AR4/Resources!$B$14</f>
        <v>0</v>
      </c>
      <c r="AT4" s="288">
        <f>SUM($U$4:U4)</f>
        <v>0</v>
      </c>
      <c r="AU4" s="288">
        <f>AT4/Resources!$B$15</f>
        <v>0</v>
      </c>
      <c r="AV4" s="288">
        <f>SUM($J$4:J4)</f>
        <v>37200</v>
      </c>
      <c r="AW4" s="288">
        <f>AV4/Resources!$B$16</f>
        <v>379.59183673469386</v>
      </c>
      <c r="AX4" s="288">
        <f>SUM($O$4:O4)</f>
        <v>47400</v>
      </c>
      <c r="AY4" s="288">
        <f>AX4/Resources!$B$17</f>
        <v>451.42857142857144</v>
      </c>
      <c r="AZ4" s="288">
        <f>SUM($I$4:I4,$K$4:K4)</f>
        <v>0</v>
      </c>
      <c r="BA4" s="288">
        <f>AZ4/Resources!$B$6</f>
        <v>0</v>
      </c>
      <c r="BB4" s="288">
        <f>SUM($D$4:D4,$G$4:G4)</f>
        <v>0</v>
      </c>
      <c r="BC4" s="288">
        <f>BB4/Resources!$B$7</f>
        <v>0</v>
      </c>
      <c r="BD4" s="288">
        <f>SUM($C$4:C4,$H$4:H4)</f>
        <v>0</v>
      </c>
      <c r="BE4" s="300">
        <f>BD4/Resources!$B$8</f>
        <v>0</v>
      </c>
      <c r="BF4" s="288">
        <f>SUM($B$4:B4,$F$4:F4)</f>
        <v>0</v>
      </c>
      <c r="BG4" s="288">
        <f>BF4/Resources!$B$9</f>
        <v>0</v>
      </c>
      <c r="BH4" s="288">
        <f>SUM($X$4:X4,$E$4:E4)</f>
        <v>0</v>
      </c>
      <c r="BI4" s="288">
        <f>BH4/Resources!$B$2</f>
        <v>0</v>
      </c>
      <c r="BJ4" s="288">
        <f>SUM($V$4:V4,$T$4:T4)</f>
        <v>0</v>
      </c>
      <c r="BK4" s="288">
        <f>BJ4/Resources!$B$3</f>
        <v>0</v>
      </c>
      <c r="BL4" s="288">
        <f>SUM($W$4:W4, $M$4:M4)</f>
        <v>0</v>
      </c>
      <c r="BM4" s="288">
        <f>BL4/Resources!$B$4</f>
        <v>0</v>
      </c>
      <c r="BN4" s="288">
        <f>SUM($P$4:P4,$Q$4:Q4)</f>
        <v>0</v>
      </c>
      <c r="BO4" s="297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88">
        <f t="shared" ref="AH5:AH64" si="7">SUM(Q5,P5)</f>
        <v>0</v>
      </c>
      <c r="AJ5" s="288">
        <f>SUM($S$4:S5)</f>
        <v>0</v>
      </c>
      <c r="AK5" s="288">
        <f>AJ5/Resources!$B$10</f>
        <v>0</v>
      </c>
      <c r="AL5" s="288">
        <f>SUM($Y$4:Y5)</f>
        <v>0</v>
      </c>
      <c r="AM5" s="295">
        <f>AL5/Resources!$B$11</f>
        <v>0</v>
      </c>
      <c r="AN5" s="288">
        <f>SUM($L$4:L5)</f>
        <v>0</v>
      </c>
      <c r="AO5" s="288">
        <f>AN5/Resources!$B$12</f>
        <v>0</v>
      </c>
      <c r="AP5" s="288">
        <f>SUM($R$4:R5)</f>
        <v>0</v>
      </c>
      <c r="AQ5" s="288">
        <f>AP5/Resources!$B$13</f>
        <v>0</v>
      </c>
      <c r="AR5" s="288">
        <f>SUM($N$4:N5)</f>
        <v>0</v>
      </c>
      <c r="AS5" s="288">
        <f>AR5/Resources!$B$14</f>
        <v>0</v>
      </c>
      <c r="AT5" s="288">
        <f>SUM($U$4:U5)</f>
        <v>0</v>
      </c>
      <c r="AU5" s="288">
        <f>AT5/Resources!$B$15</f>
        <v>0</v>
      </c>
      <c r="AV5" s="288">
        <f>SUM($J$4:J5)</f>
        <v>37200</v>
      </c>
      <c r="AW5" s="288">
        <f>AV5/Resources!$B$16</f>
        <v>379.59183673469386</v>
      </c>
      <c r="AX5" s="288">
        <f>SUM($O$4:O5)</f>
        <v>47400</v>
      </c>
      <c r="AY5" s="288">
        <f>AX5/Resources!$B$17</f>
        <v>451.42857142857144</v>
      </c>
      <c r="AZ5" s="288">
        <f>SUM($I$4:I5,$K$4:K5)</f>
        <v>0</v>
      </c>
      <c r="BA5" s="288">
        <f>AZ5/Resources!$B$6</f>
        <v>0</v>
      </c>
      <c r="BB5" s="288">
        <f>SUM($D$4:D5,$G$4:G5)</f>
        <v>0</v>
      </c>
      <c r="BC5" s="288">
        <f>BB5/Resources!$B$7</f>
        <v>0</v>
      </c>
      <c r="BD5" s="288">
        <f>SUM($C$4:C5,$H$4:H5)</f>
        <v>0</v>
      </c>
      <c r="BE5" s="300">
        <f>BD5/Resources!$B$8</f>
        <v>0</v>
      </c>
      <c r="BF5" s="288">
        <f>SUM($B$4:B5,$F$4:F5)</f>
        <v>0</v>
      </c>
      <c r="BG5" s="288">
        <f>BF5/Resources!$B$9</f>
        <v>0</v>
      </c>
      <c r="BH5" s="288">
        <f>SUM($X$4:X5,$E$4:E5)</f>
        <v>0</v>
      </c>
      <c r="BI5" s="288">
        <f>BH5/Resources!$B$2</f>
        <v>0</v>
      </c>
      <c r="BJ5" s="288">
        <f>SUM($V$4:V5,$T$4:T5)</f>
        <v>0</v>
      </c>
      <c r="BK5" s="288">
        <f>BJ5/Resources!$B$3</f>
        <v>0</v>
      </c>
      <c r="BL5" s="288">
        <f>SUM($W$4:W5, $M$4:M5)</f>
        <v>0</v>
      </c>
      <c r="BM5" s="288">
        <f>BL5/Resources!$B$4</f>
        <v>0</v>
      </c>
      <c r="BN5" s="288">
        <f>SUM($P$4:P5,$Q$4:Q5)</f>
        <v>0</v>
      </c>
      <c r="BO5" s="297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88">
        <f t="shared" si="7"/>
        <v>0</v>
      </c>
      <c r="AJ6" s="288">
        <f>SUM($S$4:S6)</f>
        <v>3483.3333333333335</v>
      </c>
      <c r="AK6" s="288">
        <f>AJ6/Resources!$B$10</f>
        <v>290.27777777777777</v>
      </c>
      <c r="AL6" s="288">
        <f>SUM($Y$4:Y6)</f>
        <v>0</v>
      </c>
      <c r="AM6" s="295">
        <f>AL6/Resources!$B$11</f>
        <v>0</v>
      </c>
      <c r="AN6" s="288">
        <f>SUM($L$4:L6)</f>
        <v>0</v>
      </c>
      <c r="AO6" s="288">
        <f>AN6/Resources!$B$12</f>
        <v>0</v>
      </c>
      <c r="AP6" s="288">
        <f>SUM($R$4:R6)</f>
        <v>0</v>
      </c>
      <c r="AQ6" s="288">
        <f>AP6/Resources!$B$13</f>
        <v>0</v>
      </c>
      <c r="AR6" s="288">
        <f>SUM($N$4:N6)</f>
        <v>0</v>
      </c>
      <c r="AS6" s="288">
        <f>AR6/Resources!$B$14</f>
        <v>0</v>
      </c>
      <c r="AT6" s="288">
        <f>SUM($U$4:U6)</f>
        <v>0</v>
      </c>
      <c r="AU6" s="288">
        <f>AT6/Resources!$B$15</f>
        <v>0</v>
      </c>
      <c r="AV6" s="288">
        <f>SUM($J$4:J6)</f>
        <v>37200</v>
      </c>
      <c r="AW6" s="288">
        <f>AV6/Resources!$B$16</f>
        <v>379.59183673469386</v>
      </c>
      <c r="AX6" s="288">
        <f>SUM($O$4:O6)</f>
        <v>47400</v>
      </c>
      <c r="AY6" s="288">
        <f>AX6/Resources!$B$17</f>
        <v>451.42857142857144</v>
      </c>
      <c r="AZ6" s="288">
        <f>SUM($I$4:I6,$K$4:K6)</f>
        <v>0</v>
      </c>
      <c r="BA6" s="288">
        <f>AZ6/Resources!$B$6</f>
        <v>0</v>
      </c>
      <c r="BB6" s="288">
        <f>SUM($D$4:D6,$G$4:G6)</f>
        <v>0</v>
      </c>
      <c r="BC6" s="288">
        <f>BB6/Resources!$B$7</f>
        <v>0</v>
      </c>
      <c r="BD6" s="288">
        <f>SUM($C$4:C6,$H$4:H6)</f>
        <v>0</v>
      </c>
      <c r="BE6" s="300">
        <f>BD6/Resources!$B$8</f>
        <v>0</v>
      </c>
      <c r="BF6" s="288">
        <f>SUM($B$4:B6,$F$4:F6)</f>
        <v>0</v>
      </c>
      <c r="BG6" s="288">
        <f>BF6/Resources!$B$9</f>
        <v>0</v>
      </c>
      <c r="BH6" s="288">
        <f>SUM($X$4:X6,$E$4:E6)</f>
        <v>0</v>
      </c>
      <c r="BI6" s="288">
        <f>BH6/Resources!$B$2</f>
        <v>0</v>
      </c>
      <c r="BJ6" s="288">
        <f>SUM($V$4:V6,$T$4:T6)</f>
        <v>0</v>
      </c>
      <c r="BK6" s="288">
        <f>BJ6/Resources!$B$3</f>
        <v>0</v>
      </c>
      <c r="BL6" s="288">
        <f>SUM($W$4:W6, $M$4:M6)</f>
        <v>0</v>
      </c>
      <c r="BM6" s="288">
        <f>BL6/Resources!$B$4</f>
        <v>0</v>
      </c>
      <c r="BN6" s="288">
        <f>SUM($P$4:P6,$Q$4:Q6)</f>
        <v>0</v>
      </c>
      <c r="BO6" s="297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88">
        <f t="shared" si="7"/>
        <v>0</v>
      </c>
      <c r="AJ7" s="288">
        <f>SUM($S$4:S7)</f>
        <v>7327.7777777777774</v>
      </c>
      <c r="AK7" s="288">
        <f>AJ7/Resources!$B$10</f>
        <v>610.64814814814815</v>
      </c>
      <c r="AL7" s="288">
        <f>SUM($Y$4:Y7)</f>
        <v>0</v>
      </c>
      <c r="AM7" s="295">
        <f>AL7/Resources!$B$11</f>
        <v>0</v>
      </c>
      <c r="AN7" s="288">
        <f>SUM($L$4:L7)</f>
        <v>0</v>
      </c>
      <c r="AO7" s="288">
        <f>AN7/Resources!$B$12</f>
        <v>0</v>
      </c>
      <c r="AP7" s="288">
        <f>SUM($R$4:R7)</f>
        <v>0</v>
      </c>
      <c r="AQ7" s="288">
        <f>AP7/Resources!$B$13</f>
        <v>0</v>
      </c>
      <c r="AR7" s="288">
        <f>SUM($N$4:N7)</f>
        <v>0</v>
      </c>
      <c r="AS7" s="288">
        <f>AR7/Resources!$B$14</f>
        <v>0</v>
      </c>
      <c r="AT7" s="288">
        <f>SUM($U$4:U7)</f>
        <v>0</v>
      </c>
      <c r="AU7" s="288">
        <f>AT7/Resources!$B$15</f>
        <v>0</v>
      </c>
      <c r="AV7" s="288">
        <f>SUM($J$4:J7)</f>
        <v>89466.666666666657</v>
      </c>
      <c r="AW7" s="288">
        <f>AV7/Resources!$B$16</f>
        <v>912.92517006802711</v>
      </c>
      <c r="AX7" s="288">
        <f>SUM($O$4:O7)</f>
        <v>114200</v>
      </c>
      <c r="AY7" s="288">
        <f>AX7/Resources!$B$17</f>
        <v>1087.6190476190477</v>
      </c>
      <c r="AZ7" s="288">
        <f>SUM($I$4:I7,$K$4:K7)</f>
        <v>0</v>
      </c>
      <c r="BA7" s="288">
        <f>AZ7/Resources!$B$6</f>
        <v>0</v>
      </c>
      <c r="BB7" s="288">
        <f>SUM($D$4:D7,$G$4:G7)</f>
        <v>69066.666666666657</v>
      </c>
      <c r="BC7" s="288">
        <f>BB7/Resources!$B$7</f>
        <v>2302.2222222222217</v>
      </c>
      <c r="BD7" s="288">
        <f>SUM($C$4:C7,$H$4:H7)</f>
        <v>98000</v>
      </c>
      <c r="BE7" s="300">
        <f>BD7/Resources!$B$8</f>
        <v>3769.2307692307691</v>
      </c>
      <c r="BF7" s="288">
        <f>SUM($B$4:B7,$F$4:F7)</f>
        <v>80666.666666666657</v>
      </c>
      <c r="BG7" s="288">
        <f>BF7/Resources!$B$9</f>
        <v>2602.1505376344085</v>
      </c>
      <c r="BH7" s="288">
        <f>SUM($X$4:X7,$E$4:E7)</f>
        <v>0</v>
      </c>
      <c r="BI7" s="288">
        <f>BH7/Resources!$B$2</f>
        <v>0</v>
      </c>
      <c r="BJ7" s="288">
        <f>SUM($V$4:V7,$T$4:T7)</f>
        <v>0</v>
      </c>
      <c r="BK7" s="288">
        <f>BJ7/Resources!$B$3</f>
        <v>0</v>
      </c>
      <c r="BL7" s="288">
        <f>SUM($W$4:W7, $M$4:M7)</f>
        <v>0</v>
      </c>
      <c r="BM7" s="288">
        <f>BL7/Resources!$B$4</f>
        <v>0</v>
      </c>
      <c r="BN7" s="288">
        <f>SUM($P$4:P7,$Q$4:Q7)</f>
        <v>0</v>
      </c>
      <c r="BO7" s="297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88">
        <f t="shared" si="7"/>
        <v>0</v>
      </c>
      <c r="AJ8" s="288">
        <f>SUM($S$4:S8)</f>
        <v>7327.7777777777774</v>
      </c>
      <c r="AK8" s="288">
        <f>AJ8/Resources!$B$10</f>
        <v>610.64814814814815</v>
      </c>
      <c r="AL8" s="288">
        <f>SUM($Y$4:Y8)</f>
        <v>0</v>
      </c>
      <c r="AM8" s="295">
        <f>AL8/Resources!$B$11</f>
        <v>0</v>
      </c>
      <c r="AN8" s="288">
        <f>SUM($L$4:L8)</f>
        <v>0</v>
      </c>
      <c r="AO8" s="288">
        <f>AN8/Resources!$B$12</f>
        <v>0</v>
      </c>
      <c r="AP8" s="288">
        <f>SUM($R$4:R8)</f>
        <v>0</v>
      </c>
      <c r="AQ8" s="288">
        <f>AP8/Resources!$B$13</f>
        <v>0</v>
      </c>
      <c r="AR8" s="288">
        <f>SUM($N$4:N8)</f>
        <v>0</v>
      </c>
      <c r="AS8" s="288">
        <f>AR8/Resources!$B$14</f>
        <v>0</v>
      </c>
      <c r="AT8" s="288">
        <f>SUM($U$4:U8)</f>
        <v>0</v>
      </c>
      <c r="AU8" s="288">
        <f>AT8/Resources!$B$15</f>
        <v>0</v>
      </c>
      <c r="AV8" s="288">
        <f>SUM($J$4:J8)</f>
        <v>89466.666666666657</v>
      </c>
      <c r="AW8" s="288">
        <f>AV8/Resources!$B$16</f>
        <v>912.92517006802711</v>
      </c>
      <c r="AX8" s="288">
        <f>SUM($O$4:O8)</f>
        <v>114200</v>
      </c>
      <c r="AY8" s="288">
        <f>AX8/Resources!$B$17</f>
        <v>1087.6190476190477</v>
      </c>
      <c r="AZ8" s="288">
        <f>SUM($I$4:I8,$K$4:K8)</f>
        <v>0</v>
      </c>
      <c r="BA8" s="288">
        <f>AZ8/Resources!$B$6</f>
        <v>0</v>
      </c>
      <c r="BB8" s="288">
        <f>SUM($D$4:D8,$G$4:G8)</f>
        <v>530566.66666666663</v>
      </c>
      <c r="BC8" s="288">
        <f>BB8/Resources!$B$7</f>
        <v>17685.555555555555</v>
      </c>
      <c r="BD8" s="288">
        <f>SUM($C$4:C8,$H$4:H8)</f>
        <v>175250</v>
      </c>
      <c r="BE8" s="300">
        <f>BD8/Resources!$B$8</f>
        <v>6740.3846153846152</v>
      </c>
      <c r="BF8" s="288">
        <f>SUM($B$4:B8,$F$4:F8)</f>
        <v>635166.66666666663</v>
      </c>
      <c r="BG8" s="288">
        <f>BF8/Resources!$B$9</f>
        <v>20489.247311827956</v>
      </c>
      <c r="BH8" s="288">
        <f>SUM($X$4:X8,$E$4:E8)</f>
        <v>0</v>
      </c>
      <c r="BI8" s="288">
        <f>BH8/Resources!$B$2</f>
        <v>0</v>
      </c>
      <c r="BJ8" s="288">
        <f>SUM($V$4:V8,$T$4:T8)</f>
        <v>0</v>
      </c>
      <c r="BK8" s="288">
        <f>BJ8/Resources!$B$3</f>
        <v>0</v>
      </c>
      <c r="BL8" s="288">
        <f>SUM($W$4:W8, $M$4:M8)</f>
        <v>0</v>
      </c>
      <c r="BM8" s="288">
        <f>BL8/Resources!$B$4</f>
        <v>0</v>
      </c>
      <c r="BN8" s="288">
        <f>SUM($P$4:P8,$Q$4:Q8)</f>
        <v>0</v>
      </c>
      <c r="BO8" s="297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88">
        <f t="shared" si="7"/>
        <v>0</v>
      </c>
      <c r="AJ9" s="288">
        <f>SUM($S$4:S9)</f>
        <v>7327.7777777777774</v>
      </c>
      <c r="AK9" s="288">
        <f>AJ9/Resources!$B$10</f>
        <v>610.64814814814815</v>
      </c>
      <c r="AL9" s="288">
        <f>SUM($Y$4:Y9)</f>
        <v>0</v>
      </c>
      <c r="AM9" s="295">
        <f>AL9/Resources!$B$11</f>
        <v>0</v>
      </c>
      <c r="AN9" s="288">
        <f>SUM($L$4:L9)</f>
        <v>0</v>
      </c>
      <c r="AO9" s="288">
        <f>AN9/Resources!$B$12</f>
        <v>0</v>
      </c>
      <c r="AP9" s="288">
        <f>SUM($R$4:R9)</f>
        <v>0</v>
      </c>
      <c r="AQ9" s="288">
        <f>AP9/Resources!$B$13</f>
        <v>0</v>
      </c>
      <c r="AR9" s="288">
        <f>SUM($N$4:N9)</f>
        <v>0</v>
      </c>
      <c r="AS9" s="288">
        <f>AR9/Resources!$B$14</f>
        <v>0</v>
      </c>
      <c r="AT9" s="288">
        <f>SUM($U$4:U9)</f>
        <v>0</v>
      </c>
      <c r="AU9" s="288">
        <f>AT9/Resources!$B$15</f>
        <v>0</v>
      </c>
      <c r="AV9" s="288">
        <f>SUM($J$4:J9)</f>
        <v>89466.666666666657</v>
      </c>
      <c r="AW9" s="288">
        <f>AV9/Resources!$B$16</f>
        <v>912.92517006802711</v>
      </c>
      <c r="AX9" s="288">
        <f>SUM($O$4:O9)</f>
        <v>114200</v>
      </c>
      <c r="AY9" s="288">
        <f>AX9/Resources!$B$17</f>
        <v>1087.6190476190477</v>
      </c>
      <c r="AZ9" s="288">
        <f>SUM($I$4:I9,$K$4:K9)</f>
        <v>0</v>
      </c>
      <c r="BA9" s="288">
        <f>AZ9/Resources!$B$6</f>
        <v>0</v>
      </c>
      <c r="BB9" s="288">
        <f>SUM($D$4:D9,$G$4:G9)</f>
        <v>530566.66666666663</v>
      </c>
      <c r="BC9" s="288">
        <f>BB9/Resources!$B$7</f>
        <v>17685.555555555555</v>
      </c>
      <c r="BD9" s="288">
        <f>SUM($C$4:C9,$H$4:H9)</f>
        <v>175250</v>
      </c>
      <c r="BE9" s="300">
        <f>BD9/Resources!$B$8</f>
        <v>6740.3846153846152</v>
      </c>
      <c r="BF9" s="288">
        <f>SUM($B$4:B9,$F$4:F9)</f>
        <v>635166.66666666663</v>
      </c>
      <c r="BG9" s="288">
        <f>BF9/Resources!$B$9</f>
        <v>20489.247311827956</v>
      </c>
      <c r="BH9" s="288">
        <f>SUM($X$4:X9,$E$4:E9)</f>
        <v>0</v>
      </c>
      <c r="BI9" s="288">
        <f>BH9/Resources!$B$2</f>
        <v>0</v>
      </c>
      <c r="BJ9" s="288">
        <f>SUM($V$4:V9,$T$4:T9)</f>
        <v>0</v>
      </c>
      <c r="BK9" s="288">
        <f>BJ9/Resources!$B$3</f>
        <v>0</v>
      </c>
      <c r="BL9" s="288">
        <f>SUM($W$4:W9, $M$4:M9)</f>
        <v>0</v>
      </c>
      <c r="BM9" s="288">
        <f>BL9/Resources!$B$4</f>
        <v>0</v>
      </c>
      <c r="BN9" s="288">
        <f>SUM($P$4:P9,$Q$4:Q9)</f>
        <v>0</v>
      </c>
      <c r="BO9" s="297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88">
        <f t="shared" si="7"/>
        <v>245666.66666666666</v>
      </c>
      <c r="AJ10" s="288">
        <f>SUM($S$4:S10)</f>
        <v>149994.44444444444</v>
      </c>
      <c r="AK10" s="288">
        <f>AJ10/Resources!$B$10</f>
        <v>12499.537037037036</v>
      </c>
      <c r="AL10" s="288">
        <f>SUM($Y$4:Y10)</f>
        <v>0</v>
      </c>
      <c r="AM10" s="295">
        <f>AL10/Resources!$B$11</f>
        <v>0</v>
      </c>
      <c r="AN10" s="288">
        <f>SUM($L$4:L10)</f>
        <v>0</v>
      </c>
      <c r="AO10" s="288">
        <f>AN10/Resources!$B$12</f>
        <v>0</v>
      </c>
      <c r="AP10" s="288">
        <f>SUM($R$4:R10)</f>
        <v>0</v>
      </c>
      <c r="AQ10" s="288">
        <f>AP10/Resources!$B$13</f>
        <v>0</v>
      </c>
      <c r="AR10" s="288">
        <f>SUM($N$4:N10)</f>
        <v>0</v>
      </c>
      <c r="AS10" s="288">
        <f>AR10/Resources!$B$14</f>
        <v>0</v>
      </c>
      <c r="AT10" s="288">
        <f>SUM($U$4:U10)</f>
        <v>0</v>
      </c>
      <c r="AU10" s="288">
        <f>AT10/Resources!$B$15</f>
        <v>0</v>
      </c>
      <c r="AV10" s="288">
        <f>SUM($J$4:J10)</f>
        <v>89466.666666666657</v>
      </c>
      <c r="AW10" s="288">
        <f>AV10/Resources!$B$16</f>
        <v>912.92517006802711</v>
      </c>
      <c r="AX10" s="288">
        <f>SUM($O$4:O10)</f>
        <v>114200</v>
      </c>
      <c r="AY10" s="288">
        <f>AX10/Resources!$B$17</f>
        <v>1087.6190476190477</v>
      </c>
      <c r="AZ10" s="288">
        <f>SUM($I$4:I10,$K$4:K10)</f>
        <v>0</v>
      </c>
      <c r="BA10" s="288">
        <f>AZ10/Resources!$B$6</f>
        <v>0</v>
      </c>
      <c r="BB10" s="288">
        <f>SUM($D$4:D10,$G$4:G10)</f>
        <v>750016.66666666651</v>
      </c>
      <c r="BC10" s="288">
        <f>BB10/Resources!$B$7</f>
        <v>25000.555555555551</v>
      </c>
      <c r="BD10" s="288">
        <f>SUM($C$4:C10,$H$4:H10)</f>
        <v>582383.33333333337</v>
      </c>
      <c r="BE10" s="300">
        <f>BD10/Resources!$B$8</f>
        <v>22399.358974358976</v>
      </c>
      <c r="BF10" s="288">
        <f>SUM($B$4:B10,$F$4:F10)</f>
        <v>697566.66666666663</v>
      </c>
      <c r="BG10" s="288">
        <f>BF10/Resources!$B$9</f>
        <v>22502.150537634407</v>
      </c>
      <c r="BH10" s="288">
        <f>SUM($X$4:X10,$E$4:E10)</f>
        <v>0</v>
      </c>
      <c r="BI10" s="288">
        <f>BH10/Resources!$B$2</f>
        <v>0</v>
      </c>
      <c r="BJ10" s="288">
        <f>SUM($V$4:V10,$T$4:T10)</f>
        <v>0</v>
      </c>
      <c r="BK10" s="288">
        <f>BJ10/Resources!$B$3</f>
        <v>0</v>
      </c>
      <c r="BL10" s="288">
        <f>SUM($W$4:W10, $M$4:M10)</f>
        <v>0</v>
      </c>
      <c r="BM10" s="288">
        <f>BL10/Resources!$B$4</f>
        <v>0</v>
      </c>
      <c r="BN10" s="288">
        <f>SUM($P$4:P10,$Q$4:Q10)</f>
        <v>245666.66666666666</v>
      </c>
      <c r="BO10" s="297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88">
        <f t="shared" si="7"/>
        <v>1000</v>
      </c>
      <c r="AI11" s="57"/>
      <c r="AJ11" s="288">
        <f>SUM($S$4:S11)</f>
        <v>149994.44444444444</v>
      </c>
      <c r="AK11" s="288">
        <f>AJ11/Resources!$B$10</f>
        <v>12499.537037037036</v>
      </c>
      <c r="AL11" s="288">
        <f>SUM($Y$4:Y11)</f>
        <v>0</v>
      </c>
      <c r="AM11" s="295">
        <f>AL11/Resources!$B$11</f>
        <v>0</v>
      </c>
      <c r="AN11" s="288">
        <f>SUM($L$4:L11)</f>
        <v>0</v>
      </c>
      <c r="AO11" s="288">
        <f>AN11/Resources!$B$12</f>
        <v>0</v>
      </c>
      <c r="AP11" s="288">
        <f>SUM($R$4:R11)</f>
        <v>0</v>
      </c>
      <c r="AQ11" s="288">
        <f>AP11/Resources!$B$13</f>
        <v>0</v>
      </c>
      <c r="AR11" s="288">
        <f>SUM($N$4:N11)</f>
        <v>0</v>
      </c>
      <c r="AS11" s="288">
        <f>AR11/Resources!$B$14</f>
        <v>0</v>
      </c>
      <c r="AT11" s="288">
        <f>SUM($U$4:U11)</f>
        <v>0</v>
      </c>
      <c r="AU11" s="288">
        <f>AT11/Resources!$B$15</f>
        <v>0</v>
      </c>
      <c r="AV11" s="288">
        <f>SUM($J$4:J11)</f>
        <v>89466.666666666657</v>
      </c>
      <c r="AW11" s="288">
        <f>AV11/Resources!$B$16</f>
        <v>912.92517006802711</v>
      </c>
      <c r="AX11" s="288">
        <f>SUM($O$4:O11)</f>
        <v>114200</v>
      </c>
      <c r="AY11" s="288">
        <f>AX11/Resources!$B$17</f>
        <v>1087.6190476190477</v>
      </c>
      <c r="AZ11" s="288">
        <f>SUM($I$4:I11,$K$4:K11)</f>
        <v>0</v>
      </c>
      <c r="BA11" s="288">
        <f>AZ11/Resources!$B$6</f>
        <v>0</v>
      </c>
      <c r="BB11" s="288">
        <f>SUM($D$4:D11,$G$4:G11)</f>
        <v>753599.99999999988</v>
      </c>
      <c r="BC11" s="288">
        <f>BB11/Resources!$B$7</f>
        <v>25119.999999999996</v>
      </c>
      <c r="BD11" s="288">
        <f>SUM($C$4:C11,$H$4:H11)</f>
        <v>593783.33333333337</v>
      </c>
      <c r="BE11" s="300">
        <f>BD11/Resources!$B$8</f>
        <v>22837.820512820515</v>
      </c>
      <c r="BF11" s="288">
        <f>SUM($B$4:B11,$F$4:F11)</f>
        <v>703566.66666666663</v>
      </c>
      <c r="BG11" s="288">
        <f>BF11/Resources!$B$9</f>
        <v>22695.698924731183</v>
      </c>
      <c r="BH11" s="288">
        <f>SUM($X$4:X11,$E$4:E11)</f>
        <v>0</v>
      </c>
      <c r="BI11" s="288">
        <f>BH11/Resources!$B$2</f>
        <v>0</v>
      </c>
      <c r="BJ11" s="288">
        <f>SUM($V$4:V11,$T$4:T11)</f>
        <v>0</v>
      </c>
      <c r="BK11" s="288">
        <f>BJ11/Resources!$B$3</f>
        <v>0</v>
      </c>
      <c r="BL11" s="288">
        <f>SUM($W$4:W11, $M$4:M11)</f>
        <v>0</v>
      </c>
      <c r="BM11" s="288">
        <f>BL11/Resources!$B$4</f>
        <v>0</v>
      </c>
      <c r="BN11" s="288">
        <f>SUM($P$4:P11,$Q$4:Q11)</f>
        <v>246666.66666666666</v>
      </c>
      <c r="BO11" s="297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88">
        <f t="shared" si="7"/>
        <v>0</v>
      </c>
      <c r="AJ12" s="288">
        <f>SUM($S$4:S12)</f>
        <v>149994.44444444444</v>
      </c>
      <c r="AK12" s="288">
        <f>AJ12/Resources!$B$10</f>
        <v>12499.537037037036</v>
      </c>
      <c r="AL12" s="288">
        <f>SUM($Y$4:Y12)</f>
        <v>0</v>
      </c>
      <c r="AM12" s="295">
        <f>AL12/Resources!$B$11</f>
        <v>0</v>
      </c>
      <c r="AN12" s="288">
        <f>SUM($L$4:L12)</f>
        <v>0</v>
      </c>
      <c r="AO12" s="288">
        <f>AN12/Resources!$B$12</f>
        <v>0</v>
      </c>
      <c r="AP12" s="288">
        <f>SUM($R$4:R12)</f>
        <v>0</v>
      </c>
      <c r="AQ12" s="288">
        <f>AP12/Resources!$B$13</f>
        <v>0</v>
      </c>
      <c r="AR12" s="288">
        <f>SUM($N$4:N12)</f>
        <v>0</v>
      </c>
      <c r="AS12" s="288">
        <f>AR12/Resources!$B$14</f>
        <v>0</v>
      </c>
      <c r="AT12" s="288">
        <f>SUM($U$4:U12)</f>
        <v>2041.6666666666665</v>
      </c>
      <c r="AU12" s="288">
        <f>AT12/Resources!$B$15</f>
        <v>20.214521452145213</v>
      </c>
      <c r="AV12" s="288">
        <f>SUM($J$4:J12)</f>
        <v>89466.666666666657</v>
      </c>
      <c r="AW12" s="288">
        <f>AV12/Resources!$B$16</f>
        <v>912.92517006802711</v>
      </c>
      <c r="AX12" s="288">
        <f>SUM($O$4:O12)</f>
        <v>114200</v>
      </c>
      <c r="AY12" s="288">
        <f>AX12/Resources!$B$17</f>
        <v>1087.6190476190477</v>
      </c>
      <c r="AZ12" s="288">
        <f>SUM($I$4:I12,$K$4:K12)</f>
        <v>0</v>
      </c>
      <c r="BA12" s="288">
        <f>AZ12/Resources!$B$6</f>
        <v>0</v>
      </c>
      <c r="BB12" s="288">
        <f>SUM($D$4:D12,$G$4:G12)</f>
        <v>753599.99999999988</v>
      </c>
      <c r="BC12" s="288">
        <f>BB12/Resources!$B$7</f>
        <v>25119.999999999996</v>
      </c>
      <c r="BD12" s="288">
        <f>SUM($C$4:C12,$H$4:H12)</f>
        <v>593783.33333333337</v>
      </c>
      <c r="BE12" s="300">
        <f>BD12/Resources!$B$8</f>
        <v>22837.820512820515</v>
      </c>
      <c r="BF12" s="288">
        <f>SUM($B$4:B12,$F$4:F12)</f>
        <v>905166.66666666663</v>
      </c>
      <c r="BG12" s="288">
        <f>BF12/Resources!$B$9</f>
        <v>29198.924731182793</v>
      </c>
      <c r="BH12" s="288">
        <f>SUM($X$4:X12,$E$4:E12)</f>
        <v>0</v>
      </c>
      <c r="BI12" s="288">
        <f>BH12/Resources!$B$2</f>
        <v>0</v>
      </c>
      <c r="BJ12" s="288">
        <f>SUM($V$4:V12,$T$4:T12)</f>
        <v>350</v>
      </c>
      <c r="BK12" s="288">
        <f>BJ12/Resources!$B$3</f>
        <v>13.461538461538462</v>
      </c>
      <c r="BL12" s="288">
        <f>SUM($W$4:W12, $M$4:M12)</f>
        <v>0</v>
      </c>
      <c r="BM12" s="288">
        <f>BL12/Resources!$B$4</f>
        <v>0</v>
      </c>
      <c r="BN12" s="288">
        <f>SUM($P$4:P12,$Q$4:Q12)</f>
        <v>246666.66666666666</v>
      </c>
      <c r="BO12" s="297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88">
        <f t="shared" si="7"/>
        <v>0</v>
      </c>
      <c r="AJ13" s="288">
        <f>SUM($S$4:S13)</f>
        <v>149994.44444444444</v>
      </c>
      <c r="AK13" s="288">
        <f>AJ13/Resources!$B$10</f>
        <v>12499.537037037036</v>
      </c>
      <c r="AL13" s="288">
        <f>SUM($Y$4:Y13)</f>
        <v>0</v>
      </c>
      <c r="AM13" s="295">
        <f>AL13/Resources!$B$11</f>
        <v>0</v>
      </c>
      <c r="AN13" s="288">
        <f>SUM($L$4:L13)</f>
        <v>0</v>
      </c>
      <c r="AO13" s="288">
        <f>AN13/Resources!$B$12</f>
        <v>0</v>
      </c>
      <c r="AP13" s="288">
        <f>SUM($R$4:R13)</f>
        <v>0</v>
      </c>
      <c r="AQ13" s="288">
        <f>AP13/Resources!$B$13</f>
        <v>0</v>
      </c>
      <c r="AR13" s="288">
        <f>SUM($N$4:N13)</f>
        <v>0</v>
      </c>
      <c r="AS13" s="288">
        <f>AR13/Resources!$B$14</f>
        <v>0</v>
      </c>
      <c r="AT13" s="288">
        <f>SUM($U$4:U13)</f>
        <v>91708.333333333343</v>
      </c>
      <c r="AU13" s="288">
        <f>AT13/Resources!$B$15</f>
        <v>908.00330033003308</v>
      </c>
      <c r="AV13" s="288">
        <f>SUM($J$4:J13)</f>
        <v>89466.666666666657</v>
      </c>
      <c r="AW13" s="288">
        <f>AV13/Resources!$B$16</f>
        <v>912.92517006802711</v>
      </c>
      <c r="AX13" s="288">
        <f>SUM($O$4:O13)</f>
        <v>222200</v>
      </c>
      <c r="AY13" s="288">
        <f>AX13/Resources!$B$17</f>
        <v>2116.1904761904761</v>
      </c>
      <c r="AZ13" s="288">
        <f>SUM($I$4:I13,$K$4:K13)</f>
        <v>11866.666666666668</v>
      </c>
      <c r="BA13" s="288">
        <f>AZ13/Resources!$B$6</f>
        <v>370.83333333333337</v>
      </c>
      <c r="BB13" s="288">
        <f>SUM($D$4:D13,$G$4:G13)</f>
        <v>753599.99999999988</v>
      </c>
      <c r="BC13" s="288">
        <f>BB13/Resources!$B$7</f>
        <v>25119.999999999996</v>
      </c>
      <c r="BD13" s="288">
        <f>SUM($C$4:C13,$H$4:H13)</f>
        <v>874783.33333333337</v>
      </c>
      <c r="BE13" s="300">
        <f>BD13/Resources!$B$8</f>
        <v>33645.51282051282</v>
      </c>
      <c r="BF13" s="288">
        <f>SUM($B$4:B13,$F$4:F13)</f>
        <v>1223460</v>
      </c>
      <c r="BG13" s="288">
        <f>BF13/Resources!$B$9</f>
        <v>39466.451612903227</v>
      </c>
      <c r="BH13" s="288">
        <f>SUM($X$4:X13,$E$4:E13)</f>
        <v>0</v>
      </c>
      <c r="BI13" s="288">
        <f>BH13/Resources!$B$2</f>
        <v>0</v>
      </c>
      <c r="BJ13" s="288">
        <f>SUM($V$4:V13,$T$4:T13)</f>
        <v>350</v>
      </c>
      <c r="BK13" s="288">
        <f>BJ13/Resources!$B$3</f>
        <v>13.461538461538462</v>
      </c>
      <c r="BL13" s="288">
        <f>SUM($W$4:W13, $M$4:M13)</f>
        <v>0</v>
      </c>
      <c r="BM13" s="288">
        <f>BL13/Resources!$B$4</f>
        <v>0</v>
      </c>
      <c r="BN13" s="288">
        <f>SUM($P$4:P13,$Q$4:Q13)</f>
        <v>246666.66666666666</v>
      </c>
      <c r="BO13" s="297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88">
        <f t="shared" si="7"/>
        <v>0</v>
      </c>
      <c r="AJ14" s="288">
        <f>SUM($S$4:S14)</f>
        <v>149994.44444444444</v>
      </c>
      <c r="AK14" s="288">
        <f>AJ14/Resources!$B$10</f>
        <v>12499.537037037036</v>
      </c>
      <c r="AL14" s="288">
        <f>SUM($Y$4:Y14)</f>
        <v>0</v>
      </c>
      <c r="AM14" s="295">
        <f>AL14/Resources!$B$11</f>
        <v>0</v>
      </c>
      <c r="AN14" s="288">
        <f>SUM($L$4:L14)</f>
        <v>0</v>
      </c>
      <c r="AO14" s="288">
        <f>AN14/Resources!$B$12</f>
        <v>0</v>
      </c>
      <c r="AP14" s="288">
        <f>SUM($R$4:R14)</f>
        <v>0</v>
      </c>
      <c r="AQ14" s="288">
        <f>AP14/Resources!$B$13</f>
        <v>0</v>
      </c>
      <c r="AR14" s="288">
        <f>SUM($N$4:N14)</f>
        <v>123200</v>
      </c>
      <c r="AS14" s="288">
        <f>AR14/Resources!$B$14</f>
        <v>1109.9099099099099</v>
      </c>
      <c r="AT14" s="288">
        <f>SUM($U$4:U14)</f>
        <v>91708.333333333343</v>
      </c>
      <c r="AU14" s="288">
        <f>AT14/Resources!$B$15</f>
        <v>908.00330033003308</v>
      </c>
      <c r="AV14" s="288">
        <f>SUM($J$4:J14)</f>
        <v>89466.666666666657</v>
      </c>
      <c r="AW14" s="288">
        <f>AV14/Resources!$B$16</f>
        <v>912.92517006802711</v>
      </c>
      <c r="AX14" s="288">
        <f>SUM($O$4:O14)</f>
        <v>235450</v>
      </c>
      <c r="AY14" s="288">
        <f>AX14/Resources!$B$17</f>
        <v>2242.3809523809523</v>
      </c>
      <c r="AZ14" s="288">
        <f>SUM($I$4:I14,$K$4:K14)</f>
        <v>472133.33333333337</v>
      </c>
      <c r="BA14" s="288">
        <f>AZ14/Resources!$B$6</f>
        <v>14754.166666666668</v>
      </c>
      <c r="BB14" s="288">
        <f>SUM($D$4:D14,$G$4:G14)</f>
        <v>761766.66666666651</v>
      </c>
      <c r="BC14" s="288">
        <f>BB14/Resources!$B$7</f>
        <v>25392.222222222215</v>
      </c>
      <c r="BD14" s="288">
        <f>SUM($C$4:C14,$H$4:H14)</f>
        <v>1047050</v>
      </c>
      <c r="BE14" s="300">
        <f>BD14/Resources!$B$8</f>
        <v>40271.153846153844</v>
      </c>
      <c r="BF14" s="288">
        <f>SUM($B$4:B14,$F$4:F14)</f>
        <v>1865593.3333333335</v>
      </c>
      <c r="BG14" s="288">
        <f>BF14/Resources!$B$9</f>
        <v>60180.430107526889</v>
      </c>
      <c r="BH14" s="288">
        <f>SUM($X$4:X14,$E$4:E14)</f>
        <v>0</v>
      </c>
      <c r="BI14" s="288">
        <f>BH14/Resources!$B$2</f>
        <v>0</v>
      </c>
      <c r="BJ14" s="288">
        <f>SUM($V$4:V14,$T$4:T14)</f>
        <v>350</v>
      </c>
      <c r="BK14" s="288">
        <f>BJ14/Resources!$B$3</f>
        <v>13.461538461538462</v>
      </c>
      <c r="BL14" s="288">
        <f>SUM($W$4:W14, $M$4:M14)</f>
        <v>126400</v>
      </c>
      <c r="BM14" s="288">
        <f>BL14/Resources!$B$4</f>
        <v>4514.2857142857147</v>
      </c>
      <c r="BN14" s="288">
        <f>SUM($P$4:P14,$Q$4:Q14)</f>
        <v>246666.66666666666</v>
      </c>
      <c r="BO14" s="297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88">
        <f t="shared" si="7"/>
        <v>0</v>
      </c>
      <c r="AJ15" s="288">
        <f>SUM($S$4:S15)</f>
        <v>149994.44444444444</v>
      </c>
      <c r="AK15" s="288">
        <f>AJ15/Resources!$B$10</f>
        <v>12499.537037037036</v>
      </c>
      <c r="AL15" s="288">
        <f>SUM($Y$4:Y15)</f>
        <v>0</v>
      </c>
      <c r="AM15" s="295">
        <f>AL15/Resources!$B$11</f>
        <v>0</v>
      </c>
      <c r="AN15" s="288">
        <f>SUM($L$4:L15)</f>
        <v>0</v>
      </c>
      <c r="AO15" s="288">
        <f>AN15/Resources!$B$12</f>
        <v>0</v>
      </c>
      <c r="AP15" s="288">
        <f>SUM($R$4:R15)</f>
        <v>0</v>
      </c>
      <c r="AQ15" s="288">
        <f>AP15/Resources!$B$13</f>
        <v>0</v>
      </c>
      <c r="AR15" s="288">
        <f>SUM($N$4:N15)</f>
        <v>125000</v>
      </c>
      <c r="AS15" s="288">
        <f>AR15/Resources!$B$14</f>
        <v>1126.1261261261261</v>
      </c>
      <c r="AT15" s="288">
        <f>SUM($U$4:U15)</f>
        <v>91708.333333333343</v>
      </c>
      <c r="AU15" s="288">
        <f>AT15/Resources!$B$15</f>
        <v>908.00330033003308</v>
      </c>
      <c r="AV15" s="288">
        <f>SUM($J$4:J15)</f>
        <v>89466.666666666657</v>
      </c>
      <c r="AW15" s="288">
        <f>AV15/Resources!$B$16</f>
        <v>912.92517006802711</v>
      </c>
      <c r="AX15" s="288">
        <f>SUM($O$4:O15)</f>
        <v>236075</v>
      </c>
      <c r="AY15" s="288">
        <f>AX15/Resources!$B$17</f>
        <v>2248.3333333333335</v>
      </c>
      <c r="AZ15" s="288">
        <f>SUM($I$4:I15,$K$4:K15)</f>
        <v>608133.33333333337</v>
      </c>
      <c r="BA15" s="288">
        <f>AZ15/Resources!$B$6</f>
        <v>19004.166666666668</v>
      </c>
      <c r="BB15" s="288">
        <f>SUM($D$4:D15,$G$4:G15)</f>
        <v>786266.66666666651</v>
      </c>
      <c r="BC15" s="288">
        <f>BB15/Resources!$B$7</f>
        <v>26208.888888888883</v>
      </c>
      <c r="BD15" s="288">
        <f>SUM($C$4:C15,$H$4:H15)</f>
        <v>1047050</v>
      </c>
      <c r="BE15" s="300">
        <f>BD15/Resources!$B$8</f>
        <v>40271.153846153844</v>
      </c>
      <c r="BF15" s="288">
        <f>SUM($B$4:B15,$F$4:F15)</f>
        <v>1868993.3333333335</v>
      </c>
      <c r="BG15" s="288">
        <f>BF15/Resources!$B$9</f>
        <v>60290.107526881722</v>
      </c>
      <c r="BH15" s="288">
        <f>SUM($X$4:X15,$E$4:E15)</f>
        <v>0</v>
      </c>
      <c r="BI15" s="288">
        <f>BH15/Resources!$B$2</f>
        <v>0</v>
      </c>
      <c r="BJ15" s="288">
        <f>SUM($V$4:V15,$T$4:T15)</f>
        <v>816.66666666666663</v>
      </c>
      <c r="BK15" s="288">
        <f>BJ15/Resources!$B$3</f>
        <v>31.410256410256409</v>
      </c>
      <c r="BL15" s="288">
        <f>SUM($W$4:W15, $M$4:M15)</f>
        <v>126983.33333333333</v>
      </c>
      <c r="BM15" s="288">
        <f>BL15/Resources!$B$4</f>
        <v>4535.1190476190477</v>
      </c>
      <c r="BN15" s="288">
        <f>SUM($P$4:P15,$Q$4:Q15)</f>
        <v>246666.66666666666</v>
      </c>
      <c r="BO15" s="297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88">
        <f t="shared" si="7"/>
        <v>0</v>
      </c>
      <c r="AJ16" s="288">
        <f>SUM($S$4:S16)</f>
        <v>149994.44444444444</v>
      </c>
      <c r="AK16" s="288">
        <f>AJ16/Resources!$B$10</f>
        <v>12499.537037037036</v>
      </c>
      <c r="AL16" s="288">
        <f>SUM($Y$4:Y16)</f>
        <v>0</v>
      </c>
      <c r="AM16" s="295">
        <f>AL16/Resources!$B$11</f>
        <v>0</v>
      </c>
      <c r="AN16" s="288">
        <f>SUM($L$4:L16)</f>
        <v>0</v>
      </c>
      <c r="AO16" s="288">
        <f>AN16/Resources!$B$12</f>
        <v>0</v>
      </c>
      <c r="AP16" s="288">
        <f>SUM($R$4:R16)</f>
        <v>0</v>
      </c>
      <c r="AQ16" s="288">
        <f>AP16/Resources!$B$13</f>
        <v>0</v>
      </c>
      <c r="AR16" s="288">
        <f>SUM($N$4:N16)</f>
        <v>255933.33333333331</v>
      </c>
      <c r="AS16" s="288">
        <f>AR16/Resources!$B$14</f>
        <v>2305.7057057057054</v>
      </c>
      <c r="AT16" s="288">
        <f>SUM($U$4:U16)</f>
        <v>91708.333333333343</v>
      </c>
      <c r="AU16" s="288">
        <f>AT16/Resources!$B$15</f>
        <v>908.00330033003308</v>
      </c>
      <c r="AV16" s="288">
        <f>SUM($J$4:J16)</f>
        <v>330533.33333333331</v>
      </c>
      <c r="AW16" s="288">
        <f>AV16/Resources!$B$16</f>
        <v>3372.7891156462583</v>
      </c>
      <c r="AX16" s="288">
        <f>SUM($O$4:O16)</f>
        <v>236075</v>
      </c>
      <c r="AY16" s="288">
        <f>AX16/Resources!$B$17</f>
        <v>2248.3333333333335</v>
      </c>
      <c r="AZ16" s="288">
        <f>SUM($I$4:I16,$K$4:K16)</f>
        <v>609133.33333333337</v>
      </c>
      <c r="BA16" s="288">
        <f>AZ16/Resources!$B$6</f>
        <v>19035.416666666668</v>
      </c>
      <c r="BB16" s="288">
        <f>SUM($D$4:D16,$G$4:G16)</f>
        <v>995333.33333333326</v>
      </c>
      <c r="BC16" s="288">
        <f>BB16/Resources!$B$7</f>
        <v>33177.777777777774</v>
      </c>
      <c r="BD16" s="288">
        <f>SUM($C$4:C16,$H$4:H16)</f>
        <v>1114650</v>
      </c>
      <c r="BE16" s="300">
        <f>BD16/Resources!$B$8</f>
        <v>42871.153846153844</v>
      </c>
      <c r="BF16" s="288">
        <f>SUM($B$4:B16,$F$4:F16)</f>
        <v>1907260.0000000002</v>
      </c>
      <c r="BG16" s="288">
        <f>BF16/Resources!$B$9</f>
        <v>61524.516129032265</v>
      </c>
      <c r="BH16" s="288">
        <f>SUM($X$4:X16,$E$4:E16)</f>
        <v>0</v>
      </c>
      <c r="BI16" s="288">
        <f>BH16/Resources!$B$2</f>
        <v>0</v>
      </c>
      <c r="BJ16" s="288">
        <f>SUM($V$4:V16,$T$4:T16)</f>
        <v>816.66666666666663</v>
      </c>
      <c r="BK16" s="288">
        <f>BJ16/Resources!$B$3</f>
        <v>31.410256410256409</v>
      </c>
      <c r="BL16" s="288">
        <f>SUM($W$4:W16, $M$4:M16)</f>
        <v>129250</v>
      </c>
      <c r="BM16" s="288">
        <f>BL16/Resources!$B$4</f>
        <v>4616.0714285714284</v>
      </c>
      <c r="BN16" s="288">
        <f>SUM($P$4:P16,$Q$4:Q16)</f>
        <v>246666.66666666666</v>
      </c>
      <c r="BO16" s="297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88">
        <f t="shared" si="7"/>
        <v>0</v>
      </c>
      <c r="AJ17" s="288">
        <f>SUM($S$4:S17)</f>
        <v>149994.44444444444</v>
      </c>
      <c r="AK17" s="288">
        <f>AJ17/Resources!$B$10</f>
        <v>12499.537037037036</v>
      </c>
      <c r="AL17" s="288">
        <f>SUM($Y$4:Y17)</f>
        <v>0</v>
      </c>
      <c r="AM17" s="295">
        <f>AL17/Resources!$B$11</f>
        <v>0</v>
      </c>
      <c r="AN17" s="288">
        <f>SUM($L$4:L17)</f>
        <v>0</v>
      </c>
      <c r="AO17" s="288">
        <f>AN17/Resources!$B$12</f>
        <v>0</v>
      </c>
      <c r="AP17" s="288">
        <f>SUM($R$4:R17)</f>
        <v>205866.66666666666</v>
      </c>
      <c r="AQ17" s="288">
        <f>AP17/Resources!$B$13</f>
        <v>20586.666666666664</v>
      </c>
      <c r="AR17" s="288">
        <f>SUM($N$4:N17)</f>
        <v>304340</v>
      </c>
      <c r="AS17" s="288">
        <f>AR17/Resources!$B$14</f>
        <v>2741.801801801802</v>
      </c>
      <c r="AT17" s="288">
        <f>SUM($U$4:U17)</f>
        <v>91708.333333333343</v>
      </c>
      <c r="AU17" s="288">
        <f>AT17/Resources!$B$15</f>
        <v>908.00330033003308</v>
      </c>
      <c r="AV17" s="288">
        <f>SUM($J$4:J17)</f>
        <v>397200</v>
      </c>
      <c r="AW17" s="288">
        <f>AV17/Resources!$B$16</f>
        <v>4053.0612244897961</v>
      </c>
      <c r="AX17" s="288">
        <f>SUM($O$4:O17)</f>
        <v>273641.66666666669</v>
      </c>
      <c r="AY17" s="288">
        <f>AX17/Resources!$B$17</f>
        <v>2606.1111111111113</v>
      </c>
      <c r="AZ17" s="288">
        <f>SUM($I$4:I17,$K$4:K17)</f>
        <v>609133.33333333337</v>
      </c>
      <c r="BA17" s="288">
        <f>AZ17/Resources!$B$6</f>
        <v>19035.416666666668</v>
      </c>
      <c r="BB17" s="288">
        <f>SUM($D$4:D17,$G$4:G17)</f>
        <v>999833.33333333326</v>
      </c>
      <c r="BC17" s="288">
        <f>BB17/Resources!$B$7</f>
        <v>33327.777777777774</v>
      </c>
      <c r="BD17" s="288">
        <f>SUM($C$4:C17,$H$4:H17)</f>
        <v>1114650</v>
      </c>
      <c r="BE17" s="300">
        <f>BD17/Resources!$B$8</f>
        <v>42871.153846153844</v>
      </c>
      <c r="BF17" s="288">
        <f>SUM($B$4:B17,$F$4:F17)</f>
        <v>1907260.0000000002</v>
      </c>
      <c r="BG17" s="288">
        <f>BF17/Resources!$B$9</f>
        <v>61524.516129032265</v>
      </c>
      <c r="BH17" s="288">
        <f>SUM($X$4:X17,$E$4:E17)</f>
        <v>0</v>
      </c>
      <c r="BI17" s="288">
        <f>BH17/Resources!$B$2</f>
        <v>0</v>
      </c>
      <c r="BJ17" s="288">
        <f>SUM($V$4:V17,$T$4:T17)</f>
        <v>816.66666666666663</v>
      </c>
      <c r="BK17" s="288">
        <f>BJ17/Resources!$B$3</f>
        <v>31.410256410256409</v>
      </c>
      <c r="BL17" s="288">
        <f>SUM($W$4:W17, $M$4:M17)</f>
        <v>315383.33333333331</v>
      </c>
      <c r="BM17" s="288">
        <f>BL17/Resources!$B$4</f>
        <v>11263.690476190475</v>
      </c>
      <c r="BN17" s="288">
        <f>SUM($P$4:P17,$Q$4:Q17)</f>
        <v>246666.66666666666</v>
      </c>
      <c r="BO17" s="297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88">
        <f t="shared" si="7"/>
        <v>248000</v>
      </c>
      <c r="AJ18" s="288">
        <f>SUM($S$4:S18)</f>
        <v>149994.44444444444</v>
      </c>
      <c r="AK18" s="288">
        <f>AJ18/Resources!$B$10</f>
        <v>12499.537037037036</v>
      </c>
      <c r="AL18" s="288">
        <f>SUM($Y$4:Y18)</f>
        <v>0</v>
      </c>
      <c r="AM18" s="295">
        <f>AL18/Resources!$B$11</f>
        <v>0</v>
      </c>
      <c r="AN18" s="288">
        <f>SUM($L$4:L18)</f>
        <v>0</v>
      </c>
      <c r="AO18" s="288">
        <f>AN18/Resources!$B$12</f>
        <v>0</v>
      </c>
      <c r="AP18" s="288">
        <f>SUM($R$4:R18)</f>
        <v>232186.66666666666</v>
      </c>
      <c r="AQ18" s="288">
        <f>AP18/Resources!$B$13</f>
        <v>23218.666666666664</v>
      </c>
      <c r="AR18" s="288">
        <f>SUM($N$4:N18)</f>
        <v>304340</v>
      </c>
      <c r="AS18" s="288">
        <f>AR18/Resources!$B$14</f>
        <v>2741.801801801802</v>
      </c>
      <c r="AT18" s="288">
        <f>SUM($U$4:U18)</f>
        <v>91708.333333333343</v>
      </c>
      <c r="AU18" s="288">
        <f>AT18/Resources!$B$15</f>
        <v>908.00330033003308</v>
      </c>
      <c r="AV18" s="288">
        <f>SUM($J$4:J18)</f>
        <v>400600</v>
      </c>
      <c r="AW18" s="288">
        <f>AV18/Resources!$B$16</f>
        <v>4087.7551020408164</v>
      </c>
      <c r="AX18" s="288">
        <f>SUM($O$4:O18)</f>
        <v>304848.33333333337</v>
      </c>
      <c r="AY18" s="288">
        <f>AX18/Resources!$B$17</f>
        <v>2903.3174603174607</v>
      </c>
      <c r="AZ18" s="288">
        <f>SUM($I$4:I18,$K$4:K18)</f>
        <v>609133.33333333337</v>
      </c>
      <c r="BA18" s="288">
        <f>AZ18/Resources!$B$6</f>
        <v>19035.416666666668</v>
      </c>
      <c r="BB18" s="288">
        <f>SUM($D$4:D18,$G$4:G18)</f>
        <v>999833.33333333326</v>
      </c>
      <c r="BC18" s="288">
        <f>BB18/Resources!$B$7</f>
        <v>33327.777777777774</v>
      </c>
      <c r="BD18" s="288">
        <f>SUM($C$4:C18,$H$4:H18)</f>
        <v>1114650</v>
      </c>
      <c r="BE18" s="300">
        <f>BD18/Resources!$B$8</f>
        <v>42871.153846153844</v>
      </c>
      <c r="BF18" s="288">
        <f>SUM($B$4:B18,$F$4:F18)</f>
        <v>1907260.0000000002</v>
      </c>
      <c r="BG18" s="288">
        <f>BF18/Resources!$B$9</f>
        <v>61524.516129032265</v>
      </c>
      <c r="BH18" s="288">
        <f>SUM($X$4:X18,$E$4:E18)</f>
        <v>307800</v>
      </c>
      <c r="BI18" s="288">
        <f>BH18/Resources!$B$2</f>
        <v>12825</v>
      </c>
      <c r="BJ18" s="288">
        <f>SUM($V$4:V18,$T$4:T18)</f>
        <v>11616.666666666666</v>
      </c>
      <c r="BK18" s="288">
        <f>BJ18/Resources!$B$3</f>
        <v>446.79487179487177</v>
      </c>
      <c r="BL18" s="288">
        <f>SUM($W$4:W18, $M$4:M18)</f>
        <v>315383.33333333331</v>
      </c>
      <c r="BM18" s="288">
        <f>BL18/Resources!$B$4</f>
        <v>11263.690476190475</v>
      </c>
      <c r="BN18" s="288">
        <f>SUM($P$4:P18,$Q$4:Q18)</f>
        <v>494666.66666666663</v>
      </c>
      <c r="BO18" s="297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88">
        <f t="shared" si="7"/>
        <v>0</v>
      </c>
      <c r="AJ19" s="288">
        <f>SUM($S$4:S19)</f>
        <v>149994.44444444444</v>
      </c>
      <c r="AK19" s="288">
        <f>AJ19/Resources!$B$10</f>
        <v>12499.537037037036</v>
      </c>
      <c r="AL19" s="288">
        <f>SUM($Y$4:Y19)</f>
        <v>0</v>
      </c>
      <c r="AM19" s="295">
        <f>AL19/Resources!$B$11</f>
        <v>0</v>
      </c>
      <c r="AN19" s="288">
        <f>SUM($L$4:L19)</f>
        <v>54400</v>
      </c>
      <c r="AO19" s="288">
        <f>AN19/Resources!$B$12</f>
        <v>3626.6666666666665</v>
      </c>
      <c r="AP19" s="288">
        <f>SUM($R$4:R19)</f>
        <v>234986.66666666666</v>
      </c>
      <c r="AQ19" s="288">
        <f>AP19/Resources!$B$13</f>
        <v>23498.666666666664</v>
      </c>
      <c r="AR19" s="288">
        <f>SUM($N$4:N19)</f>
        <v>308606.66666666669</v>
      </c>
      <c r="AS19" s="288">
        <f>AR19/Resources!$B$14</f>
        <v>2780.2402402402404</v>
      </c>
      <c r="AT19" s="288">
        <f>SUM($U$4:U19)</f>
        <v>91708.333333333343</v>
      </c>
      <c r="AU19" s="288">
        <f>AT19/Resources!$B$15</f>
        <v>908.00330033003308</v>
      </c>
      <c r="AV19" s="288">
        <f>SUM($J$4:J19)</f>
        <v>410600</v>
      </c>
      <c r="AW19" s="288">
        <f>AV19/Resources!$B$16</f>
        <v>4189.7959183673465</v>
      </c>
      <c r="AX19" s="288">
        <f>SUM($O$4:O19)</f>
        <v>304848.33333333337</v>
      </c>
      <c r="AY19" s="288">
        <f>AX19/Resources!$B$17</f>
        <v>2903.3174603174607</v>
      </c>
      <c r="AZ19" s="288">
        <f>SUM($I$4:I19,$K$4:K19)</f>
        <v>609133.33333333337</v>
      </c>
      <c r="BA19" s="288">
        <f>AZ19/Resources!$B$6</f>
        <v>19035.416666666668</v>
      </c>
      <c r="BB19" s="288">
        <f>SUM($D$4:D19,$G$4:G19)</f>
        <v>999833.33333333326</v>
      </c>
      <c r="BC19" s="288">
        <f>BB19/Resources!$B$7</f>
        <v>33327.777777777774</v>
      </c>
      <c r="BD19" s="288">
        <f>SUM($C$4:C19,$H$4:H19)</f>
        <v>1230383.3333333335</v>
      </c>
      <c r="BE19" s="300">
        <f>BD19/Resources!$B$8</f>
        <v>47322.435897435906</v>
      </c>
      <c r="BF19" s="288">
        <f>SUM($B$4:B19,$F$4:F19)</f>
        <v>1907260.0000000002</v>
      </c>
      <c r="BG19" s="288">
        <f>BF19/Resources!$B$9</f>
        <v>61524.516129032265</v>
      </c>
      <c r="BH19" s="288">
        <f>SUM($X$4:X19,$E$4:E19)</f>
        <v>498200</v>
      </c>
      <c r="BI19" s="288">
        <f>BH19/Resources!$B$2</f>
        <v>20758.333333333332</v>
      </c>
      <c r="BJ19" s="288">
        <f>SUM($V$4:V19,$T$4:T19)</f>
        <v>151416.66666666666</v>
      </c>
      <c r="BK19" s="288">
        <f>BJ19/Resources!$B$3</f>
        <v>5823.7179487179483</v>
      </c>
      <c r="BL19" s="288">
        <f>SUM($W$4:W19, $M$4:M19)</f>
        <v>315383.33333333331</v>
      </c>
      <c r="BM19" s="288">
        <f>BL19/Resources!$B$4</f>
        <v>11263.690476190475</v>
      </c>
      <c r="BN19" s="288">
        <f>SUM($P$4:P19,$Q$4:Q19)</f>
        <v>494666.66666666663</v>
      </c>
      <c r="BO19" s="297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88">
        <f t="shared" si="7"/>
        <v>4916.666666666667</v>
      </c>
      <c r="AJ20" s="288">
        <f>SUM($S$4:S20)</f>
        <v>149994.44444444444</v>
      </c>
      <c r="AK20" s="288">
        <f>AJ20/Resources!$B$10</f>
        <v>12499.537037037036</v>
      </c>
      <c r="AL20" s="288">
        <f>SUM($Y$4:Y20)</f>
        <v>0</v>
      </c>
      <c r="AM20" s="295">
        <f>AL20/Resources!$B$11</f>
        <v>0</v>
      </c>
      <c r="AN20" s="288">
        <f>SUM($L$4:L20)</f>
        <v>322546.66666666669</v>
      </c>
      <c r="AO20" s="288">
        <f>AN20/Resources!$B$12</f>
        <v>21503.111111111113</v>
      </c>
      <c r="AP20" s="288">
        <f>SUM($R$4:R20)</f>
        <v>234986.66666666666</v>
      </c>
      <c r="AQ20" s="288">
        <f>AP20/Resources!$B$13</f>
        <v>23498.666666666664</v>
      </c>
      <c r="AR20" s="288">
        <f>SUM($N$4:N20)</f>
        <v>308606.66666666669</v>
      </c>
      <c r="AS20" s="288">
        <f>AR20/Resources!$B$14</f>
        <v>2780.2402402402404</v>
      </c>
      <c r="AT20" s="288">
        <f>SUM($U$4:U20)</f>
        <v>91708.333333333343</v>
      </c>
      <c r="AU20" s="288">
        <f>AT20/Resources!$B$15</f>
        <v>908.00330033003308</v>
      </c>
      <c r="AV20" s="288">
        <f>SUM($J$4:J20)</f>
        <v>432200</v>
      </c>
      <c r="AW20" s="288">
        <f>AV20/Resources!$B$16</f>
        <v>4410.2040816326535</v>
      </c>
      <c r="AX20" s="288">
        <f>SUM($O$4:O20)</f>
        <v>304848.33333333337</v>
      </c>
      <c r="AY20" s="288">
        <f>AX20/Resources!$B$17</f>
        <v>2903.3174603174607</v>
      </c>
      <c r="AZ20" s="288">
        <f>SUM($I$4:I20,$K$4:K20)</f>
        <v>854793.33333333337</v>
      </c>
      <c r="BA20" s="288">
        <f>AZ20/Resources!$B$6</f>
        <v>26712.291666666668</v>
      </c>
      <c r="BB20" s="288">
        <f>SUM($D$4:D20,$G$4:G20)</f>
        <v>1001233.3333333333</v>
      </c>
      <c r="BC20" s="288">
        <f>BB20/Resources!$B$7</f>
        <v>33374.444444444445</v>
      </c>
      <c r="BD20" s="288">
        <f>SUM($C$4:C20,$H$4:H20)</f>
        <v>1387133.3333333335</v>
      </c>
      <c r="BE20" s="300">
        <f>BD20/Resources!$B$8</f>
        <v>53351.282051282054</v>
      </c>
      <c r="BF20" s="288">
        <f>SUM($B$4:B20,$F$4:F20)</f>
        <v>1907260.0000000002</v>
      </c>
      <c r="BG20" s="288">
        <f>BF20/Resources!$B$9</f>
        <v>61524.516129032265</v>
      </c>
      <c r="BH20" s="288">
        <f>SUM($X$4:X20,$E$4:E20)</f>
        <v>506216.66666666669</v>
      </c>
      <c r="BI20" s="288">
        <f>BH20/Resources!$B$2</f>
        <v>21092.361111111113</v>
      </c>
      <c r="BJ20" s="288">
        <f>SUM($V$4:V20,$T$4:T20)</f>
        <v>162041.66666666666</v>
      </c>
      <c r="BK20" s="288">
        <f>BJ20/Resources!$B$3</f>
        <v>6232.3717948717949</v>
      </c>
      <c r="BL20" s="288">
        <f>SUM($W$4:W20, $M$4:M20)</f>
        <v>320341.66666666663</v>
      </c>
      <c r="BM20" s="288">
        <f>BL20/Resources!$B$4</f>
        <v>11440.773809523807</v>
      </c>
      <c r="BN20" s="288">
        <f>SUM($P$4:P20,$Q$4:Q20)</f>
        <v>499583.33333333331</v>
      </c>
      <c r="BO20" s="297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88">
        <f t="shared" si="7"/>
        <v>0</v>
      </c>
      <c r="AJ21" s="288">
        <f>SUM($S$4:S21)</f>
        <v>149994.44444444444</v>
      </c>
      <c r="AK21" s="288">
        <f>AJ21/Resources!$B$10</f>
        <v>12499.537037037036</v>
      </c>
      <c r="AL21" s="288">
        <f>SUM($Y$4:Y21)</f>
        <v>0</v>
      </c>
      <c r="AM21" s="295">
        <f>AL21/Resources!$B$11</f>
        <v>0</v>
      </c>
      <c r="AN21" s="288">
        <f>SUM($L$4:L21)</f>
        <v>322546.66666666669</v>
      </c>
      <c r="AO21" s="288">
        <f>AN21/Resources!$B$12</f>
        <v>21503.111111111113</v>
      </c>
      <c r="AP21" s="288">
        <f>SUM($R$4:R21)</f>
        <v>234986.66666666666</v>
      </c>
      <c r="AQ21" s="288">
        <f>AP21/Resources!$B$13</f>
        <v>23498.666666666664</v>
      </c>
      <c r="AR21" s="288">
        <f>SUM($N$4:N21)</f>
        <v>308606.66666666669</v>
      </c>
      <c r="AS21" s="288">
        <f>AR21/Resources!$B$14</f>
        <v>2780.2402402402404</v>
      </c>
      <c r="AT21" s="288">
        <f>SUM($U$4:U21)</f>
        <v>91708.333333333343</v>
      </c>
      <c r="AU21" s="288">
        <f>AT21/Resources!$B$15</f>
        <v>908.00330033003308</v>
      </c>
      <c r="AV21" s="288">
        <f>SUM($J$4:J21)</f>
        <v>432200</v>
      </c>
      <c r="AW21" s="288">
        <f>AV21/Resources!$B$16</f>
        <v>4410.2040816326535</v>
      </c>
      <c r="AX21" s="288">
        <f>SUM($O$4:O21)</f>
        <v>304848.33333333337</v>
      </c>
      <c r="AY21" s="288">
        <f>AX21/Resources!$B$17</f>
        <v>2903.3174603174607</v>
      </c>
      <c r="AZ21" s="288">
        <f>SUM($I$4:I21,$K$4:K21)</f>
        <v>854793.33333333337</v>
      </c>
      <c r="BA21" s="288">
        <f>AZ21/Resources!$B$6</f>
        <v>26712.291666666668</v>
      </c>
      <c r="BB21" s="288">
        <f>SUM($D$4:D21,$G$4:G21)</f>
        <v>1001233.3333333333</v>
      </c>
      <c r="BC21" s="288">
        <f>BB21/Resources!$B$7</f>
        <v>33374.444444444445</v>
      </c>
      <c r="BD21" s="288">
        <f>SUM($C$4:C21,$H$4:H21)</f>
        <v>1387133.3333333335</v>
      </c>
      <c r="BE21" s="300">
        <f>BD21/Resources!$B$8</f>
        <v>53351.282051282054</v>
      </c>
      <c r="BF21" s="288">
        <f>SUM($B$4:B21,$F$4:F21)</f>
        <v>1907260.0000000002</v>
      </c>
      <c r="BG21" s="288">
        <f>BF21/Resources!$B$9</f>
        <v>61524.516129032265</v>
      </c>
      <c r="BH21" s="288">
        <f>SUM($X$4:X21,$E$4:E21)</f>
        <v>506216.66666666669</v>
      </c>
      <c r="BI21" s="288">
        <f>BH21/Resources!$B$2</f>
        <v>21092.361111111113</v>
      </c>
      <c r="BJ21" s="288">
        <f>SUM($V$4:V21,$T$4:T21)</f>
        <v>162041.66666666666</v>
      </c>
      <c r="BK21" s="288">
        <f>BJ21/Resources!$B$3</f>
        <v>6232.3717948717949</v>
      </c>
      <c r="BL21" s="288">
        <f>SUM($W$4:W21, $M$4:M21)</f>
        <v>320341.66666666663</v>
      </c>
      <c r="BM21" s="288">
        <f>BL21/Resources!$B$4</f>
        <v>11440.773809523807</v>
      </c>
      <c r="BN21" s="288">
        <f>SUM($P$4:P21,$Q$4:Q21)</f>
        <v>499583.33333333331</v>
      </c>
      <c r="BO21" s="297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88">
        <f t="shared" si="7"/>
        <v>0</v>
      </c>
      <c r="AJ22" s="288">
        <f>SUM($S$4:S22)</f>
        <v>149994.44444444444</v>
      </c>
      <c r="AK22" s="288">
        <f>AJ22/Resources!$B$10</f>
        <v>12499.537037037036</v>
      </c>
      <c r="AL22" s="288">
        <f>SUM($Y$4:Y22)</f>
        <v>0</v>
      </c>
      <c r="AM22" s="295">
        <f>AL22/Resources!$B$11</f>
        <v>0</v>
      </c>
      <c r="AN22" s="288">
        <f>SUM($L$4:L22)</f>
        <v>322546.66666666669</v>
      </c>
      <c r="AO22" s="288">
        <f>AN22/Resources!$B$12</f>
        <v>21503.111111111113</v>
      </c>
      <c r="AP22" s="288">
        <f>SUM($R$4:R22)</f>
        <v>234986.66666666666</v>
      </c>
      <c r="AQ22" s="288">
        <f>AP22/Resources!$B$13</f>
        <v>23498.666666666664</v>
      </c>
      <c r="AR22" s="288">
        <f>SUM($N$4:N22)</f>
        <v>308606.66666666669</v>
      </c>
      <c r="AS22" s="288">
        <f>AR22/Resources!$B$14</f>
        <v>2780.2402402402404</v>
      </c>
      <c r="AT22" s="288">
        <f>SUM($U$4:U22)</f>
        <v>91708.333333333343</v>
      </c>
      <c r="AU22" s="288">
        <f>AT22/Resources!$B$15</f>
        <v>908.00330033003308</v>
      </c>
      <c r="AV22" s="288">
        <f>SUM($J$4:J22)</f>
        <v>432200</v>
      </c>
      <c r="AW22" s="288">
        <f>AV22/Resources!$B$16</f>
        <v>4410.2040816326535</v>
      </c>
      <c r="AX22" s="288">
        <f>SUM($O$4:O22)</f>
        <v>304848.33333333337</v>
      </c>
      <c r="AY22" s="288">
        <f>AX22/Resources!$B$17</f>
        <v>2903.3174603174607</v>
      </c>
      <c r="AZ22" s="288">
        <f>SUM($I$4:I22,$K$4:K22)</f>
        <v>862693.33333333337</v>
      </c>
      <c r="BA22" s="288">
        <f>AZ22/Resources!$B$6</f>
        <v>26959.166666666668</v>
      </c>
      <c r="BB22" s="288">
        <f>SUM($D$4:D22,$G$4:G22)</f>
        <v>1001233.3333333333</v>
      </c>
      <c r="BC22" s="288">
        <f>BB22/Resources!$B$7</f>
        <v>33374.444444444445</v>
      </c>
      <c r="BD22" s="288">
        <f>SUM($C$4:C22,$H$4:H22)</f>
        <v>1391633.3333333335</v>
      </c>
      <c r="BE22" s="300">
        <f>BD22/Resources!$B$8</f>
        <v>53524.358974358984</v>
      </c>
      <c r="BF22" s="288">
        <f>SUM($B$4:B22,$F$4:F22)</f>
        <v>1907260.0000000002</v>
      </c>
      <c r="BG22" s="288">
        <f>BF22/Resources!$B$9</f>
        <v>61524.516129032265</v>
      </c>
      <c r="BH22" s="288">
        <f>SUM($X$4:X22,$E$4:E22)</f>
        <v>506216.66666666669</v>
      </c>
      <c r="BI22" s="288">
        <f>BH22/Resources!$B$2</f>
        <v>21092.361111111113</v>
      </c>
      <c r="BJ22" s="288">
        <f>SUM($V$4:V22,$T$4:T22)</f>
        <v>276341.66666666663</v>
      </c>
      <c r="BK22" s="288">
        <f>BJ22/Resources!$B$3</f>
        <v>10628.525641025639</v>
      </c>
      <c r="BL22" s="288">
        <f>SUM($W$4:W22, $M$4:M22)</f>
        <v>320341.66666666663</v>
      </c>
      <c r="BM22" s="288">
        <f>BL22/Resources!$B$4</f>
        <v>11440.773809523807</v>
      </c>
      <c r="BN22" s="288">
        <f>SUM($P$4:P22,$Q$4:Q22)</f>
        <v>499583.33333333331</v>
      </c>
      <c r="BO22" s="297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88">
        <f t="shared" si="7"/>
        <v>0</v>
      </c>
      <c r="AJ23" s="288">
        <f>SUM($S$4:S23)</f>
        <v>149994.44444444444</v>
      </c>
      <c r="AK23" s="288">
        <f>AJ23/Resources!$B$10</f>
        <v>12499.537037037036</v>
      </c>
      <c r="AL23" s="288">
        <f>SUM($Y$4:Y23)</f>
        <v>0</v>
      </c>
      <c r="AM23" s="295">
        <f>AL23/Resources!$B$11</f>
        <v>0</v>
      </c>
      <c r="AN23" s="288">
        <f>SUM($L$4:L23)</f>
        <v>322546.66666666669</v>
      </c>
      <c r="AO23" s="288">
        <f>AN23/Resources!$B$12</f>
        <v>21503.111111111113</v>
      </c>
      <c r="AP23" s="288">
        <f>SUM($R$4:R23)</f>
        <v>234986.66666666666</v>
      </c>
      <c r="AQ23" s="288">
        <f>AP23/Resources!$B$13</f>
        <v>23498.666666666664</v>
      </c>
      <c r="AR23" s="288">
        <f>SUM($N$4:N23)</f>
        <v>308606.66666666669</v>
      </c>
      <c r="AS23" s="288">
        <f>AR23/Resources!$B$14</f>
        <v>2780.2402402402404</v>
      </c>
      <c r="AT23" s="288">
        <f>SUM($U$4:U23)</f>
        <v>91708.333333333343</v>
      </c>
      <c r="AU23" s="288">
        <f>AT23/Resources!$B$15</f>
        <v>908.00330033003308</v>
      </c>
      <c r="AV23" s="288">
        <f>SUM($J$4:J23)</f>
        <v>432200</v>
      </c>
      <c r="AW23" s="288">
        <f>AV23/Resources!$B$16</f>
        <v>4410.2040816326535</v>
      </c>
      <c r="AX23" s="288">
        <f>SUM($O$4:O23)</f>
        <v>304848.33333333337</v>
      </c>
      <c r="AY23" s="288">
        <f>AX23/Resources!$B$17</f>
        <v>2903.3174603174607</v>
      </c>
      <c r="AZ23" s="288">
        <f>SUM($I$4:I23,$K$4:K23)</f>
        <v>862693.33333333337</v>
      </c>
      <c r="BA23" s="288">
        <f>AZ23/Resources!$B$6</f>
        <v>26959.166666666668</v>
      </c>
      <c r="BB23" s="288">
        <f>SUM($D$4:D23,$G$4:G23)</f>
        <v>1001233.3333333333</v>
      </c>
      <c r="BC23" s="288">
        <f>BB23/Resources!$B$7</f>
        <v>33374.444444444445</v>
      </c>
      <c r="BD23" s="288">
        <f>SUM($C$4:C23,$H$4:H23)</f>
        <v>1391633.3333333335</v>
      </c>
      <c r="BE23" s="300">
        <f>BD23/Resources!$B$8</f>
        <v>53524.358974358984</v>
      </c>
      <c r="BF23" s="288">
        <f>SUM($B$4:B23,$F$4:F23)</f>
        <v>1907260.0000000002</v>
      </c>
      <c r="BG23" s="288">
        <f>BF23/Resources!$B$9</f>
        <v>61524.516129032265</v>
      </c>
      <c r="BH23" s="288">
        <f>SUM($X$4:X23,$E$4:E23)</f>
        <v>506216.66666666669</v>
      </c>
      <c r="BI23" s="288">
        <f>BH23/Resources!$B$2</f>
        <v>21092.361111111113</v>
      </c>
      <c r="BJ23" s="288">
        <f>SUM($V$4:V23,$T$4:T23)</f>
        <v>276341.66666666663</v>
      </c>
      <c r="BK23" s="288">
        <f>BJ23/Resources!$B$3</f>
        <v>10628.525641025639</v>
      </c>
      <c r="BL23" s="288">
        <f>SUM($W$4:W23, $M$4:M23)</f>
        <v>320341.66666666663</v>
      </c>
      <c r="BM23" s="288">
        <f>BL23/Resources!$B$4</f>
        <v>11440.773809523807</v>
      </c>
      <c r="BN23" s="288">
        <f>SUM($P$4:P23,$Q$4:Q23)</f>
        <v>499583.33333333331</v>
      </c>
      <c r="BO23" s="297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88">
        <f t="shared" si="7"/>
        <v>0</v>
      </c>
      <c r="AJ24" s="288">
        <f>SUM($S$4:S24)</f>
        <v>149994.44444444444</v>
      </c>
      <c r="AK24" s="288">
        <f>AJ24/Resources!$B$10</f>
        <v>12499.537037037036</v>
      </c>
      <c r="AL24" s="288">
        <f>SUM($Y$4:Y24)</f>
        <v>0</v>
      </c>
      <c r="AM24" s="295">
        <f>AL24/Resources!$B$11</f>
        <v>0</v>
      </c>
      <c r="AN24" s="288">
        <f>SUM($L$4:L24)</f>
        <v>322546.66666666669</v>
      </c>
      <c r="AO24" s="288">
        <f>AN24/Resources!$B$12</f>
        <v>21503.111111111113</v>
      </c>
      <c r="AP24" s="288">
        <f>SUM($R$4:R24)</f>
        <v>671786.66666666663</v>
      </c>
      <c r="AQ24" s="288">
        <f>AP24/Resources!$B$13</f>
        <v>67178.666666666657</v>
      </c>
      <c r="AR24" s="288">
        <f>SUM($N$4:N24)</f>
        <v>308606.66666666669</v>
      </c>
      <c r="AS24" s="288">
        <f>AR24/Resources!$B$14</f>
        <v>2780.2402402402404</v>
      </c>
      <c r="AT24" s="288">
        <f>SUM($U$4:U24)</f>
        <v>91708.333333333343</v>
      </c>
      <c r="AU24" s="288">
        <f>AT24/Resources!$B$15</f>
        <v>908.00330033003308</v>
      </c>
      <c r="AV24" s="288">
        <f>SUM($J$4:J24)</f>
        <v>432200</v>
      </c>
      <c r="AW24" s="288">
        <f>AV24/Resources!$B$16</f>
        <v>4410.2040816326535</v>
      </c>
      <c r="AX24" s="288">
        <f>SUM($O$4:O24)</f>
        <v>304848.33333333337</v>
      </c>
      <c r="AY24" s="288">
        <f>AX24/Resources!$B$17</f>
        <v>2903.3174603174607</v>
      </c>
      <c r="AZ24" s="288">
        <f>SUM($I$4:I24,$K$4:K24)</f>
        <v>1026960</v>
      </c>
      <c r="BA24" s="288">
        <f>AZ24/Resources!$B$6</f>
        <v>32092.5</v>
      </c>
      <c r="BB24" s="288">
        <f>SUM($D$4:D24,$G$4:G24)</f>
        <v>1001233.3333333333</v>
      </c>
      <c r="BC24" s="288">
        <f>BB24/Resources!$B$7</f>
        <v>33374.444444444445</v>
      </c>
      <c r="BD24" s="288">
        <f>SUM($C$4:C24,$H$4:H24)</f>
        <v>1769633.3333333335</v>
      </c>
      <c r="BE24" s="300">
        <f>BD24/Resources!$B$8</f>
        <v>68062.820512820515</v>
      </c>
      <c r="BF24" s="288">
        <f>SUM($B$4:B24,$F$4:F24)</f>
        <v>1907260.0000000002</v>
      </c>
      <c r="BG24" s="288">
        <f>BF24/Resources!$B$9</f>
        <v>61524.516129032265</v>
      </c>
      <c r="BH24" s="288">
        <f>SUM($X$4:X24,$E$4:E24)</f>
        <v>506216.66666666669</v>
      </c>
      <c r="BI24" s="288">
        <f>BH24/Resources!$B$2</f>
        <v>21092.361111111113</v>
      </c>
      <c r="BJ24" s="288">
        <f>SUM($V$4:V24,$T$4:T24)</f>
        <v>277675</v>
      </c>
      <c r="BK24" s="288">
        <f>BJ24/Resources!$B$3</f>
        <v>10679.807692307691</v>
      </c>
      <c r="BL24" s="288">
        <f>SUM($W$4:W24, $M$4:M24)</f>
        <v>320341.66666666663</v>
      </c>
      <c r="BM24" s="288">
        <f>BL24/Resources!$B$4</f>
        <v>11440.773809523807</v>
      </c>
      <c r="BN24" s="288">
        <f>SUM($P$4:P24,$Q$4:Q24)</f>
        <v>499583.33333333331</v>
      </c>
      <c r="BO24" s="297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88">
        <f t="shared" si="7"/>
        <v>0</v>
      </c>
      <c r="AJ25" s="288">
        <f>SUM($S$4:S25)</f>
        <v>149994.44444444444</v>
      </c>
      <c r="AK25" s="288">
        <f>AJ25/Resources!$B$10</f>
        <v>12499.537037037036</v>
      </c>
      <c r="AL25" s="288">
        <f>SUM($Y$4:Y25)</f>
        <v>0</v>
      </c>
      <c r="AM25" s="295">
        <f>AL25/Resources!$B$11</f>
        <v>0</v>
      </c>
      <c r="AN25" s="288">
        <f>SUM($L$4:L25)</f>
        <v>322546.66666666669</v>
      </c>
      <c r="AO25" s="288">
        <f>AN25/Resources!$B$12</f>
        <v>21503.111111111113</v>
      </c>
      <c r="AP25" s="288">
        <f>SUM($R$4:R25)</f>
        <v>671786.66666666663</v>
      </c>
      <c r="AQ25" s="288">
        <f>AP25/Resources!$B$13</f>
        <v>67178.666666666657</v>
      </c>
      <c r="AR25" s="288">
        <f>SUM($N$4:N25)</f>
        <v>308606.66666666669</v>
      </c>
      <c r="AS25" s="288">
        <f>AR25/Resources!$B$14</f>
        <v>2780.2402402402404</v>
      </c>
      <c r="AT25" s="288">
        <f>SUM($U$4:U25)</f>
        <v>191441.66666666669</v>
      </c>
      <c r="AU25" s="288">
        <f>AT25/Resources!$B$15</f>
        <v>1895.4620462046207</v>
      </c>
      <c r="AV25" s="288">
        <f>SUM($J$4:J25)</f>
        <v>432200</v>
      </c>
      <c r="AW25" s="288">
        <f>AV25/Resources!$B$16</f>
        <v>4410.2040816326535</v>
      </c>
      <c r="AX25" s="288">
        <f>SUM($O$4:O25)</f>
        <v>345381.66666666669</v>
      </c>
      <c r="AY25" s="288">
        <f>AX25/Resources!$B$17</f>
        <v>3289.3492063492067</v>
      </c>
      <c r="AZ25" s="288">
        <f>SUM($I$4:I25,$K$4:K25)</f>
        <v>1027710</v>
      </c>
      <c r="BA25" s="288">
        <f>AZ25/Resources!$B$6</f>
        <v>32115.9375</v>
      </c>
      <c r="BB25" s="288">
        <f>SUM($D$4:D25,$G$4:G25)</f>
        <v>1001233.3333333333</v>
      </c>
      <c r="BC25" s="288">
        <f>BB25/Resources!$B$7</f>
        <v>33374.444444444445</v>
      </c>
      <c r="BD25" s="288">
        <f>SUM($C$4:C25,$H$4:H25)</f>
        <v>1769633.3333333335</v>
      </c>
      <c r="BE25" s="300">
        <f>BD25/Resources!$B$8</f>
        <v>68062.820512820515</v>
      </c>
      <c r="BF25" s="288">
        <f>SUM($B$4:B25,$F$4:F25)</f>
        <v>2314060</v>
      </c>
      <c r="BG25" s="288">
        <f>BF25/Resources!$B$9</f>
        <v>74647.096774193546</v>
      </c>
      <c r="BH25" s="288">
        <f>SUM($X$4:X25,$E$4:E25)</f>
        <v>506216.66666666669</v>
      </c>
      <c r="BI25" s="288">
        <f>BH25/Resources!$B$2</f>
        <v>21092.361111111113</v>
      </c>
      <c r="BJ25" s="288">
        <f>SUM($V$4:V25,$T$4:T25)</f>
        <v>277675</v>
      </c>
      <c r="BK25" s="288">
        <f>BJ25/Resources!$B$3</f>
        <v>10679.807692307691</v>
      </c>
      <c r="BL25" s="288">
        <f>SUM($W$4:W25, $M$4:M25)</f>
        <v>321808.33333333331</v>
      </c>
      <c r="BM25" s="288">
        <f>BL25/Resources!$B$4</f>
        <v>11493.154761904761</v>
      </c>
      <c r="BN25" s="288">
        <f>SUM($P$4:P25,$Q$4:Q25)</f>
        <v>499583.33333333331</v>
      </c>
      <c r="BO25" s="297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88">
        <f t="shared" si="7"/>
        <v>0</v>
      </c>
      <c r="AJ26" s="288">
        <f>SUM($S$4:S26)</f>
        <v>149994.44444444444</v>
      </c>
      <c r="AK26" s="288">
        <f>AJ26/Resources!$B$10</f>
        <v>12499.537037037036</v>
      </c>
      <c r="AL26" s="288">
        <f>SUM($Y$4:Y26)</f>
        <v>0</v>
      </c>
      <c r="AM26" s="295">
        <f>AL26/Resources!$B$11</f>
        <v>0</v>
      </c>
      <c r="AN26" s="288">
        <f>SUM($L$4:L26)</f>
        <v>322546.66666666669</v>
      </c>
      <c r="AO26" s="288">
        <f>AN26/Resources!$B$12</f>
        <v>21503.111111111113</v>
      </c>
      <c r="AP26" s="288">
        <f>SUM($R$4:R26)</f>
        <v>671786.66666666663</v>
      </c>
      <c r="AQ26" s="288">
        <f>AP26/Resources!$B$13</f>
        <v>67178.666666666657</v>
      </c>
      <c r="AR26" s="288">
        <f>SUM($N$4:N26)</f>
        <v>308606.66666666669</v>
      </c>
      <c r="AS26" s="288">
        <f>AR26/Resources!$B$14</f>
        <v>2780.2402402402404</v>
      </c>
      <c r="AT26" s="288">
        <f>SUM($U$4:U26)</f>
        <v>191441.66666666669</v>
      </c>
      <c r="AU26" s="288">
        <f>AT26/Resources!$B$15</f>
        <v>1895.4620462046207</v>
      </c>
      <c r="AV26" s="288">
        <f>SUM($J$4:J26)</f>
        <v>432200</v>
      </c>
      <c r="AW26" s="288">
        <f>AV26/Resources!$B$16</f>
        <v>4410.2040816326535</v>
      </c>
      <c r="AX26" s="288">
        <f>SUM($O$4:O26)</f>
        <v>345381.66666666669</v>
      </c>
      <c r="AY26" s="288">
        <f>AX26/Resources!$B$17</f>
        <v>3289.3492063492067</v>
      </c>
      <c r="AZ26" s="288">
        <f>SUM($I$4:I26,$K$4:K26)</f>
        <v>1027710</v>
      </c>
      <c r="BA26" s="288">
        <f>AZ26/Resources!$B$6</f>
        <v>32115.9375</v>
      </c>
      <c r="BB26" s="288">
        <f>SUM($D$4:D26,$G$4:G26)</f>
        <v>1001233.3333333333</v>
      </c>
      <c r="BC26" s="288">
        <f>BB26/Resources!$B$7</f>
        <v>33374.444444444445</v>
      </c>
      <c r="BD26" s="288">
        <f>SUM($C$4:C26,$H$4:H26)</f>
        <v>1769633.3333333335</v>
      </c>
      <c r="BE26" s="300">
        <f>BD26/Resources!$B$8</f>
        <v>68062.820512820515</v>
      </c>
      <c r="BF26" s="288">
        <f>SUM($B$4:B26,$F$4:F26)</f>
        <v>2314060</v>
      </c>
      <c r="BG26" s="288">
        <f>BF26/Resources!$B$9</f>
        <v>74647.096774193546</v>
      </c>
      <c r="BH26" s="288">
        <f>SUM($X$4:X26,$E$4:E26)</f>
        <v>506216.66666666669</v>
      </c>
      <c r="BI26" s="288">
        <f>BH26/Resources!$B$2</f>
        <v>21092.361111111113</v>
      </c>
      <c r="BJ26" s="288">
        <f>SUM($V$4:V26,$T$4:T26)</f>
        <v>277675</v>
      </c>
      <c r="BK26" s="288">
        <f>BJ26/Resources!$B$3</f>
        <v>10679.807692307691</v>
      </c>
      <c r="BL26" s="288">
        <f>SUM($W$4:W26, $M$4:M26)</f>
        <v>321808.33333333331</v>
      </c>
      <c r="BM26" s="288">
        <f>BL26/Resources!$B$4</f>
        <v>11493.154761904761</v>
      </c>
      <c r="BN26" s="288">
        <f>SUM($P$4:P26,$Q$4:Q26)</f>
        <v>499583.33333333331</v>
      </c>
      <c r="BO26" s="297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88">
        <f t="shared" si="7"/>
        <v>214480</v>
      </c>
      <c r="AJ27" s="288">
        <f>SUM($S$4:S27)</f>
        <v>149994.44444444444</v>
      </c>
      <c r="AK27" s="288">
        <f>AJ27/Resources!$B$10</f>
        <v>12499.537037037036</v>
      </c>
      <c r="AL27" s="288">
        <f>SUM($Y$4:Y27)</f>
        <v>0</v>
      </c>
      <c r="AM27" s="295">
        <f>AL27/Resources!$B$11</f>
        <v>0</v>
      </c>
      <c r="AN27" s="288">
        <f>SUM($L$4:L27)</f>
        <v>322546.66666666669</v>
      </c>
      <c r="AO27" s="288">
        <f>AN27/Resources!$B$12</f>
        <v>21503.111111111113</v>
      </c>
      <c r="AP27" s="288">
        <f>SUM($R$4:R27)</f>
        <v>671786.66666666663</v>
      </c>
      <c r="AQ27" s="288">
        <f>AP27/Resources!$B$13</f>
        <v>67178.666666666657</v>
      </c>
      <c r="AR27" s="288">
        <f>SUM($N$4:N27)</f>
        <v>308606.66666666669</v>
      </c>
      <c r="AS27" s="288">
        <f>AR27/Resources!$B$14</f>
        <v>2780.2402402402404</v>
      </c>
      <c r="AT27" s="288">
        <f>SUM($U$4:U27)</f>
        <v>324281.66666666669</v>
      </c>
      <c r="AU27" s="288">
        <f>AT27/Resources!$B$15</f>
        <v>3210.7095709570958</v>
      </c>
      <c r="AV27" s="288">
        <f>SUM($J$4:J27)</f>
        <v>432200</v>
      </c>
      <c r="AW27" s="288">
        <f>AV27/Resources!$B$16</f>
        <v>4410.2040816326535</v>
      </c>
      <c r="AX27" s="288">
        <f>SUM($O$4:O27)</f>
        <v>408795</v>
      </c>
      <c r="AY27" s="288">
        <f>AX27/Resources!$B$17</f>
        <v>3893.2857142857142</v>
      </c>
      <c r="AZ27" s="288">
        <f>SUM($I$4:I27,$K$4:K27)</f>
        <v>1027710</v>
      </c>
      <c r="BA27" s="288">
        <f>AZ27/Resources!$B$6</f>
        <v>32115.9375</v>
      </c>
      <c r="BB27" s="288">
        <f>SUM($D$4:D27,$G$4:G27)</f>
        <v>1151400</v>
      </c>
      <c r="BC27" s="288">
        <f>BB27/Resources!$B$7</f>
        <v>38380</v>
      </c>
      <c r="BD27" s="288">
        <f>SUM($C$4:C27,$H$4:H27)</f>
        <v>1769633.3333333335</v>
      </c>
      <c r="BE27" s="300">
        <f>BD27/Resources!$B$8</f>
        <v>68062.820512820515</v>
      </c>
      <c r="BF27" s="288">
        <f>SUM($B$4:B27,$F$4:F27)</f>
        <v>2818140.0000000005</v>
      </c>
      <c r="BG27" s="288">
        <f>BF27/Resources!$B$9</f>
        <v>90907.741935483893</v>
      </c>
      <c r="BH27" s="288">
        <f>SUM($X$4:X27,$E$4:E27)</f>
        <v>506216.66666666669</v>
      </c>
      <c r="BI27" s="288">
        <f>BH27/Resources!$B$2</f>
        <v>21092.361111111113</v>
      </c>
      <c r="BJ27" s="288">
        <f>SUM($V$4:V27,$T$4:T27)</f>
        <v>277675</v>
      </c>
      <c r="BK27" s="288">
        <f>BJ27/Resources!$B$3</f>
        <v>10679.807692307691</v>
      </c>
      <c r="BL27" s="288">
        <f>SUM($W$4:W27, $M$4:M27)</f>
        <v>396475</v>
      </c>
      <c r="BM27" s="288">
        <f>BL27/Resources!$B$4</f>
        <v>14159.821428571429</v>
      </c>
      <c r="BN27" s="288">
        <f>SUM($P$4:P27,$Q$4:Q27)</f>
        <v>714063.33333333326</v>
      </c>
      <c r="BO27" s="297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88">
        <f t="shared" si="7"/>
        <v>2933.333333333333</v>
      </c>
      <c r="AJ28" s="288">
        <f>SUM($S$4:S28)</f>
        <v>149994.44444444444</v>
      </c>
      <c r="AK28" s="288">
        <f>AJ28/Resources!$B$10</f>
        <v>12499.537037037036</v>
      </c>
      <c r="AL28" s="288">
        <f>SUM($Y$4:Y28)</f>
        <v>0</v>
      </c>
      <c r="AM28" s="295">
        <f>AL28/Resources!$B$11</f>
        <v>0</v>
      </c>
      <c r="AN28" s="288">
        <f>SUM($L$4:L28)</f>
        <v>322546.66666666669</v>
      </c>
      <c r="AO28" s="288">
        <f>AN28/Resources!$B$12</f>
        <v>21503.111111111113</v>
      </c>
      <c r="AP28" s="288">
        <f>SUM($R$4:R28)</f>
        <v>671786.66666666663</v>
      </c>
      <c r="AQ28" s="288">
        <f>AP28/Resources!$B$13</f>
        <v>67178.666666666657</v>
      </c>
      <c r="AR28" s="288">
        <f>SUM($N$4:N28)</f>
        <v>308606.66666666669</v>
      </c>
      <c r="AS28" s="288">
        <f>AR28/Resources!$B$14</f>
        <v>2780.2402402402404</v>
      </c>
      <c r="AT28" s="288">
        <f>SUM($U$4:U28)</f>
        <v>324281.66666666669</v>
      </c>
      <c r="AU28" s="288">
        <f>AT28/Resources!$B$15</f>
        <v>3210.7095709570958</v>
      </c>
      <c r="AV28" s="288">
        <f>SUM($J$4:J28)</f>
        <v>623050</v>
      </c>
      <c r="AW28" s="288">
        <f>AV28/Resources!$B$16</f>
        <v>6357.6530612244896</v>
      </c>
      <c r="AX28" s="288">
        <f>SUM($O$4:O28)</f>
        <v>408795</v>
      </c>
      <c r="AY28" s="288">
        <f>AX28/Resources!$B$17</f>
        <v>3893.2857142857142</v>
      </c>
      <c r="AZ28" s="288">
        <f>SUM($I$4:I28,$K$4:K28)</f>
        <v>1027710</v>
      </c>
      <c r="BA28" s="288">
        <f>AZ28/Resources!$B$6</f>
        <v>32115.9375</v>
      </c>
      <c r="BB28" s="288">
        <f>SUM($D$4:D28,$G$4:G28)</f>
        <v>1151400</v>
      </c>
      <c r="BC28" s="288">
        <f>BB28/Resources!$B$7</f>
        <v>38380</v>
      </c>
      <c r="BD28" s="288">
        <f>SUM($C$4:C28,$H$4:H28)</f>
        <v>1769633.3333333335</v>
      </c>
      <c r="BE28" s="300">
        <f>BD28/Resources!$B$8</f>
        <v>68062.820512820515</v>
      </c>
      <c r="BF28" s="288">
        <f>SUM($B$4:B28,$F$4:F28)</f>
        <v>3000190</v>
      </c>
      <c r="BG28" s="288">
        <f>BF28/Resources!$B$9</f>
        <v>96780.322580645166</v>
      </c>
      <c r="BH28" s="288">
        <f>SUM($X$4:X28,$E$4:E28)</f>
        <v>506216.66666666669</v>
      </c>
      <c r="BI28" s="288">
        <f>BH28/Resources!$B$2</f>
        <v>21092.361111111113</v>
      </c>
      <c r="BJ28" s="288">
        <f>SUM($V$4:V28,$T$4:T28)</f>
        <v>277675</v>
      </c>
      <c r="BK28" s="288">
        <f>BJ28/Resources!$B$3</f>
        <v>10679.807692307691</v>
      </c>
      <c r="BL28" s="288">
        <f>SUM($W$4:W28, $M$4:M28)</f>
        <v>397675</v>
      </c>
      <c r="BM28" s="288">
        <f>BL28/Resources!$B$4</f>
        <v>14202.678571428571</v>
      </c>
      <c r="BN28" s="288">
        <f>SUM($P$4:P28,$Q$4:Q28)</f>
        <v>716996.66666666663</v>
      </c>
      <c r="BO28" s="297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88">
        <f t="shared" si="7"/>
        <v>0</v>
      </c>
      <c r="AJ29" s="288">
        <f>SUM($S$4:S29)</f>
        <v>149994.44444444444</v>
      </c>
      <c r="AK29" s="288">
        <f>AJ29/Resources!$B$10</f>
        <v>12499.537037037036</v>
      </c>
      <c r="AL29" s="288">
        <f>SUM($Y$4:Y29)</f>
        <v>0</v>
      </c>
      <c r="AM29" s="295">
        <f>AL29/Resources!$B$11</f>
        <v>0</v>
      </c>
      <c r="AN29" s="288">
        <f>SUM($L$4:L29)</f>
        <v>322546.66666666669</v>
      </c>
      <c r="AO29" s="288">
        <f>AN29/Resources!$B$12</f>
        <v>21503.111111111113</v>
      </c>
      <c r="AP29" s="288">
        <f>SUM($R$4:R29)</f>
        <v>671786.66666666663</v>
      </c>
      <c r="AQ29" s="288">
        <f>AP29/Resources!$B$13</f>
        <v>67178.666666666657</v>
      </c>
      <c r="AR29" s="288">
        <f>SUM($N$4:N29)</f>
        <v>308606.66666666669</v>
      </c>
      <c r="AS29" s="288">
        <f>AR29/Resources!$B$14</f>
        <v>2780.2402402402404</v>
      </c>
      <c r="AT29" s="288">
        <f>SUM($U$4:U29)</f>
        <v>324281.66666666669</v>
      </c>
      <c r="AU29" s="288">
        <f>AT29/Resources!$B$15</f>
        <v>3210.7095709570958</v>
      </c>
      <c r="AV29" s="288">
        <f>SUM($J$4:J29)</f>
        <v>640356.66666666663</v>
      </c>
      <c r="AW29" s="288">
        <f>AV29/Resources!$B$16</f>
        <v>6534.2517006802718</v>
      </c>
      <c r="AX29" s="288">
        <f>SUM($O$4:O29)</f>
        <v>408795</v>
      </c>
      <c r="AY29" s="288">
        <f>AX29/Resources!$B$17</f>
        <v>3893.2857142857142</v>
      </c>
      <c r="AZ29" s="288">
        <f>SUM($I$4:I29,$K$4:K29)</f>
        <v>1027710</v>
      </c>
      <c r="BA29" s="288">
        <f>AZ29/Resources!$B$6</f>
        <v>32115.9375</v>
      </c>
      <c r="BB29" s="288">
        <f>SUM($D$4:D29,$G$4:G29)</f>
        <v>1635666.6666666667</v>
      </c>
      <c r="BC29" s="288">
        <f>BB29/Resources!$B$7</f>
        <v>54522.222222222226</v>
      </c>
      <c r="BD29" s="288">
        <f>SUM($C$4:C29,$H$4:H29)</f>
        <v>1769633.3333333335</v>
      </c>
      <c r="BE29" s="300">
        <f>BD29/Resources!$B$8</f>
        <v>68062.820512820515</v>
      </c>
      <c r="BF29" s="288">
        <f>SUM($B$4:B29,$F$4:F29)</f>
        <v>3000190</v>
      </c>
      <c r="BG29" s="288">
        <f>BF29/Resources!$B$9</f>
        <v>96780.322580645166</v>
      </c>
      <c r="BH29" s="288">
        <f>SUM($X$4:X29,$E$4:E29)</f>
        <v>676016.66666666663</v>
      </c>
      <c r="BI29" s="288">
        <f>BH29/Resources!$B$2</f>
        <v>28167.361111111109</v>
      </c>
      <c r="BJ29" s="288">
        <f>SUM($V$4:V29,$T$4:T29)</f>
        <v>277675</v>
      </c>
      <c r="BK29" s="288">
        <f>BJ29/Resources!$B$3</f>
        <v>10679.807692307691</v>
      </c>
      <c r="BL29" s="288">
        <f>SUM($W$4:W29, $M$4:M29)</f>
        <v>397675</v>
      </c>
      <c r="BM29" s="288">
        <f>BL29/Resources!$B$4</f>
        <v>14202.678571428571</v>
      </c>
      <c r="BN29" s="288">
        <f>SUM($P$4:P29,$Q$4:Q29)</f>
        <v>716996.66666666663</v>
      </c>
      <c r="BO29" s="297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88">
        <f t="shared" si="7"/>
        <v>0</v>
      </c>
      <c r="AJ30" s="288">
        <f>SUM($S$4:S30)</f>
        <v>149994.44444444444</v>
      </c>
      <c r="AK30" s="288">
        <f>AJ30/Resources!$B$10</f>
        <v>12499.537037037036</v>
      </c>
      <c r="AL30" s="288">
        <f>SUM($Y$4:Y30)</f>
        <v>0</v>
      </c>
      <c r="AM30" s="295">
        <f>AL30/Resources!$B$11</f>
        <v>0</v>
      </c>
      <c r="AN30" s="288">
        <f>SUM($L$4:L30)</f>
        <v>322546.66666666669</v>
      </c>
      <c r="AO30" s="288">
        <f>AN30/Resources!$B$12</f>
        <v>21503.111111111113</v>
      </c>
      <c r="AP30" s="288">
        <f>SUM($R$4:R30)</f>
        <v>671786.66666666663</v>
      </c>
      <c r="AQ30" s="288">
        <f>AP30/Resources!$B$13</f>
        <v>67178.666666666657</v>
      </c>
      <c r="AR30" s="288">
        <f>SUM($N$4:N30)</f>
        <v>308606.66666666669</v>
      </c>
      <c r="AS30" s="288">
        <f>AR30/Resources!$B$14</f>
        <v>2780.2402402402404</v>
      </c>
      <c r="AT30" s="288">
        <f>SUM($U$4:U30)</f>
        <v>324281.66666666669</v>
      </c>
      <c r="AU30" s="288">
        <f>AT30/Resources!$B$15</f>
        <v>3210.7095709570958</v>
      </c>
      <c r="AV30" s="288">
        <f>SUM($J$4:J30)</f>
        <v>640356.66666666663</v>
      </c>
      <c r="AW30" s="288">
        <f>AV30/Resources!$B$16</f>
        <v>6534.2517006802718</v>
      </c>
      <c r="AX30" s="288">
        <f>SUM($O$4:O30)</f>
        <v>408795</v>
      </c>
      <c r="AY30" s="288">
        <f>AX30/Resources!$B$17</f>
        <v>3893.2857142857142</v>
      </c>
      <c r="AZ30" s="288">
        <f>SUM($I$4:I30,$K$4:K30)</f>
        <v>1027710</v>
      </c>
      <c r="BA30" s="288">
        <f>AZ30/Resources!$B$6</f>
        <v>32115.9375</v>
      </c>
      <c r="BB30" s="288">
        <f>SUM($D$4:D30,$G$4:G30)</f>
        <v>1645533.3333333335</v>
      </c>
      <c r="BC30" s="288">
        <f>BB30/Resources!$B$7</f>
        <v>54851.111111111117</v>
      </c>
      <c r="BD30" s="288">
        <f>SUM($C$4:C30,$H$4:H30)</f>
        <v>1769633.3333333335</v>
      </c>
      <c r="BE30" s="300">
        <f>BD30/Resources!$B$8</f>
        <v>68062.820512820515</v>
      </c>
      <c r="BF30" s="288">
        <f>SUM($B$4:B30,$F$4:F30)</f>
        <v>3006490</v>
      </c>
      <c r="BG30" s="288">
        <f>BF30/Resources!$B$9</f>
        <v>96983.548387096773</v>
      </c>
      <c r="BH30" s="288">
        <f>SUM($X$4:X30,$E$4:E30)</f>
        <v>724628.33333333326</v>
      </c>
      <c r="BI30" s="288">
        <f>BH30/Resources!$B$2</f>
        <v>30192.847222222219</v>
      </c>
      <c r="BJ30" s="288">
        <f>SUM($V$4:V30,$T$4:T30)</f>
        <v>277675</v>
      </c>
      <c r="BK30" s="288">
        <f>BJ30/Resources!$B$3</f>
        <v>10679.807692307691</v>
      </c>
      <c r="BL30" s="288">
        <f>SUM($W$4:W30, $M$4:M30)</f>
        <v>397675</v>
      </c>
      <c r="BM30" s="288">
        <f>BL30/Resources!$B$4</f>
        <v>14202.678571428571</v>
      </c>
      <c r="BN30" s="288">
        <f>SUM($P$4:P30,$Q$4:Q30)</f>
        <v>716996.66666666663</v>
      </c>
      <c r="BO30" s="297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88">
        <f t="shared" si="7"/>
        <v>224533.33333333334</v>
      </c>
      <c r="AJ31" s="288">
        <f>SUM($S$4:S31)</f>
        <v>432127.77777777781</v>
      </c>
      <c r="AK31" s="288">
        <f>AJ31/Resources!$B$10</f>
        <v>36010.648148148153</v>
      </c>
      <c r="AL31" s="288">
        <f>SUM($Y$4:Y31)</f>
        <v>0</v>
      </c>
      <c r="AM31" s="295">
        <f>AL31/Resources!$B$11</f>
        <v>0</v>
      </c>
      <c r="AN31" s="288">
        <f>SUM($L$4:L31)</f>
        <v>322546.66666666669</v>
      </c>
      <c r="AO31" s="288">
        <f>AN31/Resources!$B$12</f>
        <v>21503.111111111113</v>
      </c>
      <c r="AP31" s="288">
        <f>SUM($R$4:R31)</f>
        <v>671786.66666666663</v>
      </c>
      <c r="AQ31" s="288">
        <f>AP31/Resources!$B$13</f>
        <v>67178.666666666657</v>
      </c>
      <c r="AR31" s="288">
        <f>SUM($N$4:N31)</f>
        <v>358206.66666666669</v>
      </c>
      <c r="AS31" s="288">
        <f>AR31/Resources!$B$14</f>
        <v>3227.0870870870872</v>
      </c>
      <c r="AT31" s="288">
        <f>SUM($U$4:U31)</f>
        <v>324281.66666666669</v>
      </c>
      <c r="AU31" s="288">
        <f>AT31/Resources!$B$15</f>
        <v>3210.7095709570958</v>
      </c>
      <c r="AV31" s="288">
        <f>SUM($J$4:J31)</f>
        <v>640356.66666666663</v>
      </c>
      <c r="AW31" s="288">
        <f>AV31/Resources!$B$16</f>
        <v>6534.2517006802718</v>
      </c>
      <c r="AX31" s="288">
        <f>SUM($O$4:O31)</f>
        <v>408795</v>
      </c>
      <c r="AY31" s="288">
        <f>AX31/Resources!$B$17</f>
        <v>3893.2857142857142</v>
      </c>
      <c r="AZ31" s="288">
        <f>SUM($I$4:I31,$K$4:K31)</f>
        <v>1027710</v>
      </c>
      <c r="BA31" s="288">
        <f>AZ31/Resources!$B$6</f>
        <v>32115.9375</v>
      </c>
      <c r="BB31" s="288">
        <f>SUM($D$4:D31,$G$4:G31)</f>
        <v>1645533.3333333335</v>
      </c>
      <c r="BC31" s="288">
        <f>BB31/Resources!$B$7</f>
        <v>54851.111111111117</v>
      </c>
      <c r="BD31" s="288">
        <f>SUM($C$4:C31,$H$4:H31)</f>
        <v>1769633.3333333335</v>
      </c>
      <c r="BE31" s="300">
        <f>BD31/Resources!$B$8</f>
        <v>68062.820512820515</v>
      </c>
      <c r="BF31" s="288">
        <f>SUM($B$4:B31,$F$4:F31)</f>
        <v>3006490</v>
      </c>
      <c r="BG31" s="288">
        <f>BF31/Resources!$B$9</f>
        <v>96983.548387096773</v>
      </c>
      <c r="BH31" s="288">
        <f>SUM($X$4:X31,$E$4:E31)</f>
        <v>724628.33333333326</v>
      </c>
      <c r="BI31" s="288">
        <f>BH31/Resources!$B$2</f>
        <v>30192.847222222219</v>
      </c>
      <c r="BJ31" s="288">
        <f>SUM($V$4:V31,$T$4:T31)</f>
        <v>277675</v>
      </c>
      <c r="BK31" s="288">
        <f>BJ31/Resources!$B$3</f>
        <v>10679.807692307691</v>
      </c>
      <c r="BL31" s="288">
        <f>SUM($W$4:W31, $M$4:M31)</f>
        <v>397675</v>
      </c>
      <c r="BM31" s="288">
        <f>BL31/Resources!$B$4</f>
        <v>14202.678571428571</v>
      </c>
      <c r="BN31" s="288">
        <f>SUM($P$4:P31,$Q$4:Q31)</f>
        <v>941529.99999999988</v>
      </c>
      <c r="BO31" s="297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88">
        <f t="shared" si="7"/>
        <v>0</v>
      </c>
      <c r="AJ32" s="288">
        <f>SUM($S$4:S32)</f>
        <v>436519.4444444445</v>
      </c>
      <c r="AK32" s="288">
        <f>AJ32/Resources!$B$10</f>
        <v>36376.620370370372</v>
      </c>
      <c r="AL32" s="288">
        <f>SUM($Y$4:Y32)</f>
        <v>0</v>
      </c>
      <c r="AM32" s="295">
        <f>AL32/Resources!$B$11</f>
        <v>0</v>
      </c>
      <c r="AN32" s="288">
        <f>SUM($L$4:L32)</f>
        <v>322546.66666666669</v>
      </c>
      <c r="AO32" s="288">
        <f>AN32/Resources!$B$12</f>
        <v>21503.111111111113</v>
      </c>
      <c r="AP32" s="288">
        <f>SUM($R$4:R32)</f>
        <v>671786.66666666663</v>
      </c>
      <c r="AQ32" s="288">
        <f>AP32/Resources!$B$13</f>
        <v>67178.666666666657</v>
      </c>
      <c r="AR32" s="288">
        <f>SUM($N$4:N32)</f>
        <v>367273.33333333337</v>
      </c>
      <c r="AS32" s="288">
        <f>AR32/Resources!$B$14</f>
        <v>3308.768768768769</v>
      </c>
      <c r="AT32" s="288">
        <f>SUM($U$4:U32)</f>
        <v>324281.66666666669</v>
      </c>
      <c r="AU32" s="288">
        <f>AT32/Resources!$B$15</f>
        <v>3210.7095709570958</v>
      </c>
      <c r="AV32" s="288">
        <f>SUM($J$4:J32)</f>
        <v>640356.66666666663</v>
      </c>
      <c r="AW32" s="288">
        <f>AV32/Resources!$B$16</f>
        <v>6534.2517006802718</v>
      </c>
      <c r="AX32" s="288">
        <f>SUM($O$4:O32)</f>
        <v>433961.66666666669</v>
      </c>
      <c r="AY32" s="288">
        <f>AX32/Resources!$B$17</f>
        <v>4132.9682539682544</v>
      </c>
      <c r="AZ32" s="288">
        <f>SUM($I$4:I32,$K$4:K32)</f>
        <v>1027710</v>
      </c>
      <c r="BA32" s="288">
        <f>AZ32/Resources!$B$6</f>
        <v>32115.9375</v>
      </c>
      <c r="BB32" s="288">
        <f>SUM($D$4:D32,$G$4:G32)</f>
        <v>1645533.3333333335</v>
      </c>
      <c r="BC32" s="288">
        <f>BB32/Resources!$B$7</f>
        <v>54851.111111111117</v>
      </c>
      <c r="BD32" s="288">
        <f>SUM($C$4:C32,$H$4:H32)</f>
        <v>1769633.3333333335</v>
      </c>
      <c r="BE32" s="300">
        <f>BD32/Resources!$B$8</f>
        <v>68062.820512820515</v>
      </c>
      <c r="BF32" s="288">
        <f>SUM($B$4:B32,$F$4:F32)</f>
        <v>3006490</v>
      </c>
      <c r="BG32" s="288">
        <f>BF32/Resources!$B$9</f>
        <v>96983.548387096773</v>
      </c>
      <c r="BH32" s="288">
        <f>SUM($X$4:X32,$E$4:E32)</f>
        <v>724628.33333333326</v>
      </c>
      <c r="BI32" s="288">
        <f>BH32/Resources!$B$2</f>
        <v>30192.847222222219</v>
      </c>
      <c r="BJ32" s="288">
        <f>SUM($V$4:V32,$T$4:T32)</f>
        <v>277675</v>
      </c>
      <c r="BK32" s="288">
        <f>BJ32/Resources!$B$3</f>
        <v>10679.807692307691</v>
      </c>
      <c r="BL32" s="288">
        <f>SUM($W$4:W32, $M$4:M32)</f>
        <v>397675</v>
      </c>
      <c r="BM32" s="288">
        <f>BL32/Resources!$B$4</f>
        <v>14202.678571428571</v>
      </c>
      <c r="BN32" s="288">
        <f>SUM($P$4:P32,$Q$4:Q32)</f>
        <v>941529.99999999988</v>
      </c>
      <c r="BO32" s="297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88">
        <f t="shared" si="7"/>
        <v>0</v>
      </c>
      <c r="AJ33" s="288">
        <f>SUM($S$4:S33)</f>
        <v>436519.4444444445</v>
      </c>
      <c r="AK33" s="288">
        <f>AJ33/Resources!$B$10</f>
        <v>36376.620370370372</v>
      </c>
      <c r="AL33" s="288">
        <f>SUM($Y$4:Y33)</f>
        <v>0</v>
      </c>
      <c r="AM33" s="295">
        <f>AL33/Resources!$B$11</f>
        <v>0</v>
      </c>
      <c r="AN33" s="288">
        <f>SUM($L$4:L33)</f>
        <v>322546.66666666669</v>
      </c>
      <c r="AO33" s="288">
        <f>AN33/Resources!$B$12</f>
        <v>21503.111111111113</v>
      </c>
      <c r="AP33" s="288">
        <f>SUM($R$4:R33)</f>
        <v>671786.66666666663</v>
      </c>
      <c r="AQ33" s="288">
        <f>AP33/Resources!$B$13</f>
        <v>67178.666666666657</v>
      </c>
      <c r="AR33" s="288">
        <f>SUM($N$4:N33)</f>
        <v>367273.33333333337</v>
      </c>
      <c r="AS33" s="288">
        <f>AR33/Resources!$B$14</f>
        <v>3308.768768768769</v>
      </c>
      <c r="AT33" s="288">
        <f>SUM($U$4:U33)</f>
        <v>324281.66666666669</v>
      </c>
      <c r="AU33" s="288">
        <f>AT33/Resources!$B$15</f>
        <v>3210.7095709570958</v>
      </c>
      <c r="AV33" s="288">
        <f>SUM($J$4:J33)</f>
        <v>640356.66666666663</v>
      </c>
      <c r="AW33" s="288">
        <f>AV33/Resources!$B$16</f>
        <v>6534.2517006802718</v>
      </c>
      <c r="AX33" s="288">
        <f>SUM($O$4:O33)</f>
        <v>433961.66666666669</v>
      </c>
      <c r="AY33" s="288">
        <f>AX33/Resources!$B$17</f>
        <v>4132.9682539682544</v>
      </c>
      <c r="AZ33" s="288">
        <f>SUM($I$4:I33,$K$4:K33)</f>
        <v>1027710</v>
      </c>
      <c r="BA33" s="288">
        <f>AZ33/Resources!$B$6</f>
        <v>32115.9375</v>
      </c>
      <c r="BB33" s="288">
        <f>SUM($D$4:D33,$G$4:G33)</f>
        <v>1645533.3333333335</v>
      </c>
      <c r="BC33" s="288">
        <f>BB33/Resources!$B$7</f>
        <v>54851.111111111117</v>
      </c>
      <c r="BD33" s="288">
        <f>SUM($C$4:C33,$H$4:H33)</f>
        <v>1769633.3333333335</v>
      </c>
      <c r="BE33" s="300">
        <f>BD33/Resources!$B$8</f>
        <v>68062.820512820515</v>
      </c>
      <c r="BF33" s="288">
        <f>SUM($B$4:B33,$F$4:F33)</f>
        <v>3006490</v>
      </c>
      <c r="BG33" s="288">
        <f>BF33/Resources!$B$9</f>
        <v>96983.548387096773</v>
      </c>
      <c r="BH33" s="288">
        <f>SUM($X$4:X33,$E$4:E33)</f>
        <v>724628.33333333326</v>
      </c>
      <c r="BI33" s="288">
        <f>BH33/Resources!$B$2</f>
        <v>30192.847222222219</v>
      </c>
      <c r="BJ33" s="288">
        <f>SUM($V$4:V33,$T$4:T33)</f>
        <v>277675</v>
      </c>
      <c r="BK33" s="288">
        <f>BJ33/Resources!$B$3</f>
        <v>10679.807692307691</v>
      </c>
      <c r="BL33" s="288">
        <f>SUM($W$4:W33, $M$4:M33)</f>
        <v>397675</v>
      </c>
      <c r="BM33" s="288">
        <f>BL33/Resources!$B$4</f>
        <v>14202.678571428571</v>
      </c>
      <c r="BN33" s="288">
        <f>SUM($P$4:P33,$Q$4:Q33)</f>
        <v>941529.99999999988</v>
      </c>
      <c r="BO33" s="297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88">
        <f t="shared" si="7"/>
        <v>0</v>
      </c>
      <c r="AJ34" s="288">
        <f>SUM($S$4:S34)</f>
        <v>436519.4444444445</v>
      </c>
      <c r="AK34" s="288">
        <f>AJ34/Resources!$B$10</f>
        <v>36376.620370370372</v>
      </c>
      <c r="AL34" s="288">
        <f>SUM($Y$4:Y34)</f>
        <v>0</v>
      </c>
      <c r="AM34" s="295">
        <f>AL34/Resources!$B$11</f>
        <v>0</v>
      </c>
      <c r="AN34" s="288">
        <f>SUM($L$4:L34)</f>
        <v>471596.66666666669</v>
      </c>
      <c r="AO34" s="288">
        <f>AN34/Resources!$B$12</f>
        <v>31439.777777777777</v>
      </c>
      <c r="AP34" s="288">
        <f>SUM($R$4:R34)</f>
        <v>671786.66666666663</v>
      </c>
      <c r="AQ34" s="288">
        <f>AP34/Resources!$B$13</f>
        <v>67178.666666666657</v>
      </c>
      <c r="AR34" s="288">
        <f>SUM($N$4:N34)</f>
        <v>370073.33333333337</v>
      </c>
      <c r="AS34" s="288">
        <f>AR34/Resources!$B$14</f>
        <v>3333.9939939939945</v>
      </c>
      <c r="AT34" s="288">
        <f>SUM($U$4:U34)</f>
        <v>396335</v>
      </c>
      <c r="AU34" s="288">
        <f>AT34/Resources!$B$15</f>
        <v>3924.1089108910892</v>
      </c>
      <c r="AV34" s="288">
        <f>SUM($J$4:J34)</f>
        <v>640356.66666666663</v>
      </c>
      <c r="AW34" s="288">
        <f>AV34/Resources!$B$16</f>
        <v>6534.2517006802718</v>
      </c>
      <c r="AX34" s="288">
        <f>SUM($O$4:O34)</f>
        <v>435241.66666666669</v>
      </c>
      <c r="AY34" s="288">
        <f>AX34/Resources!$B$17</f>
        <v>4145.1587301587306</v>
      </c>
      <c r="AZ34" s="288">
        <f>SUM($I$4:I34,$K$4:K34)</f>
        <v>1027710</v>
      </c>
      <c r="BA34" s="288">
        <f>AZ34/Resources!$B$6</f>
        <v>32115.9375</v>
      </c>
      <c r="BB34" s="288">
        <f>SUM($D$4:D34,$G$4:G34)</f>
        <v>1645533.3333333335</v>
      </c>
      <c r="BC34" s="288">
        <f>BB34/Resources!$B$7</f>
        <v>54851.111111111117</v>
      </c>
      <c r="BD34" s="288">
        <f>SUM($C$4:C34,$H$4:H34)</f>
        <v>1769633.3333333335</v>
      </c>
      <c r="BE34" s="300">
        <f>BD34/Resources!$B$8</f>
        <v>68062.820512820515</v>
      </c>
      <c r="BF34" s="288">
        <f>SUM($B$4:B34,$F$4:F34)</f>
        <v>3006490</v>
      </c>
      <c r="BG34" s="288">
        <f>BF34/Resources!$B$9</f>
        <v>96983.548387096773</v>
      </c>
      <c r="BH34" s="288">
        <f>SUM($X$4:X34,$E$4:E34)</f>
        <v>971561.66666666663</v>
      </c>
      <c r="BI34" s="288">
        <f>BH34/Resources!$B$2</f>
        <v>40481.736111111109</v>
      </c>
      <c r="BJ34" s="288">
        <f>SUM($V$4:V34,$T$4:T34)</f>
        <v>277675</v>
      </c>
      <c r="BK34" s="288">
        <f>BJ34/Resources!$B$3</f>
        <v>10679.807692307691</v>
      </c>
      <c r="BL34" s="288">
        <f>SUM($W$4:W34, $M$4:M34)</f>
        <v>397675</v>
      </c>
      <c r="BM34" s="288">
        <f>BL34/Resources!$B$4</f>
        <v>14202.678571428571</v>
      </c>
      <c r="BN34" s="288">
        <f>SUM($P$4:P34,$Q$4:Q34)</f>
        <v>941529.99999999988</v>
      </c>
      <c r="BO34" s="297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88">
        <f t="shared" si="7"/>
        <v>0</v>
      </c>
      <c r="AJ35" s="288">
        <f>SUM($S$4:S35)</f>
        <v>436519.4444444445</v>
      </c>
      <c r="AK35" s="288">
        <f>AJ35/Resources!$B$10</f>
        <v>36376.620370370372</v>
      </c>
      <c r="AL35" s="288">
        <f>SUM($Y$4:Y35)</f>
        <v>0</v>
      </c>
      <c r="AM35" s="295">
        <f>AL35/Resources!$B$11</f>
        <v>0</v>
      </c>
      <c r="AN35" s="288">
        <f>SUM($L$4:L35)</f>
        <v>471596.66666666669</v>
      </c>
      <c r="AO35" s="288">
        <f>AN35/Resources!$B$12</f>
        <v>31439.777777777777</v>
      </c>
      <c r="AP35" s="288">
        <f>SUM($R$4:R35)</f>
        <v>671786.66666666663</v>
      </c>
      <c r="AQ35" s="288">
        <f>AP35/Resources!$B$13</f>
        <v>67178.666666666657</v>
      </c>
      <c r="AR35" s="288">
        <f>SUM($N$4:N35)</f>
        <v>370073.33333333337</v>
      </c>
      <c r="AS35" s="288">
        <f>AR35/Resources!$B$14</f>
        <v>3333.9939939939945</v>
      </c>
      <c r="AT35" s="288">
        <f>SUM($U$4:U35)</f>
        <v>396335</v>
      </c>
      <c r="AU35" s="288">
        <f>AT35/Resources!$B$15</f>
        <v>3924.1089108910892</v>
      </c>
      <c r="AV35" s="288">
        <f>SUM($J$4:J35)</f>
        <v>640356.66666666663</v>
      </c>
      <c r="AW35" s="288">
        <f>AV35/Resources!$B$16</f>
        <v>6534.2517006802718</v>
      </c>
      <c r="AX35" s="288">
        <f>SUM($O$4:O35)</f>
        <v>435241.66666666669</v>
      </c>
      <c r="AY35" s="288">
        <f>AX35/Resources!$B$17</f>
        <v>4145.1587301587306</v>
      </c>
      <c r="AZ35" s="288">
        <f>SUM($I$4:I35,$K$4:K35)</f>
        <v>1027710</v>
      </c>
      <c r="BA35" s="288">
        <f>AZ35/Resources!$B$6</f>
        <v>32115.9375</v>
      </c>
      <c r="BB35" s="288">
        <f>SUM($D$4:D35,$G$4:G35)</f>
        <v>1645533.3333333335</v>
      </c>
      <c r="BC35" s="288">
        <f>BB35/Resources!$B$7</f>
        <v>54851.111111111117</v>
      </c>
      <c r="BD35" s="288">
        <f>SUM($C$4:C35,$H$4:H35)</f>
        <v>1769633.3333333335</v>
      </c>
      <c r="BE35" s="300">
        <f>BD35/Resources!$B$8</f>
        <v>68062.820512820515</v>
      </c>
      <c r="BF35" s="288">
        <f>SUM($B$4:B35,$F$4:F35)</f>
        <v>3006490</v>
      </c>
      <c r="BG35" s="288">
        <f>BF35/Resources!$B$9</f>
        <v>96983.548387096773</v>
      </c>
      <c r="BH35" s="288">
        <f>SUM($X$4:X35,$E$4:E35)</f>
        <v>971561.66666666663</v>
      </c>
      <c r="BI35" s="288">
        <f>BH35/Resources!$B$2</f>
        <v>40481.736111111109</v>
      </c>
      <c r="BJ35" s="288">
        <f>SUM($V$4:V35,$T$4:T35)</f>
        <v>277675</v>
      </c>
      <c r="BK35" s="288">
        <f>BJ35/Resources!$B$3</f>
        <v>10679.807692307691</v>
      </c>
      <c r="BL35" s="288">
        <f>SUM($W$4:W35, $M$4:M35)</f>
        <v>397675</v>
      </c>
      <c r="BM35" s="288">
        <f>BL35/Resources!$B$4</f>
        <v>14202.678571428571</v>
      </c>
      <c r="BN35" s="288">
        <f>SUM($P$4:P35,$Q$4:Q35)</f>
        <v>941529.99999999988</v>
      </c>
      <c r="BO35" s="297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88">
        <f t="shared" si="7"/>
        <v>0</v>
      </c>
      <c r="AJ36" s="288">
        <f>SUM($S$4:S36)</f>
        <v>436519.4444444445</v>
      </c>
      <c r="AK36" s="288">
        <f>AJ36/Resources!$B$10</f>
        <v>36376.620370370372</v>
      </c>
      <c r="AL36" s="288">
        <f>SUM($Y$4:Y36)</f>
        <v>105066.66666666667</v>
      </c>
      <c r="AM36" s="295">
        <f>AL36/Resources!$B$11</f>
        <v>8755.5555555555566</v>
      </c>
      <c r="AN36" s="288">
        <f>SUM($L$4:L36)</f>
        <v>647596.66666666674</v>
      </c>
      <c r="AO36" s="288">
        <f>AN36/Resources!$B$12</f>
        <v>43173.111111111117</v>
      </c>
      <c r="AP36" s="288">
        <f>SUM($R$4:R36)</f>
        <v>671786.66666666663</v>
      </c>
      <c r="AQ36" s="288">
        <f>AP36/Resources!$B$13</f>
        <v>67178.666666666657</v>
      </c>
      <c r="AR36" s="288">
        <f>SUM($N$4:N36)</f>
        <v>370073.33333333337</v>
      </c>
      <c r="AS36" s="288">
        <f>AR36/Resources!$B$14</f>
        <v>3333.9939939939945</v>
      </c>
      <c r="AT36" s="288">
        <f>SUM($U$4:U36)</f>
        <v>400535</v>
      </c>
      <c r="AU36" s="288">
        <f>AT36/Resources!$B$15</f>
        <v>3965.6930693069307</v>
      </c>
      <c r="AV36" s="288">
        <f>SUM($J$4:J36)</f>
        <v>640356.66666666663</v>
      </c>
      <c r="AW36" s="288">
        <f>AV36/Resources!$B$16</f>
        <v>6534.2517006802718</v>
      </c>
      <c r="AX36" s="288">
        <f>SUM($O$4:O36)</f>
        <v>435241.66666666669</v>
      </c>
      <c r="AY36" s="288">
        <f>AX36/Resources!$B$17</f>
        <v>4145.1587301587306</v>
      </c>
      <c r="AZ36" s="288">
        <f>SUM($I$4:I36,$K$4:K36)</f>
        <v>1029110</v>
      </c>
      <c r="BA36" s="288">
        <f>AZ36/Resources!$B$6</f>
        <v>32159.6875</v>
      </c>
      <c r="BB36" s="288">
        <f>SUM($D$4:D36,$G$4:G36)</f>
        <v>1645533.3333333335</v>
      </c>
      <c r="BC36" s="288">
        <f>BB36/Resources!$B$7</f>
        <v>54851.111111111117</v>
      </c>
      <c r="BD36" s="288">
        <f>SUM($C$4:C36,$H$4:H36)</f>
        <v>1769633.3333333335</v>
      </c>
      <c r="BE36" s="300">
        <f>BD36/Resources!$B$8</f>
        <v>68062.820512820515</v>
      </c>
      <c r="BF36" s="288">
        <f>SUM($B$4:B36,$F$4:F36)</f>
        <v>3006490</v>
      </c>
      <c r="BG36" s="288">
        <f>BF36/Resources!$B$9</f>
        <v>96983.548387096773</v>
      </c>
      <c r="BH36" s="288">
        <f>SUM($X$4:X36,$E$4:E36)</f>
        <v>980961.66666666663</v>
      </c>
      <c r="BI36" s="288">
        <f>BH36/Resources!$B$2</f>
        <v>40873.402777777774</v>
      </c>
      <c r="BJ36" s="288">
        <f>SUM($V$4:V36,$T$4:T36)</f>
        <v>277675</v>
      </c>
      <c r="BK36" s="288">
        <f>BJ36/Resources!$B$3</f>
        <v>10679.807692307691</v>
      </c>
      <c r="BL36" s="288">
        <f>SUM($W$4:W36, $M$4:M36)</f>
        <v>397675</v>
      </c>
      <c r="BM36" s="288">
        <f>BL36/Resources!$B$4</f>
        <v>14202.678571428571</v>
      </c>
      <c r="BN36" s="288">
        <f>SUM($P$4:P36,$Q$4:Q36)</f>
        <v>941529.99999999988</v>
      </c>
      <c r="BO36" s="297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88">
        <f t="shared" si="7"/>
        <v>0</v>
      </c>
      <c r="AJ37" s="288">
        <f>SUM($S$4:S37)</f>
        <v>436519.4444444445</v>
      </c>
      <c r="AK37" s="288">
        <f>AJ37/Resources!$B$10</f>
        <v>36376.620370370372</v>
      </c>
      <c r="AL37" s="288">
        <f>SUM($Y$4:Y37)</f>
        <v>105066.66666666667</v>
      </c>
      <c r="AM37" s="295">
        <f>AL37/Resources!$B$11</f>
        <v>8755.5555555555566</v>
      </c>
      <c r="AN37" s="288">
        <f>SUM($L$4:L37)</f>
        <v>647596.66666666674</v>
      </c>
      <c r="AO37" s="288">
        <f>AN37/Resources!$B$12</f>
        <v>43173.111111111117</v>
      </c>
      <c r="AP37" s="288">
        <f>SUM($R$4:R37)</f>
        <v>671786.66666666663</v>
      </c>
      <c r="AQ37" s="288">
        <f>AP37/Resources!$B$13</f>
        <v>67178.666666666657</v>
      </c>
      <c r="AR37" s="288">
        <f>SUM($N$4:N37)</f>
        <v>370073.33333333337</v>
      </c>
      <c r="AS37" s="288">
        <f>AR37/Resources!$B$14</f>
        <v>3333.9939939939945</v>
      </c>
      <c r="AT37" s="288">
        <f>SUM($U$4:U37)</f>
        <v>400535</v>
      </c>
      <c r="AU37" s="288">
        <f>AT37/Resources!$B$15</f>
        <v>3965.6930693069307</v>
      </c>
      <c r="AV37" s="288">
        <f>SUM($J$4:J37)</f>
        <v>640356.66666666663</v>
      </c>
      <c r="AW37" s="288">
        <f>AV37/Resources!$B$16</f>
        <v>6534.2517006802718</v>
      </c>
      <c r="AX37" s="288">
        <f>SUM($O$4:O37)</f>
        <v>435241.66666666669</v>
      </c>
      <c r="AY37" s="288">
        <f>AX37/Resources!$B$17</f>
        <v>4145.1587301587306</v>
      </c>
      <c r="AZ37" s="288">
        <f>SUM($I$4:I37,$K$4:K37)</f>
        <v>1029110</v>
      </c>
      <c r="BA37" s="288">
        <f>AZ37/Resources!$B$6</f>
        <v>32159.6875</v>
      </c>
      <c r="BB37" s="288">
        <f>SUM($D$4:D37,$G$4:G37)</f>
        <v>1645533.3333333335</v>
      </c>
      <c r="BC37" s="288">
        <f>BB37/Resources!$B$7</f>
        <v>54851.111111111117</v>
      </c>
      <c r="BD37" s="288">
        <f>SUM($C$4:C37,$H$4:H37)</f>
        <v>1769633.3333333335</v>
      </c>
      <c r="BE37" s="300">
        <f>BD37/Resources!$B$8</f>
        <v>68062.820512820515</v>
      </c>
      <c r="BF37" s="288">
        <f>SUM($B$4:B37,$F$4:F37)</f>
        <v>3006490</v>
      </c>
      <c r="BG37" s="288">
        <f>BF37/Resources!$B$9</f>
        <v>96983.548387096773</v>
      </c>
      <c r="BH37" s="288">
        <f>SUM($X$4:X37,$E$4:E37)</f>
        <v>980961.66666666663</v>
      </c>
      <c r="BI37" s="288">
        <f>BH37/Resources!$B$2</f>
        <v>40873.402777777774</v>
      </c>
      <c r="BJ37" s="288">
        <f>SUM($V$4:V37,$T$4:T37)</f>
        <v>277675</v>
      </c>
      <c r="BK37" s="288">
        <f>BJ37/Resources!$B$3</f>
        <v>10679.807692307691</v>
      </c>
      <c r="BL37" s="288">
        <f>SUM($W$4:W37, $M$4:M37)</f>
        <v>397675</v>
      </c>
      <c r="BM37" s="288">
        <f>BL37/Resources!$B$4</f>
        <v>14202.678571428571</v>
      </c>
      <c r="BN37" s="288">
        <f>SUM($P$4:P37,$Q$4:Q37)</f>
        <v>941529.99999999988</v>
      </c>
      <c r="BO37" s="297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88">
        <f t="shared" si="7"/>
        <v>115733.33333333333</v>
      </c>
      <c r="AJ38" s="288">
        <f>SUM($S$4:S38)</f>
        <v>436519.4444444445</v>
      </c>
      <c r="AK38" s="288">
        <f>AJ38/Resources!$B$10</f>
        <v>36376.620370370372</v>
      </c>
      <c r="AL38" s="288">
        <f>SUM($Y$4:Y38)</f>
        <v>105066.66666666667</v>
      </c>
      <c r="AM38" s="295">
        <f>AL38/Resources!$B$11</f>
        <v>8755.5555555555566</v>
      </c>
      <c r="AN38" s="288">
        <f>SUM($L$4:L38)</f>
        <v>647596.66666666674</v>
      </c>
      <c r="AO38" s="288">
        <f>AN38/Resources!$B$12</f>
        <v>43173.111111111117</v>
      </c>
      <c r="AP38" s="288">
        <f>SUM($R$4:R38)</f>
        <v>671786.66666666663</v>
      </c>
      <c r="AQ38" s="288">
        <f>AP38/Resources!$B$13</f>
        <v>67178.666666666657</v>
      </c>
      <c r="AR38" s="288">
        <f>SUM($N$4:N38)</f>
        <v>370073.33333333337</v>
      </c>
      <c r="AS38" s="288">
        <f>AR38/Resources!$B$14</f>
        <v>3333.9939939939945</v>
      </c>
      <c r="AT38" s="288">
        <f>SUM($U$4:U38)</f>
        <v>400535</v>
      </c>
      <c r="AU38" s="288">
        <f>AT38/Resources!$B$15</f>
        <v>3965.6930693069307</v>
      </c>
      <c r="AV38" s="288">
        <f>SUM($J$4:J38)</f>
        <v>640356.66666666663</v>
      </c>
      <c r="AW38" s="288">
        <f>AV38/Resources!$B$16</f>
        <v>6534.2517006802718</v>
      </c>
      <c r="AX38" s="288">
        <f>SUM($O$4:O38)</f>
        <v>435241.66666666669</v>
      </c>
      <c r="AY38" s="288">
        <f>AX38/Resources!$B$17</f>
        <v>4145.1587301587306</v>
      </c>
      <c r="AZ38" s="288">
        <f>SUM($I$4:I38,$K$4:K38)</f>
        <v>1837910.0000000002</v>
      </c>
      <c r="BA38" s="288">
        <f>AZ38/Resources!$B$6</f>
        <v>57434.687500000007</v>
      </c>
      <c r="BB38" s="288">
        <f>SUM($D$4:D38,$G$4:G38)</f>
        <v>1645533.3333333335</v>
      </c>
      <c r="BC38" s="288">
        <f>BB38/Resources!$B$7</f>
        <v>54851.111111111117</v>
      </c>
      <c r="BD38" s="288">
        <f>SUM($C$4:C38,$H$4:H38)</f>
        <v>2147006.666666667</v>
      </c>
      <c r="BE38" s="300">
        <f>BD38/Resources!$B$8</f>
        <v>82577.179487179499</v>
      </c>
      <c r="BF38" s="288">
        <f>SUM($B$4:B38,$F$4:F38)</f>
        <v>3074740</v>
      </c>
      <c r="BG38" s="288">
        <f>BF38/Resources!$B$9</f>
        <v>99185.161290322576</v>
      </c>
      <c r="BH38" s="288">
        <f>SUM($X$4:X38,$E$4:E38)</f>
        <v>980961.66666666663</v>
      </c>
      <c r="BI38" s="288">
        <f>BH38/Resources!$B$2</f>
        <v>40873.402777777774</v>
      </c>
      <c r="BJ38" s="288">
        <f>SUM($V$4:V38,$T$4:T38)</f>
        <v>277675</v>
      </c>
      <c r="BK38" s="288">
        <f>BJ38/Resources!$B$3</f>
        <v>10679.807692307691</v>
      </c>
      <c r="BL38" s="288">
        <f>SUM($W$4:W38, $M$4:M38)</f>
        <v>397675</v>
      </c>
      <c r="BM38" s="288">
        <f>BL38/Resources!$B$4</f>
        <v>14202.678571428571</v>
      </c>
      <c r="BN38" s="288">
        <f>SUM($P$4:P38,$Q$4:Q38)</f>
        <v>1057263.3333333333</v>
      </c>
      <c r="BO38" s="297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88">
        <f t="shared" si="7"/>
        <v>58133.333333333336</v>
      </c>
      <c r="AJ39" s="288">
        <f>SUM($S$4:S39)</f>
        <v>437002.77777777781</v>
      </c>
      <c r="AK39" s="288">
        <f>AJ39/Resources!$B$10</f>
        <v>36416.898148148153</v>
      </c>
      <c r="AL39" s="288">
        <f>SUM($Y$4:Y39)</f>
        <v>105066.66666666667</v>
      </c>
      <c r="AM39" s="295">
        <f>AL39/Resources!$B$11</f>
        <v>8755.5555555555566</v>
      </c>
      <c r="AN39" s="288">
        <f>SUM($L$4:L39)</f>
        <v>647596.66666666674</v>
      </c>
      <c r="AO39" s="288">
        <f>AN39/Resources!$B$12</f>
        <v>43173.111111111117</v>
      </c>
      <c r="AP39" s="288">
        <f>SUM($R$4:R39)</f>
        <v>671786.66666666663</v>
      </c>
      <c r="AQ39" s="288">
        <f>AP39/Resources!$B$13</f>
        <v>67178.666666666657</v>
      </c>
      <c r="AR39" s="288">
        <f>SUM($N$4:N39)</f>
        <v>370073.33333333337</v>
      </c>
      <c r="AS39" s="288">
        <f>AR39/Resources!$B$14</f>
        <v>3333.9939939939945</v>
      </c>
      <c r="AT39" s="288">
        <f>SUM($U$4:U39)</f>
        <v>400535</v>
      </c>
      <c r="AU39" s="288">
        <f>AT39/Resources!$B$15</f>
        <v>3965.6930693069307</v>
      </c>
      <c r="AV39" s="288">
        <f>SUM($J$4:J39)</f>
        <v>640356.66666666663</v>
      </c>
      <c r="AW39" s="288">
        <f>AV39/Resources!$B$16</f>
        <v>6534.2517006802718</v>
      </c>
      <c r="AX39" s="288">
        <f>SUM($O$4:O39)</f>
        <v>453408.33333333337</v>
      </c>
      <c r="AY39" s="288">
        <f>AX39/Resources!$B$17</f>
        <v>4318.1746031746034</v>
      </c>
      <c r="AZ39" s="288">
        <f>SUM($I$4:I39,$K$4:K39)</f>
        <v>1958976.666666667</v>
      </c>
      <c r="BA39" s="288">
        <f>AZ39/Resources!$B$6</f>
        <v>61218.020833333343</v>
      </c>
      <c r="BB39" s="288">
        <f>SUM($D$4:D39,$G$4:G39)</f>
        <v>1880733.3333333335</v>
      </c>
      <c r="BC39" s="288">
        <f>BB39/Resources!$B$7</f>
        <v>62691.111111111117</v>
      </c>
      <c r="BD39" s="288">
        <f>SUM($C$4:C39,$H$4:H39)</f>
        <v>2275006.666666667</v>
      </c>
      <c r="BE39" s="300">
        <f>BD39/Resources!$B$8</f>
        <v>87500.256410256421</v>
      </c>
      <c r="BF39" s="288">
        <f>SUM($B$4:B39,$F$4:F39)</f>
        <v>3152606.6666666665</v>
      </c>
      <c r="BG39" s="288">
        <f>BF39/Resources!$B$9</f>
        <v>101696.98924731182</v>
      </c>
      <c r="BH39" s="288">
        <f>SUM($X$4:X39,$E$4:E39)</f>
        <v>980961.66666666663</v>
      </c>
      <c r="BI39" s="288">
        <f>BH39/Resources!$B$2</f>
        <v>40873.402777777774</v>
      </c>
      <c r="BJ39" s="288">
        <f>SUM($V$4:V39,$T$4:T39)</f>
        <v>277675</v>
      </c>
      <c r="BK39" s="288">
        <f>BJ39/Resources!$B$3</f>
        <v>10679.807692307691</v>
      </c>
      <c r="BL39" s="288">
        <f>SUM($W$4:W39, $M$4:M39)</f>
        <v>397675</v>
      </c>
      <c r="BM39" s="288">
        <f>BL39/Resources!$B$4</f>
        <v>14202.678571428571</v>
      </c>
      <c r="BN39" s="288">
        <f>SUM($P$4:P39,$Q$4:Q39)</f>
        <v>1115396.6666666665</v>
      </c>
      <c r="BO39" s="297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88">
        <f t="shared" si="7"/>
        <v>0</v>
      </c>
      <c r="AJ40" s="288">
        <f>SUM($S$4:S40)</f>
        <v>437002.77777777781</v>
      </c>
      <c r="AK40" s="288">
        <f>AJ40/Resources!$B$10</f>
        <v>36416.898148148153</v>
      </c>
      <c r="AL40" s="288">
        <f>SUM($Y$4:Y40)</f>
        <v>105066.66666666667</v>
      </c>
      <c r="AM40" s="295">
        <f>AL40/Resources!$B$11</f>
        <v>8755.5555555555566</v>
      </c>
      <c r="AN40" s="288">
        <f>SUM($L$4:L40)</f>
        <v>647596.66666666674</v>
      </c>
      <c r="AO40" s="288">
        <f>AN40/Resources!$B$12</f>
        <v>43173.111111111117</v>
      </c>
      <c r="AP40" s="288">
        <f>SUM($R$4:R40)</f>
        <v>671786.66666666663</v>
      </c>
      <c r="AQ40" s="288">
        <f>AP40/Resources!$B$13</f>
        <v>67178.666666666657</v>
      </c>
      <c r="AR40" s="288">
        <f>SUM($N$4:N40)</f>
        <v>370073.33333333337</v>
      </c>
      <c r="AS40" s="288">
        <f>AR40/Resources!$B$14</f>
        <v>3333.9939939939945</v>
      </c>
      <c r="AT40" s="288">
        <f>SUM($U$4:U40)</f>
        <v>400535</v>
      </c>
      <c r="AU40" s="288">
        <f>AT40/Resources!$B$15</f>
        <v>3965.6930693069307</v>
      </c>
      <c r="AV40" s="288">
        <f>SUM($J$4:J40)</f>
        <v>640356.66666666663</v>
      </c>
      <c r="AW40" s="288">
        <f>AV40/Resources!$B$16</f>
        <v>6534.2517006802718</v>
      </c>
      <c r="AX40" s="288">
        <f>SUM($O$4:O40)</f>
        <v>453408.33333333337</v>
      </c>
      <c r="AY40" s="288">
        <f>AX40/Resources!$B$17</f>
        <v>4318.1746031746034</v>
      </c>
      <c r="AZ40" s="288">
        <f>SUM($I$4:I40,$K$4:K40)</f>
        <v>1958976.666666667</v>
      </c>
      <c r="BA40" s="288">
        <f>AZ40/Resources!$B$6</f>
        <v>61218.020833333343</v>
      </c>
      <c r="BB40" s="288">
        <f>SUM($D$4:D40,$G$4:G40)</f>
        <v>1880733.3333333335</v>
      </c>
      <c r="BC40" s="288">
        <f>BB40/Resources!$B$7</f>
        <v>62691.111111111117</v>
      </c>
      <c r="BD40" s="288">
        <f>SUM($C$4:C40,$H$4:H40)</f>
        <v>2275006.666666667</v>
      </c>
      <c r="BE40" s="300">
        <f>BD40/Resources!$B$8</f>
        <v>87500.256410256421</v>
      </c>
      <c r="BF40" s="288">
        <f>SUM($B$4:B40,$F$4:F40)</f>
        <v>3152606.6666666665</v>
      </c>
      <c r="BG40" s="288">
        <f>BF40/Resources!$B$9</f>
        <v>101696.98924731182</v>
      </c>
      <c r="BH40" s="288">
        <f>SUM($X$4:X40,$E$4:E40)</f>
        <v>980961.66666666663</v>
      </c>
      <c r="BI40" s="288">
        <f>BH40/Resources!$B$2</f>
        <v>40873.402777777774</v>
      </c>
      <c r="BJ40" s="288">
        <f>SUM($V$4:V40,$T$4:T40)</f>
        <v>277675</v>
      </c>
      <c r="BK40" s="288">
        <f>BJ40/Resources!$B$3</f>
        <v>10679.807692307691</v>
      </c>
      <c r="BL40" s="288">
        <f>SUM($W$4:W40, $M$4:M40)</f>
        <v>397675</v>
      </c>
      <c r="BM40" s="288">
        <f>BL40/Resources!$B$4</f>
        <v>14202.678571428571</v>
      </c>
      <c r="BN40" s="288">
        <f>SUM($P$4:P40,$Q$4:Q40)</f>
        <v>1115396.6666666665</v>
      </c>
      <c r="BO40" s="297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88">
        <f t="shared" si="7"/>
        <v>666.66666666666663</v>
      </c>
      <c r="AJ41" s="288">
        <f>SUM($S$4:S41)</f>
        <v>793269.4444444445</v>
      </c>
      <c r="AK41" s="288">
        <f>AJ41/Resources!$B$10</f>
        <v>66105.787037037036</v>
      </c>
      <c r="AL41" s="288">
        <f>SUM($Y$4:Y41)</f>
        <v>105066.66666666667</v>
      </c>
      <c r="AM41" s="295">
        <f>AL41/Resources!$B$11</f>
        <v>8755.5555555555566</v>
      </c>
      <c r="AN41" s="288">
        <f>SUM($L$4:L41)</f>
        <v>695063.33333333337</v>
      </c>
      <c r="AO41" s="288">
        <f>AN41/Resources!$B$12</f>
        <v>46337.555555555555</v>
      </c>
      <c r="AP41" s="288">
        <f>SUM($R$4:R41)</f>
        <v>671786.66666666663</v>
      </c>
      <c r="AQ41" s="288">
        <f>AP41/Resources!$B$13</f>
        <v>67178.666666666657</v>
      </c>
      <c r="AR41" s="288">
        <f>SUM($N$4:N41)</f>
        <v>370073.33333333337</v>
      </c>
      <c r="AS41" s="288">
        <f>AR41/Resources!$B$14</f>
        <v>3333.9939939939945</v>
      </c>
      <c r="AT41" s="288">
        <f>SUM($U$4:U41)</f>
        <v>400535</v>
      </c>
      <c r="AU41" s="288">
        <f>AT41/Resources!$B$15</f>
        <v>3965.6930693069307</v>
      </c>
      <c r="AV41" s="288">
        <f>SUM($J$4:J41)</f>
        <v>640356.66666666663</v>
      </c>
      <c r="AW41" s="288">
        <f>AV41/Resources!$B$16</f>
        <v>6534.2517006802718</v>
      </c>
      <c r="AX41" s="288">
        <f>SUM($O$4:O41)</f>
        <v>466208.33333333337</v>
      </c>
      <c r="AY41" s="288">
        <f>AX41/Resources!$B$17</f>
        <v>4440.0793650793657</v>
      </c>
      <c r="AZ41" s="288">
        <f>SUM($I$4:I41,$K$4:K41)</f>
        <v>2115476.666666667</v>
      </c>
      <c r="BA41" s="288">
        <f>AZ41/Resources!$B$6</f>
        <v>66108.645833333343</v>
      </c>
      <c r="BB41" s="288">
        <f>SUM($D$4:D41,$G$4:G41)</f>
        <v>1985266.6666666667</v>
      </c>
      <c r="BC41" s="288">
        <f>BB41/Resources!$B$7</f>
        <v>66175.555555555562</v>
      </c>
      <c r="BD41" s="288">
        <f>SUM($C$4:C41,$H$4:H41)</f>
        <v>2276873.3333333335</v>
      </c>
      <c r="BE41" s="300">
        <f>BD41/Resources!$B$8</f>
        <v>87572.051282051281</v>
      </c>
      <c r="BF41" s="288">
        <f>SUM($B$4:B41,$F$4:F41)</f>
        <v>3153773.333333333</v>
      </c>
      <c r="BG41" s="288">
        <f>BF41/Resources!$B$9</f>
        <v>101734.62365591397</v>
      </c>
      <c r="BH41" s="288">
        <f>SUM($X$4:X41,$E$4:E41)</f>
        <v>980961.66666666663</v>
      </c>
      <c r="BI41" s="288">
        <f>BH41/Resources!$B$2</f>
        <v>40873.402777777774</v>
      </c>
      <c r="BJ41" s="288">
        <f>SUM($V$4:V41,$T$4:T41)</f>
        <v>277675</v>
      </c>
      <c r="BK41" s="288">
        <f>BJ41/Resources!$B$3</f>
        <v>10679.807692307691</v>
      </c>
      <c r="BL41" s="288">
        <f>SUM($W$4:W41, $M$4:M41)</f>
        <v>397675</v>
      </c>
      <c r="BM41" s="288">
        <f>BL41/Resources!$B$4</f>
        <v>14202.678571428571</v>
      </c>
      <c r="BN41" s="288">
        <f>SUM($P$4:P41,$Q$4:Q41)</f>
        <v>1116063.3333333333</v>
      </c>
      <c r="BO41" s="297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88">
        <f t="shared" si="7"/>
        <v>0</v>
      </c>
      <c r="AJ42" s="288">
        <f>SUM($S$4:S42)</f>
        <v>793269.4444444445</v>
      </c>
      <c r="AK42" s="288">
        <f>AJ42/Resources!$B$10</f>
        <v>66105.787037037036</v>
      </c>
      <c r="AL42" s="288">
        <f>SUM($Y$4:Y42)</f>
        <v>105066.66666666667</v>
      </c>
      <c r="AM42" s="295">
        <f>AL42/Resources!$B$11</f>
        <v>8755.5555555555566</v>
      </c>
      <c r="AN42" s="288">
        <f>SUM($L$4:L42)</f>
        <v>695063.33333333337</v>
      </c>
      <c r="AO42" s="288">
        <f>AN42/Resources!$B$12</f>
        <v>46337.555555555555</v>
      </c>
      <c r="AP42" s="288">
        <f>SUM($R$4:R42)</f>
        <v>671786.66666666663</v>
      </c>
      <c r="AQ42" s="288">
        <f>AP42/Resources!$B$13</f>
        <v>67178.666666666657</v>
      </c>
      <c r="AR42" s="288">
        <f>SUM($N$4:N42)</f>
        <v>370073.33333333337</v>
      </c>
      <c r="AS42" s="288">
        <f>AR42/Resources!$B$14</f>
        <v>3333.9939939939945</v>
      </c>
      <c r="AT42" s="288">
        <f>SUM($U$4:U42)</f>
        <v>400535</v>
      </c>
      <c r="AU42" s="288">
        <f>AT42/Resources!$B$15</f>
        <v>3965.6930693069307</v>
      </c>
      <c r="AV42" s="288">
        <f>SUM($J$4:J42)</f>
        <v>640356.66666666663</v>
      </c>
      <c r="AW42" s="288">
        <f>AV42/Resources!$B$16</f>
        <v>6534.2517006802718</v>
      </c>
      <c r="AX42" s="288">
        <f>SUM($O$4:O42)</f>
        <v>466208.33333333337</v>
      </c>
      <c r="AY42" s="288">
        <f>AX42/Resources!$B$17</f>
        <v>4440.0793650793657</v>
      </c>
      <c r="AZ42" s="288">
        <f>SUM($I$4:I42,$K$4:K42)</f>
        <v>2115476.666666667</v>
      </c>
      <c r="BA42" s="288">
        <f>AZ42/Resources!$B$6</f>
        <v>66108.645833333343</v>
      </c>
      <c r="BB42" s="288">
        <f>SUM($D$4:D42,$G$4:G42)</f>
        <v>1985266.6666666667</v>
      </c>
      <c r="BC42" s="288">
        <f>BB42/Resources!$B$7</f>
        <v>66175.555555555562</v>
      </c>
      <c r="BD42" s="288">
        <f>SUM($C$4:C42,$H$4:H42)</f>
        <v>2276873.3333333335</v>
      </c>
      <c r="BE42" s="300">
        <f>BD42/Resources!$B$8</f>
        <v>87572.051282051281</v>
      </c>
      <c r="BF42" s="288">
        <f>SUM($B$4:B42,$F$4:F42)</f>
        <v>3153773.333333333</v>
      </c>
      <c r="BG42" s="288">
        <f>BF42/Resources!$B$9</f>
        <v>101734.62365591397</v>
      </c>
      <c r="BH42" s="288">
        <f>SUM($X$4:X42,$E$4:E42)</f>
        <v>980961.66666666663</v>
      </c>
      <c r="BI42" s="288">
        <f>BH42/Resources!$B$2</f>
        <v>40873.402777777774</v>
      </c>
      <c r="BJ42" s="288">
        <f>SUM($V$4:V42,$T$4:T42)</f>
        <v>277675</v>
      </c>
      <c r="BK42" s="288">
        <f>BJ42/Resources!$B$3</f>
        <v>10679.807692307691</v>
      </c>
      <c r="BL42" s="288">
        <f>SUM($W$4:W42, $M$4:M42)</f>
        <v>397675</v>
      </c>
      <c r="BM42" s="288">
        <f>BL42/Resources!$B$4</f>
        <v>14202.678571428571</v>
      </c>
      <c r="BN42" s="288">
        <f>SUM($P$4:P42,$Q$4:Q42)</f>
        <v>1116063.3333333333</v>
      </c>
      <c r="BO42" s="297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88">
        <f t="shared" si="7"/>
        <v>0</v>
      </c>
      <c r="AJ43" s="288">
        <f>SUM($S$4:S43)</f>
        <v>958269.4444444445</v>
      </c>
      <c r="AK43" s="288">
        <f>AJ43/Resources!$B$10</f>
        <v>79855.787037037036</v>
      </c>
      <c r="AL43" s="288">
        <f>SUM($Y$4:Y43)</f>
        <v>105066.66666666667</v>
      </c>
      <c r="AM43" s="295">
        <f>AL43/Resources!$B$11</f>
        <v>8755.5555555555566</v>
      </c>
      <c r="AN43" s="288">
        <f>SUM($L$4:L43)</f>
        <v>695188.33333333337</v>
      </c>
      <c r="AO43" s="288">
        <f>AN43/Resources!$B$12</f>
        <v>46345.888888888891</v>
      </c>
      <c r="AP43" s="288">
        <f>SUM($R$4:R43)</f>
        <v>739453.33333333326</v>
      </c>
      <c r="AQ43" s="288">
        <f>AP43/Resources!$B$13</f>
        <v>73945.333333333328</v>
      </c>
      <c r="AR43" s="288">
        <f>SUM($N$4:N43)</f>
        <v>370073.33333333337</v>
      </c>
      <c r="AS43" s="288">
        <f>AR43/Resources!$B$14</f>
        <v>3333.9939939939945</v>
      </c>
      <c r="AT43" s="288">
        <f>SUM($U$4:U43)</f>
        <v>451685</v>
      </c>
      <c r="AU43" s="288">
        <f>AT43/Resources!$B$15</f>
        <v>4472.1287128712875</v>
      </c>
      <c r="AV43" s="288">
        <f>SUM($J$4:J43)</f>
        <v>653356.66666666663</v>
      </c>
      <c r="AW43" s="288">
        <f>AV43/Resources!$B$16</f>
        <v>6666.9047619047615</v>
      </c>
      <c r="AX43" s="288">
        <f>SUM($O$4:O43)</f>
        <v>466208.33333333337</v>
      </c>
      <c r="AY43" s="288">
        <f>AX43/Resources!$B$17</f>
        <v>4440.0793650793657</v>
      </c>
      <c r="AZ43" s="288">
        <f>SUM($I$4:I43,$K$4:K43)</f>
        <v>2115476.666666667</v>
      </c>
      <c r="BA43" s="288">
        <f>AZ43/Resources!$B$6</f>
        <v>66108.645833333343</v>
      </c>
      <c r="BB43" s="288">
        <f>SUM($D$4:D43,$G$4:G43)</f>
        <v>2178386.666666667</v>
      </c>
      <c r="BC43" s="288">
        <f>BB43/Resources!$B$7</f>
        <v>72612.888888888905</v>
      </c>
      <c r="BD43" s="288">
        <f>SUM($C$4:C43,$H$4:H43)</f>
        <v>2276873.3333333335</v>
      </c>
      <c r="BE43" s="300">
        <f>BD43/Resources!$B$8</f>
        <v>87572.051282051281</v>
      </c>
      <c r="BF43" s="288">
        <f>SUM($B$4:B43,$F$4:F43)</f>
        <v>3153773.333333333</v>
      </c>
      <c r="BG43" s="288">
        <f>BF43/Resources!$B$9</f>
        <v>101734.62365591397</v>
      </c>
      <c r="BH43" s="288">
        <f>SUM($X$4:X43,$E$4:E43)</f>
        <v>1122961.6666666667</v>
      </c>
      <c r="BI43" s="288">
        <f>BH43/Resources!$B$2</f>
        <v>46790.069444444445</v>
      </c>
      <c r="BJ43" s="288">
        <f>SUM($V$4:V43,$T$4:T43)</f>
        <v>277675</v>
      </c>
      <c r="BK43" s="288">
        <f>BJ43/Resources!$B$3</f>
        <v>10679.807692307691</v>
      </c>
      <c r="BL43" s="288">
        <f>SUM($W$4:W43, $M$4:M43)</f>
        <v>397675</v>
      </c>
      <c r="BM43" s="288">
        <f>BL43/Resources!$B$4</f>
        <v>14202.678571428571</v>
      </c>
      <c r="BN43" s="288">
        <f>SUM($P$4:P43,$Q$4:Q43)</f>
        <v>1116063.3333333333</v>
      </c>
      <c r="BO43" s="297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88">
        <f t="shared" si="7"/>
        <v>0</v>
      </c>
      <c r="AJ44" s="288">
        <f>SUM($S$4:S44)</f>
        <v>958269.4444444445</v>
      </c>
      <c r="AK44" s="288">
        <f>AJ44/Resources!$B$10</f>
        <v>79855.787037037036</v>
      </c>
      <c r="AL44" s="288">
        <f>SUM($Y$4:Y44)</f>
        <v>105066.66666666667</v>
      </c>
      <c r="AM44" s="295">
        <f>AL44/Resources!$B$11</f>
        <v>8755.5555555555566</v>
      </c>
      <c r="AN44" s="288">
        <f>SUM($L$4:L44)</f>
        <v>695188.33333333337</v>
      </c>
      <c r="AO44" s="288">
        <f>AN44/Resources!$B$12</f>
        <v>46345.888888888891</v>
      </c>
      <c r="AP44" s="288">
        <f>SUM($R$4:R44)</f>
        <v>739453.33333333326</v>
      </c>
      <c r="AQ44" s="288">
        <f>AP44/Resources!$B$13</f>
        <v>73945.333333333328</v>
      </c>
      <c r="AR44" s="288">
        <f>SUM($N$4:N44)</f>
        <v>370073.33333333337</v>
      </c>
      <c r="AS44" s="288">
        <f>AR44/Resources!$B$14</f>
        <v>3333.9939939939945</v>
      </c>
      <c r="AT44" s="288">
        <f>SUM($U$4:U44)</f>
        <v>517351.66666666669</v>
      </c>
      <c r="AU44" s="288">
        <f>AT44/Resources!$B$15</f>
        <v>5122.2937293729374</v>
      </c>
      <c r="AV44" s="288">
        <f>SUM($J$4:J44)</f>
        <v>653356.66666666663</v>
      </c>
      <c r="AW44" s="288">
        <f>AV44/Resources!$B$16</f>
        <v>6666.9047619047615</v>
      </c>
      <c r="AX44" s="288">
        <f>SUM($O$4:O44)</f>
        <v>466208.33333333337</v>
      </c>
      <c r="AY44" s="288">
        <f>AX44/Resources!$B$17</f>
        <v>4440.0793650793657</v>
      </c>
      <c r="AZ44" s="288">
        <f>SUM($I$4:I44,$K$4:K44)</f>
        <v>2115476.666666667</v>
      </c>
      <c r="BA44" s="288">
        <f>AZ44/Resources!$B$6</f>
        <v>66108.645833333343</v>
      </c>
      <c r="BB44" s="288">
        <f>SUM($D$4:D44,$G$4:G44)</f>
        <v>2178386.666666667</v>
      </c>
      <c r="BC44" s="288">
        <f>BB44/Resources!$B$7</f>
        <v>72612.888888888905</v>
      </c>
      <c r="BD44" s="288">
        <f>SUM($C$4:C44,$H$4:H44)</f>
        <v>2276873.3333333335</v>
      </c>
      <c r="BE44" s="300">
        <f>BD44/Resources!$B$8</f>
        <v>87572.051282051281</v>
      </c>
      <c r="BF44" s="288">
        <f>SUM($B$4:B44,$F$4:F44)</f>
        <v>3153773.333333333</v>
      </c>
      <c r="BG44" s="288">
        <f>BF44/Resources!$B$9</f>
        <v>101734.62365591397</v>
      </c>
      <c r="BH44" s="288">
        <f>SUM($X$4:X44,$E$4:E44)</f>
        <v>1122961.6666666667</v>
      </c>
      <c r="BI44" s="288">
        <f>BH44/Resources!$B$2</f>
        <v>46790.069444444445</v>
      </c>
      <c r="BJ44" s="288">
        <f>SUM($V$4:V44,$T$4:T44)</f>
        <v>277675</v>
      </c>
      <c r="BK44" s="288">
        <f>BJ44/Resources!$B$3</f>
        <v>10679.807692307691</v>
      </c>
      <c r="BL44" s="288">
        <f>SUM($W$4:W44, $M$4:M44)</f>
        <v>397675</v>
      </c>
      <c r="BM44" s="288">
        <f>BL44/Resources!$B$4</f>
        <v>14202.678571428571</v>
      </c>
      <c r="BN44" s="288">
        <f>SUM($P$4:P44,$Q$4:Q44)</f>
        <v>1116063.3333333333</v>
      </c>
      <c r="BO44" s="297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88">
        <f t="shared" si="7"/>
        <v>0</v>
      </c>
      <c r="AJ45" s="288">
        <f>SUM($S$4:S45)</f>
        <v>958269.4444444445</v>
      </c>
      <c r="AK45" s="288">
        <f>AJ45/Resources!$B$10</f>
        <v>79855.787037037036</v>
      </c>
      <c r="AL45" s="288">
        <f>SUM($Y$4:Y45)</f>
        <v>105066.66666666667</v>
      </c>
      <c r="AM45" s="295">
        <f>AL45/Resources!$B$11</f>
        <v>8755.5555555555566</v>
      </c>
      <c r="AN45" s="288">
        <f>SUM($L$4:L45)</f>
        <v>695188.33333333337</v>
      </c>
      <c r="AO45" s="288">
        <f>AN45/Resources!$B$12</f>
        <v>46345.888888888891</v>
      </c>
      <c r="AP45" s="288">
        <f>SUM($R$4:R45)</f>
        <v>739453.33333333326</v>
      </c>
      <c r="AQ45" s="288">
        <f>AP45/Resources!$B$13</f>
        <v>73945.333333333328</v>
      </c>
      <c r="AR45" s="288">
        <f>SUM($N$4:N45)</f>
        <v>370073.33333333337</v>
      </c>
      <c r="AS45" s="288">
        <f>AR45/Resources!$B$14</f>
        <v>3333.9939939939945</v>
      </c>
      <c r="AT45" s="288">
        <f>SUM($U$4:U45)</f>
        <v>517351.66666666669</v>
      </c>
      <c r="AU45" s="288">
        <f>AT45/Resources!$B$15</f>
        <v>5122.2937293729374</v>
      </c>
      <c r="AV45" s="288">
        <f>SUM($J$4:J45)</f>
        <v>653356.66666666663</v>
      </c>
      <c r="AW45" s="288">
        <f>AV45/Resources!$B$16</f>
        <v>6666.9047619047615</v>
      </c>
      <c r="AX45" s="288">
        <f>SUM($O$4:O45)</f>
        <v>466208.33333333337</v>
      </c>
      <c r="AY45" s="288">
        <f>AX45/Resources!$B$17</f>
        <v>4440.0793650793657</v>
      </c>
      <c r="AZ45" s="288">
        <f>SUM($I$4:I45,$K$4:K45)</f>
        <v>2115476.666666667</v>
      </c>
      <c r="BA45" s="288">
        <f>AZ45/Resources!$B$6</f>
        <v>66108.645833333343</v>
      </c>
      <c r="BB45" s="288">
        <f>SUM($D$4:D45,$G$4:G45)</f>
        <v>2178386.666666667</v>
      </c>
      <c r="BC45" s="288">
        <f>BB45/Resources!$B$7</f>
        <v>72612.888888888905</v>
      </c>
      <c r="BD45" s="288">
        <f>SUM($C$4:C45,$H$4:H45)</f>
        <v>2276873.3333333335</v>
      </c>
      <c r="BE45" s="300">
        <f>BD45/Resources!$B$8</f>
        <v>87572.051282051281</v>
      </c>
      <c r="BF45" s="288">
        <f>SUM($B$4:B45,$F$4:F45)</f>
        <v>3153773.333333333</v>
      </c>
      <c r="BG45" s="288">
        <f>BF45/Resources!$B$9</f>
        <v>101734.62365591397</v>
      </c>
      <c r="BH45" s="288">
        <f>SUM($X$4:X45,$E$4:E45)</f>
        <v>1122961.6666666667</v>
      </c>
      <c r="BI45" s="288">
        <f>BH45/Resources!$B$2</f>
        <v>46790.069444444445</v>
      </c>
      <c r="BJ45" s="288">
        <f>SUM($V$4:V45,$T$4:T45)</f>
        <v>277675</v>
      </c>
      <c r="BK45" s="288">
        <f>BJ45/Resources!$B$3</f>
        <v>10679.807692307691</v>
      </c>
      <c r="BL45" s="288">
        <f>SUM($W$4:W45, $M$4:M45)</f>
        <v>397675</v>
      </c>
      <c r="BM45" s="288">
        <f>BL45/Resources!$B$4</f>
        <v>14202.678571428571</v>
      </c>
      <c r="BN45" s="288">
        <f>SUM($P$4:P45,$Q$4:Q45)</f>
        <v>1116063.3333333333</v>
      </c>
      <c r="BO45" s="297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88">
        <f t="shared" si="7"/>
        <v>0</v>
      </c>
      <c r="AJ46" s="288">
        <f>SUM($S$4:S46)</f>
        <v>959265</v>
      </c>
      <c r="AK46" s="288">
        <f>AJ46/Resources!$B$10</f>
        <v>79938.75</v>
      </c>
      <c r="AL46" s="288">
        <f>SUM($Y$4:Y46)</f>
        <v>105066.66666666667</v>
      </c>
      <c r="AM46" s="295">
        <f>AL46/Resources!$B$11</f>
        <v>8755.5555555555566</v>
      </c>
      <c r="AN46" s="288">
        <f>SUM($L$4:L46)</f>
        <v>695188.33333333337</v>
      </c>
      <c r="AO46" s="288">
        <f>AN46/Resources!$B$12</f>
        <v>46345.888888888891</v>
      </c>
      <c r="AP46" s="288">
        <f>SUM($R$4:R46)</f>
        <v>741017.77777777775</v>
      </c>
      <c r="AQ46" s="288">
        <f>AP46/Resources!$B$13</f>
        <v>74101.777777777781</v>
      </c>
      <c r="AR46" s="288">
        <f>SUM($N$4:N46)</f>
        <v>370073.33333333337</v>
      </c>
      <c r="AS46" s="288">
        <f>AR46/Resources!$B$14</f>
        <v>3333.9939939939945</v>
      </c>
      <c r="AT46" s="288">
        <f>SUM($U$4:U46)</f>
        <v>517545</v>
      </c>
      <c r="AU46" s="288">
        <f>AT46/Resources!$B$15</f>
        <v>5124.2079207920788</v>
      </c>
      <c r="AV46" s="288">
        <f>SUM($J$4:J46)</f>
        <v>653356.66666666663</v>
      </c>
      <c r="AW46" s="288">
        <f>AV46/Resources!$B$16</f>
        <v>6666.9047619047615</v>
      </c>
      <c r="AX46" s="288">
        <f>SUM($O$4:O46)</f>
        <v>466208.33333333337</v>
      </c>
      <c r="AY46" s="288">
        <f>AX46/Resources!$B$17</f>
        <v>4440.0793650793657</v>
      </c>
      <c r="AZ46" s="288">
        <f>SUM($I$4:I46,$K$4:K46)</f>
        <v>2115476.666666667</v>
      </c>
      <c r="BA46" s="288">
        <f>AZ46/Resources!$B$6</f>
        <v>66108.645833333343</v>
      </c>
      <c r="BB46" s="288">
        <f>SUM($D$4:D46,$G$4:G46)</f>
        <v>2178386.666666667</v>
      </c>
      <c r="BC46" s="288">
        <f>BB46/Resources!$B$7</f>
        <v>72612.888888888905</v>
      </c>
      <c r="BD46" s="288">
        <f>SUM($C$4:C46,$H$4:H46)</f>
        <v>2277740</v>
      </c>
      <c r="BE46" s="300">
        <f>BD46/Resources!$B$8</f>
        <v>87605.38461538461</v>
      </c>
      <c r="BF46" s="288">
        <f>SUM($B$4:B46,$F$4:F46)</f>
        <v>3153773.333333333</v>
      </c>
      <c r="BG46" s="288">
        <f>BF46/Resources!$B$9</f>
        <v>101734.62365591397</v>
      </c>
      <c r="BH46" s="288">
        <f>SUM($X$4:X46,$E$4:E46)</f>
        <v>1123850.5555555557</v>
      </c>
      <c r="BI46" s="288">
        <f>BH46/Resources!$B$2</f>
        <v>46827.106481481489</v>
      </c>
      <c r="BJ46" s="288">
        <f>SUM($V$4:V46,$T$4:T46)</f>
        <v>277708.33333333331</v>
      </c>
      <c r="BK46" s="288">
        <f>BJ46/Resources!$B$3</f>
        <v>10681.089743589742</v>
      </c>
      <c r="BL46" s="288">
        <f>SUM($W$4:W46, $M$4:M46)</f>
        <v>397675</v>
      </c>
      <c r="BM46" s="288">
        <f>BL46/Resources!$B$4</f>
        <v>14202.678571428571</v>
      </c>
      <c r="BN46" s="288">
        <f>SUM($P$4:P46,$Q$4:Q46)</f>
        <v>1116063.3333333333</v>
      </c>
      <c r="BO46" s="297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88">
        <f t="shared" si="7"/>
        <v>0</v>
      </c>
      <c r="AJ47" s="288">
        <f>SUM($S$4:S47)</f>
        <v>959265</v>
      </c>
      <c r="AK47" s="288">
        <f>AJ47/Resources!$B$10</f>
        <v>79938.75</v>
      </c>
      <c r="AL47" s="288">
        <f>SUM($Y$4:Y47)</f>
        <v>105066.66666666667</v>
      </c>
      <c r="AM47" s="295">
        <f>AL47/Resources!$B$11</f>
        <v>8755.5555555555566</v>
      </c>
      <c r="AN47" s="288">
        <f>SUM($L$4:L47)</f>
        <v>695188.33333333337</v>
      </c>
      <c r="AO47" s="288">
        <f>AN47/Resources!$B$12</f>
        <v>46345.888888888891</v>
      </c>
      <c r="AP47" s="288">
        <f>SUM($R$4:R47)</f>
        <v>741017.77777777775</v>
      </c>
      <c r="AQ47" s="288">
        <f>AP47/Resources!$B$13</f>
        <v>74101.777777777781</v>
      </c>
      <c r="AR47" s="288">
        <f>SUM($N$4:N47)</f>
        <v>370073.33333333337</v>
      </c>
      <c r="AS47" s="288">
        <f>AR47/Resources!$B$14</f>
        <v>3333.9939939939945</v>
      </c>
      <c r="AT47" s="288">
        <f>SUM($U$4:U47)</f>
        <v>517545</v>
      </c>
      <c r="AU47" s="288">
        <f>AT47/Resources!$B$15</f>
        <v>5124.2079207920788</v>
      </c>
      <c r="AV47" s="288">
        <f>SUM($J$4:J47)</f>
        <v>653356.66666666663</v>
      </c>
      <c r="AW47" s="288">
        <f>AV47/Resources!$B$16</f>
        <v>6666.9047619047615</v>
      </c>
      <c r="AX47" s="288">
        <f>SUM($O$4:O47)</f>
        <v>466208.33333333337</v>
      </c>
      <c r="AY47" s="288">
        <f>AX47/Resources!$B$17</f>
        <v>4440.0793650793657</v>
      </c>
      <c r="AZ47" s="288">
        <f>SUM($I$4:I47,$K$4:K47)</f>
        <v>2115476.666666667</v>
      </c>
      <c r="BA47" s="288">
        <f>AZ47/Resources!$B$6</f>
        <v>66108.645833333343</v>
      </c>
      <c r="BB47" s="288">
        <f>SUM($D$4:D47,$G$4:G47)</f>
        <v>2178386.666666667</v>
      </c>
      <c r="BC47" s="288">
        <f>BB47/Resources!$B$7</f>
        <v>72612.888888888905</v>
      </c>
      <c r="BD47" s="288">
        <f>SUM($C$4:C47,$H$4:H47)</f>
        <v>2277740</v>
      </c>
      <c r="BE47" s="300">
        <f>BD47/Resources!$B$8</f>
        <v>87605.38461538461</v>
      </c>
      <c r="BF47" s="288">
        <f>SUM($B$4:B47,$F$4:F47)</f>
        <v>3153773.333333333</v>
      </c>
      <c r="BG47" s="288">
        <f>BF47/Resources!$B$9</f>
        <v>101734.62365591397</v>
      </c>
      <c r="BH47" s="288">
        <f>SUM($X$4:X47,$E$4:E47)</f>
        <v>1123850.5555555557</v>
      </c>
      <c r="BI47" s="288">
        <f>BH47/Resources!$B$2</f>
        <v>46827.106481481489</v>
      </c>
      <c r="BJ47" s="288">
        <f>SUM($V$4:V47,$T$4:T47)</f>
        <v>277708.33333333331</v>
      </c>
      <c r="BK47" s="288">
        <f>BJ47/Resources!$B$3</f>
        <v>10681.089743589742</v>
      </c>
      <c r="BL47" s="288">
        <f>SUM($W$4:W47, $M$4:M47)</f>
        <v>397675</v>
      </c>
      <c r="BM47" s="288">
        <f>BL47/Resources!$B$4</f>
        <v>14202.678571428571</v>
      </c>
      <c r="BN47" s="288">
        <f>SUM($P$4:P47,$Q$4:Q47)</f>
        <v>1116063.3333333333</v>
      </c>
      <c r="BO47" s="297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88">
        <f t="shared" si="7"/>
        <v>0</v>
      </c>
      <c r="AJ48" s="288">
        <f>SUM($S$4:S48)</f>
        <v>959265</v>
      </c>
      <c r="AK48" s="288">
        <f>AJ48/Resources!$B$10</f>
        <v>79938.75</v>
      </c>
      <c r="AL48" s="288">
        <f>SUM($Y$4:Y48)</f>
        <v>105066.66666666667</v>
      </c>
      <c r="AM48" s="295">
        <f>AL48/Resources!$B$11</f>
        <v>8755.5555555555566</v>
      </c>
      <c r="AN48" s="288">
        <f>SUM($L$4:L48)</f>
        <v>705188.33333333337</v>
      </c>
      <c r="AO48" s="288">
        <f>AN48/Resources!$B$12</f>
        <v>47012.555555555555</v>
      </c>
      <c r="AP48" s="288">
        <f>SUM($R$4:R48)</f>
        <v>741017.77777777775</v>
      </c>
      <c r="AQ48" s="288">
        <f>AP48/Resources!$B$13</f>
        <v>74101.777777777781</v>
      </c>
      <c r="AR48" s="288">
        <f>SUM($N$4:N48)</f>
        <v>370073.33333333337</v>
      </c>
      <c r="AS48" s="288">
        <f>AR48/Resources!$B$14</f>
        <v>3333.9939939939945</v>
      </c>
      <c r="AT48" s="288">
        <f>SUM($U$4:U48)</f>
        <v>517545</v>
      </c>
      <c r="AU48" s="288">
        <f>AT48/Resources!$B$15</f>
        <v>5124.2079207920788</v>
      </c>
      <c r="AV48" s="288">
        <f>SUM($J$4:J48)</f>
        <v>653356.66666666663</v>
      </c>
      <c r="AW48" s="288">
        <f>AV48/Resources!$B$16</f>
        <v>6666.9047619047615</v>
      </c>
      <c r="AX48" s="288">
        <f>SUM($O$4:O48)</f>
        <v>466208.33333333337</v>
      </c>
      <c r="AY48" s="288">
        <f>AX48/Resources!$B$17</f>
        <v>4440.0793650793657</v>
      </c>
      <c r="AZ48" s="288">
        <f>SUM($I$4:I48,$K$4:K48)</f>
        <v>2115476.666666667</v>
      </c>
      <c r="BA48" s="288">
        <f>AZ48/Resources!$B$6</f>
        <v>66108.645833333343</v>
      </c>
      <c r="BB48" s="288">
        <f>SUM($D$4:D48,$G$4:G48)</f>
        <v>2178386.666666667</v>
      </c>
      <c r="BC48" s="288">
        <f>BB48/Resources!$B$7</f>
        <v>72612.888888888905</v>
      </c>
      <c r="BD48" s="288">
        <f>SUM($C$4:C48,$H$4:H48)</f>
        <v>2373206.6666666665</v>
      </c>
      <c r="BE48" s="300">
        <f>BD48/Resources!$B$8</f>
        <v>91277.179487179485</v>
      </c>
      <c r="BF48" s="288">
        <f>SUM($B$4:B48,$F$4:F48)</f>
        <v>3153773.333333333</v>
      </c>
      <c r="BG48" s="288">
        <f>BF48/Resources!$B$9</f>
        <v>101734.62365591397</v>
      </c>
      <c r="BH48" s="288">
        <f>SUM($X$4:X48,$E$4:E48)</f>
        <v>1123850.5555555557</v>
      </c>
      <c r="BI48" s="288">
        <f>BH48/Resources!$B$2</f>
        <v>46827.106481481489</v>
      </c>
      <c r="BJ48" s="288">
        <f>SUM($V$4:V48,$T$4:T48)</f>
        <v>277708.33333333331</v>
      </c>
      <c r="BK48" s="288">
        <f>BJ48/Resources!$B$3</f>
        <v>10681.089743589742</v>
      </c>
      <c r="BL48" s="288">
        <f>SUM($W$4:W48, $M$4:M48)</f>
        <v>397675</v>
      </c>
      <c r="BM48" s="288">
        <f>BL48/Resources!$B$4</f>
        <v>14202.678571428571</v>
      </c>
      <c r="BN48" s="288">
        <f>SUM($P$4:P48,$Q$4:Q48)</f>
        <v>1116063.3333333333</v>
      </c>
      <c r="BO48" s="297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88">
        <f t="shared" si="7"/>
        <v>0</v>
      </c>
      <c r="AJ49" s="288">
        <f>SUM($S$4:S49)</f>
        <v>959265</v>
      </c>
      <c r="AK49" s="288">
        <f>AJ49/Resources!$B$10</f>
        <v>79938.75</v>
      </c>
      <c r="AL49" s="288">
        <f>SUM($Y$4:Y49)</f>
        <v>105066.66666666667</v>
      </c>
      <c r="AM49" s="295">
        <f>AL49/Resources!$B$11</f>
        <v>8755.5555555555566</v>
      </c>
      <c r="AN49" s="288">
        <f>SUM($L$4:L49)</f>
        <v>705188.33333333337</v>
      </c>
      <c r="AO49" s="288">
        <f>AN49/Resources!$B$12</f>
        <v>47012.555555555555</v>
      </c>
      <c r="AP49" s="288">
        <f>SUM($R$4:R49)</f>
        <v>741017.77777777775</v>
      </c>
      <c r="AQ49" s="288">
        <f>AP49/Resources!$B$13</f>
        <v>74101.777777777781</v>
      </c>
      <c r="AR49" s="288"/>
      <c r="AS49" s="288"/>
      <c r="AT49" s="288"/>
      <c r="AU49" s="288"/>
      <c r="AV49" s="288"/>
      <c r="AW49" s="288"/>
      <c r="AX49" s="288"/>
      <c r="AY49" s="288"/>
      <c r="AZ49" s="288">
        <f>SUM($I$4:I49,$K$4:K49)</f>
        <v>2115476.666666667</v>
      </c>
      <c r="BA49" s="288">
        <f>AZ49/Resources!$B$6</f>
        <v>66108.645833333343</v>
      </c>
      <c r="BB49" s="288">
        <f>SUM($D$4:D49,$G$4:G49)</f>
        <v>2178386.666666667</v>
      </c>
      <c r="BC49" s="288">
        <f>BB49/Resources!$B$7</f>
        <v>72612.888888888905</v>
      </c>
      <c r="BD49" s="288">
        <f>SUM($C$4:C49,$H$4:H49)</f>
        <v>2373206.6666666665</v>
      </c>
      <c r="BE49" s="300">
        <f>BD49/Resources!$B$8</f>
        <v>91277.179487179485</v>
      </c>
      <c r="BF49" s="288">
        <f>SUM($B$4:B49,$F$4:F49)</f>
        <v>3153773.333333333</v>
      </c>
      <c r="BG49" s="288">
        <f>BF49/Resources!$B$9</f>
        <v>101734.62365591397</v>
      </c>
      <c r="BH49" s="288">
        <f>SUM($X$4:X49,$E$4:E49)</f>
        <v>1123850.5555555557</v>
      </c>
      <c r="BI49" s="288">
        <f>BH49/Resources!$B$2</f>
        <v>46827.106481481489</v>
      </c>
      <c r="BJ49" s="288">
        <f>SUM($V$4:V49,$T$4:T49)</f>
        <v>277708.33333333331</v>
      </c>
      <c r="BK49" s="288">
        <f>BJ49/Resources!$B$3</f>
        <v>10681.089743589742</v>
      </c>
      <c r="BL49" s="288">
        <f>SUM($W$4:W49, $M$4:M49)</f>
        <v>397675</v>
      </c>
      <c r="BM49" s="288">
        <f>BL49/Resources!$B$4</f>
        <v>14202.678571428571</v>
      </c>
      <c r="BN49" s="288">
        <f>SUM($P$4:P49,$Q$4:Q49)</f>
        <v>1116063.3333333333</v>
      </c>
      <c r="BO49" s="297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88">
        <f t="shared" si="7"/>
        <v>0</v>
      </c>
      <c r="AJ50" s="288">
        <f>SUM($S$4:S50)</f>
        <v>959265</v>
      </c>
      <c r="AK50" s="288">
        <f>AJ50/Resources!$B$10</f>
        <v>79938.75</v>
      </c>
      <c r="AL50" s="288">
        <f>SUM($Y$4:Y50)</f>
        <v>105066.66666666667</v>
      </c>
      <c r="AM50" s="295">
        <f>AL50/Resources!$B$11</f>
        <v>8755.5555555555566</v>
      </c>
      <c r="AN50" s="288">
        <f>SUM($L$4:L50)</f>
        <v>705188.33333333337</v>
      </c>
      <c r="AO50" s="288">
        <f>AN50/Resources!$B$12</f>
        <v>47012.555555555555</v>
      </c>
      <c r="AP50" s="288">
        <f>SUM($R$4:R50)</f>
        <v>741017.77777777775</v>
      </c>
      <c r="AQ50" s="288">
        <f>AP50/Resources!$B$13</f>
        <v>74101.777777777781</v>
      </c>
      <c r="AR50" s="288"/>
      <c r="AS50" s="288"/>
      <c r="AT50" s="288"/>
      <c r="AU50" s="288"/>
      <c r="AV50" s="288"/>
      <c r="AW50" s="288"/>
      <c r="AX50" s="288"/>
      <c r="AY50" s="288"/>
      <c r="AZ50" s="288">
        <f>SUM($I$4:I50,$K$4:K50)</f>
        <v>2115476.666666667</v>
      </c>
      <c r="BA50" s="288">
        <f>AZ50/Resources!$B$6</f>
        <v>66108.645833333343</v>
      </c>
      <c r="BB50" s="288">
        <f>SUM($D$4:D50,$G$4:G50)</f>
        <v>2178386.666666667</v>
      </c>
      <c r="BC50" s="288">
        <f>BB50/Resources!$B$7</f>
        <v>72612.888888888905</v>
      </c>
      <c r="BD50" s="288">
        <f>SUM($C$4:C50,$H$4:H50)</f>
        <v>2373206.6666666665</v>
      </c>
      <c r="BE50" s="300">
        <f>BD50/Resources!$B$8</f>
        <v>91277.179487179485</v>
      </c>
      <c r="BF50" s="288">
        <f>SUM($B$4:B50,$F$4:F50)</f>
        <v>3153773.333333333</v>
      </c>
      <c r="BG50" s="288">
        <f>BF50/Resources!$B$9</f>
        <v>101734.62365591397</v>
      </c>
      <c r="BH50" s="288">
        <f>SUM($X$4:X50,$E$4:E50)</f>
        <v>1123850.5555555557</v>
      </c>
      <c r="BI50" s="288">
        <f>BH50/Resources!$B$2</f>
        <v>46827.106481481489</v>
      </c>
      <c r="BJ50" s="288">
        <f>SUM($V$4:V50,$T$4:T50)</f>
        <v>277708.33333333331</v>
      </c>
      <c r="BK50" s="288">
        <f>BJ50/Resources!$B$3</f>
        <v>10681.089743589742</v>
      </c>
      <c r="BL50" s="288">
        <f>SUM($W$4:W50, $M$4:M50)</f>
        <v>397675</v>
      </c>
      <c r="BM50" s="288">
        <f>BL50/Resources!$B$4</f>
        <v>14202.678571428571</v>
      </c>
      <c r="BN50" s="288">
        <f>SUM($P$4:P50,$Q$4:Q50)</f>
        <v>1116063.3333333333</v>
      </c>
      <c r="BO50" s="297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88">
        <f t="shared" si="7"/>
        <v>0</v>
      </c>
      <c r="AJ51" s="288">
        <f>SUM($S$4:S51)</f>
        <v>959265</v>
      </c>
      <c r="AK51" s="288">
        <f>AJ51/Resources!$B$10</f>
        <v>79938.75</v>
      </c>
      <c r="AL51" s="288">
        <f>SUM($Y$4:Y51)</f>
        <v>105066.66666666667</v>
      </c>
      <c r="AM51" s="295">
        <f>AL51/Resources!$B$11</f>
        <v>8755.5555555555566</v>
      </c>
      <c r="AN51" s="288">
        <f>SUM($L$4:L51)</f>
        <v>705188.33333333337</v>
      </c>
      <c r="AO51" s="288">
        <f>AN51/Resources!$B$12</f>
        <v>47012.555555555555</v>
      </c>
      <c r="AP51" s="288">
        <f>SUM($R$4:R51)</f>
        <v>741017.77777777775</v>
      </c>
      <c r="AQ51" s="288">
        <f>AP51/Resources!$B$13</f>
        <v>74101.777777777781</v>
      </c>
      <c r="AR51" s="288"/>
      <c r="AS51" s="288"/>
      <c r="AT51" s="288"/>
      <c r="AU51" s="288"/>
      <c r="AV51" s="288"/>
      <c r="AW51" s="288"/>
      <c r="AX51" s="288"/>
      <c r="AY51" s="288"/>
      <c r="AZ51" s="288">
        <f>SUM($I$4:I51,$K$4:K51)</f>
        <v>2115476.666666667</v>
      </c>
      <c r="BA51" s="288">
        <f>AZ51/Resources!$B$6</f>
        <v>66108.645833333343</v>
      </c>
      <c r="BB51" s="288">
        <f>SUM($D$4:D51,$G$4:G51)</f>
        <v>2178386.666666667</v>
      </c>
      <c r="BC51" s="288">
        <f>BB51/Resources!$B$7</f>
        <v>72612.888888888905</v>
      </c>
      <c r="BD51" s="288">
        <f>SUM($C$4:C51,$H$4:H51)</f>
        <v>2373206.6666666665</v>
      </c>
      <c r="BE51" s="300">
        <f>BD51/Resources!$B$8</f>
        <v>91277.179487179485</v>
      </c>
      <c r="BF51" s="288">
        <f>SUM($B$4:B51,$F$4:F51)</f>
        <v>3153773.333333333</v>
      </c>
      <c r="BG51" s="288">
        <f>BF51/Resources!$B$9</f>
        <v>101734.62365591397</v>
      </c>
      <c r="BH51" s="288">
        <f>SUM($X$4:X51,$E$4:E51)</f>
        <v>1123850.5555555557</v>
      </c>
      <c r="BI51" s="288">
        <f>BH51/Resources!$B$2</f>
        <v>46827.106481481489</v>
      </c>
      <c r="BJ51" s="288">
        <f>SUM($V$4:V51,$T$4:T51)</f>
        <v>277708.33333333331</v>
      </c>
      <c r="BK51" s="288">
        <f>BJ51/Resources!$B$3</f>
        <v>10681.089743589742</v>
      </c>
      <c r="BL51" s="288">
        <f>SUM($W$4:W51, $M$4:M51)</f>
        <v>397675</v>
      </c>
      <c r="BM51" s="288">
        <f>BL51/Resources!$B$4</f>
        <v>14202.678571428571</v>
      </c>
      <c r="BN51" s="288">
        <f>SUM($P$4:P51,$Q$4:Q51)</f>
        <v>1116063.3333333333</v>
      </c>
      <c r="BO51" s="297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88">
        <f t="shared" si="7"/>
        <v>0</v>
      </c>
      <c r="AJ52" s="288">
        <f>SUM($S$4:S52)</f>
        <v>959265</v>
      </c>
      <c r="AK52" s="288">
        <f>AJ52/Resources!$B$10</f>
        <v>79938.75</v>
      </c>
      <c r="AL52" s="288">
        <f>SUM($Y$4:Y52)</f>
        <v>105066.66666666667</v>
      </c>
      <c r="AM52" s="295">
        <f>AL52/Resources!$B$11</f>
        <v>8755.5555555555566</v>
      </c>
      <c r="AN52" s="288">
        <f>SUM($L$4:L52)</f>
        <v>705188.33333333337</v>
      </c>
      <c r="AO52" s="288">
        <f>AN52/Resources!$B$12</f>
        <v>47012.555555555555</v>
      </c>
      <c r="AP52" s="288">
        <f>SUM($R$4:R52)</f>
        <v>741017.77777777775</v>
      </c>
      <c r="AQ52" s="288">
        <f>AP52/Resources!$B$13</f>
        <v>74101.777777777781</v>
      </c>
      <c r="AR52" s="288"/>
      <c r="AS52" s="288"/>
      <c r="AT52" s="288"/>
      <c r="AU52" s="288"/>
      <c r="AV52" s="288"/>
      <c r="AW52" s="288"/>
      <c r="AX52" s="288"/>
      <c r="AY52" s="288"/>
      <c r="AZ52" s="288">
        <f>SUM($I$4:I52,$K$4:K52)</f>
        <v>2115476.666666667</v>
      </c>
      <c r="BA52" s="288">
        <f>AZ52/Resources!$B$6</f>
        <v>66108.645833333343</v>
      </c>
      <c r="BB52" s="288">
        <f>SUM($D$4:D52,$G$4:G52)</f>
        <v>2178386.666666667</v>
      </c>
      <c r="BC52" s="288">
        <f>BB52/Resources!$B$7</f>
        <v>72612.888888888905</v>
      </c>
      <c r="BD52" s="288">
        <f>SUM($C$4:C52,$H$4:H52)</f>
        <v>2373206.6666666665</v>
      </c>
      <c r="BE52" s="300">
        <f>BD52/Resources!$B$8</f>
        <v>91277.179487179485</v>
      </c>
      <c r="BF52" s="288">
        <f>SUM($B$4:B52,$F$4:F52)</f>
        <v>3153773.333333333</v>
      </c>
      <c r="BG52" s="288">
        <f>BF52/Resources!$B$9</f>
        <v>101734.62365591397</v>
      </c>
      <c r="BH52" s="288">
        <f>SUM($X$4:X52,$E$4:E52)</f>
        <v>1123850.5555555557</v>
      </c>
      <c r="BI52" s="288">
        <f>BH52/Resources!$B$2</f>
        <v>46827.106481481489</v>
      </c>
      <c r="BJ52" s="288">
        <f>SUM($V$4:V52,$T$4:T52)</f>
        <v>277708.33333333331</v>
      </c>
      <c r="BK52" s="288">
        <f>BJ52/Resources!$B$3</f>
        <v>10681.089743589742</v>
      </c>
      <c r="BL52" s="288">
        <f>SUM($W$4:W52, $M$4:M52)</f>
        <v>397675</v>
      </c>
      <c r="BM52" s="288">
        <f>BL52/Resources!$B$4</f>
        <v>14202.678571428571</v>
      </c>
      <c r="BN52" s="288">
        <f>SUM($P$4:P52,$Q$4:Q52)</f>
        <v>1116063.3333333333</v>
      </c>
      <c r="BO52" s="297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88">
        <f t="shared" si="7"/>
        <v>0</v>
      </c>
      <c r="AJ53" s="288">
        <f>SUM($S$4:S53)</f>
        <v>959265</v>
      </c>
      <c r="AK53" s="288">
        <f>AJ53/Resources!$B$10</f>
        <v>79938.75</v>
      </c>
      <c r="AL53" s="288">
        <f>SUM($Y$4:Y53)</f>
        <v>105066.66666666667</v>
      </c>
      <c r="AM53" s="295">
        <f>AL53/Resources!$B$11</f>
        <v>8755.5555555555566</v>
      </c>
      <c r="AN53" s="288">
        <f>SUM($L$4:L53)</f>
        <v>705188.33333333337</v>
      </c>
      <c r="AO53" s="288">
        <f>AN53/Resources!$B$12</f>
        <v>47012.555555555555</v>
      </c>
      <c r="AP53" s="288">
        <f>SUM($R$4:R53)</f>
        <v>937817.77777777775</v>
      </c>
      <c r="AQ53" s="288">
        <f>AP53/Resources!$B$13</f>
        <v>93781.777777777781</v>
      </c>
      <c r="AR53" s="288"/>
      <c r="AS53" s="288"/>
      <c r="AT53" s="288"/>
      <c r="AU53" s="288"/>
      <c r="AV53" s="288"/>
      <c r="AW53" s="288"/>
      <c r="AX53" s="288"/>
      <c r="AY53" s="288"/>
      <c r="AZ53" s="288">
        <f>SUM($I$4:I53,$K$4:K53)</f>
        <v>2115476.666666667</v>
      </c>
      <c r="BA53" s="288">
        <f>AZ53/Resources!$B$6</f>
        <v>66108.645833333343</v>
      </c>
      <c r="BB53" s="288">
        <f>SUM($D$4:D53,$G$4:G53)</f>
        <v>2178386.666666667</v>
      </c>
      <c r="BC53" s="288">
        <f>BB53/Resources!$B$7</f>
        <v>72612.888888888905</v>
      </c>
      <c r="BD53" s="288">
        <f>SUM($C$4:C53,$H$4:H53)</f>
        <v>2373206.6666666665</v>
      </c>
      <c r="BE53" s="300">
        <f>BD53/Resources!$B$8</f>
        <v>91277.179487179485</v>
      </c>
      <c r="BF53" s="288">
        <f>SUM($B$4:B53,$F$4:F53)</f>
        <v>3153773.333333333</v>
      </c>
      <c r="BG53" s="288">
        <f>BF53/Resources!$B$9</f>
        <v>101734.62365591397</v>
      </c>
      <c r="BH53" s="288">
        <f>SUM($X$4:X53,$E$4:E53)</f>
        <v>1123850.5555555557</v>
      </c>
      <c r="BI53" s="288">
        <f>BH53/Resources!$B$2</f>
        <v>46827.106481481489</v>
      </c>
      <c r="BJ53" s="288">
        <f>SUM($V$4:V53,$T$4:T53)</f>
        <v>277708.33333333331</v>
      </c>
      <c r="BK53" s="288">
        <f>BJ53/Resources!$B$3</f>
        <v>10681.089743589742</v>
      </c>
      <c r="BL53" s="288">
        <f>SUM($W$4:W53, $M$4:M53)</f>
        <v>397675</v>
      </c>
      <c r="BM53" s="288">
        <f>BL53/Resources!$B$4</f>
        <v>14202.678571428571</v>
      </c>
      <c r="BN53" s="288">
        <f>SUM($P$4:P53,$Q$4:Q53)</f>
        <v>1116063.3333333333</v>
      </c>
      <c r="BO53" s="297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88">
        <f t="shared" si="7"/>
        <v>0</v>
      </c>
      <c r="AJ54" s="288">
        <f>SUM($S$4:S54)</f>
        <v>959265</v>
      </c>
      <c r="AK54" s="288">
        <f>AJ54/Resources!$B$10</f>
        <v>79938.75</v>
      </c>
      <c r="AL54" s="288">
        <f>SUM($Y$4:Y54)</f>
        <v>105066.66666666667</v>
      </c>
      <c r="AM54" s="295">
        <f>AL54/Resources!$B$11</f>
        <v>8755.5555555555566</v>
      </c>
      <c r="AN54" s="288">
        <f>SUM($L$4:L54)</f>
        <v>705188.33333333337</v>
      </c>
      <c r="AO54" s="288">
        <f>AN54/Resources!$B$12</f>
        <v>47012.555555555555</v>
      </c>
      <c r="AP54" s="288">
        <f>SUM($R$4:R54)</f>
        <v>937817.77777777775</v>
      </c>
      <c r="AQ54" s="288">
        <f>AP54/Resources!$B$13</f>
        <v>93781.777777777781</v>
      </c>
      <c r="AR54" s="288"/>
      <c r="AS54" s="288"/>
      <c r="AT54" s="288"/>
      <c r="AU54" s="288"/>
      <c r="AV54" s="288"/>
      <c r="AW54" s="288"/>
      <c r="AX54" s="288"/>
      <c r="AY54" s="288"/>
      <c r="AZ54" s="288">
        <f>SUM($I$4:I54,$K$4:K54)</f>
        <v>2115476.666666667</v>
      </c>
      <c r="BA54" s="288">
        <f>AZ54/Resources!$B$6</f>
        <v>66108.645833333343</v>
      </c>
      <c r="BB54" s="288">
        <f>SUM($D$4:D54,$G$4:G54)</f>
        <v>2178386.666666667</v>
      </c>
      <c r="BC54" s="288">
        <f>BB54/Resources!$B$7</f>
        <v>72612.888888888905</v>
      </c>
      <c r="BD54" s="288">
        <f>SUM($C$4:C54,$H$4:H54)</f>
        <v>2373206.6666666665</v>
      </c>
      <c r="BE54" s="300">
        <f>BD54/Resources!$B$8</f>
        <v>91277.179487179485</v>
      </c>
      <c r="BF54" s="288">
        <f>SUM($B$4:B54,$F$4:F54)</f>
        <v>3153773.333333333</v>
      </c>
      <c r="BG54" s="288">
        <f>BF54/Resources!$B$9</f>
        <v>101734.62365591397</v>
      </c>
      <c r="BH54" s="288">
        <f>SUM($X$4:X54,$E$4:E54)</f>
        <v>1123850.5555555557</v>
      </c>
      <c r="BI54" s="288">
        <f>BH54/Resources!$B$2</f>
        <v>46827.106481481489</v>
      </c>
      <c r="BJ54" s="288">
        <f>SUM($V$4:V54,$T$4:T54)</f>
        <v>277708.33333333331</v>
      </c>
      <c r="BK54" s="288">
        <f>BJ54/Resources!$B$3</f>
        <v>10681.089743589742</v>
      </c>
      <c r="BL54" s="288">
        <f>SUM($W$4:W54, $M$4:M54)</f>
        <v>397675</v>
      </c>
      <c r="BM54" s="288">
        <f>BL54/Resources!$B$4</f>
        <v>14202.678571428571</v>
      </c>
      <c r="BN54" s="288">
        <f>SUM($P$4:P54,$Q$4:Q54)</f>
        <v>1116063.3333333333</v>
      </c>
      <c r="BO54" s="297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88">
        <f t="shared" si="7"/>
        <v>0</v>
      </c>
      <c r="AJ55" s="288">
        <f>SUM($S$4:S55)</f>
        <v>959265</v>
      </c>
      <c r="AK55" s="288">
        <f>AJ55/Resources!$B$10</f>
        <v>79938.75</v>
      </c>
      <c r="AL55" s="288">
        <f>SUM($Y$4:Y55)</f>
        <v>105066.66666666667</v>
      </c>
      <c r="AM55" s="295">
        <f>AL55/Resources!$B$11</f>
        <v>8755.5555555555566</v>
      </c>
      <c r="AN55" s="288">
        <f>SUM($L$4:L55)</f>
        <v>705188.33333333337</v>
      </c>
      <c r="AO55" s="288">
        <f>AN55/Resources!$B$12</f>
        <v>47012.555555555555</v>
      </c>
      <c r="AP55" s="288">
        <f>SUM($R$4:R55)</f>
        <v>939467.77777777775</v>
      </c>
      <c r="AQ55" s="288">
        <f>AP55/Resources!$B$13</f>
        <v>93946.777777777781</v>
      </c>
      <c r="AR55" s="288"/>
      <c r="AS55" s="288"/>
      <c r="AT55" s="288"/>
      <c r="AU55" s="288"/>
      <c r="AV55" s="288"/>
      <c r="AW55" s="288"/>
      <c r="AX55" s="288"/>
      <c r="AY55" s="288"/>
      <c r="AZ55" s="288">
        <f>SUM($I$4:I55,$K$4:K55)</f>
        <v>2115476.666666667</v>
      </c>
      <c r="BA55" s="288">
        <f>AZ55/Resources!$B$6</f>
        <v>66108.645833333343</v>
      </c>
      <c r="BB55" s="288">
        <f>SUM($D$4:D55,$G$4:G55)</f>
        <v>2178386.666666667</v>
      </c>
      <c r="BC55" s="288">
        <f>BB55/Resources!$B$7</f>
        <v>72612.888888888905</v>
      </c>
      <c r="BD55" s="288">
        <f>SUM($C$4:C55,$H$4:H55)</f>
        <v>2373206.6666666665</v>
      </c>
      <c r="BE55" s="300">
        <f>BD55/Resources!$B$8</f>
        <v>91277.179487179485</v>
      </c>
      <c r="BF55" s="288">
        <f>SUM($B$4:B55,$F$4:F55)</f>
        <v>3153773.333333333</v>
      </c>
      <c r="BG55" s="288">
        <f>BF55/Resources!$B$9</f>
        <v>101734.62365591397</v>
      </c>
      <c r="BH55" s="288">
        <f>SUM($X$4:X55,$E$4:E55)</f>
        <v>1123850.5555555557</v>
      </c>
      <c r="BI55" s="288">
        <f>BH55/Resources!$B$2</f>
        <v>46827.106481481489</v>
      </c>
      <c r="BJ55" s="288">
        <f>SUM($V$4:V55,$T$4:T55)</f>
        <v>277708.33333333331</v>
      </c>
      <c r="BK55" s="288">
        <f>BJ55/Resources!$B$3</f>
        <v>10681.089743589742</v>
      </c>
      <c r="BL55" s="288">
        <f>SUM($W$4:W55, $M$4:M55)</f>
        <v>397675</v>
      </c>
      <c r="BM55" s="288">
        <f>BL55/Resources!$B$4</f>
        <v>14202.678571428571</v>
      </c>
      <c r="BN55" s="288">
        <f>SUM($P$4:P55,$Q$4:Q55)</f>
        <v>1116063.3333333333</v>
      </c>
      <c r="BO55" s="297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88">
        <f t="shared" si="7"/>
        <v>0</v>
      </c>
      <c r="AJ56" s="288">
        <f>SUM($S$4:S56)</f>
        <v>959265</v>
      </c>
      <c r="AK56" s="288">
        <f>AJ56/Resources!$B$10</f>
        <v>79938.75</v>
      </c>
      <c r="AL56" s="288">
        <f>SUM($Y$4:Y56)</f>
        <v>105066.66666666667</v>
      </c>
      <c r="AM56" s="295">
        <f>AL56/Resources!$B$11</f>
        <v>8755.5555555555566</v>
      </c>
      <c r="AN56" s="288">
        <f>SUM($L$4:L56)</f>
        <v>705188.33333333337</v>
      </c>
      <c r="AO56" s="288">
        <f>AN56/Resources!$B$12</f>
        <v>47012.555555555555</v>
      </c>
      <c r="AP56" s="288">
        <f>SUM($R$4:R56)</f>
        <v>939467.77777777775</v>
      </c>
      <c r="AQ56" s="288">
        <f>AP56/Resources!$B$13</f>
        <v>93946.777777777781</v>
      </c>
      <c r="AR56" s="288"/>
      <c r="AS56" s="288"/>
      <c r="AT56" s="288"/>
      <c r="AU56" s="288"/>
      <c r="AV56" s="288"/>
      <c r="AW56" s="288"/>
      <c r="AX56" s="288"/>
      <c r="AY56" s="288"/>
      <c r="AZ56" s="288">
        <f>SUM($I$4:I56,$K$4:K56)</f>
        <v>2115476.666666667</v>
      </c>
      <c r="BA56" s="288">
        <f>AZ56/Resources!$B$6</f>
        <v>66108.645833333343</v>
      </c>
      <c r="BB56" s="288">
        <f>SUM($D$4:D56,$G$4:G56)</f>
        <v>2178386.666666667</v>
      </c>
      <c r="BC56" s="288">
        <f>BB56/Resources!$B$7</f>
        <v>72612.888888888905</v>
      </c>
      <c r="BD56" s="288">
        <f>SUM($C$4:C56,$H$4:H56)</f>
        <v>2373206.6666666665</v>
      </c>
      <c r="BE56" s="300">
        <f>BD56/Resources!$B$8</f>
        <v>91277.179487179485</v>
      </c>
      <c r="BF56" s="288">
        <f>SUM($B$4:B56,$F$4:F56)</f>
        <v>3153773.333333333</v>
      </c>
      <c r="BG56" s="288">
        <f>BF56/Resources!$B$9</f>
        <v>101734.62365591397</v>
      </c>
      <c r="BH56" s="288">
        <f>SUM($X$4:X56,$E$4:E56)</f>
        <v>1123850.5555555557</v>
      </c>
      <c r="BI56" s="288">
        <f>BH56/Resources!$B$2</f>
        <v>46827.106481481489</v>
      </c>
      <c r="BJ56" s="288">
        <f>SUM($V$4:V56,$T$4:T56)</f>
        <v>277708.33333333331</v>
      </c>
      <c r="BK56" s="288">
        <f>BJ56/Resources!$B$3</f>
        <v>10681.089743589742</v>
      </c>
      <c r="BL56" s="288">
        <f>SUM($W$4:W56, $M$4:M56)</f>
        <v>397675</v>
      </c>
      <c r="BM56" s="288">
        <f>BL56/Resources!$B$4</f>
        <v>14202.678571428571</v>
      </c>
      <c r="BN56" s="288">
        <f>SUM($P$4:P56,$Q$4:Q56)</f>
        <v>1116063.3333333333</v>
      </c>
      <c r="BO56" s="297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88">
        <f t="shared" si="7"/>
        <v>0</v>
      </c>
      <c r="AJ57" s="288">
        <f>SUM($S$4:S57)</f>
        <v>959265</v>
      </c>
      <c r="AK57" s="288">
        <f>AJ57/Resources!$B$10</f>
        <v>79938.75</v>
      </c>
      <c r="AL57" s="288">
        <f>SUM($Y$4:Y57)</f>
        <v>105066.66666666667</v>
      </c>
      <c r="AM57" s="295">
        <f>AL57/Resources!$B$11</f>
        <v>8755.5555555555566</v>
      </c>
      <c r="AN57" s="288">
        <f>SUM($L$4:L57)</f>
        <v>705188.33333333337</v>
      </c>
      <c r="AO57" s="288">
        <f>AN57/Resources!$B$12</f>
        <v>47012.555555555555</v>
      </c>
      <c r="AP57" s="288">
        <f>SUM($R$4:R57)</f>
        <v>939467.77777777775</v>
      </c>
      <c r="AQ57" s="288">
        <f>AP57/Resources!$B$13</f>
        <v>93946.777777777781</v>
      </c>
      <c r="AR57" s="288"/>
      <c r="AS57" s="288"/>
      <c r="AT57" s="288"/>
      <c r="AU57" s="288"/>
      <c r="AV57" s="288"/>
      <c r="AW57" s="288"/>
      <c r="AX57" s="288"/>
      <c r="AY57" s="288"/>
      <c r="AZ57" s="288">
        <f>SUM($I$4:I57,$K$4:K57)</f>
        <v>2115476.666666667</v>
      </c>
      <c r="BA57" s="288">
        <f>AZ57/Resources!$B$6</f>
        <v>66108.645833333343</v>
      </c>
      <c r="BB57" s="288">
        <f>SUM($D$4:D57,$G$4:G57)</f>
        <v>2178386.666666667</v>
      </c>
      <c r="BC57" s="288">
        <f>BB57/Resources!$B$7</f>
        <v>72612.888888888905</v>
      </c>
      <c r="BD57" s="288">
        <f>SUM($C$4:C57,$H$4:H57)</f>
        <v>2373206.6666666665</v>
      </c>
      <c r="BE57" s="300">
        <f>BD57/Resources!$B$8</f>
        <v>91277.179487179485</v>
      </c>
      <c r="BF57" s="288">
        <f>SUM($B$4:B57,$F$4:F57)</f>
        <v>3153773.333333333</v>
      </c>
      <c r="BG57" s="288">
        <f>BF57/Resources!$B$9</f>
        <v>101734.62365591397</v>
      </c>
      <c r="BH57" s="288">
        <f>SUM($X$4:X57,$E$4:E57)</f>
        <v>1123850.5555555557</v>
      </c>
      <c r="BI57" s="288">
        <f>BH57/Resources!$B$2</f>
        <v>46827.106481481489</v>
      </c>
      <c r="BJ57" s="288">
        <f>SUM($V$4:V57,$T$4:T57)</f>
        <v>277708.33333333331</v>
      </c>
      <c r="BK57" s="288">
        <f>BJ57/Resources!$B$3</f>
        <v>10681.089743589742</v>
      </c>
      <c r="BL57" s="288">
        <f>SUM($W$4:W57, $M$4:M57)</f>
        <v>439633.33333333337</v>
      </c>
      <c r="BM57" s="288">
        <f>BL57/Resources!$B$4</f>
        <v>15701.190476190477</v>
      </c>
      <c r="BN57" s="288">
        <f>SUM($P$4:P57,$Q$4:Q57)</f>
        <v>1116063.3333333333</v>
      </c>
      <c r="BO57" s="297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88">
        <f t="shared" si="7"/>
        <v>0</v>
      </c>
      <c r="AJ58" s="288">
        <f>SUM($S$4:S58)</f>
        <v>959265</v>
      </c>
      <c r="AK58" s="288">
        <f>AJ58/Resources!$B$10</f>
        <v>79938.75</v>
      </c>
      <c r="AL58" s="288">
        <f>SUM($Y$4:Y58)</f>
        <v>105066.66666666667</v>
      </c>
      <c r="AM58" s="295">
        <f>AL58/Resources!$B$11</f>
        <v>8755.5555555555566</v>
      </c>
      <c r="AN58" s="288">
        <f>SUM($L$4:L58)</f>
        <v>705188.33333333337</v>
      </c>
      <c r="AO58" s="288">
        <f>AN58/Resources!$B$12</f>
        <v>47012.555555555555</v>
      </c>
      <c r="AP58" s="288">
        <f>SUM($R$4:R58)</f>
        <v>939467.77777777775</v>
      </c>
      <c r="AQ58" s="288">
        <f>AP58/Resources!$B$13</f>
        <v>93946.777777777781</v>
      </c>
      <c r="AR58" s="288"/>
      <c r="AS58" s="288"/>
      <c r="AT58" s="288"/>
      <c r="AU58" s="288"/>
      <c r="AV58" s="288"/>
      <c r="AW58" s="288"/>
      <c r="AX58" s="288"/>
      <c r="AY58" s="288"/>
      <c r="AZ58" s="288">
        <f>SUM($I$4:I58,$K$4:K58)</f>
        <v>2115476.666666667</v>
      </c>
      <c r="BA58" s="288">
        <f>AZ58/Resources!$B$6</f>
        <v>66108.645833333343</v>
      </c>
      <c r="BB58" s="288">
        <f>SUM($D$4:D58,$G$4:G58)</f>
        <v>2178386.666666667</v>
      </c>
      <c r="BC58" s="288">
        <f>BB58/Resources!$B$7</f>
        <v>72612.888888888905</v>
      </c>
      <c r="BD58" s="288">
        <f>SUM($C$4:C58,$H$4:H58)</f>
        <v>2373206.6666666665</v>
      </c>
      <c r="BE58" s="300">
        <f>BD58/Resources!$B$8</f>
        <v>91277.179487179485</v>
      </c>
      <c r="BF58" s="288">
        <f>SUM($B$4:B58,$F$4:F58)</f>
        <v>3153773.333333333</v>
      </c>
      <c r="BG58" s="288">
        <f>BF58/Resources!$B$9</f>
        <v>101734.62365591397</v>
      </c>
      <c r="BH58" s="288">
        <f>SUM($X$4:X58,$E$4:E58)</f>
        <v>1123850.5555555557</v>
      </c>
      <c r="BI58" s="288">
        <f>BH58/Resources!$B$2</f>
        <v>46827.106481481489</v>
      </c>
      <c r="BJ58" s="288">
        <f>SUM($V$4:V58,$T$4:T58)</f>
        <v>277708.33333333331</v>
      </c>
      <c r="BK58" s="288">
        <f>BJ58/Resources!$B$3</f>
        <v>10681.089743589742</v>
      </c>
      <c r="BL58" s="288">
        <f>SUM($W$4:W58, $M$4:M58)</f>
        <v>439633.33333333337</v>
      </c>
      <c r="BM58" s="288">
        <f>BL58/Resources!$B$4</f>
        <v>15701.190476190477</v>
      </c>
      <c r="BN58" s="288">
        <f>SUM($P$4:P58,$Q$4:Q58)</f>
        <v>1116063.3333333333</v>
      </c>
      <c r="BO58" s="297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88">
        <f t="shared" si="7"/>
        <v>0</v>
      </c>
      <c r="AJ59" s="288">
        <f>SUM($S$4:S59)</f>
        <v>959265</v>
      </c>
      <c r="AK59" s="288">
        <f>AJ59/Resources!$B$10</f>
        <v>79938.75</v>
      </c>
      <c r="AL59" s="288">
        <f>SUM($Y$4:Y59)</f>
        <v>105066.66666666667</v>
      </c>
      <c r="AM59" s="295">
        <f>AL59/Resources!$B$11</f>
        <v>8755.5555555555566</v>
      </c>
      <c r="AN59" s="288">
        <f>SUM($L$4:L59)</f>
        <v>705188.33333333337</v>
      </c>
      <c r="AO59" s="288">
        <f>AN59/Resources!$B$12</f>
        <v>47012.555555555555</v>
      </c>
      <c r="AP59" s="288">
        <f>SUM($R$4:R59)</f>
        <v>939467.77777777775</v>
      </c>
      <c r="AQ59" s="288">
        <f>AP59/Resources!$B$13</f>
        <v>93946.777777777781</v>
      </c>
      <c r="AR59" s="288"/>
      <c r="AS59" s="288"/>
      <c r="AT59" s="288"/>
      <c r="AU59" s="288"/>
      <c r="AV59" s="288"/>
      <c r="AW59" s="288"/>
      <c r="AX59" s="288"/>
      <c r="AY59" s="288"/>
      <c r="AZ59" s="288">
        <f>SUM($I$4:I59,$K$4:K59)</f>
        <v>2115476.666666667</v>
      </c>
      <c r="BA59" s="288">
        <f>AZ59/Resources!$B$6</f>
        <v>66108.645833333343</v>
      </c>
      <c r="BB59" s="288">
        <f>SUM($D$4:D59,$G$4:G59)</f>
        <v>2178386.666666667</v>
      </c>
      <c r="BC59" s="288">
        <f>BB59/Resources!$B$7</f>
        <v>72612.888888888905</v>
      </c>
      <c r="BD59" s="288">
        <f>SUM($C$4:C59,$H$4:H59)</f>
        <v>2373206.6666666665</v>
      </c>
      <c r="BE59" s="300">
        <f>BD59/Resources!$B$8</f>
        <v>91277.179487179485</v>
      </c>
      <c r="BF59" s="288">
        <f>SUM($B$4:B59,$F$4:F59)</f>
        <v>3154189.9999999995</v>
      </c>
      <c r="BG59" s="288">
        <f>BF59/Resources!$B$9</f>
        <v>101748.06451612902</v>
      </c>
      <c r="BH59" s="288">
        <f>SUM($X$4:X59,$E$4:E59)</f>
        <v>1123850.5555555557</v>
      </c>
      <c r="BI59" s="288">
        <f>BH59/Resources!$B$2</f>
        <v>46827.106481481489</v>
      </c>
      <c r="BJ59" s="288">
        <f>SUM($V$4:V59,$T$4:T59)</f>
        <v>277708.33333333331</v>
      </c>
      <c r="BK59" s="288">
        <f>BJ59/Resources!$B$3</f>
        <v>10681.089743589742</v>
      </c>
      <c r="BL59" s="288">
        <f>SUM($W$4:W59, $M$4:M59)</f>
        <v>439633.33333333337</v>
      </c>
      <c r="BM59" s="288">
        <f>BL59/Resources!$B$4</f>
        <v>15701.190476190477</v>
      </c>
      <c r="BN59" s="288">
        <f>SUM($P$4:P59,$Q$4:Q59)</f>
        <v>1116063.3333333333</v>
      </c>
      <c r="BO59" s="297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88">
        <f t="shared" si="7"/>
        <v>0</v>
      </c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>
        <f>SUM($I$4:I60,$K$4:K60)</f>
        <v>2115476.666666667</v>
      </c>
      <c r="BA60" s="288">
        <f>AZ60/Resources!$B$6</f>
        <v>66108.645833333343</v>
      </c>
      <c r="BB60" s="288">
        <f>SUM($D$4:D60,$G$4:G60)</f>
        <v>2178386.666666667</v>
      </c>
      <c r="BC60" s="288">
        <f>BB60/Resources!$B$7</f>
        <v>72612.888888888905</v>
      </c>
      <c r="BD60" s="288">
        <f>SUM($C$4:C60,$H$4:H60)</f>
        <v>2373206.6666666665</v>
      </c>
      <c r="BE60" s="300">
        <f>BD60/Resources!$B$8</f>
        <v>91277.179487179485</v>
      </c>
      <c r="BF60" s="288">
        <f>SUM($B$4:B60,$F$4:F60)</f>
        <v>3420856.666666666</v>
      </c>
      <c r="BG60" s="288">
        <f>BF60/Resources!$B$9</f>
        <v>110350.21505376342</v>
      </c>
      <c r="BH60" s="288">
        <f>SUM($X$4:X60,$E$4:E60)</f>
        <v>1123850.5555555557</v>
      </c>
      <c r="BI60" s="288">
        <f>BH60/Resources!$B$2</f>
        <v>46827.106481481489</v>
      </c>
      <c r="BJ60" s="288">
        <f>SUM($V$4:V60,$T$4:T60)</f>
        <v>277708.33333333331</v>
      </c>
      <c r="BK60" s="288">
        <f>BJ60/Resources!$B$3</f>
        <v>10681.089743589742</v>
      </c>
      <c r="BL60" s="288">
        <f>SUM($W$4:W60, $M$4:M60)</f>
        <v>439633.33333333337</v>
      </c>
      <c r="BM60" s="288">
        <f>BL60/Resources!$B$4</f>
        <v>15701.190476190477</v>
      </c>
      <c r="BN60" s="288">
        <f>SUM($P$4:P60,$Q$4:Q60)</f>
        <v>1116063.3333333333</v>
      </c>
      <c r="BO60" s="297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88">
        <f t="shared" si="7"/>
        <v>0</v>
      </c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>
        <f>SUM($I$4:I61,$K$4:K61)</f>
        <v>2115476.666666667</v>
      </c>
      <c r="BA61" s="288">
        <f>AZ61/Resources!$B$6</f>
        <v>66108.645833333343</v>
      </c>
      <c r="BB61" s="288">
        <f>SUM($D$4:D61,$G$4:G61)</f>
        <v>2178386.666666667</v>
      </c>
      <c r="BC61" s="288">
        <f>BB61/Resources!$B$7</f>
        <v>72612.888888888905</v>
      </c>
      <c r="BD61" s="288">
        <f>SUM($C$4:C61,$H$4:H61)</f>
        <v>2373206.6666666665</v>
      </c>
      <c r="BE61" s="300">
        <f>BD61/Resources!$B$8</f>
        <v>91277.179487179485</v>
      </c>
      <c r="BF61" s="288">
        <f>SUM($B$4:B61,$F$4:F61)</f>
        <v>3420856.666666666</v>
      </c>
      <c r="BG61" s="288">
        <f>BF61/Resources!$B$9</f>
        <v>110350.21505376342</v>
      </c>
      <c r="BH61" s="288">
        <f>SUM($X$4:X61,$E$4:E61)</f>
        <v>1123850.5555555557</v>
      </c>
      <c r="BI61" s="288">
        <f>BH61/Resources!$B$2</f>
        <v>46827.106481481489</v>
      </c>
      <c r="BJ61" s="288">
        <f>SUM($V$4:V61,$T$4:T61)</f>
        <v>277708.33333333331</v>
      </c>
      <c r="BK61" s="288">
        <f>BJ61/Resources!$B$3</f>
        <v>10681.089743589742</v>
      </c>
      <c r="BL61" s="288">
        <f>SUM($W$4:W61, $M$4:M61)</f>
        <v>439633.33333333337</v>
      </c>
      <c r="BM61" s="288">
        <f>BL61/Resources!$B$4</f>
        <v>15701.190476190477</v>
      </c>
      <c r="BN61" s="288">
        <f>SUM($P$4:P61,$Q$4:Q61)</f>
        <v>1116063.3333333333</v>
      </c>
      <c r="BO61" s="297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88">
        <f t="shared" si="7"/>
        <v>0</v>
      </c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>
        <f>SUM($I$4:I62,$K$4:K62)</f>
        <v>2115476.666666667</v>
      </c>
      <c r="BA62" s="288">
        <f>AZ62/Resources!$B$6</f>
        <v>66108.645833333343</v>
      </c>
      <c r="BB62" s="288">
        <f>SUM($D$4:D62,$G$4:G62)</f>
        <v>2178386.666666667</v>
      </c>
      <c r="BC62" s="288">
        <f>BB62/Resources!$B$7</f>
        <v>72612.888888888905</v>
      </c>
      <c r="BD62" s="288">
        <f>SUM($C$4:C62,$H$4:H62)</f>
        <v>2373206.6666666665</v>
      </c>
      <c r="BE62" s="300">
        <f>BD62/Resources!$B$8</f>
        <v>91277.179487179485</v>
      </c>
      <c r="BF62" s="288">
        <f>SUM($B$4:B62,$F$4:F62)</f>
        <v>3420856.666666666</v>
      </c>
      <c r="BG62" s="288">
        <f>BF62/Resources!$B$9</f>
        <v>110350.21505376342</v>
      </c>
      <c r="BH62" s="288">
        <f>SUM($X$4:X62,$E$4:E62)</f>
        <v>1123850.5555555557</v>
      </c>
      <c r="BI62" s="288">
        <f>BH62/Resources!$B$2</f>
        <v>46827.106481481489</v>
      </c>
      <c r="BJ62" s="288">
        <f>SUM($V$4:V62,$T$4:T62)</f>
        <v>277708.33333333331</v>
      </c>
      <c r="BK62" s="288">
        <f>BJ62/Resources!$B$3</f>
        <v>10681.089743589742</v>
      </c>
      <c r="BL62" s="288">
        <f>SUM($W$4:W62, $M$4:M62)</f>
        <v>439633.33333333337</v>
      </c>
      <c r="BM62" s="288">
        <f>BL62/Resources!$B$4</f>
        <v>15701.190476190477</v>
      </c>
      <c r="BN62" s="288">
        <f>SUM($P$4:P62,$Q$4:Q62)</f>
        <v>1116063.3333333333</v>
      </c>
      <c r="BO62" s="297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88">
        <f t="shared" si="7"/>
        <v>0</v>
      </c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>
        <f>SUM($I$4:I63,$K$4:K63)</f>
        <v>2115476.666666667</v>
      </c>
      <c r="BA63" s="288">
        <f>AZ63/Resources!$B$6</f>
        <v>66108.645833333343</v>
      </c>
      <c r="BB63" s="288">
        <f>SUM($D$4:D63,$G$4:G63)</f>
        <v>2178386.666666667</v>
      </c>
      <c r="BC63" s="288">
        <f>BB63/Resources!$B$7</f>
        <v>72612.888888888905</v>
      </c>
      <c r="BD63" s="288">
        <f>SUM($C$4:C63,$H$4:H63)</f>
        <v>2373206.6666666665</v>
      </c>
      <c r="BE63" s="300">
        <f>BD63/Resources!$B$8</f>
        <v>91277.179487179485</v>
      </c>
      <c r="BF63" s="288">
        <f>SUM($B$4:B63,$F$4:F63)</f>
        <v>3420856.666666666</v>
      </c>
      <c r="BG63" s="288">
        <f>BF63/Resources!$B$9</f>
        <v>110350.21505376342</v>
      </c>
      <c r="BH63" s="288">
        <f>SUM($X$4:X63,$E$4:E63)</f>
        <v>1123850.5555555557</v>
      </c>
      <c r="BI63" s="288">
        <f>BH63/Resources!$B$2</f>
        <v>46827.106481481489</v>
      </c>
      <c r="BJ63" s="288">
        <f>SUM($V$4:V63,$T$4:T63)</f>
        <v>277708.33333333331</v>
      </c>
      <c r="BK63" s="288">
        <f>BJ63/Resources!$B$3</f>
        <v>10681.089743589742</v>
      </c>
      <c r="BL63" s="288">
        <f>SUM($W$4:W63, $M$4:M63)</f>
        <v>439633.33333333337</v>
      </c>
      <c r="BM63" s="288">
        <f>BL63/Resources!$B$4</f>
        <v>15701.190476190477</v>
      </c>
      <c r="BN63" s="288">
        <f>SUM($P$4:P63,$Q$4:Q63)</f>
        <v>1116063.3333333333</v>
      </c>
      <c r="BO63" s="297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88">
        <f t="shared" si="7"/>
        <v>0</v>
      </c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>
        <f>SUM($I$4:I64,$K$4:K64)</f>
        <v>2115476.666666667</v>
      </c>
      <c r="BA64" s="288">
        <f>AZ64/Resources!$B$6</f>
        <v>66108.645833333343</v>
      </c>
      <c r="BB64" s="288">
        <f>SUM($D$4:D64,$G$4:G64)</f>
        <v>2178386.666666667</v>
      </c>
      <c r="BC64" s="288">
        <f>BB64/Resources!$B$7</f>
        <v>72612.888888888905</v>
      </c>
      <c r="BD64" s="288">
        <f>SUM($C$4:C64,$H$4:H64)</f>
        <v>2373206.6666666665</v>
      </c>
      <c r="BE64" s="300">
        <f>BD64/Resources!$B$8</f>
        <v>91277.179487179485</v>
      </c>
      <c r="BF64" s="288">
        <f>SUM($B$4:B64,$F$4:F64)</f>
        <v>3421056.666666666</v>
      </c>
      <c r="BG64" s="288">
        <f>BF64/Resources!$B$9</f>
        <v>110356.66666666664</v>
      </c>
      <c r="BH64" s="288">
        <f>SUM($X$4:X64,$E$4:E64)</f>
        <v>1426783.888888889</v>
      </c>
      <c r="BI64" s="288">
        <f>BH64/Resources!$B$2</f>
        <v>59449.328703703708</v>
      </c>
      <c r="BJ64" s="288">
        <f>SUM($V$4:V64,$T$4:T64)</f>
        <v>277708.33333333331</v>
      </c>
      <c r="BK64" s="288">
        <f>BJ64/Resources!$B$3</f>
        <v>10681.089743589742</v>
      </c>
      <c r="BL64" s="288">
        <f>SUM($W$4:W64, $M$4:M64)</f>
        <v>439841.66666666669</v>
      </c>
      <c r="BM64" s="288">
        <f>BL64/Resources!$B$4</f>
        <v>15708.630952380952</v>
      </c>
      <c r="BN64" s="288">
        <f>SUM($P$4:P64,$Q$4:Q64)</f>
        <v>1116063.3333333333</v>
      </c>
      <c r="BO64" s="297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>
        <f>SUM($I$4:I65,$K$4:K65)</f>
        <v>2115476.666666667</v>
      </c>
      <c r="BA65" s="288">
        <f>AZ65/Resources!$B$6</f>
        <v>66108.645833333343</v>
      </c>
      <c r="BB65" s="288">
        <f>SUM($D$4:D65,$G$4:G65)</f>
        <v>2178386.666666667</v>
      </c>
      <c r="BC65" s="288">
        <f>BB65/Resources!$B$7</f>
        <v>72612.888888888905</v>
      </c>
      <c r="BD65" s="288">
        <f>SUM($C$4:C65,$H$4:H65)</f>
        <v>2373206.6666666665</v>
      </c>
      <c r="BE65" s="300">
        <f>BD65/Resources!$B$8</f>
        <v>91277.179487179485</v>
      </c>
      <c r="BF65" s="288">
        <f>SUM($B$4:B65,$F$4:F65)</f>
        <v>3421056.666666666</v>
      </c>
      <c r="BG65" s="288">
        <f>BF65/Resources!$B$9</f>
        <v>110356.66666666664</v>
      </c>
      <c r="BH65" s="288">
        <f>SUM($X$4:X65,$E$4:E65)</f>
        <v>1426783.888888889</v>
      </c>
      <c r="BI65" s="288">
        <f>BH65/Resources!$B$2</f>
        <v>59449.328703703708</v>
      </c>
      <c r="BJ65" s="288">
        <f>SUM($V$4:V65,$T$4:T65)</f>
        <v>277708.33333333331</v>
      </c>
      <c r="BK65" s="288">
        <f>BJ65/Resources!$B$3</f>
        <v>10681.089743589742</v>
      </c>
      <c r="BL65" s="288">
        <f>SUM($W$4:W65, $M$4:M65)</f>
        <v>439841.66666666669</v>
      </c>
      <c r="BM65" s="288">
        <f>BL65/Resources!$B$4</f>
        <v>15708.630952380952</v>
      </c>
      <c r="BN65" s="288">
        <f>SUM($P$4:P65,$Q$4:Q65)</f>
        <v>1116063.3333333333</v>
      </c>
      <c r="BO65" s="297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>
        <f>SUM($I$4:I66,$K$4:K66)</f>
        <v>2115476.666666667</v>
      </c>
      <c r="BA66" s="288">
        <f>AZ66/Resources!$B$6</f>
        <v>66108.645833333343</v>
      </c>
      <c r="BB66" s="288">
        <f>SUM($D$4:D66,$G$4:G66)</f>
        <v>2178386.666666667</v>
      </c>
      <c r="BC66" s="288">
        <f>BB66/Resources!$B$7</f>
        <v>72612.888888888905</v>
      </c>
      <c r="BD66" s="288">
        <f>SUM($C$4:C66,$H$4:H66)</f>
        <v>2373206.6666666665</v>
      </c>
      <c r="BE66" s="300">
        <f>BD66/Resources!$B$8</f>
        <v>91277.179487179485</v>
      </c>
      <c r="BF66" s="288">
        <f>SUM($B$4:B66,$F$4:F66)</f>
        <v>3421056.666666666</v>
      </c>
      <c r="BG66" s="288">
        <f>BF66/Resources!$B$9</f>
        <v>110356.66666666664</v>
      </c>
      <c r="BH66" s="288">
        <f>SUM($X$4:X66,$E$4:E66)</f>
        <v>1426783.888888889</v>
      </c>
      <c r="BI66" s="288">
        <f>BH66/Resources!$B$2</f>
        <v>59449.328703703708</v>
      </c>
      <c r="BJ66" s="288">
        <f>SUM($V$4:V66,$T$4:T66)</f>
        <v>277708.33333333331</v>
      </c>
      <c r="BK66" s="288">
        <f>BJ66/Resources!$B$3</f>
        <v>10681.089743589742</v>
      </c>
      <c r="BL66" s="288">
        <f>SUM($W$4:W66, $M$4:M66)</f>
        <v>439841.66666666669</v>
      </c>
      <c r="BM66" s="288">
        <f>BL66/Resources!$B$4</f>
        <v>15708.630952380952</v>
      </c>
      <c r="BN66" s="288">
        <f>SUM($P$4:P66,$Q$4:Q66)</f>
        <v>1116063.3333333333</v>
      </c>
      <c r="BO66" s="297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>
        <f>SUM($I$4:I67,$K$4:K67)</f>
        <v>2115476.666666667</v>
      </c>
      <c r="BA67" s="288">
        <f>AZ67/Resources!$B$6</f>
        <v>66108.645833333343</v>
      </c>
      <c r="BB67" s="288">
        <f>SUM($D$4:D67,$G$4:G67)</f>
        <v>2178386.666666667</v>
      </c>
      <c r="BC67" s="288">
        <f>BB67/Resources!$B$7</f>
        <v>72612.888888888905</v>
      </c>
      <c r="BD67" s="288">
        <f>SUM($C$4:C67,$H$4:H67)</f>
        <v>2373206.6666666665</v>
      </c>
      <c r="BE67" s="300">
        <f>BD67/Resources!$B$8</f>
        <v>91277.179487179485</v>
      </c>
      <c r="BF67" s="288">
        <f>SUM($B$4:B67,$F$4:F67)</f>
        <v>3421056.666666666</v>
      </c>
      <c r="BG67" s="288">
        <f>BF67/Resources!$B$9</f>
        <v>110356.66666666664</v>
      </c>
      <c r="BH67" s="288">
        <f>SUM($X$4:X67,$E$4:E67)</f>
        <v>1426783.888888889</v>
      </c>
      <c r="BI67" s="288">
        <f>BH67/Resources!$B$2</f>
        <v>59449.328703703708</v>
      </c>
      <c r="BJ67" s="288">
        <f>SUM($V$4:V67,$T$4:T67)</f>
        <v>277708.33333333331</v>
      </c>
      <c r="BK67" s="288">
        <f>BJ67/Resources!$B$3</f>
        <v>10681.089743589742</v>
      </c>
      <c r="BL67" s="288">
        <f>SUM($W$4:W67, $M$4:M67)</f>
        <v>439841.66666666669</v>
      </c>
      <c r="BM67" s="288">
        <f>BL67/Resources!$B$4</f>
        <v>15708.630952380952</v>
      </c>
      <c r="BN67" s="288">
        <f>SUM($P$4:P67,$Q$4:Q67)</f>
        <v>1116063.3333333333</v>
      </c>
      <c r="BO67" s="297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>
        <f>SUM($I$4:I68,$K$4:K68)</f>
        <v>2115476.666666667</v>
      </c>
      <c r="BA68" s="288">
        <f>AZ68/Resources!$B$6</f>
        <v>66108.645833333343</v>
      </c>
      <c r="BB68" s="288">
        <f>SUM($D$4:D68,$G$4:G68)</f>
        <v>2178386.666666667</v>
      </c>
      <c r="BC68" s="288">
        <f>BB68/Resources!$B$7</f>
        <v>72612.888888888905</v>
      </c>
      <c r="BD68" s="288">
        <f>SUM($C$4:C68,$H$4:H68)</f>
        <v>2373206.6666666665</v>
      </c>
      <c r="BE68" s="300">
        <f>BD68/Resources!$B$8</f>
        <v>91277.179487179485</v>
      </c>
      <c r="BF68" s="288">
        <f>SUM($B$4:B68,$F$4:F68)</f>
        <v>3421056.666666666</v>
      </c>
      <c r="BG68" s="288">
        <f>BF68/Resources!$B$9</f>
        <v>110356.66666666664</v>
      </c>
      <c r="BH68" s="288">
        <f>SUM($X$4:X68,$E$4:E68)</f>
        <v>1426783.888888889</v>
      </c>
      <c r="BI68" s="288">
        <f>BH68/Resources!$B$2</f>
        <v>59449.328703703708</v>
      </c>
      <c r="BJ68" s="288">
        <f>SUM($V$4:V68,$T$4:T68)</f>
        <v>277708.33333333331</v>
      </c>
      <c r="BK68" s="288">
        <f>BJ68/Resources!$B$3</f>
        <v>10681.089743589742</v>
      </c>
      <c r="BL68" s="288">
        <f>SUM($W$4:W68, $M$4:M68)</f>
        <v>439841.66666666669</v>
      </c>
      <c r="BM68" s="288">
        <f>BL68/Resources!$B$4</f>
        <v>15708.630952380952</v>
      </c>
      <c r="BN68" s="288">
        <f>SUM($P$4:P68,$Q$4:Q68)</f>
        <v>1116063.3333333333</v>
      </c>
      <c r="BO68" s="297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88"/>
      <c r="BN69" s="288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88"/>
      <c r="BN71" s="288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88"/>
      <c r="BN72" s="288"/>
    </row>
    <row r="73" spans="1:67">
      <c r="A73" s="34"/>
      <c r="BE73" s="288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560" topLeftCell="A2" activePane="bottomLeft"/>
      <selection activeCell="K1" sqref="K1:K1048576"/>
      <selection pane="bottomLeft" activeCell="O32" sqref="O3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272</v>
      </c>
      <c r="C1" s="54" t="s">
        <v>273</v>
      </c>
      <c r="D1" s="54" t="s">
        <v>271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6" t="s">
        <v>298</v>
      </c>
      <c r="M1" s="54" t="s">
        <v>294</v>
      </c>
    </row>
    <row r="2" spans="1:13" s="19" customFormat="1">
      <c r="A2" s="18">
        <v>42884</v>
      </c>
      <c r="B2" s="252" t="s">
        <v>274</v>
      </c>
      <c r="C2" s="19" t="s">
        <v>130</v>
      </c>
      <c r="D2" s="19" t="s">
        <v>275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3" t="s">
        <v>274</v>
      </c>
      <c r="C3" s="23">
        <v>8</v>
      </c>
      <c r="E3" s="23" t="s">
        <v>297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3" t="s">
        <v>274</v>
      </c>
      <c r="C4" s="23">
        <v>13</v>
      </c>
      <c r="D4" s="23" t="s">
        <v>276</v>
      </c>
      <c r="E4" s="23" t="s">
        <v>297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3" t="s">
        <v>274</v>
      </c>
      <c r="C5" s="23">
        <v>3</v>
      </c>
      <c r="E5" s="23" t="s">
        <v>297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3" t="s">
        <v>274</v>
      </c>
      <c r="C6" s="23">
        <v>5</v>
      </c>
      <c r="D6" s="23" t="s">
        <v>277</v>
      </c>
      <c r="E6" s="23" t="s">
        <v>297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3" t="s">
        <v>274</v>
      </c>
      <c r="C7" s="23">
        <v>16</v>
      </c>
      <c r="E7" s="23" t="s">
        <v>297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3" t="s">
        <v>274</v>
      </c>
      <c r="C8" s="23">
        <v>9</v>
      </c>
      <c r="E8" s="23" t="s">
        <v>297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3" t="s">
        <v>274</v>
      </c>
      <c r="C9" s="23">
        <v>10</v>
      </c>
      <c r="E9" s="23" t="s">
        <v>297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3" t="s">
        <v>274</v>
      </c>
      <c r="C10" s="23">
        <v>12</v>
      </c>
      <c r="E10" s="23" t="s">
        <v>297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3" t="s">
        <v>274</v>
      </c>
      <c r="C11" s="23">
        <v>11</v>
      </c>
      <c r="D11" s="23" t="s">
        <v>278</v>
      </c>
      <c r="E11" s="23" t="s">
        <v>297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3" t="s">
        <v>274</v>
      </c>
      <c r="C12" s="23">
        <v>7</v>
      </c>
      <c r="D12" s="23" t="s">
        <v>279</v>
      </c>
      <c r="E12" s="23" t="s">
        <v>297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4"/>
      <c r="H13" s="255" t="s">
        <v>131</v>
      </c>
      <c r="I13" s="256">
        <f>AVERAGE(I2:I12)</f>
        <v>113131.31313131313</v>
      </c>
      <c r="J13" s="259" t="s">
        <v>299</v>
      </c>
      <c r="K13" s="256">
        <f>AVERAGE(K2:K12)</f>
        <v>42439546.985001549</v>
      </c>
      <c r="L13" s="259" t="s">
        <v>300</v>
      </c>
      <c r="M13" s="256">
        <f>SQRT(K13)</f>
        <v>6514.5642206521807</v>
      </c>
    </row>
    <row r="14" spans="1:13" s="19" customFormat="1">
      <c r="A14" s="18">
        <v>42917</v>
      </c>
      <c r="B14" s="252" t="s">
        <v>274</v>
      </c>
      <c r="C14" s="19" t="s">
        <v>295</v>
      </c>
      <c r="D14" s="19" t="s">
        <v>275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3" t="s">
        <v>274</v>
      </c>
      <c r="C15" s="23" t="s">
        <v>295</v>
      </c>
      <c r="D15" s="23" t="s">
        <v>279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3" t="s">
        <v>274</v>
      </c>
      <c r="C16" s="23" t="s">
        <v>295</v>
      </c>
      <c r="D16" s="23" t="s">
        <v>280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3" t="s">
        <v>274</v>
      </c>
      <c r="C17" s="23" t="s">
        <v>295</v>
      </c>
      <c r="D17" s="23" t="s">
        <v>281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3" t="s">
        <v>274</v>
      </c>
      <c r="C18" s="23" t="s">
        <v>295</v>
      </c>
      <c r="D18" s="23" t="s">
        <v>282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3" t="s">
        <v>274</v>
      </c>
      <c r="C19" s="23" t="s">
        <v>295</v>
      </c>
      <c r="D19" s="23" t="s">
        <v>283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3" t="s">
        <v>274</v>
      </c>
      <c r="C20" s="23" t="s">
        <v>295</v>
      </c>
      <c r="D20" s="23" t="s">
        <v>284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3" t="s">
        <v>274</v>
      </c>
      <c r="C21" s="23" t="s">
        <v>295</v>
      </c>
      <c r="D21" s="23" t="s">
        <v>285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4"/>
      <c r="C22" s="23"/>
      <c r="H22" s="255" t="s">
        <v>131</v>
      </c>
      <c r="I22" s="256">
        <f>AVERAGE(I14:I21)</f>
        <v>75694.444444444438</v>
      </c>
      <c r="J22" s="259" t="s">
        <v>299</v>
      </c>
      <c r="K22" s="256">
        <f>AVERAGE(K14:K21)</f>
        <v>21045524.691358007</v>
      </c>
      <c r="L22" s="259" t="s">
        <v>300</v>
      </c>
      <c r="M22" s="256">
        <f>SQRT(K22)</f>
        <v>4587.5401569204823</v>
      </c>
    </row>
    <row r="23" spans="1:13" s="19" customFormat="1">
      <c r="A23" s="18">
        <v>42917</v>
      </c>
      <c r="B23" s="252" t="s">
        <v>293</v>
      </c>
      <c r="C23" s="19" t="s">
        <v>296</v>
      </c>
      <c r="D23" s="19" t="s">
        <v>286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3" t="s">
        <v>293</v>
      </c>
      <c r="C24" s="258" t="s">
        <v>296</v>
      </c>
      <c r="D24" s="23" t="s">
        <v>287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3" t="s">
        <v>293</v>
      </c>
      <c r="C25" s="258" t="s">
        <v>296</v>
      </c>
      <c r="D25" s="23" t="s">
        <v>288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3" t="s">
        <v>293</v>
      </c>
      <c r="C26" s="258" t="s">
        <v>296</v>
      </c>
      <c r="D26" s="23" t="s">
        <v>289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3" t="s">
        <v>293</v>
      </c>
      <c r="C27" s="258" t="s">
        <v>296</v>
      </c>
      <c r="D27" s="23" t="s">
        <v>290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3" t="s">
        <v>293</v>
      </c>
      <c r="C28" s="258" t="s">
        <v>296</v>
      </c>
      <c r="D28" s="23" t="s">
        <v>291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3" t="s">
        <v>293</v>
      </c>
      <c r="C29" s="258" t="s">
        <v>296</v>
      </c>
      <c r="D29" s="23" t="s">
        <v>292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7"/>
      <c r="H30" s="255" t="s">
        <v>131</v>
      </c>
      <c r="I30" s="256">
        <f>AVERAGE(I23:I29)</f>
        <v>54206.349206349194</v>
      </c>
      <c r="J30" s="259" t="s">
        <v>299</v>
      </c>
      <c r="K30" s="256">
        <f>AVERAGE(K23:K29)</f>
        <v>29352481.733434107</v>
      </c>
      <c r="L30" s="259" t="s">
        <v>300</v>
      </c>
      <c r="M30" s="256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8" sqref="A18"/>
    </sheetView>
  </sheetViews>
  <sheetFormatPr baseColWidth="10" defaultRowHeight="15" x14ac:dyDescent="0"/>
  <cols>
    <col min="1" max="1" width="18.33203125" style="17" customWidth="1"/>
    <col min="2" max="2" width="23.6640625" style="292" customWidth="1"/>
  </cols>
  <sheetData>
    <row r="1" spans="1:4">
      <c r="A1" s="90" t="s">
        <v>137</v>
      </c>
      <c r="B1" s="292" t="s">
        <v>333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109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22" workbookViewId="0">
      <pane ySplit="1480" topLeftCell="A48" activePane="bottomLeft"/>
      <selection activeCell="D22" sqref="D1:D1048576"/>
      <selection pane="bottomLeft" activeCell="K60" sqref="K60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1" customWidth="1"/>
    <col min="11" max="11" width="12.1640625" style="222" customWidth="1"/>
    <col min="12" max="12" width="15.1640625" bestFit="1" customWidth="1"/>
    <col min="13" max="13" width="15.1640625" style="17" bestFit="1" customWidth="1"/>
  </cols>
  <sheetData>
    <row r="1" spans="1:13">
      <c r="A1" s="219" t="s">
        <v>301</v>
      </c>
    </row>
    <row r="2" spans="1:13" s="54" customFormat="1">
      <c r="A2" s="54" t="s">
        <v>80</v>
      </c>
      <c r="B2" s="54" t="s">
        <v>302</v>
      </c>
      <c r="C2" s="54" t="s">
        <v>303</v>
      </c>
      <c r="D2" s="54" t="s">
        <v>304</v>
      </c>
      <c r="J2" s="220"/>
      <c r="K2" s="223"/>
      <c r="M2" s="55"/>
    </row>
    <row r="23" spans="1:13" s="54" customFormat="1" ht="16" thickBot="1">
      <c r="A23" s="219" t="s">
        <v>228</v>
      </c>
      <c r="J23" s="220"/>
      <c r="K23" s="223"/>
      <c r="M23" s="55"/>
    </row>
    <row r="24" spans="1:13" s="54" customFormat="1" ht="30" customHeight="1">
      <c r="A24" s="206" t="s">
        <v>80</v>
      </c>
      <c r="B24" s="54" t="s">
        <v>229</v>
      </c>
      <c r="C24" s="54" t="s">
        <v>128</v>
      </c>
      <c r="D24" s="54" t="s">
        <v>129</v>
      </c>
      <c r="E24" s="54" t="s">
        <v>231</v>
      </c>
      <c r="F24" s="54" t="s">
        <v>232</v>
      </c>
      <c r="G24" s="54" t="s">
        <v>233</v>
      </c>
      <c r="H24" s="54" t="s">
        <v>234</v>
      </c>
      <c r="I24" s="54" t="s">
        <v>235</v>
      </c>
      <c r="J24" s="220" t="s">
        <v>236</v>
      </c>
      <c r="K24" s="224" t="s">
        <v>237</v>
      </c>
      <c r="L24" s="54" t="s">
        <v>257</v>
      </c>
      <c r="M24" s="55" t="s">
        <v>258</v>
      </c>
    </row>
    <row r="25" spans="1:13" s="54" customFormat="1">
      <c r="A25" s="206"/>
      <c r="J25" s="220"/>
      <c r="K25" s="227" t="s">
        <v>246</v>
      </c>
      <c r="M25" s="55"/>
    </row>
    <row r="26" spans="1:13">
      <c r="A26" s="16">
        <v>42901</v>
      </c>
      <c r="B26" t="s">
        <v>238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2">
        <f>(100000*800)/I26</f>
        <v>33.222591362126238</v>
      </c>
      <c r="K26" s="225">
        <f>13*J26</f>
        <v>431.89368770764111</v>
      </c>
    </row>
    <row r="27" spans="1:13">
      <c r="A27" s="16">
        <v>42902</v>
      </c>
      <c r="B27" t="s">
        <v>238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2">
        <f>(100000*800)/I27</f>
        <v>33.670033670033668</v>
      </c>
      <c r="K27" s="225">
        <f>13*J27</f>
        <v>437.7104377104377</v>
      </c>
    </row>
    <row r="28" spans="1:13">
      <c r="A28" s="16">
        <v>42903</v>
      </c>
      <c r="B28" t="s">
        <v>230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2">
        <f>(100000*800)/I28</f>
        <v>48.426150121065376</v>
      </c>
      <c r="K28" s="225">
        <f>13*J28</f>
        <v>629.53995157384986</v>
      </c>
    </row>
    <row r="29" spans="1:13">
      <c r="A29" s="16">
        <v>42904</v>
      </c>
      <c r="B29" t="s">
        <v>239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2">
        <f t="shared" ref="J29:J42" si="2">(100000*800)/I29</f>
        <v>52.840158520475555</v>
      </c>
      <c r="K29" s="225">
        <f t="shared" ref="K29" si="3">13*J29</f>
        <v>686.9220607661822</v>
      </c>
    </row>
    <row r="30" spans="1:13">
      <c r="A30" s="16"/>
      <c r="H30" s="17"/>
      <c r="I30" s="17"/>
      <c r="J30" s="222"/>
      <c r="K30" s="227" t="s">
        <v>245</v>
      </c>
    </row>
    <row r="31" spans="1:13">
      <c r="A31" s="16">
        <v>42905</v>
      </c>
      <c r="B31" t="s">
        <v>244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2">
        <f t="shared" si="2"/>
        <v>38.910505836575872</v>
      </c>
      <c r="K31" s="226">
        <f>((100000*1000)/I31)*18</f>
        <v>875.48638132295719</v>
      </c>
    </row>
    <row r="32" spans="1:13">
      <c r="A32" s="16">
        <v>42906</v>
      </c>
      <c r="B32" t="s">
        <v>247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2">
        <f t="shared" si="2"/>
        <v>37.002775208140612</v>
      </c>
      <c r="K32" s="226">
        <f t="shared" ref="K32:K42" si="4">((100000*1000)/I32)*18</f>
        <v>832.56244218316374</v>
      </c>
    </row>
    <row r="33" spans="1:15">
      <c r="A33" s="16">
        <v>42908</v>
      </c>
      <c r="B33" t="s">
        <v>251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2">
        <f t="shared" si="2"/>
        <v>22.831050228310502</v>
      </c>
      <c r="K33" s="226">
        <f t="shared" si="4"/>
        <v>513.69863013698625</v>
      </c>
    </row>
    <row r="34" spans="1:15">
      <c r="A34" s="16">
        <v>42909</v>
      </c>
      <c r="B34" t="s">
        <v>251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2">
        <f t="shared" ref="J34" si="7">(100000*800)/I34</f>
        <v>22.831050228310502</v>
      </c>
      <c r="K34" s="226">
        <f t="shared" ref="K34" si="8">((100000*1000)/I34)*18</f>
        <v>513.69863013698625</v>
      </c>
      <c r="L34" t="s">
        <v>268</v>
      </c>
    </row>
    <row r="35" spans="1:15">
      <c r="A35" s="16">
        <v>42910</v>
      </c>
      <c r="B35" t="s">
        <v>270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2">
        <f t="shared" si="2"/>
        <v>44.052863436123346</v>
      </c>
      <c r="K35" s="226">
        <f t="shared" si="4"/>
        <v>991.18942731277525</v>
      </c>
    </row>
    <row r="36" spans="1:15">
      <c r="A36" s="16">
        <v>42912</v>
      </c>
      <c r="B36" t="s">
        <v>252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2">
        <f t="shared" si="2"/>
        <v>22.922636103151863</v>
      </c>
      <c r="K36" s="226">
        <f t="shared" si="4"/>
        <v>515.75931232091693</v>
      </c>
    </row>
    <row r="37" spans="1:15">
      <c r="A37" s="16">
        <v>42914</v>
      </c>
      <c r="B37" t="s">
        <v>254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2">
        <f t="shared" si="2"/>
        <v>26.702269692923899</v>
      </c>
      <c r="K37" s="226">
        <f t="shared" si="4"/>
        <v>600.80106809078768</v>
      </c>
    </row>
    <row r="38" spans="1:15">
      <c r="A38" s="16">
        <v>42915</v>
      </c>
      <c r="B38" t="s">
        <v>256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2">
        <f t="shared" si="2"/>
        <v>76.775431861804208</v>
      </c>
      <c r="K38" s="226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259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1">
        <f t="shared" si="2"/>
        <v>77.777777777777771</v>
      </c>
      <c r="K39" s="225">
        <f t="shared" si="4"/>
        <v>1749.9999999999998</v>
      </c>
      <c r="L39" s="152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264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1">
        <f t="shared" si="2"/>
        <v>22.818026240730177</v>
      </c>
      <c r="K40" s="225">
        <f t="shared" si="4"/>
        <v>513.40559041642894</v>
      </c>
      <c r="L40" s="152">
        <f>(M40*I40)/(18+M40/1000)</f>
        <v>0</v>
      </c>
    </row>
    <row r="41" spans="1:15">
      <c r="A41" s="16">
        <v>42921</v>
      </c>
      <c r="B41" t="s">
        <v>266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1">
        <f t="shared" si="2"/>
        <v>31.176929072486359</v>
      </c>
      <c r="K41" s="225">
        <f t="shared" si="4"/>
        <v>701.48090413094314</v>
      </c>
    </row>
    <row r="42" spans="1:15">
      <c r="A42" s="16">
        <v>42922</v>
      </c>
      <c r="B42" t="s">
        <v>266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1">
        <f t="shared" si="2"/>
        <v>50.505050505050498</v>
      </c>
      <c r="K42" s="225">
        <f t="shared" si="4"/>
        <v>1136.3636363636363</v>
      </c>
    </row>
    <row r="43" spans="1:15">
      <c r="A43" s="16">
        <v>42924</v>
      </c>
      <c r="B43" t="s">
        <v>309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1">
        <f t="shared" ref="J43" si="9">(100000*800)/I43</f>
        <v>41.594454072790292</v>
      </c>
      <c r="K43" s="225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5"/>
    </row>
    <row r="45" spans="1:15">
      <c r="A45" s="16"/>
      <c r="J45" s="275"/>
      <c r="K45" s="276"/>
      <c r="L45" s="23"/>
      <c r="M45" s="118"/>
    </row>
    <row r="46" spans="1:15">
      <c r="A46" s="16"/>
      <c r="C46">
        <f>(44*B44)</f>
        <v>160</v>
      </c>
      <c r="J46" s="275"/>
      <c r="K46" s="276"/>
      <c r="L46" s="23"/>
      <c r="M46" s="118"/>
    </row>
    <row r="47" spans="1:15">
      <c r="A47" s="16"/>
      <c r="J47" s="275"/>
      <c r="K47" s="276"/>
      <c r="L47" s="23"/>
      <c r="M47" s="118"/>
    </row>
    <row r="48" spans="1:15">
      <c r="A48" s="16"/>
      <c r="J48" s="275"/>
      <c r="K48" s="276"/>
      <c r="L48" s="23"/>
      <c r="M48" s="118"/>
    </row>
    <row r="49" spans="1:14" ht="16" thickBot="1">
      <c r="A49" s="273" t="s">
        <v>312</v>
      </c>
      <c r="J49" s="275"/>
      <c r="K49" s="276"/>
      <c r="L49" s="23"/>
      <c r="M49" s="118"/>
    </row>
    <row r="50" spans="1:14" s="221" customFormat="1" ht="46" customHeight="1">
      <c r="A50" s="274" t="s">
        <v>313</v>
      </c>
      <c r="B50" s="221" t="s">
        <v>314</v>
      </c>
      <c r="C50" s="221" t="s">
        <v>322</v>
      </c>
      <c r="D50" s="221" t="s">
        <v>323</v>
      </c>
      <c r="E50" s="221" t="s">
        <v>324</v>
      </c>
      <c r="F50" s="221" t="s">
        <v>315</v>
      </c>
      <c r="G50" s="221" t="s">
        <v>316</v>
      </c>
      <c r="H50" s="221" t="s">
        <v>325</v>
      </c>
      <c r="I50" s="221" t="s">
        <v>326</v>
      </c>
      <c r="J50" s="279"/>
      <c r="K50" s="380" t="s">
        <v>391</v>
      </c>
      <c r="L50" s="280" t="s">
        <v>329</v>
      </c>
      <c r="M50" s="281" t="s">
        <v>330</v>
      </c>
      <c r="N50" s="276"/>
    </row>
    <row r="51" spans="1:14">
      <c r="A51" t="s">
        <v>74</v>
      </c>
      <c r="B51" t="s">
        <v>317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2" t="s">
        <v>74</v>
      </c>
      <c r="K51" s="308">
        <f>SUM(F51:G55)</f>
        <v>31</v>
      </c>
      <c r="L51" s="277">
        <f>AVERAGE(H51:H55)</f>
        <v>7.2969187675070019E-2</v>
      </c>
      <c r="M51" s="283">
        <f>SUM(F51:G54)/800</f>
        <v>0.03</v>
      </c>
      <c r="N51" s="118"/>
    </row>
    <row r="52" spans="1:14">
      <c r="A52" t="s">
        <v>74</v>
      </c>
      <c r="B52" t="s">
        <v>318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4" t="s">
        <v>77</v>
      </c>
      <c r="K52" s="381">
        <f>SUM(F56:G60)</f>
        <v>275</v>
      </c>
      <c r="L52" s="277">
        <f>AVERAGE(H56:H60)</f>
        <v>0.64705882352941191</v>
      </c>
      <c r="M52" s="283">
        <f>SUM(F56:G60)/800</f>
        <v>0.34375</v>
      </c>
      <c r="N52" s="118"/>
    </row>
    <row r="53" spans="1:14">
      <c r="A53" t="s">
        <v>74</v>
      </c>
      <c r="B53" t="s">
        <v>319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4" t="s">
        <v>86</v>
      </c>
      <c r="K53" s="381">
        <f>SUM(F61:G65)</f>
        <v>4</v>
      </c>
      <c r="L53" s="278">
        <f>AVERAGE(H61:H65)</f>
        <v>9.4117647058823521E-3</v>
      </c>
      <c r="M53" s="283">
        <f>SUM(F61:G65)/800</f>
        <v>5.0000000000000001E-3</v>
      </c>
      <c r="N53" s="118"/>
    </row>
    <row r="54" spans="1:14" ht="16" thickBot="1">
      <c r="A54" t="s">
        <v>74</v>
      </c>
      <c r="B54" t="s">
        <v>320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5" t="s">
        <v>87</v>
      </c>
      <c r="K54" s="382">
        <f>SUM(F66:G70)</f>
        <v>96</v>
      </c>
      <c r="L54" s="286">
        <f>AVERAGE(H66:H70)</f>
        <v>0.22588235294117648</v>
      </c>
      <c r="M54" s="287">
        <f>SUM(F66:G70)/800</f>
        <v>0.12</v>
      </c>
      <c r="N54" s="118"/>
    </row>
    <row r="55" spans="1:14">
      <c r="A55" t="s">
        <v>74</v>
      </c>
      <c r="B55" t="s">
        <v>321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5"/>
      <c r="K55" s="276"/>
      <c r="L55" s="23"/>
      <c r="M55" s="118"/>
    </row>
    <row r="56" spans="1:14">
      <c r="A56" t="s">
        <v>77</v>
      </c>
      <c r="B56" t="s">
        <v>317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5"/>
      <c r="K56" s="276"/>
      <c r="L56" s="23"/>
      <c r="M56" s="118"/>
    </row>
    <row r="57" spans="1:14">
      <c r="A57" t="s">
        <v>77</v>
      </c>
      <c r="B57" t="s">
        <v>318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5"/>
      <c r="K57" s="276"/>
      <c r="L57" s="23"/>
      <c r="M57" s="118"/>
    </row>
    <row r="58" spans="1:14">
      <c r="A58" t="s">
        <v>77</v>
      </c>
      <c r="B58" t="s">
        <v>319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5"/>
      <c r="K58" s="276"/>
      <c r="L58" s="23"/>
      <c r="M58" s="118"/>
    </row>
    <row r="59" spans="1:14">
      <c r="A59" t="s">
        <v>77</v>
      </c>
      <c r="B59" t="s">
        <v>320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5"/>
      <c r="K59" s="276"/>
      <c r="L59" s="23"/>
      <c r="M59" s="118"/>
    </row>
    <row r="60" spans="1:14">
      <c r="A60" t="s">
        <v>77</v>
      </c>
      <c r="B60" t="s">
        <v>321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4">
      <c r="A61" t="s">
        <v>73</v>
      </c>
      <c r="B61" t="s">
        <v>317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4">
      <c r="A62" t="s">
        <v>73</v>
      </c>
      <c r="B62" t="s">
        <v>318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327</v>
      </c>
    </row>
    <row r="63" spans="1:14">
      <c r="A63" t="s">
        <v>73</v>
      </c>
      <c r="B63" t="s">
        <v>319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327</v>
      </c>
    </row>
    <row r="64" spans="1:14">
      <c r="A64" t="s">
        <v>73</v>
      </c>
      <c r="B64" t="s">
        <v>320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321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317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318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319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320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321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80</v>
      </c>
      <c r="B1" t="s">
        <v>269</v>
      </c>
    </row>
    <row r="2" spans="1:2">
      <c r="A2" s="251">
        <v>42908</v>
      </c>
      <c r="B2">
        <v>17</v>
      </c>
    </row>
    <row r="3" spans="1:2">
      <c r="A3" s="251">
        <v>42909</v>
      </c>
      <c r="B3">
        <v>17</v>
      </c>
    </row>
    <row r="4" spans="1:2">
      <c r="A4" s="251">
        <v>42910</v>
      </c>
      <c r="B4">
        <v>17.5</v>
      </c>
    </row>
    <row r="5" spans="1:2">
      <c r="A5" s="251">
        <v>42914</v>
      </c>
      <c r="B5">
        <v>16.7</v>
      </c>
    </row>
    <row r="6" spans="1:2">
      <c r="A6" s="251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P141" zoomScale="75" zoomScaleNormal="75" zoomScalePageLayoutView="75" workbookViewId="0">
      <selection activeCell="AB188" sqref="AB18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Collection</vt:lpstr>
      <vt:lpstr>Bucket Counts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2017-10-27T02:10:50Z</dcterms:modified>
</cp:coreProperties>
</file>