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40" yWindow="0" windowWidth="25480" windowHeight="15460" tabRatio="1000" activeTab="1"/>
  </bookViews>
  <sheets>
    <sheet name="Collection" sheetId="1" r:id="rId1"/>
    <sheet name="Bucket Counts" sheetId="2" r:id="rId2"/>
    <sheet name="Stocking" sheetId="9" r:id="rId3"/>
    <sheet name="Total Larvae to Date" sheetId="4" r:id="rId4"/>
    <sheet name="Date Chart" sheetId="5" r:id="rId5"/>
    <sheet name="Algae Counts" sheetId="7" r:id="rId6"/>
    <sheet name="Resources" sheetId="6" r:id="rId7"/>
    <sheet name="Larval Trial" sheetId="10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3" i="4" l="1"/>
  <c r="J12" i="4"/>
  <c r="J14" i="4"/>
  <c r="J15" i="4"/>
  <c r="J16" i="4"/>
  <c r="J17" i="4"/>
  <c r="J11" i="4"/>
  <c r="J10" i="4"/>
  <c r="J9" i="4"/>
  <c r="J8" i="4"/>
  <c r="J7" i="4"/>
  <c r="J6" i="4"/>
  <c r="J5" i="4"/>
  <c r="J4" i="4"/>
  <c r="J3" i="4"/>
  <c r="J2" i="4"/>
  <c r="H87" i="4"/>
  <c r="H86" i="4"/>
  <c r="H85" i="4"/>
  <c r="H84" i="4"/>
  <c r="P277" i="2"/>
  <c r="H83" i="4"/>
  <c r="P281" i="2"/>
  <c r="H82" i="4"/>
  <c r="H81" i="4"/>
  <c r="H80" i="4"/>
  <c r="H79" i="4"/>
  <c r="H78" i="4"/>
  <c r="H77" i="4"/>
  <c r="H76" i="4"/>
  <c r="H75" i="4"/>
  <c r="H74" i="4"/>
  <c r="H73" i="4"/>
  <c r="H7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P373" i="2"/>
  <c r="P363" i="2"/>
  <c r="P362" i="2"/>
  <c r="P361" i="2"/>
  <c r="P360" i="2"/>
  <c r="P359" i="2"/>
  <c r="P358" i="2"/>
  <c r="P345" i="2"/>
  <c r="Q345" i="2"/>
  <c r="P380" i="2"/>
  <c r="Q380" i="2"/>
  <c r="R380" i="2"/>
  <c r="P379" i="2"/>
  <c r="Q379" i="2"/>
  <c r="R379" i="2"/>
  <c r="P377" i="2"/>
  <c r="P378" i="2"/>
  <c r="Q377" i="2"/>
  <c r="Q378" i="2"/>
  <c r="S378" i="2"/>
  <c r="R378" i="2"/>
  <c r="S377" i="2"/>
  <c r="R377" i="2"/>
  <c r="P376" i="2"/>
  <c r="Q376" i="2"/>
  <c r="R376" i="2"/>
  <c r="P375" i="2"/>
  <c r="Q375" i="2"/>
  <c r="R375" i="2"/>
  <c r="P374" i="2"/>
  <c r="Q373" i="2"/>
  <c r="Q374" i="2"/>
  <c r="S374" i="2"/>
  <c r="R374" i="2"/>
  <c r="S373" i="2"/>
  <c r="R373" i="2"/>
  <c r="P372" i="2"/>
  <c r="Q372" i="2"/>
  <c r="R372" i="2"/>
  <c r="P371" i="2"/>
  <c r="Q371" i="2"/>
  <c r="R371" i="2"/>
  <c r="P369" i="2"/>
  <c r="P370" i="2"/>
  <c r="Q369" i="2"/>
  <c r="Q370" i="2"/>
  <c r="S370" i="2"/>
  <c r="R370" i="2"/>
  <c r="S369" i="2"/>
  <c r="R369" i="2"/>
  <c r="P368" i="2"/>
  <c r="Q368" i="2"/>
  <c r="R368" i="2"/>
  <c r="P367" i="2"/>
  <c r="Q367" i="2"/>
  <c r="R367" i="2"/>
  <c r="P365" i="2"/>
  <c r="P366" i="2"/>
  <c r="Q365" i="2"/>
  <c r="Q366" i="2"/>
  <c r="S366" i="2"/>
  <c r="R366" i="2"/>
  <c r="S365" i="2"/>
  <c r="R365" i="2"/>
  <c r="P364" i="2"/>
  <c r="Q364" i="2"/>
  <c r="R364" i="2"/>
  <c r="Q363" i="2"/>
  <c r="R363" i="2"/>
  <c r="Q361" i="2"/>
  <c r="Q362" i="2"/>
  <c r="S362" i="2"/>
  <c r="R362" i="2"/>
  <c r="S361" i="2"/>
  <c r="R361" i="2"/>
  <c r="Q360" i="2"/>
  <c r="R360" i="2"/>
  <c r="Q359" i="2"/>
  <c r="R359" i="2"/>
  <c r="P357" i="2"/>
  <c r="Q357" i="2"/>
  <c r="Q358" i="2"/>
  <c r="S358" i="2"/>
  <c r="R358" i="2"/>
  <c r="S357" i="2"/>
  <c r="R357" i="2"/>
  <c r="P356" i="2"/>
  <c r="Q356" i="2"/>
  <c r="R356" i="2"/>
  <c r="P355" i="2"/>
  <c r="Q355" i="2"/>
  <c r="R355" i="2"/>
  <c r="P353" i="2"/>
  <c r="P354" i="2"/>
  <c r="Q353" i="2"/>
  <c r="Q354" i="2"/>
  <c r="S354" i="2"/>
  <c r="R354" i="2"/>
  <c r="S353" i="2"/>
  <c r="R353" i="2"/>
  <c r="P352" i="2"/>
  <c r="Q352" i="2"/>
  <c r="R352" i="2"/>
  <c r="P351" i="2"/>
  <c r="Q351" i="2"/>
  <c r="R351" i="2"/>
  <c r="P349" i="2"/>
  <c r="P350" i="2"/>
  <c r="Q349" i="2"/>
  <c r="Q350" i="2"/>
  <c r="S350" i="2"/>
  <c r="R350" i="2"/>
  <c r="S349" i="2"/>
  <c r="R349" i="2"/>
  <c r="P348" i="2"/>
  <c r="Q348" i="2"/>
  <c r="R348" i="2"/>
  <c r="P347" i="2"/>
  <c r="Q347" i="2"/>
  <c r="R347" i="2"/>
  <c r="P346" i="2"/>
  <c r="Q346" i="2"/>
  <c r="S346" i="2"/>
  <c r="R346" i="2"/>
  <c r="S345" i="2"/>
  <c r="R345" i="2"/>
  <c r="P344" i="2"/>
  <c r="Q344" i="2"/>
  <c r="R344" i="2"/>
  <c r="P343" i="2"/>
  <c r="Q343" i="2"/>
  <c r="R343" i="2"/>
  <c r="P341" i="2"/>
  <c r="P342" i="2"/>
  <c r="Q341" i="2"/>
  <c r="Q342" i="2"/>
  <c r="S342" i="2"/>
  <c r="R342" i="2"/>
  <c r="S341" i="2"/>
  <c r="R341" i="2"/>
  <c r="P340" i="2"/>
  <c r="Q340" i="2"/>
  <c r="R340" i="2"/>
  <c r="P339" i="2"/>
  <c r="Q339" i="2"/>
  <c r="R339" i="2"/>
  <c r="P337" i="2"/>
  <c r="P338" i="2"/>
  <c r="Q337" i="2"/>
  <c r="Q338" i="2"/>
  <c r="S338" i="2"/>
  <c r="R338" i="2"/>
  <c r="S337" i="2"/>
  <c r="R337" i="2"/>
  <c r="P336" i="2"/>
  <c r="Q336" i="2"/>
  <c r="R336" i="2"/>
  <c r="P335" i="2"/>
  <c r="Q335" i="2"/>
  <c r="R335" i="2"/>
  <c r="P333" i="2"/>
  <c r="P334" i="2"/>
  <c r="Q333" i="2"/>
  <c r="Q334" i="2"/>
  <c r="S334" i="2"/>
  <c r="R334" i="2"/>
  <c r="S333" i="2"/>
  <c r="R333" i="2"/>
  <c r="P332" i="2"/>
  <c r="Q332" i="2"/>
  <c r="R332" i="2"/>
  <c r="P331" i="2"/>
  <c r="Q331" i="2"/>
  <c r="R331" i="2"/>
  <c r="P329" i="2"/>
  <c r="P330" i="2"/>
  <c r="Q329" i="2"/>
  <c r="Q330" i="2"/>
  <c r="S330" i="2"/>
  <c r="R330" i="2"/>
  <c r="S329" i="2"/>
  <c r="R329" i="2"/>
  <c r="P328" i="2"/>
  <c r="Q328" i="2"/>
  <c r="R328" i="2"/>
  <c r="P327" i="2"/>
  <c r="Q327" i="2"/>
  <c r="R327" i="2"/>
  <c r="P325" i="2"/>
  <c r="P326" i="2"/>
  <c r="Q325" i="2"/>
  <c r="Q326" i="2"/>
  <c r="S326" i="2"/>
  <c r="R326" i="2"/>
  <c r="S325" i="2"/>
  <c r="R325" i="2"/>
  <c r="P324" i="2"/>
  <c r="Q324" i="2"/>
  <c r="R324" i="2"/>
  <c r="P323" i="2"/>
  <c r="Q323" i="2"/>
  <c r="R323" i="2"/>
  <c r="P321" i="2"/>
  <c r="P322" i="2"/>
  <c r="Q321" i="2"/>
  <c r="Q322" i="2"/>
  <c r="S322" i="2"/>
  <c r="R322" i="2"/>
  <c r="S321" i="2"/>
  <c r="R321" i="2"/>
  <c r="P320" i="2"/>
  <c r="Q320" i="2"/>
  <c r="R320" i="2"/>
  <c r="P319" i="2"/>
  <c r="Q319" i="2"/>
  <c r="R319" i="2"/>
  <c r="P317" i="2"/>
  <c r="P318" i="2"/>
  <c r="Q317" i="2"/>
  <c r="Q318" i="2"/>
  <c r="S318" i="2"/>
  <c r="R318" i="2"/>
  <c r="S317" i="2"/>
  <c r="R317" i="2"/>
  <c r="O317" i="2"/>
  <c r="K17" i="10"/>
  <c r="K16" i="10"/>
  <c r="K15" i="10"/>
  <c r="K14" i="10"/>
  <c r="K13" i="10"/>
  <c r="K12" i="10"/>
  <c r="K11" i="10"/>
  <c r="K10" i="10"/>
  <c r="Q175" i="1"/>
  <c r="C24" i="10"/>
  <c r="B22" i="10"/>
  <c r="G22" i="10"/>
  <c r="F22" i="10"/>
  <c r="E22" i="10"/>
  <c r="D22" i="10"/>
  <c r="C22" i="10"/>
  <c r="Q174" i="1"/>
  <c r="O173" i="1"/>
  <c r="Q173" i="1"/>
  <c r="O172" i="1"/>
  <c r="Q172" i="1"/>
  <c r="I171" i="1"/>
  <c r="J171" i="1"/>
  <c r="O171" i="1"/>
  <c r="Q171" i="1"/>
  <c r="Q170" i="1"/>
  <c r="Q168" i="1"/>
  <c r="I175" i="1"/>
  <c r="J175" i="1"/>
  <c r="I174" i="1"/>
  <c r="J174" i="1"/>
  <c r="I173" i="1"/>
  <c r="J173" i="1"/>
  <c r="I172" i="1"/>
  <c r="J172" i="1"/>
  <c r="I170" i="1"/>
  <c r="J170" i="1"/>
  <c r="I169" i="1"/>
  <c r="J169" i="1"/>
  <c r="I168" i="1"/>
  <c r="J168" i="1"/>
  <c r="J167" i="1"/>
  <c r="H17" i="10"/>
  <c r="I17" i="10"/>
  <c r="J17" i="10"/>
  <c r="H16" i="10"/>
  <c r="I16" i="10"/>
  <c r="J16" i="10"/>
  <c r="H15" i="10"/>
  <c r="I15" i="10"/>
  <c r="J15" i="10"/>
  <c r="H14" i="10"/>
  <c r="I14" i="10"/>
  <c r="J14" i="10"/>
  <c r="H13" i="10"/>
  <c r="I13" i="10"/>
  <c r="J13" i="10"/>
  <c r="H12" i="10"/>
  <c r="I12" i="10"/>
  <c r="J12" i="10"/>
  <c r="H11" i="10"/>
  <c r="I11" i="10"/>
  <c r="J11" i="10"/>
  <c r="H10" i="10"/>
  <c r="I10" i="10"/>
  <c r="J10" i="10"/>
  <c r="H8" i="10"/>
  <c r="I8" i="10"/>
  <c r="J8" i="10"/>
  <c r="K8" i="10"/>
  <c r="H5" i="10"/>
  <c r="I5" i="10"/>
  <c r="J5" i="10"/>
  <c r="K5" i="10"/>
  <c r="H6" i="10"/>
  <c r="I6" i="10"/>
  <c r="J6" i="10"/>
  <c r="K6" i="10"/>
  <c r="K7" i="10"/>
  <c r="J7" i="10"/>
  <c r="I7" i="10"/>
  <c r="H7" i="10"/>
  <c r="O166" i="1"/>
  <c r="C25" i="4"/>
  <c r="G25" i="4"/>
  <c r="C24" i="4"/>
  <c r="G24" i="4"/>
  <c r="C23" i="4"/>
  <c r="G23" i="4"/>
  <c r="I166" i="1"/>
  <c r="J166" i="1"/>
  <c r="C22" i="4"/>
  <c r="G22" i="4"/>
  <c r="I164" i="1"/>
  <c r="J164" i="1"/>
  <c r="I167" i="1"/>
  <c r="C21" i="4"/>
  <c r="G21" i="4"/>
  <c r="C20" i="4"/>
  <c r="G20" i="4"/>
  <c r="I165" i="1"/>
  <c r="J165" i="1"/>
  <c r="C19" i="4"/>
  <c r="G19" i="4"/>
  <c r="C18" i="4"/>
  <c r="G18" i="4"/>
  <c r="I162" i="1"/>
  <c r="J162" i="1"/>
  <c r="C17" i="4"/>
  <c r="G17" i="4"/>
  <c r="I160" i="1"/>
  <c r="J160" i="1"/>
  <c r="C16" i="4"/>
  <c r="G16" i="4"/>
  <c r="I163" i="1"/>
  <c r="J163" i="1"/>
  <c r="C15" i="4"/>
  <c r="G15" i="4"/>
  <c r="C14" i="4"/>
  <c r="G14" i="4"/>
  <c r="I161" i="1"/>
  <c r="J161" i="1"/>
  <c r="C13" i="4"/>
  <c r="G13" i="4"/>
  <c r="C12" i="4"/>
  <c r="G12" i="4"/>
  <c r="I158" i="1"/>
  <c r="J158" i="1"/>
  <c r="C11" i="4"/>
  <c r="G11" i="4"/>
  <c r="C10" i="4"/>
  <c r="G10" i="4"/>
  <c r="C9" i="4"/>
  <c r="G9" i="4"/>
  <c r="C8" i="4"/>
  <c r="G8" i="4"/>
  <c r="C7" i="4"/>
  <c r="G7" i="4"/>
  <c r="C6" i="4"/>
  <c r="G6" i="4"/>
  <c r="C5" i="4"/>
  <c r="G5" i="4"/>
  <c r="C4" i="4"/>
  <c r="G4" i="4"/>
  <c r="I159" i="1"/>
  <c r="J159" i="1"/>
  <c r="C3" i="4"/>
  <c r="G3" i="4"/>
  <c r="C2" i="4"/>
  <c r="G2" i="4"/>
  <c r="C51" i="4"/>
  <c r="C50" i="4"/>
  <c r="C49" i="4"/>
  <c r="C48" i="4"/>
  <c r="C47" i="4"/>
  <c r="C46" i="4"/>
  <c r="C45" i="4"/>
  <c r="C44" i="4"/>
  <c r="C42" i="4"/>
  <c r="C43" i="4"/>
  <c r="C40" i="4"/>
  <c r="C41" i="4"/>
  <c r="C38" i="4"/>
  <c r="C39" i="4"/>
  <c r="C36" i="4"/>
  <c r="C37" i="4"/>
  <c r="C34" i="4"/>
  <c r="C35" i="4"/>
  <c r="C32" i="4"/>
  <c r="C33" i="4"/>
  <c r="C30" i="4"/>
  <c r="C31" i="4"/>
  <c r="C28" i="4"/>
  <c r="C29" i="4"/>
  <c r="H25" i="4"/>
  <c r="O169" i="1"/>
  <c r="H24" i="4"/>
  <c r="O170" i="1"/>
  <c r="H23" i="4"/>
  <c r="H22" i="4"/>
  <c r="O164" i="1"/>
  <c r="O167" i="1"/>
  <c r="H21" i="4"/>
  <c r="H20" i="4"/>
  <c r="O165" i="1"/>
  <c r="O175" i="1"/>
  <c r="H19" i="4"/>
  <c r="O168" i="1"/>
  <c r="H18" i="4"/>
  <c r="O162" i="1"/>
  <c r="H17" i="4"/>
  <c r="O160" i="1"/>
  <c r="H16" i="4"/>
  <c r="O163" i="1"/>
  <c r="O174" i="1"/>
  <c r="H15" i="4"/>
  <c r="H14" i="4"/>
  <c r="O161" i="1"/>
  <c r="H13" i="4"/>
  <c r="H12" i="4"/>
  <c r="O158" i="1"/>
  <c r="H11" i="4"/>
  <c r="H10" i="4"/>
  <c r="H9" i="4"/>
  <c r="H8" i="4"/>
  <c r="H7" i="4"/>
  <c r="H6" i="4"/>
  <c r="H5" i="4"/>
  <c r="H4" i="4"/>
  <c r="O159" i="1"/>
  <c r="H3" i="4"/>
  <c r="H2" i="4"/>
  <c r="K69" i="4"/>
  <c r="K105" i="4"/>
  <c r="K68" i="4"/>
  <c r="K104" i="4"/>
  <c r="K67" i="4"/>
  <c r="K103" i="4"/>
  <c r="K66" i="4"/>
  <c r="K102" i="4"/>
  <c r="K65" i="4"/>
  <c r="K101" i="4"/>
  <c r="K64" i="4"/>
  <c r="K100" i="4"/>
  <c r="K63" i="4"/>
  <c r="K99" i="4"/>
  <c r="K62" i="4"/>
  <c r="K98" i="4"/>
  <c r="K61" i="4"/>
  <c r="K97" i="4"/>
  <c r="K60" i="4"/>
  <c r="K96" i="4"/>
  <c r="K59" i="4"/>
  <c r="K95" i="4"/>
  <c r="K58" i="4"/>
  <c r="K94" i="4"/>
  <c r="K57" i="4"/>
  <c r="K93" i="4"/>
  <c r="K56" i="4"/>
  <c r="K92" i="4"/>
  <c r="K55" i="4"/>
  <c r="K91" i="4"/>
  <c r="K54" i="4"/>
  <c r="K90" i="4"/>
  <c r="J69" i="4"/>
  <c r="J105" i="4"/>
  <c r="J68" i="4"/>
  <c r="J104" i="4"/>
  <c r="J67" i="4"/>
  <c r="J103" i="4"/>
  <c r="J66" i="4"/>
  <c r="J102" i="4"/>
  <c r="J65" i="4"/>
  <c r="J101" i="4"/>
  <c r="J64" i="4"/>
  <c r="J100" i="4"/>
  <c r="J63" i="4"/>
  <c r="J99" i="4"/>
  <c r="J62" i="4"/>
  <c r="J98" i="4"/>
  <c r="J61" i="4"/>
  <c r="J97" i="4"/>
  <c r="J60" i="4"/>
  <c r="J96" i="4"/>
  <c r="J59" i="4"/>
  <c r="J95" i="4"/>
  <c r="J58" i="4"/>
  <c r="J94" i="4"/>
  <c r="J57" i="4"/>
  <c r="J93" i="4"/>
  <c r="J56" i="4"/>
  <c r="J92" i="4"/>
  <c r="J55" i="4"/>
  <c r="J91" i="4"/>
  <c r="J54" i="4"/>
  <c r="J90" i="4"/>
  <c r="I69" i="4"/>
  <c r="I105" i="4"/>
  <c r="I68" i="4"/>
  <c r="I104" i="4"/>
  <c r="I67" i="4"/>
  <c r="I103" i="4"/>
  <c r="I66" i="4"/>
  <c r="I102" i="4"/>
  <c r="I65" i="4"/>
  <c r="I101" i="4"/>
  <c r="I64" i="4"/>
  <c r="I100" i="4"/>
  <c r="I63" i="4"/>
  <c r="I99" i="4"/>
  <c r="I62" i="4"/>
  <c r="I98" i="4"/>
  <c r="I61" i="4"/>
  <c r="I97" i="4"/>
  <c r="I60" i="4"/>
  <c r="I96" i="4"/>
  <c r="I59" i="4"/>
  <c r="I95" i="4"/>
  <c r="I58" i="4"/>
  <c r="I94" i="4"/>
  <c r="I57" i="4"/>
  <c r="I93" i="4"/>
  <c r="I56" i="4"/>
  <c r="I92" i="4"/>
  <c r="I55" i="4"/>
  <c r="I91" i="4"/>
  <c r="I54" i="4"/>
  <c r="I90" i="4"/>
  <c r="H69" i="4"/>
  <c r="H105" i="4"/>
  <c r="H68" i="4"/>
  <c r="H104" i="4"/>
  <c r="H67" i="4"/>
  <c r="H103" i="4"/>
  <c r="H66" i="4"/>
  <c r="H102" i="4"/>
  <c r="H65" i="4"/>
  <c r="H101" i="4"/>
  <c r="H64" i="4"/>
  <c r="H100" i="4"/>
  <c r="H63" i="4"/>
  <c r="H99" i="4"/>
  <c r="H62" i="4"/>
  <c r="H98" i="4"/>
  <c r="H61" i="4"/>
  <c r="H97" i="4"/>
  <c r="H60" i="4"/>
  <c r="H96" i="4"/>
  <c r="H59" i="4"/>
  <c r="H95" i="4"/>
  <c r="H58" i="4"/>
  <c r="H94" i="4"/>
  <c r="H57" i="4"/>
  <c r="H93" i="4"/>
  <c r="H56" i="4"/>
  <c r="H92" i="4"/>
  <c r="H55" i="4"/>
  <c r="H91" i="4"/>
  <c r="H54" i="4"/>
  <c r="H90" i="4"/>
  <c r="G71" i="4"/>
  <c r="G87" i="4"/>
  <c r="G69" i="4"/>
  <c r="G105" i="4"/>
  <c r="G86" i="4"/>
  <c r="G68" i="4"/>
  <c r="G104" i="4"/>
  <c r="G85" i="4"/>
  <c r="G67" i="4"/>
  <c r="G103" i="4"/>
  <c r="G84" i="4"/>
  <c r="G66" i="4"/>
  <c r="G102" i="4"/>
  <c r="G83" i="4"/>
  <c r="G65" i="4"/>
  <c r="G101" i="4"/>
  <c r="G82" i="4"/>
  <c r="G64" i="4"/>
  <c r="G100" i="4"/>
  <c r="G81" i="4"/>
  <c r="G63" i="4"/>
  <c r="G99" i="4"/>
  <c r="G80" i="4"/>
  <c r="G62" i="4"/>
  <c r="G98" i="4"/>
  <c r="G79" i="4"/>
  <c r="G61" i="4"/>
  <c r="G97" i="4"/>
  <c r="G78" i="4"/>
  <c r="G60" i="4"/>
  <c r="G96" i="4"/>
  <c r="G77" i="4"/>
  <c r="G59" i="4"/>
  <c r="G95" i="4"/>
  <c r="G76" i="4"/>
  <c r="G58" i="4"/>
  <c r="G94" i="4"/>
  <c r="G75" i="4"/>
  <c r="G57" i="4"/>
  <c r="G93" i="4"/>
  <c r="G74" i="4"/>
  <c r="G56" i="4"/>
  <c r="G92" i="4"/>
  <c r="G73" i="4"/>
  <c r="G55" i="4"/>
  <c r="G91" i="4"/>
  <c r="G72" i="4"/>
  <c r="G54" i="4"/>
  <c r="G90" i="4"/>
  <c r="F71" i="4"/>
  <c r="F87" i="4"/>
  <c r="F69" i="4"/>
  <c r="F51" i="4"/>
  <c r="F105" i="4"/>
  <c r="F86" i="4"/>
  <c r="F68" i="4"/>
  <c r="F50" i="4"/>
  <c r="F104" i="4"/>
  <c r="F85" i="4"/>
  <c r="F67" i="4"/>
  <c r="F49" i="4"/>
  <c r="F103" i="4"/>
  <c r="F84" i="4"/>
  <c r="F66" i="4"/>
  <c r="F48" i="4"/>
  <c r="F102" i="4"/>
  <c r="F83" i="4"/>
  <c r="P278" i="2"/>
  <c r="F65" i="4"/>
  <c r="F47" i="4"/>
  <c r="F101" i="4"/>
  <c r="F82" i="4"/>
  <c r="P282" i="2"/>
  <c r="F64" i="4"/>
  <c r="F46" i="4"/>
  <c r="F100" i="4"/>
  <c r="F81" i="4"/>
  <c r="F63" i="4"/>
  <c r="F45" i="4"/>
  <c r="F99" i="4"/>
  <c r="F80" i="4"/>
  <c r="F62" i="4"/>
  <c r="F44" i="4"/>
  <c r="F98" i="4"/>
  <c r="F79" i="4"/>
  <c r="F61" i="4"/>
  <c r="F43" i="4"/>
  <c r="F42" i="4"/>
  <c r="F97" i="4"/>
  <c r="F78" i="4"/>
  <c r="F60" i="4"/>
  <c r="F40" i="4"/>
  <c r="F41" i="4"/>
  <c r="F96" i="4"/>
  <c r="F77" i="4"/>
  <c r="F59" i="4"/>
  <c r="F39" i="4"/>
  <c r="F38" i="4"/>
  <c r="F95" i="4"/>
  <c r="F76" i="4"/>
  <c r="F58" i="4"/>
  <c r="F36" i="4"/>
  <c r="F37" i="4"/>
  <c r="F94" i="4"/>
  <c r="F75" i="4"/>
  <c r="F57" i="4"/>
  <c r="F35" i="4"/>
  <c r="F34" i="4"/>
  <c r="F93" i="4"/>
  <c r="F74" i="4"/>
  <c r="F56" i="4"/>
  <c r="F32" i="4"/>
  <c r="F33" i="4"/>
  <c r="F92" i="4"/>
  <c r="F73" i="4"/>
  <c r="F55" i="4"/>
  <c r="F30" i="4"/>
  <c r="F31" i="4"/>
  <c r="F91" i="4"/>
  <c r="F72" i="4"/>
  <c r="F54" i="4"/>
  <c r="F28" i="4"/>
  <c r="F29" i="4"/>
  <c r="F90" i="4"/>
  <c r="E71" i="4"/>
  <c r="E87" i="4"/>
  <c r="E69" i="4"/>
  <c r="E51" i="4"/>
  <c r="E105" i="4"/>
  <c r="E86" i="4"/>
  <c r="E68" i="4"/>
  <c r="E50" i="4"/>
  <c r="E104" i="4"/>
  <c r="E85" i="4"/>
  <c r="E67" i="4"/>
  <c r="E49" i="4"/>
  <c r="E103" i="4"/>
  <c r="E84" i="4"/>
  <c r="E66" i="4"/>
  <c r="E48" i="4"/>
  <c r="E102" i="4"/>
  <c r="E83" i="4"/>
  <c r="E65" i="4"/>
  <c r="E47" i="4"/>
  <c r="E101" i="4"/>
  <c r="E82" i="4"/>
  <c r="E64" i="4"/>
  <c r="E46" i="4"/>
  <c r="E100" i="4"/>
  <c r="E81" i="4"/>
  <c r="E63" i="4"/>
  <c r="E45" i="4"/>
  <c r="E99" i="4"/>
  <c r="E80" i="4"/>
  <c r="E62" i="4"/>
  <c r="E44" i="4"/>
  <c r="E98" i="4"/>
  <c r="E79" i="4"/>
  <c r="E61" i="4"/>
  <c r="E43" i="4"/>
  <c r="E42" i="4"/>
  <c r="E97" i="4"/>
  <c r="E78" i="4"/>
  <c r="E60" i="4"/>
  <c r="E40" i="4"/>
  <c r="E41" i="4"/>
  <c r="E96" i="4"/>
  <c r="E77" i="4"/>
  <c r="E59" i="4"/>
  <c r="E39" i="4"/>
  <c r="E38" i="4"/>
  <c r="E95" i="4"/>
  <c r="E76" i="4"/>
  <c r="E58" i="4"/>
  <c r="E36" i="4"/>
  <c r="E37" i="4"/>
  <c r="E94" i="4"/>
  <c r="E75" i="4"/>
  <c r="E57" i="4"/>
  <c r="E35" i="4"/>
  <c r="E34" i="4"/>
  <c r="E93" i="4"/>
  <c r="E74" i="4"/>
  <c r="E56" i="4"/>
  <c r="E32" i="4"/>
  <c r="E33" i="4"/>
  <c r="E92" i="4"/>
  <c r="E73" i="4"/>
  <c r="E55" i="4"/>
  <c r="E30" i="4"/>
  <c r="E31" i="4"/>
  <c r="E91" i="4"/>
  <c r="E72" i="4"/>
  <c r="E54" i="4"/>
  <c r="E28" i="4"/>
  <c r="E29" i="4"/>
  <c r="E90" i="4"/>
  <c r="D71" i="4"/>
  <c r="D74" i="4"/>
  <c r="D56" i="4"/>
  <c r="D32" i="4"/>
  <c r="D33" i="4"/>
  <c r="D92" i="4"/>
  <c r="D87" i="4"/>
  <c r="D69" i="4"/>
  <c r="D51" i="4"/>
  <c r="D105" i="4"/>
  <c r="D86" i="4"/>
  <c r="D68" i="4"/>
  <c r="D50" i="4"/>
  <c r="D104" i="4"/>
  <c r="D85" i="4"/>
  <c r="D67" i="4"/>
  <c r="D49" i="4"/>
  <c r="D103" i="4"/>
  <c r="D84" i="4"/>
  <c r="D66" i="4"/>
  <c r="D48" i="4"/>
  <c r="D102" i="4"/>
  <c r="D83" i="4"/>
  <c r="D65" i="4"/>
  <c r="D47" i="4"/>
  <c r="D101" i="4"/>
  <c r="D82" i="4"/>
  <c r="D64" i="4"/>
  <c r="D46" i="4"/>
  <c r="D100" i="4"/>
  <c r="D81" i="4"/>
  <c r="D63" i="4"/>
  <c r="D45" i="4"/>
  <c r="D99" i="4"/>
  <c r="D80" i="4"/>
  <c r="D62" i="4"/>
  <c r="D44" i="4"/>
  <c r="D98" i="4"/>
  <c r="D79" i="4"/>
  <c r="D61" i="4"/>
  <c r="D43" i="4"/>
  <c r="D42" i="4"/>
  <c r="D97" i="4"/>
  <c r="D78" i="4"/>
  <c r="D60" i="4"/>
  <c r="D40" i="4"/>
  <c r="D41" i="4"/>
  <c r="D96" i="4"/>
  <c r="D77" i="4"/>
  <c r="D59" i="4"/>
  <c r="D39" i="4"/>
  <c r="D38" i="4"/>
  <c r="D95" i="4"/>
  <c r="D76" i="4"/>
  <c r="D58" i="4"/>
  <c r="D36" i="4"/>
  <c r="D37" i="4"/>
  <c r="D94" i="4"/>
  <c r="D75" i="4"/>
  <c r="D57" i="4"/>
  <c r="D35" i="4"/>
  <c r="D34" i="4"/>
  <c r="D93" i="4"/>
  <c r="D73" i="4"/>
  <c r="D55" i="4"/>
  <c r="D30" i="4"/>
  <c r="D31" i="4"/>
  <c r="D91" i="4"/>
  <c r="D72" i="4"/>
  <c r="D54" i="4"/>
  <c r="D28" i="4"/>
  <c r="D29" i="4"/>
  <c r="D90" i="4"/>
  <c r="C71" i="4"/>
  <c r="C87" i="4"/>
  <c r="C69" i="4"/>
  <c r="C105" i="4"/>
  <c r="C86" i="4"/>
  <c r="C68" i="4"/>
  <c r="C104" i="4"/>
  <c r="C85" i="4"/>
  <c r="C67" i="4"/>
  <c r="C103" i="4"/>
  <c r="C84" i="4"/>
  <c r="C66" i="4"/>
  <c r="C102" i="4"/>
  <c r="C83" i="4"/>
  <c r="C65" i="4"/>
  <c r="C101" i="4"/>
  <c r="C82" i="4"/>
  <c r="C64" i="4"/>
  <c r="C100" i="4"/>
  <c r="C81" i="4"/>
  <c r="C63" i="4"/>
  <c r="C99" i="4"/>
  <c r="C80" i="4"/>
  <c r="C62" i="4"/>
  <c r="C98" i="4"/>
  <c r="C79" i="4"/>
  <c r="C61" i="4"/>
  <c r="C97" i="4"/>
  <c r="C78" i="4"/>
  <c r="C60" i="4"/>
  <c r="C96" i="4"/>
  <c r="C77" i="4"/>
  <c r="C59" i="4"/>
  <c r="C95" i="4"/>
  <c r="C76" i="4"/>
  <c r="C58" i="4"/>
  <c r="C94" i="4"/>
  <c r="C75" i="4"/>
  <c r="C57" i="4"/>
  <c r="C93" i="4"/>
  <c r="C74" i="4"/>
  <c r="C56" i="4"/>
  <c r="C92" i="4"/>
  <c r="C73" i="4"/>
  <c r="C55" i="4"/>
  <c r="C91" i="4"/>
  <c r="C72" i="4"/>
  <c r="C54" i="4"/>
  <c r="C90" i="4"/>
  <c r="L71" i="4"/>
  <c r="K71" i="4"/>
  <c r="J71" i="4"/>
  <c r="I71" i="4"/>
  <c r="H71" i="4"/>
  <c r="L53" i="4"/>
  <c r="K89" i="4"/>
  <c r="J89" i="4"/>
  <c r="I89" i="4"/>
  <c r="H89" i="4"/>
  <c r="G89" i="4"/>
  <c r="F89" i="4"/>
  <c r="E89" i="4"/>
  <c r="D89" i="4"/>
  <c r="C89" i="4"/>
  <c r="K53" i="4"/>
  <c r="J53" i="4"/>
  <c r="I53" i="4"/>
  <c r="H53" i="4"/>
  <c r="G53" i="4"/>
  <c r="F53" i="4"/>
  <c r="E53" i="4"/>
  <c r="D53" i="4"/>
  <c r="C53" i="4"/>
  <c r="S314" i="2"/>
  <c r="S313" i="2"/>
  <c r="S310" i="2"/>
  <c r="S309" i="2"/>
  <c r="S306" i="2"/>
  <c r="S305" i="2"/>
  <c r="S302" i="2"/>
  <c r="S301" i="2"/>
  <c r="S298" i="2"/>
  <c r="S297" i="2"/>
  <c r="S294" i="2"/>
  <c r="S293" i="2"/>
  <c r="S290" i="2"/>
  <c r="S289" i="2"/>
  <c r="S286" i="2"/>
  <c r="S285" i="2"/>
  <c r="Q281" i="2"/>
  <c r="Q282" i="2"/>
  <c r="S282" i="2"/>
  <c r="S281" i="2"/>
  <c r="Q277" i="2"/>
  <c r="Q278" i="2"/>
  <c r="S278" i="2"/>
  <c r="S277" i="2"/>
  <c r="S274" i="2"/>
  <c r="S273" i="2"/>
  <c r="S270" i="2"/>
  <c r="S269" i="2"/>
  <c r="S266" i="2"/>
  <c r="S265" i="2"/>
  <c r="S262" i="2"/>
  <c r="S261" i="2"/>
  <c r="S258" i="2"/>
  <c r="S257" i="2"/>
  <c r="S254" i="2"/>
  <c r="S253" i="2"/>
  <c r="S250" i="2"/>
  <c r="S249" i="2"/>
  <c r="S246" i="2"/>
  <c r="S245" i="2"/>
  <c r="S242" i="2"/>
  <c r="S241" i="2"/>
  <c r="S238" i="2"/>
  <c r="S237" i="2"/>
  <c r="S234" i="2"/>
  <c r="S233" i="2"/>
  <c r="S230" i="2"/>
  <c r="S229" i="2"/>
  <c r="S226" i="2"/>
  <c r="S225" i="2"/>
  <c r="S222" i="2"/>
  <c r="S221" i="2"/>
  <c r="S218" i="2"/>
  <c r="S217" i="2"/>
  <c r="S214" i="2"/>
  <c r="S213" i="2"/>
  <c r="S210" i="2"/>
  <c r="S209" i="2"/>
  <c r="S206" i="2"/>
  <c r="S205" i="2"/>
  <c r="S202" i="2"/>
  <c r="S201" i="2"/>
  <c r="S198" i="2"/>
  <c r="S197" i="2"/>
  <c r="S194" i="2"/>
  <c r="S193" i="2"/>
  <c r="S159" i="2"/>
  <c r="S160" i="2"/>
  <c r="S190" i="2"/>
  <c r="S189" i="2"/>
  <c r="S186" i="2"/>
  <c r="S185" i="2"/>
  <c r="S182" i="2"/>
  <c r="S181" i="2"/>
  <c r="S178" i="2"/>
  <c r="S177" i="2"/>
  <c r="S174" i="2"/>
  <c r="S173" i="2"/>
  <c r="S170" i="2"/>
  <c r="S169" i="2"/>
  <c r="S166" i="2"/>
  <c r="S165" i="2"/>
  <c r="S162" i="2"/>
  <c r="S161" i="2"/>
  <c r="S156" i="2"/>
  <c r="S155" i="2"/>
  <c r="S152" i="2"/>
  <c r="S151" i="2"/>
  <c r="S148" i="2"/>
  <c r="S147" i="2"/>
  <c r="S144" i="2"/>
  <c r="S143" i="2"/>
  <c r="S140" i="2"/>
  <c r="S139" i="2"/>
  <c r="S136" i="2"/>
  <c r="S135" i="2"/>
  <c r="S132" i="2"/>
  <c r="S131" i="2"/>
  <c r="S129" i="2"/>
  <c r="S128" i="2"/>
  <c r="S126" i="2"/>
  <c r="S125" i="2"/>
  <c r="S123" i="2"/>
  <c r="S122" i="2"/>
  <c r="S120" i="2"/>
  <c r="S119" i="2"/>
  <c r="S117" i="2"/>
  <c r="S116" i="2"/>
  <c r="S114" i="2"/>
  <c r="S113" i="2"/>
  <c r="S108" i="2"/>
  <c r="S107" i="2"/>
  <c r="S105" i="2"/>
  <c r="S104" i="2"/>
  <c r="S102" i="2"/>
  <c r="S101" i="2"/>
  <c r="S99" i="2"/>
  <c r="S98" i="2"/>
  <c r="S96" i="2"/>
  <c r="S95" i="2"/>
  <c r="S93" i="2"/>
  <c r="S92" i="2"/>
  <c r="S90" i="2"/>
  <c r="S89" i="2"/>
  <c r="S87" i="2"/>
  <c r="S86" i="2"/>
  <c r="S84" i="2"/>
  <c r="S110" i="2"/>
  <c r="S83" i="2"/>
  <c r="S51" i="2"/>
  <c r="P316" i="2"/>
  <c r="Q316" i="2"/>
  <c r="R316" i="2"/>
  <c r="P315" i="2"/>
  <c r="Q315" i="2"/>
  <c r="R315" i="2"/>
  <c r="P314" i="2"/>
  <c r="Q314" i="2"/>
  <c r="R314" i="2"/>
  <c r="P313" i="2"/>
  <c r="Q313" i="2"/>
  <c r="R313" i="2"/>
  <c r="P312" i="2"/>
  <c r="Q312" i="2"/>
  <c r="R312" i="2"/>
  <c r="P311" i="2"/>
  <c r="Q311" i="2"/>
  <c r="R311" i="2"/>
  <c r="P310" i="2"/>
  <c r="Q310" i="2"/>
  <c r="R310" i="2"/>
  <c r="P309" i="2"/>
  <c r="Q309" i="2"/>
  <c r="R309" i="2"/>
  <c r="P308" i="2"/>
  <c r="Q308" i="2"/>
  <c r="R308" i="2"/>
  <c r="P307" i="2"/>
  <c r="Q307" i="2"/>
  <c r="R307" i="2"/>
  <c r="P306" i="2"/>
  <c r="Q306" i="2"/>
  <c r="R306" i="2"/>
  <c r="P305" i="2"/>
  <c r="Q305" i="2"/>
  <c r="R305" i="2"/>
  <c r="P304" i="2"/>
  <c r="Q304" i="2"/>
  <c r="R304" i="2"/>
  <c r="P303" i="2"/>
  <c r="Q303" i="2"/>
  <c r="R303" i="2"/>
  <c r="P302" i="2"/>
  <c r="Q302" i="2"/>
  <c r="R302" i="2"/>
  <c r="P301" i="2"/>
  <c r="Q301" i="2"/>
  <c r="R301" i="2"/>
  <c r="P300" i="2"/>
  <c r="Q300" i="2"/>
  <c r="R300" i="2"/>
  <c r="P299" i="2"/>
  <c r="Q299" i="2"/>
  <c r="R299" i="2"/>
  <c r="P298" i="2"/>
  <c r="Q298" i="2"/>
  <c r="R298" i="2"/>
  <c r="P297" i="2"/>
  <c r="Q297" i="2"/>
  <c r="R297" i="2"/>
  <c r="P296" i="2"/>
  <c r="Q296" i="2"/>
  <c r="R296" i="2"/>
  <c r="P295" i="2"/>
  <c r="Q295" i="2"/>
  <c r="R295" i="2"/>
  <c r="P294" i="2"/>
  <c r="Q294" i="2"/>
  <c r="R294" i="2"/>
  <c r="P293" i="2"/>
  <c r="Q293" i="2"/>
  <c r="R293" i="2"/>
  <c r="P292" i="2"/>
  <c r="Q292" i="2"/>
  <c r="R292" i="2"/>
  <c r="P291" i="2"/>
  <c r="Q291" i="2"/>
  <c r="R291" i="2"/>
  <c r="P290" i="2"/>
  <c r="Q290" i="2"/>
  <c r="R290" i="2"/>
  <c r="P289" i="2"/>
  <c r="Q289" i="2"/>
  <c r="R289" i="2"/>
  <c r="P288" i="2"/>
  <c r="Q288" i="2"/>
  <c r="R288" i="2"/>
  <c r="P287" i="2"/>
  <c r="Q287" i="2"/>
  <c r="R287" i="2"/>
  <c r="P286" i="2"/>
  <c r="Q286" i="2"/>
  <c r="R286" i="2"/>
  <c r="P285" i="2"/>
  <c r="Q285" i="2"/>
  <c r="R285" i="2"/>
  <c r="P284" i="2"/>
  <c r="Q284" i="2"/>
  <c r="R284" i="2"/>
  <c r="P283" i="2"/>
  <c r="Q283" i="2"/>
  <c r="R283" i="2"/>
  <c r="R282" i="2"/>
  <c r="R281" i="2"/>
  <c r="P280" i="2"/>
  <c r="Q280" i="2"/>
  <c r="R280" i="2"/>
  <c r="P279" i="2"/>
  <c r="Q279" i="2"/>
  <c r="R279" i="2"/>
  <c r="R278" i="2"/>
  <c r="R277" i="2"/>
  <c r="P276" i="2"/>
  <c r="Q276" i="2"/>
  <c r="R276" i="2"/>
  <c r="P275" i="2"/>
  <c r="Q275" i="2"/>
  <c r="R275" i="2"/>
  <c r="P274" i="2"/>
  <c r="Q274" i="2"/>
  <c r="R274" i="2"/>
  <c r="P273" i="2"/>
  <c r="Q273" i="2"/>
  <c r="R273" i="2"/>
  <c r="P272" i="2"/>
  <c r="Q272" i="2"/>
  <c r="R272" i="2"/>
  <c r="P271" i="2"/>
  <c r="Q271" i="2"/>
  <c r="R271" i="2"/>
  <c r="P270" i="2"/>
  <c r="Q270" i="2"/>
  <c r="R270" i="2"/>
  <c r="P269" i="2"/>
  <c r="Q269" i="2"/>
  <c r="R269" i="2"/>
  <c r="P268" i="2"/>
  <c r="Q268" i="2"/>
  <c r="R268" i="2"/>
  <c r="P267" i="2"/>
  <c r="Q267" i="2"/>
  <c r="R267" i="2"/>
  <c r="P266" i="2"/>
  <c r="Q266" i="2"/>
  <c r="R266" i="2"/>
  <c r="P265" i="2"/>
  <c r="Q265" i="2"/>
  <c r="R265" i="2"/>
  <c r="P264" i="2"/>
  <c r="Q264" i="2"/>
  <c r="R264" i="2"/>
  <c r="P263" i="2"/>
  <c r="Q263" i="2"/>
  <c r="R263" i="2"/>
  <c r="P262" i="2"/>
  <c r="Q262" i="2"/>
  <c r="R262" i="2"/>
  <c r="P261" i="2"/>
  <c r="Q261" i="2"/>
  <c r="R261" i="2"/>
  <c r="P260" i="2"/>
  <c r="Q260" i="2"/>
  <c r="R260" i="2"/>
  <c r="P259" i="2"/>
  <c r="Q259" i="2"/>
  <c r="R259" i="2"/>
  <c r="P258" i="2"/>
  <c r="Q258" i="2"/>
  <c r="R258" i="2"/>
  <c r="P257" i="2"/>
  <c r="Q257" i="2"/>
  <c r="R257" i="2"/>
  <c r="P256" i="2"/>
  <c r="Q256" i="2"/>
  <c r="R256" i="2"/>
  <c r="P255" i="2"/>
  <c r="Q255" i="2"/>
  <c r="R255" i="2"/>
  <c r="P254" i="2"/>
  <c r="Q254" i="2"/>
  <c r="R254" i="2"/>
  <c r="P253" i="2"/>
  <c r="Q253" i="2"/>
  <c r="R253" i="2"/>
  <c r="P252" i="2"/>
  <c r="Q252" i="2"/>
  <c r="R252" i="2"/>
  <c r="P251" i="2"/>
  <c r="Q251" i="2"/>
  <c r="R251" i="2"/>
  <c r="P250" i="2"/>
  <c r="Q250" i="2"/>
  <c r="R250" i="2"/>
  <c r="P249" i="2"/>
  <c r="Q249" i="2"/>
  <c r="R249" i="2"/>
  <c r="P248" i="2"/>
  <c r="Q248" i="2"/>
  <c r="R248" i="2"/>
  <c r="P247" i="2"/>
  <c r="Q247" i="2"/>
  <c r="R247" i="2"/>
  <c r="P246" i="2"/>
  <c r="Q246" i="2"/>
  <c r="R246" i="2"/>
  <c r="P245" i="2"/>
  <c r="Q245" i="2"/>
  <c r="R245" i="2"/>
  <c r="P244" i="2"/>
  <c r="Q244" i="2"/>
  <c r="R244" i="2"/>
  <c r="P243" i="2"/>
  <c r="Q243" i="2"/>
  <c r="R243" i="2"/>
  <c r="P242" i="2"/>
  <c r="Q242" i="2"/>
  <c r="R242" i="2"/>
  <c r="P241" i="2"/>
  <c r="Q241" i="2"/>
  <c r="R241" i="2"/>
  <c r="P240" i="2"/>
  <c r="Q240" i="2"/>
  <c r="R240" i="2"/>
  <c r="P239" i="2"/>
  <c r="Q239" i="2"/>
  <c r="R239" i="2"/>
  <c r="P238" i="2"/>
  <c r="Q238" i="2"/>
  <c r="R238" i="2"/>
  <c r="P237" i="2"/>
  <c r="Q237" i="2"/>
  <c r="R237" i="2"/>
  <c r="P236" i="2"/>
  <c r="Q236" i="2"/>
  <c r="R236" i="2"/>
  <c r="P235" i="2"/>
  <c r="Q235" i="2"/>
  <c r="R235" i="2"/>
  <c r="P234" i="2"/>
  <c r="Q234" i="2"/>
  <c r="R234" i="2"/>
  <c r="P233" i="2"/>
  <c r="Q233" i="2"/>
  <c r="R233" i="2"/>
  <c r="P232" i="2"/>
  <c r="Q232" i="2"/>
  <c r="R232" i="2"/>
  <c r="P231" i="2"/>
  <c r="Q231" i="2"/>
  <c r="R231" i="2"/>
  <c r="P230" i="2"/>
  <c r="Q230" i="2"/>
  <c r="R230" i="2"/>
  <c r="P229" i="2"/>
  <c r="Q229" i="2"/>
  <c r="R229" i="2"/>
  <c r="P228" i="2"/>
  <c r="Q228" i="2"/>
  <c r="R228" i="2"/>
  <c r="P227" i="2"/>
  <c r="Q227" i="2"/>
  <c r="R227" i="2"/>
  <c r="P226" i="2"/>
  <c r="Q226" i="2"/>
  <c r="R226" i="2"/>
  <c r="P225" i="2"/>
  <c r="Q225" i="2"/>
  <c r="R225" i="2"/>
  <c r="P224" i="2"/>
  <c r="Q224" i="2"/>
  <c r="R224" i="2"/>
  <c r="P223" i="2"/>
  <c r="Q223" i="2"/>
  <c r="R223" i="2"/>
  <c r="P222" i="2"/>
  <c r="Q222" i="2"/>
  <c r="R222" i="2"/>
  <c r="P221" i="2"/>
  <c r="Q221" i="2"/>
  <c r="R221" i="2"/>
  <c r="P220" i="2"/>
  <c r="Q220" i="2"/>
  <c r="R220" i="2"/>
  <c r="P219" i="2"/>
  <c r="Q219" i="2"/>
  <c r="R219" i="2"/>
  <c r="P218" i="2"/>
  <c r="Q218" i="2"/>
  <c r="R218" i="2"/>
  <c r="P217" i="2"/>
  <c r="Q217" i="2"/>
  <c r="R217" i="2"/>
  <c r="P216" i="2"/>
  <c r="Q216" i="2"/>
  <c r="R216" i="2"/>
  <c r="P215" i="2"/>
  <c r="Q215" i="2"/>
  <c r="R215" i="2"/>
  <c r="P214" i="2"/>
  <c r="Q214" i="2"/>
  <c r="R214" i="2"/>
  <c r="P213" i="2"/>
  <c r="Q213" i="2"/>
  <c r="R213" i="2"/>
  <c r="P212" i="2"/>
  <c r="Q212" i="2"/>
  <c r="R212" i="2"/>
  <c r="P211" i="2"/>
  <c r="Q211" i="2"/>
  <c r="R211" i="2"/>
  <c r="P210" i="2"/>
  <c r="Q210" i="2"/>
  <c r="R210" i="2"/>
  <c r="P209" i="2"/>
  <c r="Q209" i="2"/>
  <c r="R209" i="2"/>
  <c r="P208" i="2"/>
  <c r="Q208" i="2"/>
  <c r="R208" i="2"/>
  <c r="P207" i="2"/>
  <c r="Q207" i="2"/>
  <c r="R207" i="2"/>
  <c r="P206" i="2"/>
  <c r="Q206" i="2"/>
  <c r="R206" i="2"/>
  <c r="P205" i="2"/>
  <c r="Q205" i="2"/>
  <c r="R205" i="2"/>
  <c r="P204" i="2"/>
  <c r="Q204" i="2"/>
  <c r="R204" i="2"/>
  <c r="P203" i="2"/>
  <c r="Q203" i="2"/>
  <c r="R203" i="2"/>
  <c r="P202" i="2"/>
  <c r="Q202" i="2"/>
  <c r="R202" i="2"/>
  <c r="P201" i="2"/>
  <c r="Q201" i="2"/>
  <c r="R201" i="2"/>
  <c r="P200" i="2"/>
  <c r="Q200" i="2"/>
  <c r="R200" i="2"/>
  <c r="P199" i="2"/>
  <c r="Q199" i="2"/>
  <c r="R199" i="2"/>
  <c r="P198" i="2"/>
  <c r="Q198" i="2"/>
  <c r="R198" i="2"/>
  <c r="P197" i="2"/>
  <c r="Q197" i="2"/>
  <c r="R197" i="2"/>
  <c r="P196" i="2"/>
  <c r="Q196" i="2"/>
  <c r="R196" i="2"/>
  <c r="P195" i="2"/>
  <c r="Q195" i="2"/>
  <c r="R195" i="2"/>
  <c r="P194" i="2"/>
  <c r="Q194" i="2"/>
  <c r="R194" i="2"/>
  <c r="P193" i="2"/>
  <c r="Q193" i="2"/>
  <c r="R193" i="2"/>
  <c r="P192" i="2"/>
  <c r="Q192" i="2"/>
  <c r="R192" i="2"/>
  <c r="P191" i="2"/>
  <c r="Q191" i="2"/>
  <c r="R191" i="2"/>
  <c r="P190" i="2"/>
  <c r="Q190" i="2"/>
  <c r="R190" i="2"/>
  <c r="P189" i="2"/>
  <c r="Q189" i="2"/>
  <c r="R189" i="2"/>
  <c r="P188" i="2"/>
  <c r="Q188" i="2"/>
  <c r="R188" i="2"/>
  <c r="P187" i="2"/>
  <c r="Q187" i="2"/>
  <c r="R187" i="2"/>
  <c r="P186" i="2"/>
  <c r="Q186" i="2"/>
  <c r="R186" i="2"/>
  <c r="P185" i="2"/>
  <c r="Q185" i="2"/>
  <c r="R185" i="2"/>
  <c r="P184" i="2"/>
  <c r="Q184" i="2"/>
  <c r="R184" i="2"/>
  <c r="P183" i="2"/>
  <c r="Q183" i="2"/>
  <c r="R183" i="2"/>
  <c r="P182" i="2"/>
  <c r="Q182" i="2"/>
  <c r="R182" i="2"/>
  <c r="P181" i="2"/>
  <c r="Q181" i="2"/>
  <c r="R181" i="2"/>
  <c r="P180" i="2"/>
  <c r="Q180" i="2"/>
  <c r="R180" i="2"/>
  <c r="P179" i="2"/>
  <c r="Q179" i="2"/>
  <c r="R179" i="2"/>
  <c r="P178" i="2"/>
  <c r="Q178" i="2"/>
  <c r="R178" i="2"/>
  <c r="P177" i="2"/>
  <c r="Q177" i="2"/>
  <c r="R177" i="2"/>
  <c r="P176" i="2"/>
  <c r="Q176" i="2"/>
  <c r="R176" i="2"/>
  <c r="P175" i="2"/>
  <c r="Q175" i="2"/>
  <c r="R175" i="2"/>
  <c r="P174" i="2"/>
  <c r="Q174" i="2"/>
  <c r="R174" i="2"/>
  <c r="P173" i="2"/>
  <c r="Q173" i="2"/>
  <c r="R173" i="2"/>
  <c r="P172" i="2"/>
  <c r="Q172" i="2"/>
  <c r="R172" i="2"/>
  <c r="P171" i="2"/>
  <c r="Q171" i="2"/>
  <c r="R171" i="2"/>
  <c r="P170" i="2"/>
  <c r="Q170" i="2"/>
  <c r="R170" i="2"/>
  <c r="P169" i="2"/>
  <c r="Q169" i="2"/>
  <c r="R169" i="2"/>
  <c r="P168" i="2"/>
  <c r="Q168" i="2"/>
  <c r="R168" i="2"/>
  <c r="P167" i="2"/>
  <c r="Q167" i="2"/>
  <c r="R167" i="2"/>
  <c r="P166" i="2"/>
  <c r="Q166" i="2"/>
  <c r="R166" i="2"/>
  <c r="P165" i="2"/>
  <c r="Q165" i="2"/>
  <c r="R165" i="2"/>
  <c r="P164" i="2"/>
  <c r="Q164" i="2"/>
  <c r="R164" i="2"/>
  <c r="P163" i="2"/>
  <c r="Q163" i="2"/>
  <c r="R163" i="2"/>
  <c r="P162" i="2"/>
  <c r="Q162" i="2"/>
  <c r="R162" i="2"/>
  <c r="P161" i="2"/>
  <c r="Q161" i="2"/>
  <c r="R161" i="2"/>
  <c r="P160" i="2"/>
  <c r="Q160" i="2"/>
  <c r="R160" i="2"/>
  <c r="P159" i="2"/>
  <c r="Q159" i="2"/>
  <c r="R159" i="2"/>
  <c r="P158" i="2"/>
  <c r="Q158" i="2"/>
  <c r="R158" i="2"/>
  <c r="P157" i="2"/>
  <c r="Q157" i="2"/>
  <c r="R157" i="2"/>
  <c r="P156" i="2"/>
  <c r="Q156" i="2"/>
  <c r="R156" i="2"/>
  <c r="P155" i="2"/>
  <c r="Q155" i="2"/>
  <c r="R155" i="2"/>
  <c r="P154" i="2"/>
  <c r="Q154" i="2"/>
  <c r="R154" i="2"/>
  <c r="P153" i="2"/>
  <c r="Q153" i="2"/>
  <c r="R153" i="2"/>
  <c r="P152" i="2"/>
  <c r="Q152" i="2"/>
  <c r="R152" i="2"/>
  <c r="P151" i="2"/>
  <c r="Q151" i="2"/>
  <c r="R151" i="2"/>
  <c r="P150" i="2"/>
  <c r="Q150" i="2"/>
  <c r="R150" i="2"/>
  <c r="P149" i="2"/>
  <c r="Q149" i="2"/>
  <c r="R149" i="2"/>
  <c r="P148" i="2"/>
  <c r="Q148" i="2"/>
  <c r="R148" i="2"/>
  <c r="P147" i="2"/>
  <c r="Q147" i="2"/>
  <c r="R147" i="2"/>
  <c r="P146" i="2"/>
  <c r="Q146" i="2"/>
  <c r="R146" i="2"/>
  <c r="P145" i="2"/>
  <c r="Q145" i="2"/>
  <c r="R145" i="2"/>
  <c r="P144" i="2"/>
  <c r="Q144" i="2"/>
  <c r="R144" i="2"/>
  <c r="P143" i="2"/>
  <c r="Q143" i="2"/>
  <c r="R143" i="2"/>
  <c r="P142" i="2"/>
  <c r="Q142" i="2"/>
  <c r="R142" i="2"/>
  <c r="P141" i="2"/>
  <c r="Q141" i="2"/>
  <c r="R141" i="2"/>
  <c r="P140" i="2"/>
  <c r="Q140" i="2"/>
  <c r="R140" i="2"/>
  <c r="P139" i="2"/>
  <c r="Q139" i="2"/>
  <c r="R139" i="2"/>
  <c r="P138" i="2"/>
  <c r="Q138" i="2"/>
  <c r="R138" i="2"/>
  <c r="P137" i="2"/>
  <c r="Q137" i="2"/>
  <c r="R137" i="2"/>
  <c r="P136" i="2"/>
  <c r="Q136" i="2"/>
  <c r="R136" i="2"/>
  <c r="P135" i="2"/>
  <c r="Q135" i="2"/>
  <c r="R135" i="2"/>
  <c r="P134" i="2"/>
  <c r="Q134" i="2"/>
  <c r="R134" i="2"/>
  <c r="P133" i="2"/>
  <c r="Q133" i="2"/>
  <c r="R133" i="2"/>
  <c r="P132" i="2"/>
  <c r="Q132" i="2"/>
  <c r="R132" i="2"/>
  <c r="P131" i="2"/>
  <c r="Q131" i="2"/>
  <c r="R131" i="2"/>
  <c r="P130" i="2"/>
  <c r="Q130" i="2"/>
  <c r="R130" i="2"/>
  <c r="P129" i="2"/>
  <c r="Q129" i="2"/>
  <c r="R129" i="2"/>
  <c r="P128" i="2"/>
  <c r="Q128" i="2"/>
  <c r="R128" i="2"/>
  <c r="P127" i="2"/>
  <c r="Q127" i="2"/>
  <c r="R127" i="2"/>
  <c r="P126" i="2"/>
  <c r="Q126" i="2"/>
  <c r="R126" i="2"/>
  <c r="P125" i="2"/>
  <c r="Q125" i="2"/>
  <c r="R125" i="2"/>
  <c r="P124" i="2"/>
  <c r="Q124" i="2"/>
  <c r="R124" i="2"/>
  <c r="P123" i="2"/>
  <c r="Q123" i="2"/>
  <c r="R123" i="2"/>
  <c r="P122" i="2"/>
  <c r="Q122" i="2"/>
  <c r="R122" i="2"/>
  <c r="P121" i="2"/>
  <c r="Q121" i="2"/>
  <c r="R121" i="2"/>
  <c r="P120" i="2"/>
  <c r="Q120" i="2"/>
  <c r="R120" i="2"/>
  <c r="P119" i="2"/>
  <c r="Q119" i="2"/>
  <c r="R119" i="2"/>
  <c r="P118" i="2"/>
  <c r="Q118" i="2"/>
  <c r="R118" i="2"/>
  <c r="P117" i="2"/>
  <c r="Q117" i="2"/>
  <c r="R117" i="2"/>
  <c r="P116" i="2"/>
  <c r="Q116" i="2"/>
  <c r="R116" i="2"/>
  <c r="P115" i="2"/>
  <c r="Q115" i="2"/>
  <c r="R115" i="2"/>
  <c r="P114" i="2"/>
  <c r="Q114" i="2"/>
  <c r="R114" i="2"/>
  <c r="P113" i="2"/>
  <c r="Q113" i="2"/>
  <c r="R113" i="2"/>
  <c r="P112" i="2"/>
  <c r="Q112" i="2"/>
  <c r="R112" i="2"/>
  <c r="P111" i="2"/>
  <c r="Q111" i="2"/>
  <c r="R111" i="2"/>
  <c r="P110" i="2"/>
  <c r="Q110" i="2"/>
  <c r="R110" i="2"/>
  <c r="P109" i="2"/>
  <c r="Q109" i="2"/>
  <c r="R109" i="2"/>
  <c r="P108" i="2"/>
  <c r="Q108" i="2"/>
  <c r="R108" i="2"/>
  <c r="P107" i="2"/>
  <c r="Q107" i="2"/>
  <c r="R107" i="2"/>
  <c r="P106" i="2"/>
  <c r="Q106" i="2"/>
  <c r="R106" i="2"/>
  <c r="P105" i="2"/>
  <c r="Q105" i="2"/>
  <c r="R105" i="2"/>
  <c r="P104" i="2"/>
  <c r="Q104" i="2"/>
  <c r="R104" i="2"/>
  <c r="P103" i="2"/>
  <c r="Q103" i="2"/>
  <c r="R103" i="2"/>
  <c r="P102" i="2"/>
  <c r="Q102" i="2"/>
  <c r="R102" i="2"/>
  <c r="P101" i="2"/>
  <c r="Q101" i="2"/>
  <c r="R101" i="2"/>
  <c r="P100" i="2"/>
  <c r="Q100" i="2"/>
  <c r="R100" i="2"/>
  <c r="P99" i="2"/>
  <c r="Q99" i="2"/>
  <c r="R99" i="2"/>
  <c r="P98" i="2"/>
  <c r="Q98" i="2"/>
  <c r="R98" i="2"/>
  <c r="P97" i="2"/>
  <c r="Q97" i="2"/>
  <c r="R97" i="2"/>
  <c r="P96" i="2"/>
  <c r="Q96" i="2"/>
  <c r="R96" i="2"/>
  <c r="P95" i="2"/>
  <c r="Q95" i="2"/>
  <c r="R95" i="2"/>
  <c r="P94" i="2"/>
  <c r="Q94" i="2"/>
  <c r="R94" i="2"/>
  <c r="P93" i="2"/>
  <c r="Q93" i="2"/>
  <c r="R93" i="2"/>
  <c r="P92" i="2"/>
  <c r="Q92" i="2"/>
  <c r="R92" i="2"/>
  <c r="P91" i="2"/>
  <c r="Q91" i="2"/>
  <c r="R91" i="2"/>
  <c r="P90" i="2"/>
  <c r="Q90" i="2"/>
  <c r="R90" i="2"/>
  <c r="P89" i="2"/>
  <c r="Q89" i="2"/>
  <c r="R89" i="2"/>
  <c r="P88" i="2"/>
  <c r="Q88" i="2"/>
  <c r="R88" i="2"/>
  <c r="P87" i="2"/>
  <c r="Q87" i="2"/>
  <c r="R87" i="2"/>
  <c r="P86" i="2"/>
  <c r="Q86" i="2"/>
  <c r="R86" i="2"/>
  <c r="P85" i="2"/>
  <c r="Q85" i="2"/>
  <c r="R85" i="2"/>
  <c r="P84" i="2"/>
  <c r="Q84" i="2"/>
  <c r="R84" i="2"/>
  <c r="P83" i="2"/>
  <c r="Q83" i="2"/>
  <c r="R83" i="2"/>
  <c r="P82" i="2"/>
  <c r="Q82" i="2"/>
  <c r="R82" i="2"/>
  <c r="P81" i="2"/>
  <c r="Q81" i="2"/>
  <c r="R81" i="2"/>
  <c r="P80" i="2"/>
  <c r="Q80" i="2"/>
  <c r="R80" i="2"/>
  <c r="P79" i="2"/>
  <c r="Q79" i="2"/>
  <c r="R79" i="2"/>
  <c r="P78" i="2"/>
  <c r="Q78" i="2"/>
  <c r="R78" i="2"/>
  <c r="P77" i="2"/>
  <c r="Q77" i="2"/>
  <c r="R77" i="2"/>
  <c r="P76" i="2"/>
  <c r="Q76" i="2"/>
  <c r="R76" i="2"/>
  <c r="P75" i="2"/>
  <c r="Q75" i="2"/>
  <c r="R75" i="2"/>
  <c r="P74" i="2"/>
  <c r="Q74" i="2"/>
  <c r="R74" i="2"/>
  <c r="P73" i="2"/>
  <c r="Q73" i="2"/>
  <c r="R73" i="2"/>
  <c r="P72" i="2"/>
  <c r="Q72" i="2"/>
  <c r="R72" i="2"/>
  <c r="P71" i="2"/>
  <c r="Q71" i="2"/>
  <c r="R71" i="2"/>
  <c r="P70" i="2"/>
  <c r="Q70" i="2"/>
  <c r="R70" i="2"/>
  <c r="P69" i="2"/>
  <c r="Q69" i="2"/>
  <c r="R69" i="2"/>
  <c r="P68" i="2"/>
  <c r="Q68" i="2"/>
  <c r="R68" i="2"/>
  <c r="P67" i="2"/>
  <c r="Q67" i="2"/>
  <c r="R67" i="2"/>
  <c r="P66" i="2"/>
  <c r="Q66" i="2"/>
  <c r="R66" i="2"/>
  <c r="P65" i="2"/>
  <c r="Q65" i="2"/>
  <c r="R65" i="2"/>
  <c r="P64" i="2"/>
  <c r="Q64" i="2"/>
  <c r="R64" i="2"/>
  <c r="P63" i="2"/>
  <c r="Q63" i="2"/>
  <c r="R63" i="2"/>
  <c r="P62" i="2"/>
  <c r="Q62" i="2"/>
  <c r="R62" i="2"/>
  <c r="P61" i="2"/>
  <c r="Q61" i="2"/>
  <c r="R61" i="2"/>
  <c r="P60" i="2"/>
  <c r="Q60" i="2"/>
  <c r="R60" i="2"/>
  <c r="P59" i="2"/>
  <c r="Q59" i="2"/>
  <c r="R59" i="2"/>
  <c r="P58" i="2"/>
  <c r="Q58" i="2"/>
  <c r="R58" i="2"/>
  <c r="P57" i="2"/>
  <c r="Q57" i="2"/>
  <c r="R57" i="2"/>
  <c r="P56" i="2"/>
  <c r="Q56" i="2"/>
  <c r="R56" i="2"/>
  <c r="P55" i="2"/>
  <c r="Q55" i="2"/>
  <c r="R55" i="2"/>
  <c r="P54" i="2"/>
  <c r="Q54" i="2"/>
  <c r="R54" i="2"/>
  <c r="P53" i="2"/>
  <c r="Q53" i="2"/>
  <c r="R53" i="2"/>
  <c r="P52" i="2"/>
  <c r="Q52" i="2"/>
  <c r="R52" i="2"/>
  <c r="P51" i="2"/>
  <c r="Q51" i="2"/>
  <c r="R51" i="2"/>
  <c r="P50" i="2"/>
  <c r="Q50" i="2"/>
  <c r="R50" i="2"/>
  <c r="P49" i="2"/>
  <c r="Q49" i="2"/>
  <c r="R49" i="2"/>
  <c r="P48" i="2"/>
  <c r="Q48" i="2"/>
  <c r="R48" i="2"/>
  <c r="P47" i="2"/>
  <c r="Q47" i="2"/>
  <c r="R47" i="2"/>
  <c r="P46" i="2"/>
  <c r="Q46" i="2"/>
  <c r="R46" i="2"/>
  <c r="P45" i="2"/>
  <c r="Q45" i="2"/>
  <c r="R45" i="2"/>
  <c r="P44" i="2"/>
  <c r="Q44" i="2"/>
  <c r="R44" i="2"/>
  <c r="P43" i="2"/>
  <c r="Q43" i="2"/>
  <c r="R43" i="2"/>
  <c r="P42" i="2"/>
  <c r="Q42" i="2"/>
  <c r="R42" i="2"/>
  <c r="P41" i="2"/>
  <c r="Q41" i="2"/>
  <c r="R41" i="2"/>
  <c r="P40" i="2"/>
  <c r="Q40" i="2"/>
  <c r="R40" i="2"/>
  <c r="P39" i="2"/>
  <c r="Q39" i="2"/>
  <c r="R39" i="2"/>
  <c r="P38" i="2"/>
  <c r="Q38" i="2"/>
  <c r="R38" i="2"/>
  <c r="P37" i="2"/>
  <c r="Q37" i="2"/>
  <c r="R37" i="2"/>
  <c r="P36" i="2"/>
  <c r="Q36" i="2"/>
  <c r="R36" i="2"/>
  <c r="P35" i="2"/>
  <c r="Q35" i="2"/>
  <c r="R35" i="2"/>
  <c r="O253" i="2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I157" i="1"/>
  <c r="O157" i="1"/>
  <c r="I156" i="1"/>
  <c r="O156" i="1"/>
  <c r="I155" i="1"/>
  <c r="O155" i="1"/>
  <c r="I154" i="1"/>
  <c r="O154" i="1"/>
  <c r="I153" i="1"/>
  <c r="O153" i="1"/>
  <c r="I152" i="1"/>
  <c r="O152" i="1"/>
  <c r="I151" i="1"/>
  <c r="O151" i="1"/>
  <c r="I150" i="1"/>
  <c r="O150" i="1"/>
  <c r="O149" i="1"/>
  <c r="O148" i="1"/>
  <c r="O147" i="1"/>
  <c r="O146" i="1"/>
  <c r="I149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O193" i="2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I148" i="1"/>
  <c r="M148" i="1"/>
  <c r="I147" i="1"/>
  <c r="M147" i="1"/>
  <c r="I146" i="1"/>
  <c r="M146" i="1"/>
  <c r="I145" i="1"/>
  <c r="M145" i="1"/>
  <c r="I144" i="1"/>
  <c r="M144" i="1"/>
  <c r="I143" i="1"/>
  <c r="M143" i="1"/>
  <c r="I142" i="1"/>
  <c r="M142" i="1"/>
  <c r="I141" i="1"/>
  <c r="M141" i="1"/>
  <c r="M140" i="1"/>
  <c r="M139" i="1"/>
  <c r="M138" i="1"/>
  <c r="M137" i="1"/>
  <c r="M136" i="1"/>
  <c r="I135" i="1"/>
  <c r="M135" i="1"/>
  <c r="I134" i="1"/>
  <c r="M134" i="1"/>
  <c r="I133" i="1"/>
  <c r="M133" i="1"/>
  <c r="I132" i="1"/>
  <c r="M132" i="1"/>
  <c r="I131" i="1"/>
  <c r="M131" i="1"/>
  <c r="I130" i="1"/>
  <c r="M130" i="1"/>
  <c r="J135" i="1"/>
  <c r="J134" i="1"/>
  <c r="J133" i="1"/>
  <c r="J132" i="1"/>
  <c r="J131" i="1"/>
  <c r="J130" i="1"/>
  <c r="J140" i="1"/>
  <c r="J139" i="1"/>
  <c r="J138" i="1"/>
  <c r="J137" i="1"/>
  <c r="O126" i="1"/>
  <c r="O127" i="1"/>
  <c r="O128" i="1"/>
  <c r="O129" i="1"/>
  <c r="O130" i="1"/>
  <c r="O131" i="1"/>
  <c r="O132" i="1"/>
  <c r="O133" i="1"/>
  <c r="O134" i="1"/>
  <c r="O135" i="1"/>
  <c r="I136" i="1"/>
  <c r="O136" i="1"/>
  <c r="I137" i="1"/>
  <c r="O137" i="1"/>
  <c r="I138" i="1"/>
  <c r="O138" i="1"/>
  <c r="I139" i="1"/>
  <c r="O139" i="1"/>
  <c r="I140" i="1"/>
  <c r="O140" i="1"/>
  <c r="M129" i="1"/>
  <c r="M128" i="1"/>
  <c r="O83" i="2"/>
  <c r="I127" i="1"/>
  <c r="M127" i="1"/>
  <c r="I126" i="1"/>
  <c r="M126" i="1"/>
  <c r="I125" i="1"/>
  <c r="M125" i="1"/>
  <c r="I124" i="1"/>
  <c r="M124" i="1"/>
  <c r="I123" i="1"/>
  <c r="M123" i="1"/>
  <c r="O125" i="1"/>
  <c r="O124" i="1"/>
  <c r="O123" i="1"/>
  <c r="O122" i="1"/>
  <c r="M122" i="1"/>
  <c r="J118" i="1"/>
  <c r="J119" i="1"/>
  <c r="J120" i="1"/>
  <c r="J121" i="1"/>
  <c r="I122" i="1"/>
  <c r="J122" i="1"/>
  <c r="J123" i="1"/>
  <c r="J124" i="1"/>
  <c r="J125" i="1"/>
  <c r="J126" i="1"/>
  <c r="J127" i="1"/>
  <c r="J128" i="1"/>
  <c r="I129" i="1"/>
  <c r="J129" i="1"/>
  <c r="I118" i="1"/>
  <c r="I119" i="1"/>
  <c r="I120" i="1"/>
  <c r="I121" i="1"/>
  <c r="O110" i="1"/>
  <c r="I110" i="1"/>
  <c r="J110" i="1"/>
  <c r="O109" i="1"/>
  <c r="I109" i="1"/>
  <c r="J109" i="1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35" i="2"/>
  <c r="Q112" i="1"/>
  <c r="Q111" i="1"/>
  <c r="Q115" i="1"/>
  <c r="Q114" i="1"/>
  <c r="Q113" i="1"/>
  <c r="I113" i="1"/>
  <c r="J113" i="1"/>
  <c r="I108" i="1"/>
  <c r="M108" i="1"/>
  <c r="I114" i="1"/>
  <c r="M114" i="1"/>
  <c r="M113" i="1"/>
  <c r="I112" i="1"/>
  <c r="M112" i="1"/>
  <c r="I111" i="1"/>
  <c r="M111" i="1"/>
  <c r="I107" i="1"/>
  <c r="M107" i="1"/>
  <c r="I106" i="1"/>
  <c r="O106" i="1"/>
  <c r="M106" i="1"/>
  <c r="J106" i="1"/>
  <c r="J107" i="1"/>
  <c r="J108" i="1"/>
  <c r="J111" i="1"/>
  <c r="J112" i="1"/>
  <c r="O50" i="2"/>
  <c r="O49" i="2"/>
  <c r="O48" i="2"/>
  <c r="O47" i="2"/>
  <c r="O46" i="2"/>
  <c r="O45" i="2"/>
  <c r="O44" i="2"/>
  <c r="O43" i="2"/>
  <c r="O42" i="2"/>
  <c r="O41" i="2"/>
  <c r="O40" i="2"/>
  <c r="O39" i="2"/>
  <c r="O37" i="2"/>
  <c r="O36" i="2"/>
  <c r="O38" i="2"/>
  <c r="I12" i="7"/>
  <c r="I11" i="7"/>
  <c r="I10" i="7"/>
  <c r="I9" i="7"/>
  <c r="I8" i="7"/>
  <c r="I7" i="7"/>
  <c r="I6" i="7"/>
  <c r="I5" i="7"/>
  <c r="I4" i="7"/>
  <c r="I3" i="7"/>
  <c r="I2" i="7"/>
  <c r="G13" i="7"/>
  <c r="U44" i="2"/>
  <c r="P24" i="2"/>
  <c r="U24" i="2"/>
  <c r="D14" i="9"/>
  <c r="D16" i="9"/>
  <c r="I93" i="1"/>
  <c r="O93" i="1"/>
  <c r="D15" i="9"/>
  <c r="D18" i="9"/>
  <c r="D19" i="9"/>
  <c r="C18" i="9"/>
  <c r="C19" i="9"/>
  <c r="B18" i="9"/>
  <c r="B19" i="9"/>
  <c r="P34" i="2"/>
  <c r="U34" i="2"/>
  <c r="W14" i="9"/>
  <c r="I96" i="1"/>
  <c r="O96" i="1"/>
  <c r="V15" i="9"/>
  <c r="I84" i="1"/>
  <c r="O84" i="1"/>
  <c r="V14" i="9"/>
  <c r="P33" i="2"/>
  <c r="U33" i="2"/>
  <c r="I83" i="1"/>
  <c r="O83" i="1"/>
  <c r="U14" i="9"/>
  <c r="P32" i="2"/>
  <c r="U32" i="2"/>
  <c r="I81" i="1"/>
  <c r="O81" i="1"/>
  <c r="T14" i="9"/>
  <c r="I95" i="1"/>
  <c r="O95" i="1"/>
  <c r="S15" i="9"/>
  <c r="P31" i="2"/>
  <c r="U31" i="2"/>
  <c r="I82" i="1"/>
  <c r="O82" i="1"/>
  <c r="S14" i="9"/>
  <c r="P30" i="2"/>
  <c r="U30" i="2"/>
  <c r="R14" i="9"/>
  <c r="I92" i="1"/>
  <c r="O92" i="1"/>
  <c r="Q15" i="9"/>
  <c r="P22" i="2"/>
  <c r="U22" i="2"/>
  <c r="Q14" i="9"/>
  <c r="I86" i="1"/>
  <c r="O86" i="1"/>
  <c r="I97" i="1"/>
  <c r="O97" i="1"/>
  <c r="N15" i="9"/>
  <c r="P23" i="2"/>
  <c r="U23" i="2"/>
  <c r="N14" i="9"/>
  <c r="I90" i="1"/>
  <c r="O90" i="1"/>
  <c r="I91" i="1"/>
  <c r="O91" i="1"/>
  <c r="M15" i="9"/>
  <c r="P26" i="2"/>
  <c r="P28" i="2"/>
  <c r="U26" i="2"/>
  <c r="M14" i="9"/>
  <c r="P20" i="2"/>
  <c r="U20" i="2"/>
  <c r="L14" i="9"/>
  <c r="I88" i="1"/>
  <c r="O88" i="1"/>
  <c r="K15" i="9"/>
  <c r="P29" i="2"/>
  <c r="U29" i="2"/>
  <c r="I79" i="1"/>
  <c r="O79" i="1"/>
  <c r="K14" i="9"/>
  <c r="I101" i="1"/>
  <c r="O101" i="1"/>
  <c r="J17" i="9"/>
  <c r="I87" i="1"/>
  <c r="O87" i="1"/>
  <c r="J15" i="9"/>
  <c r="I85" i="1"/>
  <c r="O85" i="1"/>
  <c r="J14" i="9"/>
  <c r="I98" i="1"/>
  <c r="O98" i="1"/>
  <c r="I100" i="1"/>
  <c r="O100" i="1"/>
  <c r="I17" i="9"/>
  <c r="I89" i="1"/>
  <c r="O89" i="1"/>
  <c r="I94" i="1"/>
  <c r="O94" i="1"/>
  <c r="I15" i="9"/>
  <c r="P21" i="2"/>
  <c r="U21" i="2"/>
  <c r="I80" i="1"/>
  <c r="O80" i="1"/>
  <c r="I14" i="9"/>
  <c r="P27" i="2"/>
  <c r="U27" i="2"/>
  <c r="H14" i="9"/>
  <c r="P25" i="2"/>
  <c r="U25" i="2"/>
  <c r="F14" i="9"/>
  <c r="A6" i="9"/>
  <c r="A7" i="9"/>
  <c r="A8" i="9"/>
  <c r="A10" i="9"/>
  <c r="A11" i="9"/>
  <c r="A12" i="9"/>
  <c r="A14" i="9"/>
  <c r="E14" i="9"/>
  <c r="A15" i="9"/>
  <c r="E15" i="9"/>
  <c r="A16" i="9"/>
  <c r="E16" i="9"/>
  <c r="E18" i="9"/>
  <c r="F18" i="9"/>
  <c r="G14" i="9"/>
  <c r="G15" i="9"/>
  <c r="G16" i="9"/>
  <c r="G18" i="9"/>
  <c r="H15" i="9"/>
  <c r="H16" i="9"/>
  <c r="H18" i="9"/>
  <c r="I18" i="9"/>
  <c r="J18" i="9"/>
  <c r="K16" i="9"/>
  <c r="K18" i="9"/>
  <c r="L15" i="9"/>
  <c r="L16" i="9"/>
  <c r="L18" i="9"/>
  <c r="M16" i="9"/>
  <c r="M18" i="9"/>
  <c r="N16" i="9"/>
  <c r="N18" i="9"/>
  <c r="O14" i="9"/>
  <c r="O15" i="9"/>
  <c r="O16" i="9"/>
  <c r="O18" i="9"/>
  <c r="P14" i="9"/>
  <c r="P15" i="9"/>
  <c r="P16" i="9"/>
  <c r="P18" i="9"/>
  <c r="Q16" i="9"/>
  <c r="Q18" i="9"/>
  <c r="R15" i="9"/>
  <c r="R16" i="9"/>
  <c r="R18" i="9"/>
  <c r="S16" i="9"/>
  <c r="S18" i="9"/>
  <c r="T15" i="9"/>
  <c r="T16" i="9"/>
  <c r="T18" i="9"/>
  <c r="U15" i="9"/>
  <c r="U16" i="9"/>
  <c r="U18" i="9"/>
  <c r="V16" i="9"/>
  <c r="V18" i="9"/>
  <c r="W15" i="9"/>
  <c r="W16" i="9"/>
  <c r="W18" i="9"/>
  <c r="X14" i="9"/>
  <c r="X15" i="9"/>
  <c r="X16" i="9"/>
  <c r="X18" i="9"/>
  <c r="Y14" i="9"/>
  <c r="Y15" i="9"/>
  <c r="Y16" i="9"/>
  <c r="Y18" i="9"/>
  <c r="A22" i="9"/>
  <c r="A23" i="9"/>
  <c r="A24" i="9"/>
  <c r="A26" i="9"/>
  <c r="A27" i="9"/>
  <c r="A28" i="9"/>
  <c r="A30" i="9"/>
  <c r="A31" i="9"/>
  <c r="A32" i="9"/>
  <c r="A34" i="9"/>
  <c r="A35" i="9"/>
  <c r="A36" i="9"/>
  <c r="A37" i="9"/>
  <c r="A40" i="9"/>
  <c r="A41" i="9"/>
  <c r="A42" i="9"/>
  <c r="A44" i="9"/>
  <c r="A45" i="9"/>
  <c r="A46" i="9"/>
  <c r="A47" i="9"/>
  <c r="A49" i="9"/>
  <c r="A50" i="9"/>
  <c r="A51" i="9"/>
  <c r="A53" i="9"/>
  <c r="A54" i="9"/>
  <c r="A55" i="9"/>
  <c r="A56" i="9"/>
  <c r="A58" i="9"/>
  <c r="A59" i="9"/>
  <c r="A60" i="9"/>
  <c r="A62" i="9"/>
  <c r="A63" i="9"/>
  <c r="A64" i="9"/>
  <c r="A66" i="9"/>
  <c r="A67" i="9"/>
  <c r="A68" i="9"/>
  <c r="A69" i="9"/>
  <c r="A71" i="9"/>
  <c r="A72" i="9"/>
  <c r="A73" i="9"/>
  <c r="A74" i="9"/>
  <c r="A76" i="9"/>
  <c r="A77" i="9"/>
  <c r="A78" i="9"/>
  <c r="A80" i="9"/>
  <c r="A81" i="9"/>
  <c r="A82" i="9"/>
  <c r="A83" i="9"/>
  <c r="Y83" i="9"/>
  <c r="X83" i="9"/>
  <c r="W83" i="9"/>
  <c r="V83" i="9"/>
  <c r="U83" i="9"/>
  <c r="T83" i="9"/>
  <c r="S83" i="9"/>
  <c r="R83" i="9"/>
  <c r="Q83" i="9"/>
  <c r="P83" i="9"/>
  <c r="O83" i="9"/>
  <c r="N83" i="9"/>
  <c r="M83" i="9"/>
  <c r="L83" i="9"/>
  <c r="K83" i="9"/>
  <c r="J83" i="9"/>
  <c r="I83" i="9"/>
  <c r="H83" i="9"/>
  <c r="G83" i="9"/>
  <c r="F83" i="9"/>
  <c r="E83" i="9"/>
  <c r="D83" i="9"/>
  <c r="C83" i="9"/>
  <c r="B83" i="9"/>
  <c r="Y82" i="9"/>
  <c r="X82" i="9"/>
  <c r="W82" i="9"/>
  <c r="V82" i="9"/>
  <c r="U82" i="9"/>
  <c r="T82" i="9"/>
  <c r="S82" i="9"/>
  <c r="R82" i="9"/>
  <c r="Q82" i="9"/>
  <c r="P82" i="9"/>
  <c r="O82" i="9"/>
  <c r="N82" i="9"/>
  <c r="M82" i="9"/>
  <c r="L82" i="9"/>
  <c r="K82" i="9"/>
  <c r="J82" i="9"/>
  <c r="I82" i="9"/>
  <c r="H82" i="9"/>
  <c r="G82" i="9"/>
  <c r="F82" i="9"/>
  <c r="E82" i="9"/>
  <c r="D82" i="9"/>
  <c r="C82" i="9"/>
  <c r="B82" i="9"/>
  <c r="Y81" i="9"/>
  <c r="X81" i="9"/>
  <c r="W81" i="9"/>
  <c r="V81" i="9"/>
  <c r="U81" i="9"/>
  <c r="T81" i="9"/>
  <c r="S81" i="9"/>
  <c r="R81" i="9"/>
  <c r="Q81" i="9"/>
  <c r="P81" i="9"/>
  <c r="O81" i="9"/>
  <c r="N81" i="9"/>
  <c r="M81" i="9"/>
  <c r="L81" i="9"/>
  <c r="K81" i="9"/>
  <c r="J81" i="9"/>
  <c r="I81" i="9"/>
  <c r="H81" i="9"/>
  <c r="G81" i="9"/>
  <c r="F81" i="9"/>
  <c r="E81" i="9"/>
  <c r="D81" i="9"/>
  <c r="C81" i="9"/>
  <c r="B81" i="9"/>
  <c r="Y80" i="9"/>
  <c r="X80" i="9"/>
  <c r="W80" i="9"/>
  <c r="V80" i="9"/>
  <c r="U80" i="9"/>
  <c r="T80" i="9"/>
  <c r="S80" i="9"/>
  <c r="R80" i="9"/>
  <c r="Q80" i="9"/>
  <c r="P80" i="9"/>
  <c r="O80" i="9"/>
  <c r="N80" i="9"/>
  <c r="M80" i="9"/>
  <c r="L80" i="9"/>
  <c r="K80" i="9"/>
  <c r="J80" i="9"/>
  <c r="I80" i="9"/>
  <c r="H80" i="9"/>
  <c r="G80" i="9"/>
  <c r="F80" i="9"/>
  <c r="E80" i="9"/>
  <c r="D80" i="9"/>
  <c r="C80" i="9"/>
  <c r="B80" i="9"/>
  <c r="Y78" i="9"/>
  <c r="X78" i="9"/>
  <c r="W78" i="9"/>
  <c r="V78" i="9"/>
  <c r="U78" i="9"/>
  <c r="T78" i="9"/>
  <c r="S78" i="9"/>
  <c r="R78" i="9"/>
  <c r="Q78" i="9"/>
  <c r="P78" i="9"/>
  <c r="O78" i="9"/>
  <c r="N78" i="9"/>
  <c r="M78" i="9"/>
  <c r="L78" i="9"/>
  <c r="K78" i="9"/>
  <c r="J78" i="9"/>
  <c r="I78" i="9"/>
  <c r="H78" i="9"/>
  <c r="G78" i="9"/>
  <c r="F78" i="9"/>
  <c r="E78" i="9"/>
  <c r="D78" i="9"/>
  <c r="C78" i="9"/>
  <c r="B78" i="9"/>
  <c r="Y77" i="9"/>
  <c r="X77" i="9"/>
  <c r="W77" i="9"/>
  <c r="V77" i="9"/>
  <c r="U77" i="9"/>
  <c r="T77" i="9"/>
  <c r="S77" i="9"/>
  <c r="R77" i="9"/>
  <c r="Q77" i="9"/>
  <c r="P77" i="9"/>
  <c r="O77" i="9"/>
  <c r="N77" i="9"/>
  <c r="M77" i="9"/>
  <c r="L77" i="9"/>
  <c r="K77" i="9"/>
  <c r="J77" i="9"/>
  <c r="I77" i="9"/>
  <c r="H77" i="9"/>
  <c r="G77" i="9"/>
  <c r="F77" i="9"/>
  <c r="E77" i="9"/>
  <c r="D77" i="9"/>
  <c r="C77" i="9"/>
  <c r="B77" i="9"/>
  <c r="Y76" i="9"/>
  <c r="X76" i="9"/>
  <c r="W76" i="9"/>
  <c r="V76" i="9"/>
  <c r="U76" i="9"/>
  <c r="T76" i="9"/>
  <c r="S76" i="9"/>
  <c r="R76" i="9"/>
  <c r="Q76" i="9"/>
  <c r="P76" i="9"/>
  <c r="O76" i="9"/>
  <c r="N76" i="9"/>
  <c r="M76" i="9"/>
  <c r="L76" i="9"/>
  <c r="K76" i="9"/>
  <c r="J76" i="9"/>
  <c r="I76" i="9"/>
  <c r="H76" i="9"/>
  <c r="G76" i="9"/>
  <c r="F76" i="9"/>
  <c r="E76" i="9"/>
  <c r="D76" i="9"/>
  <c r="C76" i="9"/>
  <c r="B76" i="9"/>
  <c r="Y74" i="9"/>
  <c r="X74" i="9"/>
  <c r="W74" i="9"/>
  <c r="V74" i="9"/>
  <c r="U74" i="9"/>
  <c r="T74" i="9"/>
  <c r="S74" i="9"/>
  <c r="R74" i="9"/>
  <c r="Q74" i="9"/>
  <c r="P74" i="9"/>
  <c r="O74" i="9"/>
  <c r="N74" i="9"/>
  <c r="M74" i="9"/>
  <c r="L74" i="9"/>
  <c r="K74" i="9"/>
  <c r="J74" i="9"/>
  <c r="I74" i="9"/>
  <c r="H74" i="9"/>
  <c r="G74" i="9"/>
  <c r="F74" i="9"/>
  <c r="E74" i="9"/>
  <c r="D74" i="9"/>
  <c r="C74" i="9"/>
  <c r="B74" i="9"/>
  <c r="Y73" i="9"/>
  <c r="X73" i="9"/>
  <c r="W73" i="9"/>
  <c r="V73" i="9"/>
  <c r="U73" i="9"/>
  <c r="T73" i="9"/>
  <c r="S73" i="9"/>
  <c r="R73" i="9"/>
  <c r="Q73" i="9"/>
  <c r="P73" i="9"/>
  <c r="O73" i="9"/>
  <c r="N73" i="9"/>
  <c r="M73" i="9"/>
  <c r="L73" i="9"/>
  <c r="K73" i="9"/>
  <c r="J73" i="9"/>
  <c r="I73" i="9"/>
  <c r="H73" i="9"/>
  <c r="G73" i="9"/>
  <c r="F73" i="9"/>
  <c r="E73" i="9"/>
  <c r="D73" i="9"/>
  <c r="C73" i="9"/>
  <c r="B73" i="9"/>
  <c r="Y72" i="9"/>
  <c r="X72" i="9"/>
  <c r="W72" i="9"/>
  <c r="V72" i="9"/>
  <c r="U72" i="9"/>
  <c r="T72" i="9"/>
  <c r="S72" i="9"/>
  <c r="R72" i="9"/>
  <c r="Q72" i="9"/>
  <c r="P72" i="9"/>
  <c r="O72" i="9"/>
  <c r="N72" i="9"/>
  <c r="M72" i="9"/>
  <c r="L72" i="9"/>
  <c r="K72" i="9"/>
  <c r="J72" i="9"/>
  <c r="I72" i="9"/>
  <c r="H72" i="9"/>
  <c r="G72" i="9"/>
  <c r="F72" i="9"/>
  <c r="E72" i="9"/>
  <c r="D72" i="9"/>
  <c r="C72" i="9"/>
  <c r="B72" i="9"/>
  <c r="Y71" i="9"/>
  <c r="X71" i="9"/>
  <c r="W71" i="9"/>
  <c r="V71" i="9"/>
  <c r="U71" i="9"/>
  <c r="T71" i="9"/>
  <c r="S71" i="9"/>
  <c r="R71" i="9"/>
  <c r="Q71" i="9"/>
  <c r="P71" i="9"/>
  <c r="O71" i="9"/>
  <c r="N71" i="9"/>
  <c r="M71" i="9"/>
  <c r="L71" i="9"/>
  <c r="K71" i="9"/>
  <c r="J71" i="9"/>
  <c r="I71" i="9"/>
  <c r="H71" i="9"/>
  <c r="G71" i="9"/>
  <c r="F71" i="9"/>
  <c r="E71" i="9"/>
  <c r="D71" i="9"/>
  <c r="C71" i="9"/>
  <c r="B71" i="9"/>
  <c r="Y69" i="9"/>
  <c r="X69" i="9"/>
  <c r="W69" i="9"/>
  <c r="V69" i="9"/>
  <c r="U69" i="9"/>
  <c r="T69" i="9"/>
  <c r="S69" i="9"/>
  <c r="R69" i="9"/>
  <c r="Q69" i="9"/>
  <c r="P69" i="9"/>
  <c r="O69" i="9"/>
  <c r="N69" i="9"/>
  <c r="M69" i="9"/>
  <c r="L69" i="9"/>
  <c r="K69" i="9"/>
  <c r="J69" i="9"/>
  <c r="I69" i="9"/>
  <c r="H69" i="9"/>
  <c r="G69" i="9"/>
  <c r="F69" i="9"/>
  <c r="E69" i="9"/>
  <c r="D69" i="9"/>
  <c r="C69" i="9"/>
  <c r="B69" i="9"/>
  <c r="Y68" i="9"/>
  <c r="X68" i="9"/>
  <c r="W68" i="9"/>
  <c r="V68" i="9"/>
  <c r="U68" i="9"/>
  <c r="T68" i="9"/>
  <c r="S68" i="9"/>
  <c r="R68" i="9"/>
  <c r="Q68" i="9"/>
  <c r="P68" i="9"/>
  <c r="O68" i="9"/>
  <c r="N68" i="9"/>
  <c r="M68" i="9"/>
  <c r="L68" i="9"/>
  <c r="K68" i="9"/>
  <c r="J68" i="9"/>
  <c r="I68" i="9"/>
  <c r="H68" i="9"/>
  <c r="G68" i="9"/>
  <c r="F68" i="9"/>
  <c r="E68" i="9"/>
  <c r="D68" i="9"/>
  <c r="C68" i="9"/>
  <c r="B68" i="9"/>
  <c r="Y67" i="9"/>
  <c r="X67" i="9"/>
  <c r="W67" i="9"/>
  <c r="V67" i="9"/>
  <c r="U67" i="9"/>
  <c r="T67" i="9"/>
  <c r="S67" i="9"/>
  <c r="R67" i="9"/>
  <c r="Q67" i="9"/>
  <c r="P67" i="9"/>
  <c r="O67" i="9"/>
  <c r="N67" i="9"/>
  <c r="M67" i="9"/>
  <c r="L67" i="9"/>
  <c r="K67" i="9"/>
  <c r="J67" i="9"/>
  <c r="I67" i="9"/>
  <c r="H67" i="9"/>
  <c r="G67" i="9"/>
  <c r="F67" i="9"/>
  <c r="E67" i="9"/>
  <c r="D67" i="9"/>
  <c r="C67" i="9"/>
  <c r="B67" i="9"/>
  <c r="Y66" i="9"/>
  <c r="X66" i="9"/>
  <c r="W66" i="9"/>
  <c r="V66" i="9"/>
  <c r="U66" i="9"/>
  <c r="T66" i="9"/>
  <c r="S66" i="9"/>
  <c r="R66" i="9"/>
  <c r="Q66" i="9"/>
  <c r="P66" i="9"/>
  <c r="O66" i="9"/>
  <c r="N66" i="9"/>
  <c r="M66" i="9"/>
  <c r="L66" i="9"/>
  <c r="K66" i="9"/>
  <c r="J66" i="9"/>
  <c r="I66" i="9"/>
  <c r="H66" i="9"/>
  <c r="G66" i="9"/>
  <c r="F66" i="9"/>
  <c r="E66" i="9"/>
  <c r="D66" i="9"/>
  <c r="C66" i="9"/>
  <c r="B66" i="9"/>
  <c r="Y64" i="9"/>
  <c r="X64" i="9"/>
  <c r="W64" i="9"/>
  <c r="V64" i="9"/>
  <c r="U64" i="9"/>
  <c r="T64" i="9"/>
  <c r="S64" i="9"/>
  <c r="R64" i="9"/>
  <c r="Q64" i="9"/>
  <c r="P64" i="9"/>
  <c r="O64" i="9"/>
  <c r="N64" i="9"/>
  <c r="M64" i="9"/>
  <c r="L64" i="9"/>
  <c r="K64" i="9"/>
  <c r="J64" i="9"/>
  <c r="I64" i="9"/>
  <c r="H64" i="9"/>
  <c r="G64" i="9"/>
  <c r="F64" i="9"/>
  <c r="E64" i="9"/>
  <c r="D64" i="9"/>
  <c r="C64" i="9"/>
  <c r="B64" i="9"/>
  <c r="Y63" i="9"/>
  <c r="X63" i="9"/>
  <c r="W63" i="9"/>
  <c r="V63" i="9"/>
  <c r="U63" i="9"/>
  <c r="T63" i="9"/>
  <c r="S63" i="9"/>
  <c r="R63" i="9"/>
  <c r="Q63" i="9"/>
  <c r="P63" i="9"/>
  <c r="O63" i="9"/>
  <c r="N63" i="9"/>
  <c r="M63" i="9"/>
  <c r="L63" i="9"/>
  <c r="K63" i="9"/>
  <c r="J63" i="9"/>
  <c r="I63" i="9"/>
  <c r="H63" i="9"/>
  <c r="G63" i="9"/>
  <c r="F63" i="9"/>
  <c r="E63" i="9"/>
  <c r="D63" i="9"/>
  <c r="C63" i="9"/>
  <c r="B63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B62" i="9"/>
  <c r="Y60" i="9"/>
  <c r="X60" i="9"/>
  <c r="W60" i="9"/>
  <c r="V60" i="9"/>
  <c r="U60" i="9"/>
  <c r="T60" i="9"/>
  <c r="S60" i="9"/>
  <c r="R60" i="9"/>
  <c r="Q60" i="9"/>
  <c r="P60" i="9"/>
  <c r="O60" i="9"/>
  <c r="N60" i="9"/>
  <c r="M60" i="9"/>
  <c r="L60" i="9"/>
  <c r="K60" i="9"/>
  <c r="J60" i="9"/>
  <c r="I60" i="9"/>
  <c r="H60" i="9"/>
  <c r="G60" i="9"/>
  <c r="F60" i="9"/>
  <c r="E60" i="9"/>
  <c r="D60" i="9"/>
  <c r="C60" i="9"/>
  <c r="B60" i="9"/>
  <c r="Y59" i="9"/>
  <c r="X59" i="9"/>
  <c r="W59" i="9"/>
  <c r="V59" i="9"/>
  <c r="U59" i="9"/>
  <c r="T59" i="9"/>
  <c r="S59" i="9"/>
  <c r="R59" i="9"/>
  <c r="Q59" i="9"/>
  <c r="P59" i="9"/>
  <c r="O59" i="9"/>
  <c r="N59" i="9"/>
  <c r="M59" i="9"/>
  <c r="L59" i="9"/>
  <c r="K59" i="9"/>
  <c r="J59" i="9"/>
  <c r="I59" i="9"/>
  <c r="H59" i="9"/>
  <c r="G59" i="9"/>
  <c r="F59" i="9"/>
  <c r="E59" i="9"/>
  <c r="D59" i="9"/>
  <c r="C59" i="9"/>
  <c r="B59" i="9"/>
  <c r="Y58" i="9"/>
  <c r="X58" i="9"/>
  <c r="W58" i="9"/>
  <c r="V58" i="9"/>
  <c r="U58" i="9"/>
  <c r="T58" i="9"/>
  <c r="S58" i="9"/>
  <c r="R58" i="9"/>
  <c r="Q58" i="9"/>
  <c r="P58" i="9"/>
  <c r="O58" i="9"/>
  <c r="N58" i="9"/>
  <c r="M58" i="9"/>
  <c r="L58" i="9"/>
  <c r="K58" i="9"/>
  <c r="J58" i="9"/>
  <c r="I58" i="9"/>
  <c r="H58" i="9"/>
  <c r="G58" i="9"/>
  <c r="F58" i="9"/>
  <c r="E58" i="9"/>
  <c r="D58" i="9"/>
  <c r="C58" i="9"/>
  <c r="B58" i="9"/>
  <c r="Y56" i="9"/>
  <c r="X56" i="9"/>
  <c r="W56" i="9"/>
  <c r="V56" i="9"/>
  <c r="U56" i="9"/>
  <c r="T56" i="9"/>
  <c r="S56" i="9"/>
  <c r="R56" i="9"/>
  <c r="Q56" i="9"/>
  <c r="P56" i="9"/>
  <c r="O56" i="9"/>
  <c r="N56" i="9"/>
  <c r="M56" i="9"/>
  <c r="L56" i="9"/>
  <c r="K56" i="9"/>
  <c r="J56" i="9"/>
  <c r="I56" i="9"/>
  <c r="H56" i="9"/>
  <c r="G56" i="9"/>
  <c r="F56" i="9"/>
  <c r="E56" i="9"/>
  <c r="D56" i="9"/>
  <c r="C56" i="9"/>
  <c r="B56" i="9"/>
  <c r="Y55" i="9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C55" i="9"/>
  <c r="B55" i="9"/>
  <c r="Y54" i="9"/>
  <c r="X54" i="9"/>
  <c r="W54" i="9"/>
  <c r="V54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9"/>
  <c r="B54" i="9"/>
  <c r="Y53" i="9"/>
  <c r="X53" i="9"/>
  <c r="W53" i="9"/>
  <c r="V53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C53" i="9"/>
  <c r="B53" i="9"/>
  <c r="Y51" i="9"/>
  <c r="X51" i="9"/>
  <c r="W51" i="9"/>
  <c r="V51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C51" i="9"/>
  <c r="B51" i="9"/>
  <c r="Y50" i="9"/>
  <c r="X50" i="9"/>
  <c r="W50" i="9"/>
  <c r="V50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C50" i="9"/>
  <c r="B50" i="9"/>
  <c r="Y49" i="9"/>
  <c r="X49" i="9"/>
  <c r="W49" i="9"/>
  <c r="V49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B49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B46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B45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B44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B42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C41" i="9"/>
  <c r="B41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B40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B37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B36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9"/>
  <c r="B35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B34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B32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B31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B30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B28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B27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B26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C16" i="9"/>
  <c r="B16" i="9"/>
  <c r="C15" i="9"/>
  <c r="B15" i="9"/>
  <c r="C14" i="9"/>
  <c r="B14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G12" i="7"/>
  <c r="G11" i="7"/>
  <c r="G10" i="7"/>
  <c r="G9" i="7"/>
  <c r="G8" i="7"/>
  <c r="G7" i="7"/>
  <c r="G6" i="7"/>
  <c r="G5" i="7"/>
  <c r="G4" i="7"/>
  <c r="G3" i="7"/>
  <c r="G2" i="7"/>
  <c r="F12" i="7"/>
  <c r="F11" i="7"/>
  <c r="F9" i="7"/>
  <c r="F8" i="7"/>
  <c r="F7" i="7"/>
  <c r="F6" i="7"/>
  <c r="F5" i="7"/>
  <c r="F4" i="7"/>
  <c r="F3" i="7"/>
  <c r="F2" i="7"/>
  <c r="F10" i="7"/>
  <c r="I102" i="1"/>
  <c r="I103" i="1"/>
  <c r="I104" i="1"/>
  <c r="I105" i="1"/>
  <c r="I115" i="1"/>
  <c r="I116" i="1"/>
  <c r="I117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B21" i="5"/>
  <c r="J101" i="1"/>
  <c r="C21" i="5"/>
  <c r="D21" i="5"/>
  <c r="E21" i="5"/>
  <c r="F21" i="5"/>
  <c r="G21" i="5"/>
  <c r="H21" i="5"/>
  <c r="I99" i="1"/>
  <c r="J99" i="1"/>
  <c r="I21" i="5"/>
  <c r="J21" i="5"/>
  <c r="K21" i="5"/>
  <c r="L21" i="5"/>
  <c r="M21" i="5"/>
  <c r="N21" i="5"/>
  <c r="O21" i="5"/>
  <c r="P21" i="5"/>
  <c r="Q21" i="5"/>
  <c r="R21" i="5"/>
  <c r="S21" i="5"/>
  <c r="J100" i="1"/>
  <c r="T21" i="5"/>
  <c r="U21" i="5"/>
  <c r="J98" i="1"/>
  <c r="V21" i="5"/>
  <c r="W21" i="5"/>
  <c r="X21" i="5"/>
  <c r="Y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B23" i="5"/>
  <c r="C23" i="5"/>
  <c r="D23" i="5"/>
  <c r="E23" i="5"/>
  <c r="F23" i="5"/>
  <c r="G23" i="5"/>
  <c r="J103" i="1"/>
  <c r="H23" i="5"/>
  <c r="I23" i="5"/>
  <c r="J23" i="5"/>
  <c r="J105" i="1"/>
  <c r="K23" i="5"/>
  <c r="L23" i="5"/>
  <c r="M23" i="5"/>
  <c r="N23" i="5"/>
  <c r="O23" i="5"/>
  <c r="P23" i="5"/>
  <c r="Q23" i="5"/>
  <c r="J102" i="1"/>
  <c r="R23" i="5"/>
  <c r="S23" i="5"/>
  <c r="T23" i="5"/>
  <c r="U23" i="5"/>
  <c r="J104" i="1"/>
  <c r="V23" i="5"/>
  <c r="W23" i="5"/>
  <c r="X23" i="5"/>
  <c r="Y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J114" i="1"/>
  <c r="B26" i="5"/>
  <c r="C26" i="5"/>
  <c r="D26" i="5"/>
  <c r="E26" i="5"/>
  <c r="J115" i="1"/>
  <c r="F26" i="5"/>
  <c r="G26" i="5"/>
  <c r="H26" i="5"/>
  <c r="I26" i="5"/>
  <c r="J26" i="5"/>
  <c r="K26" i="5"/>
  <c r="L26" i="5"/>
  <c r="M26" i="5"/>
  <c r="N26" i="5"/>
  <c r="J117" i="1"/>
  <c r="O26" i="5"/>
  <c r="P26" i="5"/>
  <c r="Q26" i="5"/>
  <c r="R26" i="5"/>
  <c r="S26" i="5"/>
  <c r="T26" i="5"/>
  <c r="J116" i="1"/>
  <c r="U26" i="5"/>
  <c r="V26" i="5"/>
  <c r="W26" i="5"/>
  <c r="X26" i="5"/>
  <c r="Y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J136" i="1"/>
  <c r="X33" i="5"/>
  <c r="Y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B35" i="5"/>
  <c r="C35" i="5"/>
  <c r="D35" i="5"/>
  <c r="E35" i="5"/>
  <c r="F35" i="5"/>
  <c r="G35" i="5"/>
  <c r="H35" i="5"/>
  <c r="J144" i="1"/>
  <c r="I35" i="5"/>
  <c r="J35" i="5"/>
  <c r="K35" i="5"/>
  <c r="J142" i="1"/>
  <c r="L35" i="5"/>
  <c r="M35" i="5"/>
  <c r="N35" i="5"/>
  <c r="O35" i="5"/>
  <c r="P35" i="5"/>
  <c r="Q35" i="5"/>
  <c r="R35" i="5"/>
  <c r="S35" i="5"/>
  <c r="T35" i="5"/>
  <c r="J143" i="1"/>
  <c r="U35" i="5"/>
  <c r="V35" i="5"/>
  <c r="W35" i="5"/>
  <c r="J145" i="1"/>
  <c r="X35" i="5"/>
  <c r="J141" i="1"/>
  <c r="Y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Y19" i="5"/>
  <c r="X19" i="5"/>
  <c r="J91" i="1"/>
  <c r="W19" i="5"/>
  <c r="J89" i="1"/>
  <c r="V19" i="5"/>
  <c r="U19" i="5"/>
  <c r="J94" i="1"/>
  <c r="T19" i="5"/>
  <c r="S19" i="5"/>
  <c r="R19" i="5"/>
  <c r="Q19" i="5"/>
  <c r="J93" i="1"/>
  <c r="P19" i="5"/>
  <c r="O19" i="5"/>
  <c r="N19" i="5"/>
  <c r="J90" i="1"/>
  <c r="M19" i="5"/>
  <c r="J96" i="1"/>
  <c r="L19" i="5"/>
  <c r="K19" i="5"/>
  <c r="J95" i="1"/>
  <c r="J19" i="5"/>
  <c r="J86" i="1"/>
  <c r="J97" i="1"/>
  <c r="I19" i="5"/>
  <c r="H19" i="5"/>
  <c r="G19" i="5"/>
  <c r="F19" i="5"/>
  <c r="J88" i="1"/>
  <c r="E19" i="5"/>
  <c r="J92" i="1"/>
  <c r="D19" i="5"/>
  <c r="Y18" i="5"/>
  <c r="X18" i="5"/>
  <c r="W18" i="5"/>
  <c r="V18" i="5"/>
  <c r="U18" i="5"/>
  <c r="J80" i="1"/>
  <c r="T18" i="5"/>
  <c r="S18" i="5"/>
  <c r="J81" i="1"/>
  <c r="R18" i="5"/>
  <c r="Q18" i="5"/>
  <c r="P18" i="5"/>
  <c r="O18" i="5"/>
  <c r="J83" i="1"/>
  <c r="N18" i="5"/>
  <c r="M18" i="5"/>
  <c r="J84" i="1"/>
  <c r="L18" i="5"/>
  <c r="K18" i="5"/>
  <c r="J82" i="1"/>
  <c r="J18" i="5"/>
  <c r="I18" i="5"/>
  <c r="H18" i="5"/>
  <c r="G18" i="5"/>
  <c r="F18" i="5"/>
  <c r="J79" i="1"/>
  <c r="E18" i="5"/>
  <c r="D18" i="5"/>
  <c r="Y17" i="5"/>
  <c r="X17" i="5"/>
  <c r="W17" i="5"/>
  <c r="I73" i="1"/>
  <c r="J73" i="1"/>
  <c r="V17" i="5"/>
  <c r="U17" i="5"/>
  <c r="T17" i="5"/>
  <c r="S17" i="5"/>
  <c r="I77" i="1"/>
  <c r="J77" i="1"/>
  <c r="R17" i="5"/>
  <c r="Q17" i="5"/>
  <c r="I75" i="1"/>
  <c r="J75" i="1"/>
  <c r="P17" i="5"/>
  <c r="I78" i="1"/>
  <c r="J78" i="1"/>
  <c r="O17" i="5"/>
  <c r="N17" i="5"/>
  <c r="M17" i="5"/>
  <c r="L17" i="5"/>
  <c r="K17" i="5"/>
  <c r="I76" i="1"/>
  <c r="J76" i="1"/>
  <c r="J17" i="5"/>
  <c r="I17" i="5"/>
  <c r="H17" i="5"/>
  <c r="G17" i="5"/>
  <c r="F17" i="5"/>
  <c r="I74" i="1"/>
  <c r="J74" i="1"/>
  <c r="E17" i="5"/>
  <c r="D17" i="5"/>
  <c r="Y16" i="5"/>
  <c r="X16" i="5"/>
  <c r="W16" i="5"/>
  <c r="V16" i="5"/>
  <c r="U16" i="5"/>
  <c r="T16" i="5"/>
  <c r="S16" i="5"/>
  <c r="I66" i="1"/>
  <c r="J66" i="1"/>
  <c r="R16" i="5"/>
  <c r="Q16" i="5"/>
  <c r="P16" i="5"/>
  <c r="I69" i="1"/>
  <c r="J69" i="1"/>
  <c r="O16" i="5"/>
  <c r="I67" i="1"/>
  <c r="J67" i="1"/>
  <c r="N16" i="5"/>
  <c r="I70" i="1"/>
  <c r="J70" i="1"/>
  <c r="M16" i="5"/>
  <c r="L16" i="5"/>
  <c r="K16" i="5"/>
  <c r="I68" i="1"/>
  <c r="J68" i="1"/>
  <c r="J16" i="5"/>
  <c r="I16" i="5"/>
  <c r="H16" i="5"/>
  <c r="I71" i="1"/>
  <c r="J71" i="1"/>
  <c r="G16" i="5"/>
  <c r="F16" i="5"/>
  <c r="E16" i="5"/>
  <c r="D16" i="5"/>
  <c r="Y15" i="5"/>
  <c r="X15" i="5"/>
  <c r="I61" i="1"/>
  <c r="J61" i="1"/>
  <c r="W15" i="5"/>
  <c r="V15" i="5"/>
  <c r="U15" i="5"/>
  <c r="T15" i="5"/>
  <c r="S15" i="5"/>
  <c r="R15" i="5"/>
  <c r="Q15" i="5"/>
  <c r="P15" i="5"/>
  <c r="O15" i="5"/>
  <c r="I60" i="1"/>
  <c r="J60" i="1"/>
  <c r="N15" i="5"/>
  <c r="M15" i="5"/>
  <c r="L15" i="5"/>
  <c r="I65" i="1"/>
  <c r="J65" i="1"/>
  <c r="K15" i="5"/>
  <c r="I59" i="1"/>
  <c r="J59" i="1"/>
  <c r="J15" i="5"/>
  <c r="I15" i="5"/>
  <c r="H15" i="5"/>
  <c r="I64" i="1"/>
  <c r="J64" i="1"/>
  <c r="G15" i="5"/>
  <c r="F15" i="5"/>
  <c r="E15" i="5"/>
  <c r="D15" i="5"/>
  <c r="Y14" i="5"/>
  <c r="X14" i="5"/>
  <c r="I54" i="1"/>
  <c r="J54" i="1"/>
  <c r="W14" i="5"/>
  <c r="I55" i="1"/>
  <c r="J55" i="1"/>
  <c r="V14" i="5"/>
  <c r="U14" i="5"/>
  <c r="T14" i="5"/>
  <c r="S14" i="5"/>
  <c r="R14" i="5"/>
  <c r="Q14" i="5"/>
  <c r="P14" i="5"/>
  <c r="I52" i="1"/>
  <c r="J52" i="1"/>
  <c r="O14" i="5"/>
  <c r="I53" i="1"/>
  <c r="J53" i="1"/>
  <c r="N14" i="5"/>
  <c r="M14" i="5"/>
  <c r="L14" i="5"/>
  <c r="I58" i="1"/>
  <c r="J58" i="1"/>
  <c r="K14" i="5"/>
  <c r="J14" i="5"/>
  <c r="I14" i="5"/>
  <c r="H14" i="5"/>
  <c r="I57" i="1"/>
  <c r="J57" i="1"/>
  <c r="G14" i="5"/>
  <c r="I56" i="1"/>
  <c r="J56" i="1"/>
  <c r="F14" i="5"/>
  <c r="E14" i="5"/>
  <c r="D14" i="5"/>
  <c r="Y13" i="5"/>
  <c r="X13" i="5"/>
  <c r="W13" i="5"/>
  <c r="V13" i="5"/>
  <c r="U13" i="5"/>
  <c r="T13" i="5"/>
  <c r="S13" i="5"/>
  <c r="R13" i="5"/>
  <c r="Q13" i="5"/>
  <c r="P13" i="5"/>
  <c r="I43" i="1"/>
  <c r="J43" i="1"/>
  <c r="O13" i="5"/>
  <c r="I44" i="1"/>
  <c r="J44" i="1"/>
  <c r="N13" i="5"/>
  <c r="I45" i="1"/>
  <c r="J45" i="1"/>
  <c r="M13" i="5"/>
  <c r="L13" i="5"/>
  <c r="I50" i="1"/>
  <c r="J50" i="1"/>
  <c r="K13" i="5"/>
  <c r="J13" i="5"/>
  <c r="I51" i="1"/>
  <c r="J51" i="1"/>
  <c r="I13" i="5"/>
  <c r="H13" i="5"/>
  <c r="I49" i="1"/>
  <c r="J49" i="1"/>
  <c r="G13" i="5"/>
  <c r="I47" i="1"/>
  <c r="J47" i="1"/>
  <c r="F13" i="5"/>
  <c r="E13" i="5"/>
  <c r="D13" i="5"/>
  <c r="Y12" i="5"/>
  <c r="X12" i="5"/>
  <c r="W12" i="5"/>
  <c r="V12" i="5"/>
  <c r="I38" i="1"/>
  <c r="J38" i="1"/>
  <c r="U12" i="5"/>
  <c r="T12" i="5"/>
  <c r="S12" i="5"/>
  <c r="R12" i="5"/>
  <c r="Q12" i="5"/>
  <c r="P12" i="5"/>
  <c r="I37" i="1"/>
  <c r="J37" i="1"/>
  <c r="O12" i="5"/>
  <c r="N12" i="5"/>
  <c r="M12" i="5"/>
  <c r="L12" i="5"/>
  <c r="I42" i="1"/>
  <c r="J42" i="1"/>
  <c r="K12" i="5"/>
  <c r="J12" i="5"/>
  <c r="I12" i="5"/>
  <c r="I41" i="1"/>
  <c r="J41" i="1"/>
  <c r="H12" i="5"/>
  <c r="G12" i="5"/>
  <c r="I40" i="1"/>
  <c r="J40" i="1"/>
  <c r="F12" i="5"/>
  <c r="E12" i="5"/>
  <c r="D12" i="5"/>
  <c r="Y11" i="5"/>
  <c r="X11" i="5"/>
  <c r="W11" i="5"/>
  <c r="V11" i="5"/>
  <c r="I34" i="1"/>
  <c r="J34" i="1"/>
  <c r="U11" i="5"/>
  <c r="I35" i="1"/>
  <c r="J35" i="1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I36" i="1"/>
  <c r="J36" i="1"/>
  <c r="F11" i="5"/>
  <c r="E11" i="5"/>
  <c r="D11" i="5"/>
  <c r="Y10" i="5"/>
  <c r="X10" i="5"/>
  <c r="W10" i="5"/>
  <c r="V10" i="5"/>
  <c r="U10" i="5"/>
  <c r="T10" i="5"/>
  <c r="S10" i="5"/>
  <c r="R10" i="5"/>
  <c r="I27" i="1"/>
  <c r="J27" i="1"/>
  <c r="Q10" i="5"/>
  <c r="P10" i="5"/>
  <c r="O10" i="5"/>
  <c r="N10" i="5"/>
  <c r="M10" i="5"/>
  <c r="L10" i="5"/>
  <c r="K10" i="5"/>
  <c r="J10" i="5"/>
  <c r="I10" i="5"/>
  <c r="I30" i="1"/>
  <c r="J30" i="1"/>
  <c r="H10" i="5"/>
  <c r="I32" i="1"/>
  <c r="J32" i="1"/>
  <c r="G10" i="5"/>
  <c r="I29" i="1"/>
  <c r="J29" i="1"/>
  <c r="F10" i="5"/>
  <c r="E10" i="5"/>
  <c r="D10" i="5"/>
  <c r="Y9" i="5"/>
  <c r="X9" i="5"/>
  <c r="W9" i="5"/>
  <c r="V9" i="5"/>
  <c r="U9" i="5"/>
  <c r="T9" i="5"/>
  <c r="I14" i="1"/>
  <c r="J14" i="1"/>
  <c r="S9" i="5"/>
  <c r="R9" i="5"/>
  <c r="I16" i="1"/>
  <c r="J16" i="1"/>
  <c r="Q9" i="5"/>
  <c r="P9" i="5"/>
  <c r="O9" i="5"/>
  <c r="N9" i="5"/>
  <c r="M9" i="5"/>
  <c r="L9" i="5"/>
  <c r="K9" i="5"/>
  <c r="J9" i="5"/>
  <c r="I9" i="5"/>
  <c r="I19" i="1"/>
  <c r="J19" i="1"/>
  <c r="H9" i="5"/>
  <c r="I24" i="1"/>
  <c r="J24" i="1"/>
  <c r="I25" i="1"/>
  <c r="J25" i="1"/>
  <c r="G9" i="5"/>
  <c r="I18" i="1"/>
  <c r="J18" i="1"/>
  <c r="F9" i="5"/>
  <c r="E9" i="5"/>
  <c r="I23" i="1"/>
  <c r="J23" i="1"/>
  <c r="D9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I12" i="1"/>
  <c r="J12" i="1"/>
  <c r="H7" i="5"/>
  <c r="G7" i="5"/>
  <c r="F7" i="5"/>
  <c r="E7" i="5"/>
  <c r="I13" i="1"/>
  <c r="J13" i="1"/>
  <c r="D7" i="5"/>
  <c r="Y6" i="5"/>
  <c r="X6" i="5"/>
  <c r="W6" i="5"/>
  <c r="V6" i="5"/>
  <c r="U6" i="5"/>
  <c r="T6" i="5"/>
  <c r="I5" i="1"/>
  <c r="J5" i="1"/>
  <c r="S6" i="5"/>
  <c r="R6" i="5"/>
  <c r="Q6" i="5"/>
  <c r="P6" i="5"/>
  <c r="I6" i="1"/>
  <c r="J6" i="1"/>
  <c r="O6" i="5"/>
  <c r="N6" i="5"/>
  <c r="M6" i="5"/>
  <c r="L6" i="5"/>
  <c r="K6" i="5"/>
  <c r="I7" i="1"/>
  <c r="J7" i="1"/>
  <c r="J6" i="5"/>
  <c r="I6" i="5"/>
  <c r="I9" i="1"/>
  <c r="J9" i="1"/>
  <c r="H6" i="5"/>
  <c r="G6" i="5"/>
  <c r="I8" i="1"/>
  <c r="J8" i="1"/>
  <c r="F6" i="5"/>
  <c r="E6" i="5"/>
  <c r="I10" i="1"/>
  <c r="J10" i="1"/>
  <c r="D6" i="5"/>
  <c r="Y5" i="5"/>
  <c r="X5" i="5"/>
  <c r="W5" i="5"/>
  <c r="V5" i="5"/>
  <c r="U5" i="5"/>
  <c r="T5" i="5"/>
  <c r="I4" i="1"/>
  <c r="J4" i="1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Y3" i="5"/>
  <c r="X3" i="5"/>
  <c r="W3" i="5"/>
  <c r="V3" i="5"/>
  <c r="U3" i="5"/>
  <c r="T3" i="5"/>
  <c r="S3" i="5"/>
  <c r="R3" i="5"/>
  <c r="Q3" i="5"/>
  <c r="P3" i="5"/>
  <c r="I2" i="1"/>
  <c r="J2" i="1"/>
  <c r="O3" i="5"/>
  <c r="N3" i="5"/>
  <c r="M3" i="5"/>
  <c r="L3" i="5"/>
  <c r="K3" i="5"/>
  <c r="I3" i="1"/>
  <c r="J3" i="1"/>
  <c r="J3" i="5"/>
  <c r="I3" i="5"/>
  <c r="H3" i="5"/>
  <c r="G3" i="5"/>
  <c r="F3" i="5"/>
  <c r="E3" i="5"/>
  <c r="D3" i="5"/>
  <c r="J87" i="1"/>
  <c r="C19" i="5"/>
  <c r="J85" i="1"/>
  <c r="C18" i="5"/>
  <c r="C17" i="5"/>
  <c r="C16" i="5"/>
  <c r="I63" i="1"/>
  <c r="J63" i="1"/>
  <c r="C15" i="5"/>
  <c r="C14" i="5"/>
  <c r="I48" i="1"/>
  <c r="J48" i="1"/>
  <c r="C13" i="5"/>
  <c r="C12" i="5"/>
  <c r="C11" i="5"/>
  <c r="I31" i="1"/>
  <c r="J31" i="1"/>
  <c r="C10" i="5"/>
  <c r="I20" i="1"/>
  <c r="J20" i="1"/>
  <c r="I21" i="1"/>
  <c r="J21" i="1"/>
  <c r="I22" i="1"/>
  <c r="J22" i="1"/>
  <c r="C9" i="5"/>
  <c r="C8" i="5"/>
  <c r="C7" i="5"/>
  <c r="C6" i="5"/>
  <c r="C5" i="5"/>
  <c r="C4" i="5"/>
  <c r="C3" i="5"/>
  <c r="B19" i="5"/>
  <c r="B18" i="5"/>
  <c r="B17" i="5"/>
  <c r="B16" i="5"/>
  <c r="I62" i="1"/>
  <c r="J62" i="1"/>
  <c r="B15" i="5"/>
  <c r="B14" i="5"/>
  <c r="I46" i="1"/>
  <c r="J46" i="1"/>
  <c r="B13" i="5"/>
  <c r="I39" i="1"/>
  <c r="J39" i="1"/>
  <c r="B12" i="5"/>
  <c r="B11" i="5"/>
  <c r="I28" i="1"/>
  <c r="J28" i="1"/>
  <c r="B10" i="5"/>
  <c r="I17" i="1"/>
  <c r="J17" i="1"/>
  <c r="B9" i="5"/>
  <c r="B8" i="5"/>
  <c r="I11" i="1"/>
  <c r="J11" i="1"/>
  <c r="B7" i="5"/>
  <c r="B6" i="5"/>
  <c r="B5" i="5"/>
  <c r="B3" i="5"/>
  <c r="B4" i="5"/>
  <c r="I300" i="1"/>
  <c r="J300" i="1"/>
  <c r="O300" i="1"/>
  <c r="Q300" i="1"/>
  <c r="I299" i="1"/>
  <c r="J299" i="1"/>
  <c r="O299" i="1"/>
  <c r="Q299" i="1"/>
  <c r="I298" i="1"/>
  <c r="J298" i="1"/>
  <c r="O298" i="1"/>
  <c r="Q298" i="1"/>
  <c r="I297" i="1"/>
  <c r="J297" i="1"/>
  <c r="O297" i="1"/>
  <c r="Q297" i="1"/>
  <c r="I296" i="1"/>
  <c r="J296" i="1"/>
  <c r="O296" i="1"/>
  <c r="Q296" i="1"/>
  <c r="I295" i="1"/>
  <c r="J295" i="1"/>
  <c r="O295" i="1"/>
  <c r="Q295" i="1"/>
  <c r="I294" i="1"/>
  <c r="J294" i="1"/>
  <c r="O294" i="1"/>
  <c r="Q294" i="1"/>
  <c r="I293" i="1"/>
  <c r="J293" i="1"/>
  <c r="O293" i="1"/>
  <c r="Q293" i="1"/>
  <c r="I292" i="1"/>
  <c r="J292" i="1"/>
  <c r="O292" i="1"/>
  <c r="Q292" i="1"/>
  <c r="I291" i="1"/>
  <c r="J291" i="1"/>
  <c r="O291" i="1"/>
  <c r="Q291" i="1"/>
  <c r="I290" i="1"/>
  <c r="J290" i="1"/>
  <c r="O290" i="1"/>
  <c r="Q290" i="1"/>
  <c r="I289" i="1"/>
  <c r="J289" i="1"/>
  <c r="O289" i="1"/>
  <c r="Q289" i="1"/>
  <c r="I288" i="1"/>
  <c r="J288" i="1"/>
  <c r="O288" i="1"/>
  <c r="Q288" i="1"/>
  <c r="I287" i="1"/>
  <c r="J287" i="1"/>
  <c r="O287" i="1"/>
  <c r="Q287" i="1"/>
  <c r="I286" i="1"/>
  <c r="J286" i="1"/>
  <c r="O286" i="1"/>
  <c r="Q286" i="1"/>
  <c r="I285" i="1"/>
  <c r="J285" i="1"/>
  <c r="O285" i="1"/>
  <c r="Q285" i="1"/>
  <c r="I284" i="1"/>
  <c r="J284" i="1"/>
  <c r="O284" i="1"/>
  <c r="Q284" i="1"/>
  <c r="I283" i="1"/>
  <c r="J283" i="1"/>
  <c r="O283" i="1"/>
  <c r="Q283" i="1"/>
  <c r="I282" i="1"/>
  <c r="J282" i="1"/>
  <c r="O282" i="1"/>
  <c r="Q282" i="1"/>
  <c r="I281" i="1"/>
  <c r="J281" i="1"/>
  <c r="O281" i="1"/>
  <c r="Q281" i="1"/>
  <c r="I280" i="1"/>
  <c r="J280" i="1"/>
  <c r="O280" i="1"/>
  <c r="Q280" i="1"/>
  <c r="I279" i="1"/>
  <c r="J279" i="1"/>
  <c r="O279" i="1"/>
  <c r="Q279" i="1"/>
  <c r="I278" i="1"/>
  <c r="J278" i="1"/>
  <c r="O278" i="1"/>
  <c r="Q278" i="1"/>
  <c r="I277" i="1"/>
  <c r="J277" i="1"/>
  <c r="O277" i="1"/>
  <c r="Q277" i="1"/>
  <c r="I276" i="1"/>
  <c r="J276" i="1"/>
  <c r="O276" i="1"/>
  <c r="Q276" i="1"/>
  <c r="I275" i="1"/>
  <c r="J275" i="1"/>
  <c r="O275" i="1"/>
  <c r="Q275" i="1"/>
  <c r="I274" i="1"/>
  <c r="J274" i="1"/>
  <c r="O274" i="1"/>
  <c r="Q274" i="1"/>
  <c r="I273" i="1"/>
  <c r="J273" i="1"/>
  <c r="O273" i="1"/>
  <c r="Q273" i="1"/>
  <c r="I272" i="1"/>
  <c r="J272" i="1"/>
  <c r="O272" i="1"/>
  <c r="Q272" i="1"/>
  <c r="I271" i="1"/>
  <c r="J271" i="1"/>
  <c r="O271" i="1"/>
  <c r="Q271" i="1"/>
  <c r="I270" i="1"/>
  <c r="J270" i="1"/>
  <c r="O270" i="1"/>
  <c r="Q270" i="1"/>
  <c r="I269" i="1"/>
  <c r="J269" i="1"/>
  <c r="O269" i="1"/>
  <c r="Q269" i="1"/>
  <c r="I268" i="1"/>
  <c r="J268" i="1"/>
  <c r="O268" i="1"/>
  <c r="Q268" i="1"/>
  <c r="I267" i="1"/>
  <c r="J267" i="1"/>
  <c r="O267" i="1"/>
  <c r="Q267" i="1"/>
  <c r="I266" i="1"/>
  <c r="J266" i="1"/>
  <c r="O266" i="1"/>
  <c r="Q266" i="1"/>
  <c r="I265" i="1"/>
  <c r="J265" i="1"/>
  <c r="O265" i="1"/>
  <c r="Q265" i="1"/>
  <c r="I264" i="1"/>
  <c r="J264" i="1"/>
  <c r="O264" i="1"/>
  <c r="Q264" i="1"/>
  <c r="I263" i="1"/>
  <c r="J263" i="1"/>
  <c r="O263" i="1"/>
  <c r="Q263" i="1"/>
  <c r="I262" i="1"/>
  <c r="J262" i="1"/>
  <c r="O262" i="1"/>
  <c r="Q262" i="1"/>
  <c r="I261" i="1"/>
  <c r="J261" i="1"/>
  <c r="O261" i="1"/>
  <c r="Q261" i="1"/>
  <c r="I260" i="1"/>
  <c r="J260" i="1"/>
  <c r="O260" i="1"/>
  <c r="Q260" i="1"/>
  <c r="I259" i="1"/>
  <c r="J259" i="1"/>
  <c r="O259" i="1"/>
  <c r="Q259" i="1"/>
  <c r="I258" i="1"/>
  <c r="J258" i="1"/>
  <c r="O258" i="1"/>
  <c r="Q258" i="1"/>
  <c r="I257" i="1"/>
  <c r="J257" i="1"/>
  <c r="O257" i="1"/>
  <c r="Q257" i="1"/>
  <c r="I256" i="1"/>
  <c r="J256" i="1"/>
  <c r="O256" i="1"/>
  <c r="Q256" i="1"/>
  <c r="I255" i="1"/>
  <c r="J255" i="1"/>
  <c r="O255" i="1"/>
  <c r="Q255" i="1"/>
  <c r="I254" i="1"/>
  <c r="J254" i="1"/>
  <c r="O254" i="1"/>
  <c r="Q254" i="1"/>
  <c r="I253" i="1"/>
  <c r="J253" i="1"/>
  <c r="O253" i="1"/>
  <c r="Q253" i="1"/>
  <c r="I252" i="1"/>
  <c r="J252" i="1"/>
  <c r="O252" i="1"/>
  <c r="Q252" i="1"/>
  <c r="I251" i="1"/>
  <c r="J251" i="1"/>
  <c r="O251" i="1"/>
  <c r="Q251" i="1"/>
  <c r="I250" i="1"/>
  <c r="O250" i="1"/>
  <c r="Q250" i="1"/>
  <c r="I249" i="1"/>
  <c r="O249" i="1"/>
  <c r="Q249" i="1"/>
  <c r="I248" i="1"/>
  <c r="O248" i="1"/>
  <c r="Q248" i="1"/>
  <c r="I247" i="1"/>
  <c r="O247" i="1"/>
  <c r="Q247" i="1"/>
  <c r="I246" i="1"/>
  <c r="O246" i="1"/>
  <c r="Q246" i="1"/>
  <c r="I245" i="1"/>
  <c r="O245" i="1"/>
  <c r="Q245" i="1"/>
  <c r="I244" i="1"/>
  <c r="O244" i="1"/>
  <c r="Q244" i="1"/>
  <c r="I243" i="1"/>
  <c r="O243" i="1"/>
  <c r="Q243" i="1"/>
  <c r="I242" i="1"/>
  <c r="O242" i="1"/>
  <c r="Q242" i="1"/>
  <c r="I241" i="1"/>
  <c r="O241" i="1"/>
  <c r="Q241" i="1"/>
  <c r="I240" i="1"/>
  <c r="O240" i="1"/>
  <c r="Q240" i="1"/>
  <c r="I239" i="1"/>
  <c r="O239" i="1"/>
  <c r="Q239" i="1"/>
  <c r="I238" i="1"/>
  <c r="O238" i="1"/>
  <c r="Q238" i="1"/>
  <c r="I237" i="1"/>
  <c r="O237" i="1"/>
  <c r="Q237" i="1"/>
  <c r="I236" i="1"/>
  <c r="O236" i="1"/>
  <c r="Q236" i="1"/>
  <c r="I235" i="1"/>
  <c r="O235" i="1"/>
  <c r="Q235" i="1"/>
  <c r="I234" i="1"/>
  <c r="O234" i="1"/>
  <c r="Q234" i="1"/>
  <c r="I233" i="1"/>
  <c r="O233" i="1"/>
  <c r="Q233" i="1"/>
  <c r="I232" i="1"/>
  <c r="O232" i="1"/>
  <c r="Q232" i="1"/>
  <c r="I231" i="1"/>
  <c r="Q231" i="1"/>
  <c r="I230" i="1"/>
  <c r="Q230" i="1"/>
  <c r="I229" i="1"/>
  <c r="Q229" i="1"/>
  <c r="I228" i="1"/>
  <c r="Q228" i="1"/>
  <c r="I227" i="1"/>
  <c r="Q227" i="1"/>
  <c r="I226" i="1"/>
  <c r="Q226" i="1"/>
  <c r="I225" i="1"/>
  <c r="Q225" i="1"/>
  <c r="I224" i="1"/>
  <c r="Q224" i="1"/>
  <c r="I223" i="1"/>
  <c r="Q223" i="1"/>
  <c r="I222" i="1"/>
  <c r="Q222" i="1"/>
  <c r="I221" i="1"/>
  <c r="Q221" i="1"/>
  <c r="I220" i="1"/>
  <c r="Q220" i="1"/>
  <c r="I219" i="1"/>
  <c r="Q219" i="1"/>
  <c r="I218" i="1"/>
  <c r="Q218" i="1"/>
  <c r="I217" i="1"/>
  <c r="Q217" i="1"/>
  <c r="I216" i="1"/>
  <c r="Q216" i="1"/>
  <c r="I215" i="1"/>
  <c r="Q215" i="1"/>
  <c r="I214" i="1"/>
  <c r="Q214" i="1"/>
  <c r="I213" i="1"/>
  <c r="Q213" i="1"/>
  <c r="I212" i="1"/>
  <c r="Q212" i="1"/>
  <c r="I211" i="1"/>
  <c r="Q211" i="1"/>
  <c r="I210" i="1"/>
  <c r="Q210" i="1"/>
  <c r="I209" i="1"/>
  <c r="Q209" i="1"/>
  <c r="I208" i="1"/>
  <c r="Q208" i="1"/>
  <c r="I207" i="1"/>
  <c r="Q207" i="1"/>
  <c r="I206" i="1"/>
  <c r="Q206" i="1"/>
  <c r="I205" i="1"/>
  <c r="Q205" i="1"/>
  <c r="I204" i="1"/>
  <c r="Q204" i="1"/>
  <c r="I203" i="1"/>
  <c r="Q203" i="1"/>
  <c r="I202" i="1"/>
  <c r="Q202" i="1"/>
  <c r="I201" i="1"/>
  <c r="Q201" i="1"/>
  <c r="I200" i="1"/>
  <c r="Q200" i="1"/>
  <c r="I199" i="1"/>
  <c r="Q199" i="1"/>
  <c r="I198" i="1"/>
  <c r="Q198" i="1"/>
  <c r="I197" i="1"/>
  <c r="Q197" i="1"/>
  <c r="I196" i="1"/>
  <c r="Q196" i="1"/>
  <c r="I195" i="1"/>
  <c r="Q195" i="1"/>
  <c r="I194" i="1"/>
  <c r="Q194" i="1"/>
  <c r="I193" i="1"/>
  <c r="Q193" i="1"/>
  <c r="I192" i="1"/>
  <c r="Q192" i="1"/>
  <c r="I191" i="1"/>
  <c r="Q191" i="1"/>
  <c r="I190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67" i="1"/>
  <c r="Q166" i="1"/>
  <c r="Q165" i="1"/>
  <c r="Q164" i="1"/>
  <c r="Q163" i="1"/>
  <c r="Q162" i="1"/>
  <c r="Q161" i="1"/>
  <c r="Q160" i="1"/>
  <c r="Q159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" i="5"/>
  <c r="M121" i="1"/>
  <c r="M120" i="1"/>
  <c r="M119" i="1"/>
  <c r="M118" i="1"/>
  <c r="M117" i="1"/>
  <c r="M116" i="1"/>
  <c r="M115" i="1"/>
  <c r="O145" i="1"/>
  <c r="O144" i="1"/>
  <c r="O143" i="1"/>
  <c r="O142" i="1"/>
  <c r="O141" i="1"/>
  <c r="O121" i="1"/>
  <c r="O120" i="1"/>
  <c r="O119" i="1"/>
  <c r="O118" i="1"/>
  <c r="O117" i="1"/>
  <c r="O116" i="1"/>
  <c r="O115" i="1"/>
  <c r="O114" i="1"/>
  <c r="O113" i="1"/>
  <c r="O112" i="1"/>
  <c r="O111" i="1"/>
  <c r="O108" i="1"/>
  <c r="O107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08" i="1"/>
  <c r="Q107" i="1"/>
  <c r="O105" i="1"/>
  <c r="O104" i="1"/>
  <c r="Q104" i="1"/>
  <c r="O103" i="1"/>
  <c r="O102" i="1"/>
  <c r="Q101" i="1"/>
  <c r="Q100" i="1"/>
  <c r="O99" i="1"/>
  <c r="Q99" i="1"/>
  <c r="Q98" i="1"/>
  <c r="Q97" i="1"/>
  <c r="Q96" i="1"/>
  <c r="Q95" i="1"/>
  <c r="Q94" i="1"/>
  <c r="Q93" i="1"/>
  <c r="Q92" i="1"/>
  <c r="Q91" i="1"/>
  <c r="Q90" i="1"/>
  <c r="M105" i="1"/>
  <c r="M104" i="1"/>
  <c r="M103" i="1"/>
  <c r="M102" i="1"/>
  <c r="M101" i="1"/>
  <c r="M100" i="1"/>
  <c r="M99" i="1"/>
  <c r="M98" i="1"/>
  <c r="M97" i="1"/>
  <c r="M96" i="1"/>
  <c r="Q89" i="1"/>
  <c r="Q88" i="1"/>
  <c r="Q87" i="1"/>
  <c r="M86" i="1"/>
  <c r="Q86" i="1"/>
  <c r="Q85" i="1"/>
  <c r="Q84" i="1"/>
  <c r="Q83" i="1"/>
  <c r="Q82" i="1"/>
  <c r="Q81" i="1"/>
  <c r="Q80" i="1"/>
  <c r="Q79" i="1"/>
  <c r="M84" i="1"/>
  <c r="M85" i="1"/>
  <c r="M87" i="1"/>
  <c r="M88" i="1"/>
  <c r="M89" i="1"/>
  <c r="M90" i="1"/>
  <c r="M91" i="1"/>
  <c r="M92" i="1"/>
  <c r="M93" i="1"/>
  <c r="M94" i="1"/>
  <c r="M95" i="1"/>
  <c r="M80" i="1"/>
  <c r="M81" i="1"/>
  <c r="M82" i="1"/>
  <c r="M83" i="1"/>
  <c r="M79" i="1"/>
  <c r="V20" i="2"/>
  <c r="V21" i="2"/>
  <c r="V34" i="2"/>
  <c r="V33" i="2"/>
  <c r="V32" i="2"/>
  <c r="V31" i="2"/>
  <c r="V30" i="2"/>
  <c r="V29" i="2"/>
  <c r="V27" i="2"/>
  <c r="V26" i="2"/>
  <c r="V25" i="2"/>
  <c r="V24" i="2"/>
  <c r="V23" i="2"/>
  <c r="V22" i="2"/>
  <c r="O78" i="1"/>
  <c r="Q78" i="1"/>
  <c r="O77" i="1"/>
  <c r="Q77" i="1"/>
  <c r="O76" i="1"/>
  <c r="Q76" i="1"/>
  <c r="O75" i="1"/>
  <c r="Q75" i="1"/>
  <c r="O74" i="1"/>
  <c r="Q74" i="1"/>
  <c r="O73" i="1"/>
  <c r="Q73" i="1"/>
  <c r="I72" i="1"/>
  <c r="O72" i="1"/>
  <c r="J72" i="1"/>
  <c r="Q72" i="1"/>
  <c r="O71" i="1"/>
  <c r="Q71" i="1"/>
  <c r="O70" i="1"/>
  <c r="Q70" i="1"/>
  <c r="M76" i="1"/>
  <c r="M75" i="1"/>
  <c r="M74" i="1"/>
  <c r="M73" i="1"/>
  <c r="M72" i="1"/>
  <c r="M71" i="1"/>
  <c r="M70" i="1"/>
  <c r="O69" i="1"/>
  <c r="Q69" i="1"/>
  <c r="M69" i="1"/>
  <c r="O68" i="1"/>
  <c r="Q68" i="1"/>
  <c r="M68" i="1"/>
  <c r="O67" i="1"/>
  <c r="Q67" i="1"/>
  <c r="O66" i="1"/>
  <c r="Q66" i="1"/>
  <c r="M66" i="1"/>
  <c r="P19" i="2"/>
  <c r="P18" i="2"/>
  <c r="U18" i="2"/>
  <c r="V18" i="2"/>
  <c r="P17" i="2"/>
  <c r="U17" i="2"/>
  <c r="V17" i="2"/>
  <c r="P16" i="2"/>
  <c r="U16" i="2"/>
  <c r="V16" i="2"/>
  <c r="P15" i="2"/>
  <c r="P14" i="2"/>
  <c r="U14" i="2"/>
  <c r="V14" i="2"/>
  <c r="P13" i="2"/>
  <c r="U13" i="2"/>
  <c r="V13" i="2"/>
  <c r="P12" i="2"/>
  <c r="U12" i="2"/>
  <c r="V12" i="2"/>
  <c r="P11" i="2"/>
  <c r="U11" i="2"/>
  <c r="V11" i="2"/>
  <c r="V10" i="2"/>
  <c r="P10" i="2"/>
  <c r="V9" i="2"/>
  <c r="P9" i="2"/>
  <c r="P8" i="2"/>
  <c r="U8" i="2"/>
  <c r="V8" i="2"/>
  <c r="V7" i="2"/>
  <c r="P7" i="2"/>
  <c r="V6" i="2"/>
  <c r="P6" i="2"/>
  <c r="P5" i="2"/>
  <c r="U5" i="2"/>
  <c r="V5" i="2"/>
  <c r="V4" i="2"/>
  <c r="P4" i="2"/>
  <c r="V3" i="2"/>
  <c r="P3" i="2"/>
  <c r="P2" i="2"/>
  <c r="U2" i="2"/>
  <c r="V2" i="2"/>
  <c r="O41" i="1"/>
  <c r="Q41" i="1"/>
  <c r="O65" i="1"/>
  <c r="Q65" i="1"/>
  <c r="O61" i="1"/>
  <c r="Q61" i="1"/>
  <c r="O60" i="1"/>
  <c r="Q60" i="1"/>
  <c r="O59" i="1"/>
  <c r="Q59" i="1"/>
  <c r="O58" i="1"/>
  <c r="Q58" i="1"/>
  <c r="O57" i="1"/>
  <c r="Q57" i="1"/>
  <c r="O56" i="1"/>
  <c r="Q56" i="1"/>
  <c r="O55" i="1"/>
  <c r="Q55" i="1"/>
  <c r="O54" i="1"/>
  <c r="Q54" i="1"/>
  <c r="O53" i="1"/>
  <c r="Q53" i="1"/>
  <c r="O52" i="1"/>
  <c r="Q52" i="1"/>
  <c r="O49" i="1"/>
  <c r="Q49" i="1"/>
  <c r="O45" i="1"/>
  <c r="Q45" i="1"/>
  <c r="O43" i="1"/>
  <c r="Q43" i="1"/>
  <c r="O42" i="1"/>
  <c r="Q42" i="1"/>
  <c r="O40" i="1"/>
  <c r="Q40" i="1"/>
  <c r="O38" i="1"/>
  <c r="Q38" i="1"/>
  <c r="O37" i="1"/>
  <c r="Q37" i="1"/>
  <c r="O44" i="1"/>
  <c r="Q44" i="1"/>
  <c r="O51" i="1"/>
  <c r="Q51" i="1"/>
  <c r="O50" i="1"/>
  <c r="Q50" i="1"/>
  <c r="O64" i="1"/>
  <c r="Q64" i="1"/>
  <c r="O63" i="1"/>
  <c r="Q63" i="1"/>
  <c r="O62" i="1"/>
  <c r="Q62" i="1"/>
  <c r="O48" i="1"/>
  <c r="Q48" i="1"/>
  <c r="O47" i="1"/>
  <c r="Q47" i="1"/>
  <c r="O46" i="1"/>
  <c r="Q46" i="1"/>
  <c r="O39" i="1"/>
  <c r="Q39" i="1"/>
  <c r="M36" i="1"/>
  <c r="O36" i="1"/>
  <c r="O35" i="1"/>
  <c r="O34" i="1"/>
  <c r="I33" i="1"/>
  <c r="O33" i="1"/>
  <c r="J33" i="1"/>
  <c r="I26" i="1"/>
  <c r="J26" i="1"/>
  <c r="I15" i="1"/>
  <c r="J15" i="1"/>
</calcChain>
</file>

<file path=xl/comments1.xml><?xml version="1.0" encoding="utf-8"?>
<comments xmlns="http://schemas.openxmlformats.org/spreadsheetml/2006/main">
  <authors>
    <author>Laura Spencer</author>
  </authors>
  <commentList>
    <comment ref="Q40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Did I mis-lable this? Probably- SN-10 Low A is the only other extra larvae from 5/20
</t>
        </r>
      </text>
    </comment>
    <comment ref="G41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rough counts - do again
</t>
        </r>
      </text>
    </comment>
    <comment ref="A4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Imaged on 5/21</t>
        </r>
      </text>
    </comment>
    <comment ref="A43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Q45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Where did this larvae go?</t>
        </r>
      </text>
    </comment>
    <comment ref="A6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Screened larvae, re-counted stocking densities in buckets
</t>
        </r>
      </text>
    </comment>
  </commentList>
</comments>
</file>

<file path=xl/comments2.xml><?xml version="1.0" encoding="utf-8"?>
<comments xmlns="http://schemas.openxmlformats.org/spreadsheetml/2006/main">
  <authors>
    <author>Laura Spencer</author>
  </authors>
  <commentList>
    <comment ref="G79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Need to adjust this for the stocking/labelng error</t>
        </r>
      </text>
    </comment>
  </commentList>
</comments>
</file>

<file path=xl/sharedStrings.xml><?xml version="1.0" encoding="utf-8"?>
<sst xmlns="http://schemas.openxmlformats.org/spreadsheetml/2006/main" count="1236" uniqueCount="255">
  <si>
    <t>Date collected</t>
  </si>
  <si>
    <t>Group</t>
  </si>
  <si>
    <t>Plate #</t>
  </si>
  <si>
    <t>Vol. for count (mL)</t>
  </si>
  <si>
    <t>Total Vol (mL)</t>
  </si>
  <si>
    <t>Count A</t>
  </si>
  <si>
    <t>Count B</t>
  </si>
  <si>
    <t>Count C</t>
  </si>
  <si>
    <t>Larvae / mL</t>
  </si>
  <si>
    <t># Larvae Collected</t>
  </si>
  <si>
    <t>Bucket #</t>
  </si>
  <si>
    <t># larvae to stock</t>
  </si>
  <si>
    <t>Volume to Stock</t>
  </si>
  <si>
    <t>Volume actually stocked</t>
  </si>
  <si>
    <t># Larvae actually stocked</t>
  </si>
  <si>
    <t>Sample Vial #</t>
  </si>
  <si>
    <t>Date Imaged</t>
  </si>
  <si>
    <t>K-10 Ambient</t>
  </si>
  <si>
    <t>n/a</t>
  </si>
  <si>
    <t>Larvae released 9 days post-segregation; cannot keep these larvae b/c their genitors are unknown</t>
  </si>
  <si>
    <t>K-10 Low</t>
  </si>
  <si>
    <t>HL-6 Low</t>
  </si>
  <si>
    <t>Larvae had been in static catchment bucket for ~24hrs; didn't look good</t>
  </si>
  <si>
    <t>SN-10 Ambient B</t>
  </si>
  <si>
    <t>SN-10 Low A</t>
  </si>
  <si>
    <t>SN-6 Ambient A</t>
  </si>
  <si>
    <t>Very frothy catchment bucket!</t>
  </si>
  <si>
    <t>SN-10 Ambient A</t>
  </si>
  <si>
    <t>Photo taken @ 1x, 2x &amp; 3x</t>
  </si>
  <si>
    <t>Photo taken @ 1x, 2x &amp; 3x - Inconsistent count reps</t>
  </si>
  <si>
    <t xml:space="preserve">K-6 Low </t>
  </si>
  <si>
    <t>NF-10 Ambient B</t>
  </si>
  <si>
    <t>None found in 5-gal bucket</t>
  </si>
  <si>
    <t>ignore A5 &amp; D6 on well plate #1</t>
  </si>
  <si>
    <t>SN-10 Low B</t>
  </si>
  <si>
    <t>From 5 gall bucket to see if any remained</t>
  </si>
  <si>
    <t>SN-6 Ambient B</t>
  </si>
  <si>
    <t xml:space="preserve">K-10 Low </t>
  </si>
  <si>
    <t>K-6 Ambient</t>
  </si>
  <si>
    <t>NF-6 Ambient B</t>
  </si>
  <si>
    <t>Larval rearing bucket - then on 5/20 put 80k (200mL of a 500mL total) into rearing bucket-combined w/ A</t>
  </si>
  <si>
    <t>All into rearing bucket</t>
  </si>
  <si>
    <t>Put 300 mL into rearing bucket - equals 110,000</t>
  </si>
  <si>
    <t>Put 500 mL into rearing bucket</t>
  </si>
  <si>
    <t>SN-6 Low A</t>
  </si>
  <si>
    <t xml:space="preserve">All into rearing bucket </t>
  </si>
  <si>
    <t>K-6 Low</t>
  </si>
  <si>
    <t>NF-10 Low B</t>
  </si>
  <si>
    <t>SN-6 Low B</t>
  </si>
  <si>
    <t>NF-10 Low A</t>
  </si>
  <si>
    <t>NF-6 Ambient A</t>
  </si>
  <si>
    <t>SN-6 low A</t>
  </si>
  <si>
    <t>On 5/20, screened the SN-10 amb pH B collected on 5/19 into 500mL, pulled 200mL from that to add to rearing bucket</t>
  </si>
  <si>
    <t>Date Larvae Sampled</t>
  </si>
  <si>
    <t>2-A, 2-B</t>
  </si>
  <si>
    <t>4-A, 4-B</t>
  </si>
  <si>
    <t>1-A, 1-B- 1-C</t>
  </si>
  <si>
    <t xml:space="preserve">I had mixed remaining SN-6 Low A &amp; B on 5/21 </t>
  </si>
  <si>
    <t>3-A, 3-B</t>
  </si>
  <si>
    <t>I had mixed remaining SN-A Ambient A &amp; B on 5/21</t>
  </si>
  <si>
    <t>5-A</t>
  </si>
  <si>
    <t>6-A, 6-B</t>
  </si>
  <si>
    <t>7-A</t>
  </si>
  <si>
    <t>11-A</t>
  </si>
  <si>
    <t>12-A</t>
  </si>
  <si>
    <t>9-A</t>
  </si>
  <si>
    <t>8-A</t>
  </si>
  <si>
    <t>10-A</t>
  </si>
  <si>
    <t>Approx. larvae sampled</t>
  </si>
  <si>
    <t>Screen Size</t>
  </si>
  <si>
    <t># Larvae to add per day</t>
  </si>
  <si>
    <t>-</t>
  </si>
  <si>
    <t>K-10 Amb</t>
  </si>
  <si>
    <t>SN-6 Amb</t>
  </si>
  <si>
    <t>SN-10 Amb</t>
  </si>
  <si>
    <t>SN-10 Low</t>
  </si>
  <si>
    <t>x</t>
  </si>
  <si>
    <t xml:space="preserve">NF-10 Low </t>
  </si>
  <si>
    <t>SN-6 Low</t>
  </si>
  <si>
    <t xml:space="preserve">SN-10 Amb </t>
  </si>
  <si>
    <t xml:space="preserve">K-6 Amb </t>
  </si>
  <si>
    <t>Date</t>
  </si>
  <si>
    <t>To -&gt; Bucket #</t>
  </si>
  <si>
    <t>&lt;- From Bucket #</t>
  </si>
  <si>
    <t>NF-10 Low</t>
  </si>
  <si>
    <t>NF-10 Ambient</t>
  </si>
  <si>
    <t>NF-6 Ambient</t>
  </si>
  <si>
    <t>SN-10 Ambient</t>
  </si>
  <si>
    <t>SN-6 Ambient</t>
  </si>
  <si>
    <t>HL-10 Ambient</t>
  </si>
  <si>
    <t>14-A</t>
  </si>
  <si>
    <t>15-A</t>
  </si>
  <si>
    <t>13-A</t>
  </si>
  <si>
    <t>16-A</t>
  </si>
  <si>
    <t>17-A</t>
  </si>
  <si>
    <t>NF-10  Low A</t>
  </si>
  <si>
    <t>18-A</t>
  </si>
  <si>
    <t>Started new bucket</t>
  </si>
  <si>
    <t>NF-6 Low B</t>
  </si>
  <si>
    <t>NF-10 Ambient A</t>
  </si>
  <si>
    <t>19-A</t>
  </si>
  <si>
    <t>NF-6 Amb</t>
  </si>
  <si>
    <t>20-A</t>
  </si>
  <si>
    <t xml:space="preserve">NF-6 Amb </t>
  </si>
  <si>
    <t xml:space="preserve">SN-6 Amb </t>
  </si>
  <si>
    <t>NF-10 Amb</t>
  </si>
  <si>
    <t>NF-6 Low</t>
  </si>
  <si>
    <t>K-6 Amb</t>
  </si>
  <si>
    <t>HL-10 Amb</t>
  </si>
  <si>
    <t>21-A</t>
  </si>
  <si>
    <t>HL-10 Low</t>
  </si>
  <si>
    <t>22-A</t>
  </si>
  <si>
    <t>23-A</t>
  </si>
  <si>
    <t>24-A</t>
  </si>
  <si>
    <t>25-A</t>
  </si>
  <si>
    <t>26-A</t>
  </si>
  <si>
    <t>Banjo was not placed on 5/26; lots of larvae added that day likely went down drain (although there was quite a big on the bottom still). Added 2x the daily allotment.</t>
  </si>
  <si>
    <t>27-A</t>
  </si>
  <si>
    <t>Afternoon spawn</t>
  </si>
  <si>
    <t>28-A</t>
  </si>
  <si>
    <t>HL-6 Ambient</t>
  </si>
  <si>
    <t>Total larvae released to date</t>
  </si>
  <si>
    <t>NF-6 Low A</t>
  </si>
  <si>
    <t># Animals in each group</t>
  </si>
  <si>
    <t>Larval Spawn Table</t>
  </si>
  <si>
    <t>6°C Ambient pH</t>
  </si>
  <si>
    <t>6°C Low pH</t>
  </si>
  <si>
    <t>10°C Ambient pH</t>
  </si>
  <si>
    <t>10°C Low pH</t>
  </si>
  <si>
    <t>29-A</t>
  </si>
  <si>
    <t>Too Dirty</t>
  </si>
  <si>
    <t>30-A</t>
  </si>
  <si>
    <t>Too much debris that couldn't be filtered out; sampled instead of stocked</t>
  </si>
  <si>
    <t>Count 1</t>
  </si>
  <si>
    <t>Count 2</t>
  </si>
  <si>
    <t>Empty</t>
  </si>
  <si>
    <t>Average</t>
  </si>
  <si>
    <t>Concentration</t>
  </si>
  <si>
    <t xml:space="preserve">Dosing Rate </t>
  </si>
  <si>
    <t xml:space="preserve">HL-10 Low </t>
  </si>
  <si>
    <t xml:space="preserve">SN-10 Low </t>
  </si>
  <si>
    <t>SN-10 Amnient</t>
  </si>
  <si>
    <t>Treatment Group</t>
  </si>
  <si>
    <t xml:space="preserve">NF-10 Low B </t>
  </si>
  <si>
    <t xml:space="preserve">Total </t>
  </si>
  <si>
    <t>Survival Rate</t>
  </si>
  <si>
    <t>Count A Live</t>
  </si>
  <si>
    <t>Count A Dead</t>
  </si>
  <si>
    <t>Count B Live</t>
  </si>
  <si>
    <t>Count B Dead</t>
  </si>
  <si>
    <t>Count C Live</t>
  </si>
  <si>
    <t>Count C Dead</t>
  </si>
  <si>
    <t>% Diff from Ave</t>
  </si>
  <si>
    <t>% Alive</t>
  </si>
  <si>
    <t>31-A</t>
  </si>
  <si>
    <t>32-A</t>
  </si>
  <si>
    <t>33-A</t>
  </si>
  <si>
    <t>34-A</t>
  </si>
  <si>
    <t>35-A</t>
  </si>
  <si>
    <t>Rest of larvae used in a 2-bucket flow-through experiment to see how many larvae make it to the 2nd bucket after 48 hrs</t>
  </si>
  <si>
    <t>36-A</t>
  </si>
  <si>
    <t>37-A</t>
  </si>
  <si>
    <t>38-A</t>
  </si>
  <si>
    <t>39-A</t>
  </si>
  <si>
    <t>40-A</t>
  </si>
  <si>
    <t>41-A</t>
  </si>
  <si>
    <t>42-A</t>
  </si>
  <si>
    <t>Bucket, for 2-flow</t>
  </si>
  <si>
    <t>?</t>
  </si>
  <si>
    <t># Live Larvae</t>
  </si>
  <si>
    <t>separate 2g bucket</t>
  </si>
  <si>
    <t>43-A</t>
  </si>
  <si>
    <t>started new bucket</t>
  </si>
  <si>
    <t>44-A</t>
  </si>
  <si>
    <t>45-A</t>
  </si>
  <si>
    <t>46-A</t>
  </si>
  <si>
    <t>47-A</t>
  </si>
  <si>
    <t>Bucket #9 =  the small SN-10 Low bucket that I held on to after the 2-bucket challenge</t>
  </si>
  <si>
    <t>3?</t>
  </si>
  <si>
    <t>From the small K-10 Low bucket that I had held on to after the 2-bucket challenge</t>
  </si>
  <si>
    <t>Several dead, not active, looks like ciliate activity. Did not add to bucket.</t>
  </si>
  <si>
    <t>48-A</t>
  </si>
  <si>
    <t>49-A</t>
  </si>
  <si>
    <t>50-A</t>
  </si>
  <si>
    <t xml:space="preserve">Average oyster length </t>
  </si>
  <si>
    <t>Average oyster weight</t>
  </si>
  <si>
    <t>51-A</t>
  </si>
  <si>
    <t>52-A</t>
  </si>
  <si>
    <t>53-A</t>
  </si>
  <si>
    <t>54-A</t>
  </si>
  <si>
    <t>55-A</t>
  </si>
  <si>
    <t>56-A</t>
  </si>
  <si>
    <t>57-A</t>
  </si>
  <si>
    <t>58-A</t>
  </si>
  <si>
    <t>Saw 4 larvae, put back in culture bucket</t>
  </si>
  <si>
    <t>"1 new" or 9</t>
  </si>
  <si>
    <t>Not healthy, not stocked. Very few larvae in sample</t>
  </si>
  <si>
    <t>Not healthy, not stocked.</t>
  </si>
  <si>
    <t>59-A</t>
  </si>
  <si>
    <t>60-A</t>
  </si>
  <si>
    <t>61-A</t>
  </si>
  <si>
    <t>62-A</t>
  </si>
  <si>
    <t>63-A</t>
  </si>
  <si>
    <t>64-A</t>
  </si>
  <si>
    <t xml:space="preserve">Visually saw a few larvae, but negligiable amount. Stocked them. </t>
  </si>
  <si>
    <t>65-A</t>
  </si>
  <si>
    <t>66-A</t>
  </si>
  <si>
    <t>67-A</t>
  </si>
  <si>
    <t>68-A</t>
  </si>
  <si>
    <t>69-A</t>
  </si>
  <si>
    <t>100 Morts</t>
  </si>
  <si>
    <t>Vol Samp for Count</t>
  </si>
  <si>
    <t># Larvae Stocked Total</t>
  </si>
  <si>
    <t>Tripour Volume total estimated from memory</t>
  </si>
  <si>
    <t>*36</t>
  </si>
  <si>
    <t>Missed well partially on well #3, lost a drop</t>
  </si>
  <si>
    <t>These were mis-labeled as SN-10 Low, and the 224's were stocked in the SN-10 Low downwelling setting tank.  The mistake was caught immediately. The SN-10 Low downwelling silo was labeled as "mixed," and data/labeling was corrected.</t>
  </si>
  <si>
    <t># Larvae Normalized by # Adults</t>
  </si>
  <si>
    <t>Began stocking 224's in setting tanks on this date</t>
  </si>
  <si>
    <t>NF-10 Ambient sampled twice?</t>
  </si>
  <si>
    <t>Bucket A</t>
  </si>
  <si>
    <t># Dead Larvae</t>
  </si>
  <si>
    <t>% Live in counts (per size class)</t>
  </si>
  <si>
    <t>Spawning Groups</t>
  </si>
  <si>
    <t>Total Larvae Spawned</t>
  </si>
  <si>
    <t># Larvae Stocked</t>
  </si>
  <si>
    <t>% total Live, in 2 bucket</t>
  </si>
  <si>
    <t># Live at Screening, as of date:</t>
  </si>
  <si>
    <t xml:space="preserve"># 224's stocked in setting tank, as of date: </t>
  </si>
  <si>
    <t>% Survival from stocking to setting</t>
  </si>
  <si>
    <t># Larvae Stocked, as of Date</t>
  </si>
  <si>
    <t>70-A</t>
  </si>
  <si>
    <t>71-A</t>
  </si>
  <si>
    <t>72-A</t>
  </si>
  <si>
    <t>73-A</t>
  </si>
  <si>
    <t>Feeding Calculations</t>
  </si>
  <si>
    <t>Algae Strains</t>
  </si>
  <si>
    <t>400 mL Tiso, 400 mL Chagra</t>
  </si>
  <si>
    <t>Count 3</t>
  </si>
  <si>
    <t>Count 4</t>
  </si>
  <si>
    <t>Count 5</t>
  </si>
  <si>
    <t>Average Count</t>
  </si>
  <si>
    <t>Cells/mL</t>
  </si>
  <si>
    <t>mL per tripour @ 100k cells/mL</t>
  </si>
  <si>
    <t>Total mL algae needed</t>
  </si>
  <si>
    <t>450 mL Ciso, 450 mL CGW</t>
  </si>
  <si>
    <t>450 mL Tiso, 450 mL Chagra</t>
  </si>
  <si>
    <t>74-A</t>
  </si>
  <si>
    <t>75-A</t>
  </si>
  <si>
    <t>76-A</t>
  </si>
  <si>
    <t>77-A</t>
  </si>
  <si>
    <t>450 mL Tiso, 450 mL CGW</t>
  </si>
  <si>
    <t># Larvae</t>
  </si>
  <si>
    <t>For 18 L</t>
  </si>
  <si>
    <t>For 10.4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</si>
</sst>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m/d/yy;@"/>
    <numFmt numFmtId="166" formatCode="0.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4"/>
      <color theme="1"/>
      <name val="Calibri"/>
      <scheme val="minor"/>
    </font>
    <font>
      <b/>
      <sz val="16"/>
      <color rgb="FF000000"/>
      <name val="Calibri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6"/>
      <color theme="1" tint="0.499984740745262"/>
      <name val="Calibri"/>
      <scheme val="minor"/>
    </font>
    <font>
      <i/>
      <sz val="12"/>
      <color theme="1" tint="0.499984740745262"/>
      <name val="Calibri"/>
      <scheme val="minor"/>
    </font>
    <font>
      <b/>
      <i/>
      <sz val="12"/>
      <color theme="1"/>
      <name val="Calibri"/>
      <scheme val="minor"/>
    </font>
    <font>
      <b/>
      <sz val="12"/>
      <color rgb="FF000000"/>
      <name val="Calibri"/>
      <scheme val="minor"/>
    </font>
    <font>
      <b/>
      <sz val="14"/>
      <color rgb="FF000000"/>
      <name val="Calibri"/>
      <scheme val="minor"/>
    </font>
    <font>
      <b/>
      <i/>
      <sz val="16"/>
      <color rgb="FF000000"/>
      <name val="Calibri"/>
      <scheme val="minor"/>
    </font>
    <font>
      <b/>
      <i/>
      <sz val="16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AEEF3"/>
        <bgColor rgb="FF000000"/>
      </patternFill>
    </fill>
    <fill>
      <patternFill patternType="solid">
        <fgColor theme="9" tint="0.79998168889431442"/>
        <bgColor rgb="FF000000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453">
    <xf numFmtId="0" fontId="0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45">
    <xf numFmtId="0" fontId="0" fillId="0" borderId="0" xfId="0"/>
    <xf numFmtId="0" fontId="0" fillId="0" borderId="0" xfId="0" applyAlignment="1">
      <alignment horizontal="right"/>
    </xf>
    <xf numFmtId="0" fontId="4" fillId="0" borderId="0" xfId="0" applyFont="1" applyFill="1" applyBorder="1" applyAlignment="1">
      <alignment horizontal="right" wrapText="1"/>
    </xf>
    <xf numFmtId="164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Border="1" applyAlignment="1">
      <alignment horizontal="left" wrapText="1"/>
    </xf>
    <xf numFmtId="14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164" fontId="0" fillId="0" borderId="0" xfId="1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left" wrapText="1"/>
    </xf>
    <xf numFmtId="3" fontId="0" fillId="0" borderId="0" xfId="0" applyNumberFormat="1" applyFill="1" applyBorder="1" applyAlignment="1">
      <alignment horizontal="left"/>
    </xf>
    <xf numFmtId="3" fontId="7" fillId="0" borderId="0" xfId="0" applyNumberFormat="1" applyFont="1" applyFill="1" applyBorder="1" applyAlignment="1">
      <alignment horizontal="right"/>
    </xf>
    <xf numFmtId="0" fontId="0" fillId="0" borderId="0" xfId="0" applyFill="1" applyAlignment="1">
      <alignment horizontal="right"/>
    </xf>
    <xf numFmtId="164" fontId="0" fillId="0" borderId="0" xfId="1" applyNumberFormat="1" applyFont="1" applyFill="1" applyAlignment="1">
      <alignment horizontal="right"/>
    </xf>
    <xf numFmtId="0" fontId="0" fillId="0" borderId="0" xfId="0" applyFill="1" applyAlignment="1">
      <alignment horizontal="left"/>
    </xf>
    <xf numFmtId="0" fontId="4" fillId="0" borderId="0" xfId="0" applyFont="1" applyAlignment="1">
      <alignment horizontal="center" wrapText="1"/>
    </xf>
    <xf numFmtId="14" fontId="0" fillId="0" borderId="0" xfId="0" applyNumberFormat="1"/>
    <xf numFmtId="164" fontId="0" fillId="0" borderId="0" xfId="1" applyNumberFormat="1" applyFont="1"/>
    <xf numFmtId="14" fontId="0" fillId="0" borderId="1" xfId="0" applyNumberFormat="1" applyBorder="1"/>
    <xf numFmtId="0" fontId="0" fillId="0" borderId="2" xfId="0" applyBorder="1"/>
    <xf numFmtId="0" fontId="0" fillId="0" borderId="2" xfId="0" applyBorder="1" applyAlignment="1">
      <alignment horizontal="right"/>
    </xf>
    <xf numFmtId="3" fontId="0" fillId="0" borderId="2" xfId="0" applyNumberFormat="1" applyBorder="1"/>
    <xf numFmtId="14" fontId="0" fillId="0" borderId="3" xfId="0" applyNumberFormat="1" applyBorder="1"/>
    <xf numFmtId="0" fontId="0" fillId="0" borderId="0" xfId="0" applyBorder="1"/>
    <xf numFmtId="0" fontId="0" fillId="0" borderId="0" xfId="0" applyBorder="1" applyAlignment="1">
      <alignment horizontal="right"/>
    </xf>
    <xf numFmtId="3" fontId="0" fillId="0" borderId="0" xfId="0" applyNumberFormat="1" applyBorder="1"/>
    <xf numFmtId="14" fontId="0" fillId="0" borderId="4" xfId="0" applyNumberFormat="1" applyBorder="1"/>
    <xf numFmtId="0" fontId="0" fillId="0" borderId="5" xfId="0" applyBorder="1"/>
    <xf numFmtId="0" fontId="0" fillId="0" borderId="5" xfId="0" applyBorder="1" applyAlignment="1">
      <alignment horizontal="right"/>
    </xf>
    <xf numFmtId="3" fontId="0" fillId="0" borderId="5" xfId="0" applyNumberFormat="1" applyBorder="1"/>
    <xf numFmtId="0" fontId="0" fillId="0" borderId="0" xfId="0" applyAlignment="1">
      <alignment horizontal="center"/>
    </xf>
    <xf numFmtId="0" fontId="5" fillId="0" borderId="0" xfId="0" applyFont="1" applyAlignment="1">
      <alignment horizontal="center" wrapText="1"/>
    </xf>
    <xf numFmtId="0" fontId="5" fillId="0" borderId="0" xfId="0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14" fontId="0" fillId="0" borderId="0" xfId="0" applyNumberFormat="1" applyAlignment="1">
      <alignment horizontal="center"/>
    </xf>
    <xf numFmtId="165" fontId="4" fillId="0" borderId="0" xfId="0" applyNumberFormat="1" applyFont="1" applyFill="1" applyBorder="1" applyAlignment="1">
      <alignment horizontal="right" wrapText="1"/>
    </xf>
    <xf numFmtId="165" fontId="0" fillId="0" borderId="0" xfId="0" applyNumberFormat="1" applyFill="1" applyBorder="1" applyAlignment="1">
      <alignment horizontal="right"/>
    </xf>
    <xf numFmtId="165" fontId="0" fillId="0" borderId="0" xfId="0" applyNumberFormat="1" applyFill="1" applyAlignment="1">
      <alignment horizontal="right"/>
    </xf>
    <xf numFmtId="43" fontId="4" fillId="0" borderId="0" xfId="1" applyFont="1" applyFill="1" applyBorder="1" applyAlignment="1">
      <alignment horizontal="right" wrapText="1"/>
    </xf>
    <xf numFmtId="43" fontId="0" fillId="0" borderId="0" xfId="1" applyFont="1" applyFill="1" applyBorder="1" applyAlignment="1">
      <alignment horizontal="right"/>
    </xf>
    <xf numFmtId="43" fontId="0" fillId="0" borderId="0" xfId="1" applyFont="1" applyFill="1" applyAlignment="1">
      <alignment horizontal="right"/>
    </xf>
    <xf numFmtId="164" fontId="2" fillId="0" borderId="0" xfId="1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3" fontId="8" fillId="0" borderId="0" xfId="0" applyNumberFormat="1" applyFont="1" applyFill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7" fillId="0" borderId="0" xfId="0" applyFont="1" applyFill="1" applyAlignment="1">
      <alignment horizontal="left"/>
    </xf>
    <xf numFmtId="165" fontId="7" fillId="0" borderId="0" xfId="0" applyNumberFormat="1" applyFont="1" applyFill="1" applyAlignment="1">
      <alignment horizontal="right"/>
    </xf>
    <xf numFmtId="0" fontId="0" fillId="0" borderId="0" xfId="1" applyNumberFormat="1" applyFont="1" applyFill="1" applyAlignment="1">
      <alignment horizontal="right"/>
    </xf>
    <xf numFmtId="164" fontId="0" fillId="0" borderId="0" xfId="1" applyNumberFormat="1" applyFont="1" applyAlignment="1">
      <alignment horizontal="center"/>
    </xf>
    <xf numFmtId="14" fontId="0" fillId="0" borderId="6" xfId="0" applyNumberForma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0" xfId="0" applyNumberFormat="1"/>
    <xf numFmtId="0" fontId="3" fillId="0" borderId="0" xfId="0" applyFont="1"/>
    <xf numFmtId="164" fontId="3" fillId="0" borderId="0" xfId="1" applyNumberFormat="1" applyFont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2" borderId="9" xfId="0" applyNumberFormat="1" applyFill="1" applyBorder="1"/>
    <xf numFmtId="0" fontId="0" fillId="2" borderId="10" xfId="0" applyFill="1" applyBorder="1" applyAlignment="1">
      <alignment horizontal="center"/>
    </xf>
    <xf numFmtId="0" fontId="7" fillId="2" borderId="10" xfId="0" applyFont="1" applyFill="1" applyBorder="1" applyAlignment="1">
      <alignment horizontal="left"/>
    </xf>
    <xf numFmtId="0" fontId="0" fillId="2" borderId="10" xfId="0" applyFill="1" applyBorder="1"/>
    <xf numFmtId="0" fontId="7" fillId="2" borderId="10" xfId="0" applyFont="1" applyFill="1" applyBorder="1" applyAlignment="1">
      <alignment horizontal="right"/>
    </xf>
    <xf numFmtId="0" fontId="7" fillId="2" borderId="10" xfId="0" applyFont="1" applyFill="1" applyBorder="1"/>
    <xf numFmtId="3" fontId="0" fillId="2" borderId="10" xfId="0" applyNumberFormat="1" applyFill="1" applyBorder="1"/>
    <xf numFmtId="14" fontId="0" fillId="2" borderId="11" xfId="0" applyNumberFormat="1" applyFill="1" applyBorder="1"/>
    <xf numFmtId="0" fontId="0" fillId="2" borderId="12" xfId="0" applyFill="1" applyBorder="1" applyAlignment="1">
      <alignment horizontal="center"/>
    </xf>
    <xf numFmtId="0" fontId="7" fillId="2" borderId="12" xfId="0" applyFont="1" applyFill="1" applyBorder="1" applyAlignment="1">
      <alignment horizontal="left"/>
    </xf>
    <xf numFmtId="0" fontId="0" fillId="2" borderId="12" xfId="0" applyFill="1" applyBorder="1"/>
    <xf numFmtId="0" fontId="7" fillId="2" borderId="12" xfId="0" applyFont="1" applyFill="1" applyBorder="1" applyAlignment="1">
      <alignment horizontal="right"/>
    </xf>
    <xf numFmtId="0" fontId="7" fillId="2" borderId="12" xfId="0" applyFont="1" applyFill="1" applyBorder="1"/>
    <xf numFmtId="14" fontId="0" fillId="3" borderId="7" xfId="0" applyNumberFormat="1" applyFill="1" applyBorder="1"/>
    <xf numFmtId="0" fontId="0" fillId="3" borderId="8" xfId="0" applyFill="1" applyBorder="1" applyAlignment="1">
      <alignment horizontal="center"/>
    </xf>
    <xf numFmtId="0" fontId="7" fillId="3" borderId="8" xfId="0" applyFont="1" applyFill="1" applyBorder="1" applyAlignment="1">
      <alignment horizontal="left"/>
    </xf>
    <xf numFmtId="0" fontId="0" fillId="3" borderId="8" xfId="0" applyFill="1" applyBorder="1"/>
    <xf numFmtId="3" fontId="0" fillId="3" borderId="8" xfId="0" applyNumberFormat="1" applyFill="1" applyBorder="1"/>
    <xf numFmtId="14" fontId="0" fillId="3" borderId="9" xfId="0" applyNumberFormat="1" applyFill="1" applyBorder="1"/>
    <xf numFmtId="0" fontId="0" fillId="3" borderId="10" xfId="0" applyFill="1" applyBorder="1" applyAlignment="1">
      <alignment horizontal="center"/>
    </xf>
    <xf numFmtId="0" fontId="7" fillId="3" borderId="10" xfId="0" applyFont="1" applyFill="1" applyBorder="1" applyAlignment="1">
      <alignment horizontal="left"/>
    </xf>
    <xf numFmtId="0" fontId="0" fillId="3" borderId="10" xfId="0" applyFill="1" applyBorder="1"/>
    <xf numFmtId="3" fontId="0" fillId="3" borderId="10" xfId="0" applyNumberFormat="1" applyFill="1" applyBorder="1"/>
    <xf numFmtId="14" fontId="0" fillId="3" borderId="11" xfId="0" applyNumberFormat="1" applyFill="1" applyBorder="1"/>
    <xf numFmtId="0" fontId="0" fillId="3" borderId="12" xfId="0" applyFill="1" applyBorder="1" applyAlignment="1">
      <alignment horizontal="center"/>
    </xf>
    <xf numFmtId="0" fontId="7" fillId="3" borderId="12" xfId="0" applyFont="1" applyFill="1" applyBorder="1" applyAlignment="1">
      <alignment horizontal="left"/>
    </xf>
    <xf numFmtId="0" fontId="0" fillId="3" borderId="12" xfId="0" applyFill="1" applyBorder="1"/>
    <xf numFmtId="0" fontId="0" fillId="3" borderId="8" xfId="0" applyFill="1" applyBorder="1" applyAlignment="1">
      <alignment horizontal="right"/>
    </xf>
    <xf numFmtId="0" fontId="0" fillId="3" borderId="10" xfId="0" applyFill="1" applyBorder="1" applyAlignment="1">
      <alignment horizontal="right"/>
    </xf>
    <xf numFmtId="14" fontId="0" fillId="2" borderId="10" xfId="0" applyNumberFormat="1" applyFill="1" applyBorder="1"/>
    <xf numFmtId="0" fontId="0" fillId="2" borderId="10" xfId="0" applyFill="1" applyBorder="1" applyAlignment="1">
      <alignment horizontal="right"/>
    </xf>
    <xf numFmtId="164" fontId="0" fillId="0" borderId="0" xfId="1" applyNumberFormat="1" applyFont="1" applyAlignment="1">
      <alignment horizontal="center" wrapText="1"/>
    </xf>
    <xf numFmtId="164" fontId="0" fillId="0" borderId="2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right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right" wrapText="1"/>
    </xf>
    <xf numFmtId="14" fontId="3" fillId="0" borderId="0" xfId="0" applyNumberFormat="1" applyFont="1" applyAlignment="1">
      <alignment horizontal="right"/>
    </xf>
    <xf numFmtId="14" fontId="3" fillId="0" borderId="1" xfId="0" applyNumberFormat="1" applyFont="1" applyBorder="1" applyAlignment="1">
      <alignment horizontal="right"/>
    </xf>
    <xf numFmtId="14" fontId="3" fillId="0" borderId="3" xfId="0" applyNumberFormat="1" applyFont="1" applyBorder="1" applyAlignment="1">
      <alignment horizontal="right"/>
    </xf>
    <xf numFmtId="14" fontId="3" fillId="0" borderId="4" xfId="0" applyNumberFormat="1" applyFont="1" applyBorder="1" applyAlignment="1">
      <alignment horizontal="right"/>
    </xf>
    <xf numFmtId="164" fontId="0" fillId="4" borderId="0" xfId="1" applyNumberFormat="1" applyFont="1" applyFill="1" applyBorder="1" applyAlignment="1">
      <alignment horizontal="center"/>
    </xf>
    <xf numFmtId="164" fontId="0" fillId="4" borderId="5" xfId="1" applyNumberFormat="1" applyFont="1" applyFill="1" applyBorder="1" applyAlignment="1">
      <alignment horizontal="center"/>
    </xf>
    <xf numFmtId="164" fontId="0" fillId="4" borderId="2" xfId="1" applyNumberFormat="1" applyFont="1" applyFill="1" applyBorder="1" applyAlignment="1">
      <alignment horizontal="center"/>
    </xf>
    <xf numFmtId="9" fontId="3" fillId="0" borderId="0" xfId="260" applyFont="1"/>
    <xf numFmtId="9" fontId="0" fillId="0" borderId="0" xfId="260" applyFont="1"/>
    <xf numFmtId="9" fontId="0" fillId="2" borderId="10" xfId="260" applyFont="1" applyFill="1" applyBorder="1"/>
    <xf numFmtId="164" fontId="0" fillId="0" borderId="0" xfId="0" applyNumberFormat="1" applyFill="1" applyAlignment="1">
      <alignment horizontal="left"/>
    </xf>
    <xf numFmtId="14" fontId="0" fillId="5" borderId="13" xfId="0" applyNumberFormat="1" applyFill="1" applyBorder="1"/>
    <xf numFmtId="0" fontId="0" fillId="5" borderId="14" xfId="0" applyFill="1" applyBorder="1" applyAlignment="1">
      <alignment horizontal="center"/>
    </xf>
    <xf numFmtId="0" fontId="0" fillId="5" borderId="14" xfId="0" applyFill="1" applyBorder="1"/>
    <xf numFmtId="0" fontId="0" fillId="5" borderId="14" xfId="0" applyFill="1" applyBorder="1" applyAlignment="1">
      <alignment horizontal="right"/>
    </xf>
    <xf numFmtId="9" fontId="0" fillId="5" borderId="14" xfId="260" applyFont="1" applyFill="1" applyBorder="1"/>
    <xf numFmtId="3" fontId="0" fillId="5" borderId="14" xfId="0" applyNumberFormat="1" applyFill="1" applyBorder="1"/>
    <xf numFmtId="166" fontId="0" fillId="5" borderId="14" xfId="0" applyNumberFormat="1" applyFill="1" applyBorder="1"/>
    <xf numFmtId="9" fontId="3" fillId="5" borderId="14" xfId="260" applyFont="1" applyFill="1" applyBorder="1"/>
    <xf numFmtId="164" fontId="4" fillId="0" borderId="0" xfId="1" applyNumberFormat="1" applyFont="1" applyAlignment="1">
      <alignment horizontal="center" wrapText="1"/>
    </xf>
    <xf numFmtId="164" fontId="0" fillId="0" borderId="2" xfId="1" applyNumberFormat="1" applyFont="1" applyBorder="1"/>
    <xf numFmtId="164" fontId="0" fillId="0" borderId="0" xfId="1" applyNumberFormat="1" applyFont="1" applyBorder="1"/>
    <xf numFmtId="164" fontId="0" fillId="0" borderId="5" xfId="1" applyNumberFormat="1" applyFont="1" applyBorder="1"/>
    <xf numFmtId="164" fontId="0" fillId="2" borderId="10" xfId="1" applyNumberFormat="1" applyFont="1" applyFill="1" applyBorder="1"/>
    <xf numFmtId="164" fontId="0" fillId="5" borderId="14" xfId="1" applyNumberFormat="1" applyFont="1" applyFill="1" applyBorder="1"/>
    <xf numFmtId="164" fontId="0" fillId="3" borderId="8" xfId="1" applyNumberFormat="1" applyFont="1" applyFill="1" applyBorder="1"/>
    <xf numFmtId="164" fontId="7" fillId="2" borderId="12" xfId="1" applyNumberFormat="1" applyFont="1" applyFill="1" applyBorder="1"/>
    <xf numFmtId="164" fontId="0" fillId="3" borderId="10" xfId="1" applyNumberFormat="1" applyFont="1" applyFill="1" applyBorder="1"/>
    <xf numFmtId="14" fontId="0" fillId="5" borderId="3" xfId="0" applyNumberFormat="1" applyFill="1" applyBorder="1"/>
    <xf numFmtId="0" fontId="0" fillId="5" borderId="0" xfId="0" applyFill="1" applyBorder="1" applyAlignment="1">
      <alignment horizontal="center"/>
    </xf>
    <xf numFmtId="0" fontId="0" fillId="5" borderId="0" xfId="0" applyFill="1" applyBorder="1"/>
    <xf numFmtId="0" fontId="0" fillId="5" borderId="0" xfId="0" applyFill="1" applyBorder="1" applyAlignment="1">
      <alignment horizontal="right"/>
    </xf>
    <xf numFmtId="166" fontId="0" fillId="5" borderId="0" xfId="0" applyNumberFormat="1" applyFill="1" applyBorder="1"/>
    <xf numFmtId="9" fontId="0" fillId="5" borderId="0" xfId="260" applyFont="1" applyFill="1" applyBorder="1"/>
    <xf numFmtId="164" fontId="0" fillId="5" borderId="0" xfId="1" applyNumberFormat="1" applyFont="1" applyFill="1" applyBorder="1"/>
    <xf numFmtId="9" fontId="3" fillId="5" borderId="0" xfId="260" applyFont="1" applyFill="1" applyBorder="1"/>
    <xf numFmtId="3" fontId="0" fillId="5" borderId="0" xfId="0" applyNumberFormat="1" applyFill="1" applyBorder="1"/>
    <xf numFmtId="14" fontId="0" fillId="2" borderId="13" xfId="0" applyNumberFormat="1" applyFill="1" applyBorder="1"/>
    <xf numFmtId="0" fontId="0" fillId="2" borderId="14" xfId="0" applyFill="1" applyBorder="1" applyAlignment="1">
      <alignment horizontal="center"/>
    </xf>
    <xf numFmtId="0" fontId="7" fillId="2" borderId="14" xfId="0" applyFont="1" applyFill="1" applyBorder="1" applyAlignment="1">
      <alignment horizontal="left"/>
    </xf>
    <xf numFmtId="0" fontId="0" fillId="2" borderId="14" xfId="0" applyFill="1" applyBorder="1"/>
    <xf numFmtId="0" fontId="7" fillId="2" borderId="14" xfId="0" applyFont="1" applyFill="1" applyBorder="1"/>
    <xf numFmtId="164" fontId="7" fillId="2" borderId="14" xfId="1" applyNumberFormat="1" applyFont="1" applyFill="1" applyBorder="1"/>
    <xf numFmtId="0" fontId="0" fillId="3" borderId="12" xfId="0" applyFill="1" applyBorder="1" applyAlignment="1">
      <alignment horizontal="right"/>
    </xf>
    <xf numFmtId="164" fontId="0" fillId="3" borderId="12" xfId="1" applyNumberFormat="1" applyFont="1" applyFill="1" applyBorder="1"/>
    <xf numFmtId="0" fontId="7" fillId="6" borderId="10" xfId="0" applyFont="1" applyFill="1" applyBorder="1"/>
    <xf numFmtId="0" fontId="13" fillId="0" borderId="0" xfId="0" applyFont="1" applyFill="1" applyBorder="1" applyAlignment="1">
      <alignment horizontal="right" wrapText="1"/>
    </xf>
    <xf numFmtId="3" fontId="14" fillId="0" borderId="0" xfId="0" applyNumberFormat="1" applyFont="1" applyFill="1" applyBorder="1" applyAlignment="1">
      <alignment horizontal="right"/>
    </xf>
    <xf numFmtId="0" fontId="14" fillId="0" borderId="0" xfId="0" applyFont="1" applyFill="1" applyAlignment="1">
      <alignment horizontal="right"/>
    </xf>
    <xf numFmtId="43" fontId="14" fillId="0" borderId="0" xfId="0" applyNumberFormat="1" applyFont="1" applyFill="1" applyAlignment="1">
      <alignment horizontal="right"/>
    </xf>
    <xf numFmtId="0" fontId="0" fillId="3" borderId="14" xfId="0" applyFill="1" applyBorder="1"/>
    <xf numFmtId="0" fontId="7" fillId="3" borderId="0" xfId="0" applyFont="1" applyFill="1" applyBorder="1" applyAlignment="1">
      <alignment horizontal="left"/>
    </xf>
    <xf numFmtId="0" fontId="7" fillId="7" borderId="10" xfId="0" applyFont="1" applyFill="1" applyBorder="1"/>
    <xf numFmtId="0" fontId="0" fillId="2" borderId="12" xfId="0" applyFill="1" applyBorder="1" applyAlignment="1">
      <alignment horizontal="right"/>
    </xf>
    <xf numFmtId="164" fontId="0" fillId="2" borderId="12" xfId="1" applyNumberFormat="1" applyFont="1" applyFill="1" applyBorder="1"/>
    <xf numFmtId="0" fontId="8" fillId="2" borderId="10" xfId="0" applyFont="1" applyFill="1" applyBorder="1"/>
    <xf numFmtId="0" fontId="15" fillId="2" borderId="10" xfId="0" applyFont="1" applyFill="1" applyBorder="1"/>
    <xf numFmtId="43" fontId="0" fillId="0" borderId="0" xfId="0" applyNumberFormat="1"/>
    <xf numFmtId="0" fontId="0" fillId="2" borderId="14" xfId="0" applyFill="1" applyBorder="1" applyAlignment="1">
      <alignment horizontal="right"/>
    </xf>
    <xf numFmtId="0" fontId="8" fillId="3" borderId="10" xfId="0" applyFont="1" applyFill="1" applyBorder="1" applyAlignment="1">
      <alignment horizontal="center"/>
    </xf>
    <xf numFmtId="14" fontId="0" fillId="3" borderId="16" xfId="0" applyNumberFormat="1" applyFill="1" applyBorder="1"/>
    <xf numFmtId="0" fontId="0" fillId="3" borderId="15" xfId="0" applyFill="1" applyBorder="1" applyAlignment="1">
      <alignment horizontal="center"/>
    </xf>
    <xf numFmtId="0" fontId="0" fillId="3" borderId="15" xfId="0" applyFill="1" applyBorder="1"/>
    <xf numFmtId="0" fontId="0" fillId="3" borderId="15" xfId="0" applyFill="1" applyBorder="1" applyAlignment="1">
      <alignment horizontal="right"/>
    </xf>
    <xf numFmtId="164" fontId="0" fillId="3" borderId="15" xfId="1" applyNumberFormat="1" applyFont="1" applyFill="1" applyBorder="1"/>
    <xf numFmtId="9" fontId="0" fillId="3" borderId="8" xfId="260" applyFont="1" applyFill="1" applyBorder="1"/>
    <xf numFmtId="9" fontId="0" fillId="3" borderId="10" xfId="260" applyFont="1" applyFill="1" applyBorder="1"/>
    <xf numFmtId="9" fontId="0" fillId="3" borderId="15" xfId="260" applyFont="1" applyFill="1" applyBorder="1"/>
    <xf numFmtId="9" fontId="7" fillId="2" borderId="14" xfId="260" applyFont="1" applyFill="1" applyBorder="1"/>
    <xf numFmtId="9" fontId="0" fillId="3" borderId="12" xfId="260" applyFont="1" applyFill="1" applyBorder="1"/>
    <xf numFmtId="9" fontId="0" fillId="2" borderId="12" xfId="260" applyFont="1" applyFill="1" applyBorder="1"/>
    <xf numFmtId="9" fontId="4" fillId="0" borderId="0" xfId="260" applyFont="1" applyAlignment="1">
      <alignment horizontal="center" wrapText="1"/>
    </xf>
    <xf numFmtId="9" fontId="0" fillId="0" borderId="2" xfId="260" applyFont="1" applyBorder="1"/>
    <xf numFmtId="9" fontId="0" fillId="0" borderId="0" xfId="260" applyFont="1" applyBorder="1"/>
    <xf numFmtId="9" fontId="0" fillId="0" borderId="5" xfId="260" applyFont="1" applyBorder="1"/>
    <xf numFmtId="3" fontId="0" fillId="2" borderId="14" xfId="0" applyNumberFormat="1" applyFill="1" applyBorder="1"/>
    <xf numFmtId="9" fontId="0" fillId="2" borderId="14" xfId="260" applyFont="1" applyFill="1" applyBorder="1"/>
    <xf numFmtId="9" fontId="7" fillId="2" borderId="12" xfId="260" applyFont="1" applyFill="1" applyBorder="1"/>
    <xf numFmtId="9" fontId="3" fillId="3" borderId="8" xfId="260" applyFont="1" applyFill="1" applyBorder="1" applyAlignment="1">
      <alignment horizontal="right"/>
    </xf>
    <xf numFmtId="9" fontId="3" fillId="3" borderId="10" xfId="260" applyFont="1" applyFill="1" applyBorder="1" applyAlignment="1">
      <alignment horizontal="right"/>
    </xf>
    <xf numFmtId="9" fontId="3" fillId="3" borderId="12" xfId="260" applyFont="1" applyFill="1" applyBorder="1" applyAlignment="1">
      <alignment horizontal="right"/>
    </xf>
    <xf numFmtId="9" fontId="3" fillId="0" borderId="2" xfId="260" applyFont="1" applyBorder="1"/>
    <xf numFmtId="9" fontId="3" fillId="0" borderId="0" xfId="260" applyFont="1" applyBorder="1"/>
    <xf numFmtId="9" fontId="3" fillId="0" borderId="5" xfId="260" applyFont="1" applyBorder="1"/>
    <xf numFmtId="9" fontId="3" fillId="2" borderId="10" xfId="260" applyFont="1" applyFill="1" applyBorder="1"/>
    <xf numFmtId="9" fontId="3" fillId="2" borderId="14" xfId="260" applyFont="1" applyFill="1" applyBorder="1" applyAlignment="1">
      <alignment horizontal="right"/>
    </xf>
    <xf numFmtId="9" fontId="3" fillId="2" borderId="15" xfId="260" applyFont="1" applyFill="1" applyBorder="1"/>
    <xf numFmtId="9" fontId="16" fillId="2" borderId="10" xfId="260" applyFont="1" applyFill="1" applyBorder="1"/>
    <xf numFmtId="9" fontId="16" fillId="2" borderId="10" xfId="260" applyFont="1" applyFill="1" applyBorder="1" applyAlignment="1">
      <alignment horizontal="right"/>
    </xf>
    <xf numFmtId="0" fontId="3" fillId="2" borderId="10" xfId="0" applyFont="1" applyFill="1" applyBorder="1" applyAlignment="1">
      <alignment horizontal="right"/>
    </xf>
    <xf numFmtId="9" fontId="3" fillId="3" borderId="10" xfId="260" applyFont="1" applyFill="1" applyBorder="1"/>
    <xf numFmtId="9" fontId="3" fillId="3" borderId="14" xfId="260" applyFont="1" applyFill="1" applyBorder="1" applyAlignment="1">
      <alignment horizontal="right"/>
    </xf>
    <xf numFmtId="9" fontId="3" fillId="3" borderId="15" xfId="260" applyFont="1" applyFill="1" applyBorder="1"/>
    <xf numFmtId="9" fontId="16" fillId="3" borderId="10" xfId="260" applyFont="1" applyFill="1" applyBorder="1"/>
    <xf numFmtId="9" fontId="16" fillId="3" borderId="10" xfId="260" applyFont="1" applyFill="1" applyBorder="1" applyAlignment="1">
      <alignment horizontal="right"/>
    </xf>
    <xf numFmtId="14" fontId="0" fillId="3" borderId="13" xfId="0" applyNumberFormat="1" applyFill="1" applyBorder="1"/>
    <xf numFmtId="0" fontId="0" fillId="3" borderId="14" xfId="0" applyFill="1" applyBorder="1" applyAlignment="1">
      <alignment horizontal="center"/>
    </xf>
    <xf numFmtId="0" fontId="0" fillId="3" borderId="14" xfId="0" applyFill="1" applyBorder="1" applyAlignment="1">
      <alignment horizontal="right"/>
    </xf>
    <xf numFmtId="164" fontId="0" fillId="3" borderId="14" xfId="1" applyNumberFormat="1" applyFont="1" applyFill="1" applyBorder="1"/>
    <xf numFmtId="9" fontId="0" fillId="3" borderId="14" xfId="260" applyFont="1" applyFill="1" applyBorder="1"/>
    <xf numFmtId="3" fontId="0" fillId="3" borderId="14" xfId="0" applyNumberFormat="1" applyFill="1" applyBorder="1"/>
    <xf numFmtId="9" fontId="16" fillId="2" borderId="12" xfId="260" applyFont="1" applyFill="1" applyBorder="1"/>
    <xf numFmtId="0" fontId="7" fillId="2" borderId="0" xfId="0" applyFont="1" applyFill="1" applyBorder="1" applyAlignment="1">
      <alignment horizontal="left"/>
    </xf>
    <xf numFmtId="164" fontId="0" fillId="2" borderId="14" xfId="1" applyNumberFormat="1" applyFont="1" applyFill="1" applyBorder="1"/>
    <xf numFmtId="9" fontId="16" fillId="3" borderId="12" xfId="260" applyFont="1" applyFill="1" applyBorder="1"/>
    <xf numFmtId="0" fontId="5" fillId="0" borderId="0" xfId="0" applyFont="1" applyBorder="1" applyAlignment="1">
      <alignment horizontal="center" wrapText="1"/>
    </xf>
    <xf numFmtId="164" fontId="5" fillId="0" borderId="0" xfId="1" applyNumberFormat="1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164" fontId="5" fillId="0" borderId="17" xfId="1" applyNumberFormat="1" applyFont="1" applyBorder="1" applyAlignment="1">
      <alignment horizontal="center" wrapText="1"/>
    </xf>
    <xf numFmtId="0" fontId="0" fillId="0" borderId="3" xfId="0" applyBorder="1" applyAlignment="1">
      <alignment horizontal="right"/>
    </xf>
    <xf numFmtId="164" fontId="0" fillId="0" borderId="18" xfId="1" applyNumberFormat="1" applyFont="1" applyBorder="1"/>
    <xf numFmtId="0" fontId="0" fillId="0" borderId="4" xfId="0" applyBorder="1" applyAlignment="1">
      <alignment horizontal="right"/>
    </xf>
    <xf numFmtId="164" fontId="0" fillId="0" borderId="19" xfId="1" applyNumberFormat="1" applyFont="1" applyBorder="1"/>
    <xf numFmtId="14" fontId="17" fillId="0" borderId="0" xfId="0" applyNumberFormat="1" applyFont="1" applyFill="1" applyBorder="1" applyAlignment="1"/>
    <xf numFmtId="14" fontId="3" fillId="0" borderId="0" xfId="0" applyNumberFormat="1" applyFont="1"/>
    <xf numFmtId="0" fontId="5" fillId="0" borderId="0" xfId="0" applyFont="1"/>
    <xf numFmtId="164" fontId="5" fillId="0" borderId="0" xfId="1" applyNumberFormat="1" applyFont="1"/>
    <xf numFmtId="14" fontId="5" fillId="0" borderId="0" xfId="0" applyNumberFormat="1" applyFont="1"/>
    <xf numFmtId="0" fontId="5" fillId="0" borderId="0" xfId="0" applyFont="1" applyBorder="1"/>
    <xf numFmtId="164" fontId="5" fillId="0" borderId="0" xfId="1" applyNumberFormat="1" applyFont="1" applyBorder="1"/>
    <xf numFmtId="0" fontId="0" fillId="0" borderId="6" xfId="0" applyBorder="1"/>
    <xf numFmtId="0" fontId="0" fillId="0" borderId="6" xfId="0" applyFill="1" applyBorder="1" applyAlignment="1">
      <alignment horizontal="left"/>
    </xf>
    <xf numFmtId="164" fontId="0" fillId="0" borderId="6" xfId="1" applyNumberFormat="1" applyFont="1" applyBorder="1"/>
    <xf numFmtId="0" fontId="0" fillId="0" borderId="6" xfId="0" applyBorder="1" applyAlignment="1">
      <alignment horizontal="right"/>
    </xf>
    <xf numFmtId="165" fontId="5" fillId="0" borderId="0" xfId="1" applyNumberFormat="1" applyFont="1" applyBorder="1"/>
    <xf numFmtId="14" fontId="5" fillId="0" borderId="0" xfId="0" applyNumberFormat="1" applyFont="1" applyBorder="1" applyAlignment="1">
      <alignment horizontal="center" wrapText="1"/>
    </xf>
    <xf numFmtId="14" fontId="18" fillId="0" borderId="0" xfId="0" applyNumberFormat="1" applyFont="1" applyFill="1" applyBorder="1" applyAlignment="1">
      <alignment horizontal="center"/>
    </xf>
    <xf numFmtId="0" fontId="19" fillId="0" borderId="20" xfId="0" applyFont="1" applyBorder="1" applyAlignment="1">
      <alignment horizontal="center"/>
    </xf>
    <xf numFmtId="9" fontId="0" fillId="0" borderId="6" xfId="260" applyFont="1" applyBorder="1"/>
    <xf numFmtId="164" fontId="19" fillId="0" borderId="20" xfId="1" applyNumberFormat="1" applyFont="1" applyBorder="1" applyAlignment="1">
      <alignment horizontal="center"/>
    </xf>
    <xf numFmtId="43" fontId="0" fillId="0" borderId="0" xfId="1" applyFont="1" applyBorder="1"/>
    <xf numFmtId="43" fontId="0" fillId="0" borderId="6" xfId="0" applyNumberFormat="1" applyBorder="1"/>
    <xf numFmtId="0" fontId="15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164" fontId="0" fillId="0" borderId="0" xfId="1" applyNumberFormat="1" applyFont="1" applyAlignment="1">
      <alignment wrapText="1"/>
    </xf>
    <xf numFmtId="164" fontId="3" fillId="0" borderId="0" xfId="1" applyNumberFormat="1" applyFont="1" applyAlignment="1">
      <alignment wrapText="1"/>
    </xf>
    <xf numFmtId="164" fontId="3" fillId="0" borderId="21" xfId="1" applyNumberFormat="1" applyFont="1" applyBorder="1" applyAlignment="1">
      <alignment wrapText="1"/>
    </xf>
    <xf numFmtId="164" fontId="0" fillId="0" borderId="22" xfId="1" applyNumberFormat="1" applyFont="1" applyBorder="1" applyAlignment="1">
      <alignment wrapText="1"/>
    </xf>
    <xf numFmtId="164" fontId="0" fillId="0" borderId="23" xfId="1" applyNumberFormat="1" applyFont="1" applyBorder="1" applyAlignment="1">
      <alignment wrapText="1"/>
    </xf>
    <xf numFmtId="164" fontId="0" fillId="0" borderId="22" xfId="1" applyNumberFormat="1" applyFont="1" applyBorder="1"/>
    <xf numFmtId="164" fontId="15" fillId="0" borderId="22" xfId="1" applyNumberFormat="1" applyFont="1" applyBorder="1" applyAlignment="1">
      <alignment wrapText="1"/>
    </xf>
    <xf numFmtId="0" fontId="8" fillId="3" borderId="10" xfId="0" applyFont="1" applyFill="1" applyBorder="1"/>
    <xf numFmtId="0" fontId="0" fillId="3" borderId="10" xfId="0" applyFont="1" applyFill="1" applyBorder="1"/>
    <xf numFmtId="164" fontId="15" fillId="0" borderId="0" xfId="1" applyNumberFormat="1" applyFont="1" applyBorder="1"/>
  </cellXfs>
  <cellStyles count="1453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Normal" xfId="0" builtinId="0"/>
    <cellStyle name="Percent" xfId="260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SPAWNING</a:t>
            </a:r>
            <a:r>
              <a:rPr lang="en-US" sz="2800" baseline="0"/>
              <a:t> DATA, COLOR CODED BY POPULATION</a:t>
            </a:r>
            <a:endParaRPr lang="en-US" sz="2800"/>
          </a:p>
        </c:rich>
      </c:tx>
      <c:layout>
        <c:manualLayout>
          <c:xMode val="edge"/>
          <c:yMode val="edge"/>
          <c:x val="0.288127043778532"/>
          <c:y val="0.0687772984885757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630453329256173"/>
          <c:y val="0.0515021459227468"/>
          <c:w val="0.915630723014678"/>
          <c:h val="0.8826390316197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'Date Chart'!$B$2</c:f>
              <c:strCache>
                <c:ptCount val="1"/>
                <c:pt idx="0">
                  <c:v>SN-10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Chart'!$B:$B</c:f>
              <c:numCache>
                <c:formatCode>General</c:formatCode>
                <c:ptCount val="1048576"/>
                <c:pt idx="1">
                  <c:v>0.0</c:v>
                </c:pt>
                <c:pt idx="2" formatCode="_(* #,##0_);_(* \(#,##0\);_(* &quot;-&quot;??_);_(@_)">
                  <c:v>0.0</c:v>
                </c:pt>
                <c:pt idx="3" formatCode="_(* #,##0_);_(* \(#,##0\);_(* &quot;-&quot;??_);_(@_)">
                  <c:v>0.0</c:v>
                </c:pt>
                <c:pt idx="4" formatCode="_(* #,##0_);_(* \(#,##0\);_(* &quot;-&quot;??_);_(@_)">
                  <c:v>0.0</c:v>
                </c:pt>
                <c:pt idx="5" formatCode="_(* #,##0_);_(* \(#,##0\);_(* &quot;-&quot;??_);_(@_)">
                  <c:v>0.0</c:v>
                </c:pt>
                <c:pt idx="6" formatCode="_(* #,##0_);_(* \(#,##0\);_(* &quot;-&quot;??_);_(@_)">
                  <c:v>554500.0</c:v>
                </c:pt>
                <c:pt idx="7" formatCode="_(* #,##0_);_(* \(#,##0\);_(* &quot;-&quot;??_);_(@_)">
                  <c:v>0.0</c:v>
                </c:pt>
                <c:pt idx="8" formatCode="_(* #,##0_);_(* \(#,##0\);_(* &quot;-&quot;??_);_(@_)">
                  <c:v>53000.0</c:v>
                </c:pt>
                <c:pt idx="9" formatCode="_(* #,##0_);_(* \(#,##0\);_(* &quot;-&quot;??_);_(@_)">
                  <c:v>250.0</c:v>
                </c:pt>
                <c:pt idx="10" formatCode="_(* #,##0_);_(* \(#,##0\);_(* &quot;-&quot;??_);_(@_)">
                  <c:v>0.0</c:v>
                </c:pt>
                <c:pt idx="11" formatCode="_(* #,##0_);_(* \(#,##0\);_(* &quot;-&quot;??_);_(@_)">
                  <c:v>309333.3333333333</c:v>
                </c:pt>
                <c:pt idx="12" formatCode="_(* #,##0_);_(* \(#,##0\);_(* &quot;-&quot;??_);_(@_)">
                  <c:v>447466.6666666667</c:v>
                </c:pt>
                <c:pt idx="13" formatCode="_(* #,##0_);_(* \(#,##0\);_(* &quot;-&quot;??_);_(@_)">
                  <c:v>0.0</c:v>
                </c:pt>
                <c:pt idx="14" formatCode="_(* #,##0_);_(* \(#,##0\);_(* &quot;-&quot;??_);_(@_)">
                  <c:v>38266.66666666666</c:v>
                </c:pt>
                <c:pt idx="15" formatCode="_(* #,##0_);_(* \(#,##0\);_(* &quot;-&quot;??_);_(@_)">
                  <c:v>0.0</c:v>
                </c:pt>
                <c:pt idx="16" formatCode="_(* #,##0_);_(* \(#,##0\);_(* &quot;-&quot;??_);_(@_)">
                  <c:v>0.0</c:v>
                </c:pt>
                <c:pt idx="17" formatCode="_(* #,##0_);_(* \(#,##0\);_(* &quot;-&quot;??_);_(@_)">
                  <c:v>0.0</c:v>
                </c:pt>
                <c:pt idx="18" formatCode="_(* #,##0_);_(* \(#,##0\);_(* &quot;-&quot;??_);_(@_)">
                  <c:v>0.0</c:v>
                </c:pt>
                <c:pt idx="19" formatCode="_(* #,##0_);_(* \(#,##0\);_(* &quot;-&quot;??_);_(@_)">
                  <c:v>0.0</c:v>
                </c:pt>
                <c:pt idx="20" formatCode="_(* #,##0_);_(* \(#,##0\);_(* &quot;-&quot;??_);_(@_)">
                  <c:v>0.0</c:v>
                </c:pt>
                <c:pt idx="21" formatCode="_(* #,##0_);_(* \(#,##0\);_(* &quot;-&quot;??_);_(@_)">
                  <c:v>0.0</c:v>
                </c:pt>
                <c:pt idx="22" formatCode="_(* #,##0_);_(* \(#,##0\);_(* &quot;-&quot;??_);_(@_)">
                  <c:v>0.0</c:v>
                </c:pt>
                <c:pt idx="23" formatCode="_(* #,##0_);_(* \(#,##0\);_(* &quot;-&quot;??_);_(@_)">
                  <c:v>0.0</c:v>
                </c:pt>
                <c:pt idx="24" formatCode="_(* #,##0_);_(* \(#,##0\);_(* &quot;-&quot;??_);_(@_)">
                  <c:v>0.0</c:v>
                </c:pt>
                <c:pt idx="25" formatCode="_(* #,##0_);_(* \(#,##0\);_(* &quot;-&quot;??_);_(@_)">
                  <c:v>326906.6666666667</c:v>
                </c:pt>
                <c:pt idx="26" formatCode="_(* #,##0_);_(* \(#,##0\);_(* &quot;-&quot;??_);_(@_)">
                  <c:v>182050.0</c:v>
                </c:pt>
                <c:pt idx="27" formatCode="_(* #,##0_);_(* \(#,##0\);_(* &quot;-&quot;??_);_(@_)">
                  <c:v>0.0</c:v>
                </c:pt>
                <c:pt idx="28" formatCode="_(* #,##0_);_(* \(#,##0\);_(* &quot;-&quot;??_);_(@_)">
                  <c:v>6300.0</c:v>
                </c:pt>
                <c:pt idx="29" formatCode="_(* #,##0_);_(* \(#,##0\);_(* &quot;-&quot;??_);_(@_)">
                  <c:v>0.0</c:v>
                </c:pt>
                <c:pt idx="30" formatCode="_(* #,##0_);_(* \(#,##0\);_(* &quot;-&quot;??_);_(@_)">
                  <c:v>0.0</c:v>
                </c:pt>
                <c:pt idx="31" formatCode="_(* #,##0_);_(* \(#,##0\);_(* &quot;-&quot;??_);_(@_)">
                  <c:v>0.0</c:v>
                </c:pt>
                <c:pt idx="32" formatCode="_(* #,##0_);_(* \(#,##0\);_(* &quot;-&quot;??_);_(@_)">
                  <c:v>0.0</c:v>
                </c:pt>
                <c:pt idx="33" formatCode="_(* #,##0_);_(* \(#,##0\);_(* &quot;-&quot;??_);_(@_)">
                  <c:v>0.0</c:v>
                </c:pt>
                <c:pt idx="34" formatCode="_(* #,##0_);_(* \(#,##0\);_(* &quot;-&quot;??_);_(@_)">
                  <c:v>0.0</c:v>
                </c:pt>
                <c:pt idx="35" formatCode="_(* #,##0_);_(* \(#,##0\);_(* &quot;-&quot;??_);_(@_)">
                  <c:v>0.0</c:v>
                </c:pt>
                <c:pt idx="36" formatCode="_(* #,##0_);_(* \(#,##0\);_(* &quot;-&quot;??_);_(@_)">
                  <c:v>0.0</c:v>
                </c:pt>
                <c:pt idx="37" formatCode="_(* #,##0_);_(* \(#,##0\);_(* &quot;-&quot;??_);_(@_)">
                  <c:v>0.0</c:v>
                </c:pt>
                <c:pt idx="38" formatCode="_(* #,##0_);_(* \(#,##0\);_(* &quot;-&quot;??_);_(@_)">
                  <c:v>0.0</c:v>
                </c:pt>
                <c:pt idx="39" formatCode="_(* #,##0_);_(* \(#,##0\);_(* &quot;-&quot;??_);_(@_)">
                  <c:v>0.0</c:v>
                </c:pt>
                <c:pt idx="40" formatCode="_(* #,##0_);_(* \(#,##0\);_(* &quot;-&quot;??_);_(@_)">
                  <c:v>0.0</c:v>
                </c:pt>
                <c:pt idx="41" formatCode="_(* #,##0_);_(* \(#,##0\);_(* &quot;-&quot;??_);_(@_)">
                  <c:v>0.0</c:v>
                </c:pt>
                <c:pt idx="42" formatCode="_(* #,##0_);_(* \(#,##0\);_(* &quot;-&quot;??_);_(@_)">
                  <c:v>0.0</c:v>
                </c:pt>
                <c:pt idx="43" formatCode="_(* #,##0_);_(* \(#,##0\);_(* &quot;-&quot;??_);_(@_)">
                  <c:v>0.0</c:v>
                </c:pt>
                <c:pt idx="44" formatCode="_(* #,##0_);_(* \(#,##0\);_(* &quot;-&quot;??_);_(@_)">
                  <c:v>0.0</c:v>
                </c:pt>
                <c:pt idx="45" formatCode="_(* #,##0_);_(* \(#,##0\);_(* &quot;-&quot;??_);_(@_)">
                  <c:v>0.0</c:v>
                </c:pt>
                <c:pt idx="46" formatCode="_(* #,##0_);_(* \(#,##0\);_(* &quot;-&quot;??_);_(@_)">
                  <c:v>0.0</c:v>
                </c:pt>
                <c:pt idx="47" formatCode="_(* #,##0_);_(* \(#,##0\);_(* &quot;-&quot;??_);_(@_)">
                  <c:v>0.0</c:v>
                </c:pt>
                <c:pt idx="48" formatCode="_(* #,##0_);_(* \(#,##0\);_(* &quot;-&quot;??_);_(@_)">
                  <c:v>0.0</c:v>
                </c:pt>
                <c:pt idx="49" formatCode="_(* #,##0_);_(* \(#,##0\);_(* &quot;-&quot;??_);_(@_)">
                  <c:v>0.0</c:v>
                </c:pt>
                <c:pt idx="50" formatCode="_(* #,##0_);_(* \(#,##0\);_(* &quot;-&quot;??_);_(@_)">
                  <c:v>0.0</c:v>
                </c:pt>
                <c:pt idx="51" formatCode="_(* #,##0_);_(* \(#,##0\);_(* &quot;-&quot;??_);_(@_)">
                  <c:v>0.0</c:v>
                </c:pt>
                <c:pt idx="52" formatCode="_(* #,##0_);_(* \(#,##0\);_(* &quot;-&quot;??_);_(@_)">
                  <c:v>0.0</c:v>
                </c:pt>
                <c:pt idx="53" formatCode="_(* #,##0_);_(* \(#,##0\);_(* &quot;-&quot;??_);_(@_)">
                  <c:v>0.0</c:v>
                </c:pt>
                <c:pt idx="54" formatCode="_(* #,##0_);_(* \(#,##0\);_(* &quot;-&quot;??_);_(@_)">
                  <c:v>0.0</c:v>
                </c:pt>
                <c:pt idx="55" formatCode="_(* #,##0_);_(* \(#,##0\);_(* &quot;-&quot;??_);_(@_)">
                  <c:v>0.0</c:v>
                </c:pt>
                <c:pt idx="56" formatCode="_(* #,##0_);_(* \(#,##0\);_(* &quot;-&quot;??_);_(@_)">
                  <c:v>0.0</c:v>
                </c:pt>
                <c:pt idx="57" formatCode="_(* #,##0_);_(* \(#,##0\);_(* &quot;-&quot;??_);_(@_)">
                  <c:v>0.0</c:v>
                </c:pt>
                <c:pt idx="58" formatCode="_(* #,##0_);_(* \(#,##0\);_(* &quot;-&quot;??_);_(@_)">
                  <c:v>0.0</c:v>
                </c:pt>
                <c:pt idx="59" formatCode="_(* #,##0_);_(* \(#,##0\);_(* &quot;-&quot;??_);_(@_)">
                  <c:v>0.0</c:v>
                </c:pt>
                <c:pt idx="60" formatCode="_(* #,##0_);_(* \(#,##0\);_(* &quot;-&quot;??_);_(@_)">
                  <c:v>0.0</c:v>
                </c:pt>
                <c:pt idx="61" formatCode="_(* #,##0_);_(* \(#,##0\);_(* &quot;-&quot;??_);_(@_)">
                  <c:v>0.0</c:v>
                </c:pt>
                <c:pt idx="62" formatCode="_(* #,##0_);_(* \(#,##0\);_(* &quot;-&quot;??_);_(@_)">
                  <c:v>0.0</c:v>
                </c:pt>
                <c:pt idx="63" formatCode="_(* #,##0_);_(* \(#,##0\);_(* &quot;-&quot;??_);_(@_)">
                  <c:v>0.0</c:v>
                </c:pt>
                <c:pt idx="64" formatCode="_(* #,##0_);_(* \(#,##0\);_(* &quot;-&quot;??_);_(@_)">
                  <c:v>0.0</c:v>
                </c:pt>
                <c:pt idx="65" formatCode="_(* #,##0_);_(* \(#,##0\);_(* &quot;-&quot;??_);_(@_)">
                  <c:v>0.0</c:v>
                </c:pt>
                <c:pt idx="66" formatCode="_(* #,##0_);_(* \(#,##0\);_(* &quot;-&quot;??_);_(@_)">
                  <c:v>0.0</c:v>
                </c:pt>
                <c:pt idx="67" formatCode="_(* #,##0_);_(* \(#,##0\);_(* &quot;-&quot;??_);_(@_)">
                  <c:v>0.0</c:v>
                </c:pt>
                <c:pt idx="68" formatCode="_(* #,##0_);_(* \(#,##0\);_(* &quot;-&quot;??_);_(@_)">
                  <c:v>0.0</c:v>
                </c:pt>
                <c:pt idx="69" formatCode="_(* #,##0_);_(* \(#,##0\);_(* &quot;-&quot;??_);_(@_)">
                  <c:v>0.0</c:v>
                </c:pt>
                <c:pt idx="70" formatCode="_(* #,##0_);_(* \(#,##0\);_(* &quot;-&quot;??_);_(@_)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'Date Chart'!$C$2</c:f>
              <c:strCache>
                <c:ptCount val="1"/>
                <c:pt idx="0">
                  <c:v>SN-10 Low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Chart'!$C$3:$C$71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404466.6666666667</c:v>
                </c:pt>
                <c:pt idx="7">
                  <c:v>11200.0</c:v>
                </c:pt>
                <c:pt idx="8">
                  <c:v>0.0</c:v>
                </c:pt>
                <c:pt idx="9">
                  <c:v>0.0</c:v>
                </c:pt>
                <c:pt idx="10">
                  <c:v>172266.6666666667</c:v>
                </c:pt>
                <c:pt idx="11">
                  <c:v>0.0</c:v>
                </c:pt>
                <c:pt idx="12">
                  <c:v>67600.0</c:v>
                </c:pt>
                <c:pt idx="13">
                  <c:v>0.0</c:v>
                </c:pt>
                <c:pt idx="14">
                  <c:v>0.0</c:v>
                </c:pt>
                <c:pt idx="15">
                  <c:v>115733.3333333333</c:v>
                </c:pt>
                <c:pt idx="16">
                  <c:v>156750.0</c:v>
                </c:pt>
                <c:pt idx="17">
                  <c:v>0.0</c:v>
                </c:pt>
                <c:pt idx="18">
                  <c:v>4500.0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377373.3333333333</c:v>
                </c:pt>
                <c:pt idx="35">
                  <c:v>128000.0</c:v>
                </c:pt>
                <c:pt idx="36">
                  <c:v>0.0</c:v>
                </c:pt>
                <c:pt idx="37">
                  <c:v>1866.666666666667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'Date Chart'!$D$2</c:f>
              <c:strCache>
                <c:ptCount val="1"/>
                <c:pt idx="0">
                  <c:v>SN-6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Chart'!$D$3:$D$71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69066.66666666666</c:v>
                </c:pt>
                <c:pt idx="4">
                  <c:v>461500.0</c:v>
                </c:pt>
                <c:pt idx="5">
                  <c:v>0.0</c:v>
                </c:pt>
                <c:pt idx="6">
                  <c:v>1416.666666666667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1400.0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163200.0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'Date Chart'!$E$2</c:f>
              <c:strCache>
                <c:ptCount val="1"/>
                <c:pt idx="0">
                  <c:v>NF-6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Chart'!$E$3:$E$71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307800.0</c:v>
                </c:pt>
                <c:pt idx="15">
                  <c:v>190400.0</c:v>
                </c:pt>
                <c:pt idx="16">
                  <c:v>8016.666666666666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81600.0</c:v>
                </c:pt>
                <c:pt idx="26">
                  <c:v>1586.666666666667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'Date Chart'!$F$2</c:f>
              <c:strCache>
                <c:ptCount val="1"/>
                <c:pt idx="0">
                  <c:v>SN-10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Chart'!$F$3:$F$71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80666.66666666666</c:v>
                </c:pt>
                <c:pt idx="4">
                  <c:v>0.0</c:v>
                </c:pt>
                <c:pt idx="5">
                  <c:v>0.0</c:v>
                </c:pt>
                <c:pt idx="6">
                  <c:v>9400.0</c:v>
                </c:pt>
                <c:pt idx="7">
                  <c:v>5750.0</c:v>
                </c:pt>
                <c:pt idx="8">
                  <c:v>201600.0</c:v>
                </c:pt>
                <c:pt idx="9">
                  <c:v>8960.0</c:v>
                </c:pt>
                <c:pt idx="10">
                  <c:v>194666.6666666667</c:v>
                </c:pt>
                <c:pt idx="11">
                  <c:v>3400.0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406800.0</c:v>
                </c:pt>
                <c:pt idx="22">
                  <c:v>0.0</c:v>
                </c:pt>
                <c:pt idx="23">
                  <c:v>177173.3333333333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68250.0</c:v>
                </c:pt>
                <c:pt idx="35">
                  <c:v>77866.66666666666</c:v>
                </c:pt>
                <c:pt idx="36">
                  <c:v>0.0</c:v>
                </c:pt>
                <c:pt idx="37">
                  <c:v>1166.666666666667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'Date Chart'!$G$2</c:f>
              <c:strCache>
                <c:ptCount val="1"/>
                <c:pt idx="0">
                  <c:v>SN-6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Chart'!$G$3:$G$71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218033.3333333333</c:v>
                </c:pt>
                <c:pt idx="7">
                  <c:v>3583.333333333333</c:v>
                </c:pt>
                <c:pt idx="8">
                  <c:v>0.0</c:v>
                </c:pt>
                <c:pt idx="9">
                  <c:v>0.0</c:v>
                </c:pt>
                <c:pt idx="10">
                  <c:v>8166.666666666666</c:v>
                </c:pt>
                <c:pt idx="11">
                  <c:v>24500.0</c:v>
                </c:pt>
                <c:pt idx="12">
                  <c:v>209066.6666666667</c:v>
                </c:pt>
                <c:pt idx="13">
                  <c:v>4500.0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150166.6666666667</c:v>
                </c:pt>
                <c:pt idx="24">
                  <c:v>0.0</c:v>
                </c:pt>
                <c:pt idx="25">
                  <c:v>484266.6666666667</c:v>
                </c:pt>
                <c:pt idx="26">
                  <c:v>9866.666666666668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235200.0</c:v>
                </c:pt>
                <c:pt idx="36">
                  <c:v>0.0</c:v>
                </c:pt>
                <c:pt idx="37">
                  <c:v>104533.3333333333</c:v>
                </c:pt>
                <c:pt idx="38">
                  <c:v>0.0</c:v>
                </c:pt>
                <c:pt idx="39">
                  <c:v>29920.0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'Date Chart'!$H$2</c:f>
              <c:strCache>
                <c:ptCount val="1"/>
                <c:pt idx="0">
                  <c:v>SN-10 Low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Chart'!$H$3:$H$71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98000.0</c:v>
                </c:pt>
                <c:pt idx="4">
                  <c:v>77250.0</c:v>
                </c:pt>
                <c:pt idx="5">
                  <c:v>0.0</c:v>
                </c:pt>
                <c:pt idx="6">
                  <c:v>2666.666666666667</c:v>
                </c:pt>
                <c:pt idx="7">
                  <c:v>200.0</c:v>
                </c:pt>
                <c:pt idx="8">
                  <c:v>0.0</c:v>
                </c:pt>
                <c:pt idx="9">
                  <c:v>281000.0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378000.0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'Date Chart'!$I$2</c:f>
              <c:strCache>
                <c:ptCount val="1"/>
                <c:pt idx="0">
                  <c:v>SN-6 Low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Chart'!$I$3:$I$71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210133.3333333333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245660.0</c:v>
                </c:pt>
                <c:pt idx="17">
                  <c:v>0.0</c:v>
                </c:pt>
                <c:pt idx="18">
                  <c:v>7900.0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1400.0</c:v>
                </c:pt>
                <c:pt idx="33">
                  <c:v>0.0</c:v>
                </c:pt>
                <c:pt idx="34">
                  <c:v>808800.0</c:v>
                </c:pt>
                <c:pt idx="35">
                  <c:v>121066.6666666667</c:v>
                </c:pt>
                <c:pt idx="36">
                  <c:v>0.0</c:v>
                </c:pt>
                <c:pt idx="37">
                  <c:v>1833.333333333333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'Date Chart'!$J$2</c:f>
              <c:strCache>
                <c:ptCount val="1"/>
                <c:pt idx="0">
                  <c:v>K-10 Low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Chart'!$J$3:$J$71</c:f>
              <c:numCache>
                <c:formatCode>_(* #,##0_);_(* \(#,##0\);_(* "-"??_);_(@_)</c:formatCode>
                <c:ptCount val="69"/>
                <c:pt idx="0">
                  <c:v>37200.0</c:v>
                </c:pt>
                <c:pt idx="1">
                  <c:v>0.0</c:v>
                </c:pt>
                <c:pt idx="2">
                  <c:v>0.0</c:v>
                </c:pt>
                <c:pt idx="3">
                  <c:v>52266.66666666666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241066.6666666667</c:v>
                </c:pt>
                <c:pt idx="13">
                  <c:v>66666.66666666667</c:v>
                </c:pt>
                <c:pt idx="14">
                  <c:v>3400.0</c:v>
                </c:pt>
                <c:pt idx="15">
                  <c:v>10000.0</c:v>
                </c:pt>
                <c:pt idx="16">
                  <c:v>21600.0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190850.0</c:v>
                </c:pt>
                <c:pt idx="25">
                  <c:v>17306.66666666667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13000.0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'Date Chart'!$K$2</c:f>
              <c:strCache>
                <c:ptCount val="1"/>
                <c:pt idx="0">
                  <c:v>SN-6 Low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Chart'!$K$3:$K$71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11866.66666666667</c:v>
                </c:pt>
                <c:pt idx="10">
                  <c:v>250133.3333333333</c:v>
                </c:pt>
                <c:pt idx="11">
                  <c:v>136000.0</c:v>
                </c:pt>
                <c:pt idx="12">
                  <c:v>1000.0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164266.6666666667</c:v>
                </c:pt>
                <c:pt idx="21">
                  <c:v>750.0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154666.6666666667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'Date Chart'!$L$2</c:f>
              <c:strCache>
                <c:ptCount val="1"/>
                <c:pt idx="0">
                  <c:v>HL-10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Chart'!$L$3:$L$71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54400.0</c:v>
                </c:pt>
                <c:pt idx="16">
                  <c:v>268146.6666666667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149050.0</c:v>
                </c:pt>
                <c:pt idx="31">
                  <c:v>0.0</c:v>
                </c:pt>
                <c:pt idx="32">
                  <c:v>176000.0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47466.66666666667</c:v>
                </c:pt>
                <c:pt idx="38">
                  <c:v>0.0</c:v>
                </c:pt>
                <c:pt idx="39">
                  <c:v>125.0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'Date Chart'!$M$2</c:f>
              <c:strCache>
                <c:ptCount val="1"/>
                <c:pt idx="0">
                  <c:v>NF-10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Chart'!$M$3:$M$71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126400.0</c:v>
                </c:pt>
                <c:pt idx="11">
                  <c:v>0.0</c:v>
                </c:pt>
                <c:pt idx="12">
                  <c:v>0.0</c:v>
                </c:pt>
                <c:pt idx="13">
                  <c:v>186133.3333333333</c:v>
                </c:pt>
                <c:pt idx="14">
                  <c:v>0.0</c:v>
                </c:pt>
                <c:pt idx="15">
                  <c:v>0.0</c:v>
                </c:pt>
                <c:pt idx="16">
                  <c:v>2625.0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1466.666666666667</c:v>
                </c:pt>
                <c:pt idx="22">
                  <c:v>0.0</c:v>
                </c:pt>
                <c:pt idx="23">
                  <c:v>74666.66666666666</c:v>
                </c:pt>
                <c:pt idx="24">
                  <c:v>1200.0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'Date Chart'!$N$2</c:f>
              <c:strCache>
                <c:ptCount val="1"/>
                <c:pt idx="0">
                  <c:v>K-6 Low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Chart'!$N$3:$N$71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123200.0</c:v>
                </c:pt>
                <c:pt idx="11">
                  <c:v>1800.0</c:v>
                </c:pt>
                <c:pt idx="12">
                  <c:v>130933.3333333333</c:v>
                </c:pt>
                <c:pt idx="13">
                  <c:v>48406.66666666666</c:v>
                </c:pt>
                <c:pt idx="14">
                  <c:v>0.0</c:v>
                </c:pt>
                <c:pt idx="15">
                  <c:v>4266.666666666666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49600.0</c:v>
                </c:pt>
                <c:pt idx="28">
                  <c:v>9066.666666666668</c:v>
                </c:pt>
                <c:pt idx="29">
                  <c:v>0.0</c:v>
                </c:pt>
                <c:pt idx="30">
                  <c:v>2800.0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'Date Chart'!$O$2</c:f>
              <c:strCache>
                <c:ptCount val="1"/>
                <c:pt idx="0">
                  <c:v>K-10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Chart'!$O$3:$O$71</c:f>
              <c:numCache>
                <c:formatCode>_(* #,##0_);_(* \(#,##0\);_(* "-"??_);_(@_)</c:formatCode>
                <c:ptCount val="69"/>
                <c:pt idx="0">
                  <c:v>47400.0</c:v>
                </c:pt>
                <c:pt idx="1">
                  <c:v>0.0</c:v>
                </c:pt>
                <c:pt idx="2">
                  <c:v>0.0</c:v>
                </c:pt>
                <c:pt idx="3">
                  <c:v>66800.0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108000.0</c:v>
                </c:pt>
                <c:pt idx="10">
                  <c:v>13250.0</c:v>
                </c:pt>
                <c:pt idx="11">
                  <c:v>625.0</c:v>
                </c:pt>
                <c:pt idx="12">
                  <c:v>0.0</c:v>
                </c:pt>
                <c:pt idx="13">
                  <c:v>37566.66666666666</c:v>
                </c:pt>
                <c:pt idx="14">
                  <c:v>31206.66666666667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40533.33333333333</c:v>
                </c:pt>
                <c:pt idx="22">
                  <c:v>0.0</c:v>
                </c:pt>
                <c:pt idx="23">
                  <c:v>63413.33333333333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25166.66666666667</c:v>
                </c:pt>
                <c:pt idx="29">
                  <c:v>0.0</c:v>
                </c:pt>
                <c:pt idx="30">
                  <c:v>1280.0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18166.66666666667</c:v>
                </c:pt>
                <c:pt idx="36">
                  <c:v>0.0</c:v>
                </c:pt>
                <c:pt idx="37">
                  <c:v>12800.0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'Date Chart'!$P$2</c:f>
              <c:strCache>
                <c:ptCount val="1"/>
                <c:pt idx="0">
                  <c:v>NF-10 Ambient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Chart'!$P$3:$P$71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248000.0</c:v>
                </c:pt>
                <c:pt idx="15">
                  <c:v>0.0</c:v>
                </c:pt>
                <c:pt idx="16">
                  <c:v>4916.666666666666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214480.0</c:v>
                </c:pt>
                <c:pt idx="24">
                  <c:v>2933.333333333333</c:v>
                </c:pt>
                <c:pt idx="25">
                  <c:v>0.0</c:v>
                </c:pt>
                <c:pt idx="26">
                  <c:v>0.0</c:v>
                </c:pt>
                <c:pt idx="27">
                  <c:v>224533.3333333333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'Date Chart'!$Q$2</c:f>
              <c:strCache>
                <c:ptCount val="1"/>
                <c:pt idx="0">
                  <c:v>NF-10 Ambient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Chart'!$Q$3:$Q$71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245666.6666666667</c:v>
                </c:pt>
                <c:pt idx="7">
                  <c:v>1000.0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115733.3333333333</c:v>
                </c:pt>
                <c:pt idx="35">
                  <c:v>58133.33333333334</c:v>
                </c:pt>
                <c:pt idx="36">
                  <c:v>0.0</c:v>
                </c:pt>
                <c:pt idx="37">
                  <c:v>666.6666666666666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'Date Chart'!$R$2</c:f>
              <c:strCache>
                <c:ptCount val="1"/>
                <c:pt idx="0">
                  <c:v>HL-10 Ambient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Chart'!$R$3:$R$71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205866.6666666667</c:v>
                </c:pt>
                <c:pt idx="14">
                  <c:v>26320.0</c:v>
                </c:pt>
                <c:pt idx="15">
                  <c:v>2800.0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436800.0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67666.66666666667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'Date Chart'!$S$2</c:f>
              <c:strCache>
                <c:ptCount val="1"/>
                <c:pt idx="0">
                  <c:v>HL-6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Chart'!$S$3:$S$71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3483.333333333333</c:v>
                </c:pt>
                <c:pt idx="3">
                  <c:v>3844.444444444444</c:v>
                </c:pt>
                <c:pt idx="4">
                  <c:v>0.0</c:v>
                </c:pt>
                <c:pt idx="5">
                  <c:v>0.0</c:v>
                </c:pt>
                <c:pt idx="6">
                  <c:v>142666.6666666667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282133.3333333333</c:v>
                </c:pt>
                <c:pt idx="28">
                  <c:v>4391.666666666666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483.3333333333334</c:v>
                </c:pt>
                <c:pt idx="36">
                  <c:v>0.0</c:v>
                </c:pt>
                <c:pt idx="37">
                  <c:v>356266.6666666666</c:v>
                </c:pt>
                <c:pt idx="38">
                  <c:v>0.0</c:v>
                </c:pt>
                <c:pt idx="39">
                  <c:v>165000.0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'Date Chart'!$T$2</c:f>
              <c:strCache>
                <c:ptCount val="1"/>
                <c:pt idx="0">
                  <c:v>NF-6 Ambient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Chart'!$T$3:$T$71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350.0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139800.0</c:v>
                </c:pt>
                <c:pt idx="16">
                  <c:v>7050.0</c:v>
                </c:pt>
                <c:pt idx="17">
                  <c:v>0.0</c:v>
                </c:pt>
                <c:pt idx="18">
                  <c:v>3200.0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'Date Chart'!$U$2</c:f>
              <c:strCache>
                <c:ptCount val="1"/>
                <c:pt idx="0">
                  <c:v>K-6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Chart'!$U$3:$U$71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2041.666666666667</c:v>
                </c:pt>
                <c:pt idx="9">
                  <c:v>89666.66666666667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99733.33333333334</c:v>
                </c:pt>
                <c:pt idx="22">
                  <c:v>0.0</c:v>
                </c:pt>
                <c:pt idx="23">
                  <c:v>132840.0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72053.33333333333</c:v>
                </c:pt>
                <c:pt idx="31">
                  <c:v>0.0</c:v>
                </c:pt>
                <c:pt idx="32">
                  <c:v>4200.0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51150.0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'Date Chart'!$V$2</c:f>
              <c:strCache>
                <c:ptCount val="1"/>
                <c:pt idx="0">
                  <c:v>NF-6 Ambient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Chart'!$V$3:$V$71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466.6666666666666</c:v>
                </c:pt>
                <c:pt idx="12">
                  <c:v>0.0</c:v>
                </c:pt>
                <c:pt idx="13">
                  <c:v>0.0</c:v>
                </c:pt>
                <c:pt idx="14">
                  <c:v>10800.0</c:v>
                </c:pt>
                <c:pt idx="15">
                  <c:v>0.0</c:v>
                </c:pt>
                <c:pt idx="16">
                  <c:v>3575.0</c:v>
                </c:pt>
                <c:pt idx="17">
                  <c:v>0.0</c:v>
                </c:pt>
                <c:pt idx="18">
                  <c:v>1111</c:v>
                </c:pt>
                <c:pt idx="19">
                  <c:v>0.0</c:v>
                </c:pt>
                <c:pt idx="20">
                  <c:v>1333.333333333333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'Date Chart'!$W$2</c:f>
              <c:strCache>
                <c:ptCount val="1"/>
                <c:pt idx="0">
                  <c:v>NF-10 Low A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Chart'!$W$3:$W$71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583.3333333333333</c:v>
                </c:pt>
                <c:pt idx="12">
                  <c:v>2266.666666666667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2333.333333333333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'Date Chart'!$X$2</c:f>
              <c:strCache>
                <c:ptCount val="1"/>
                <c:pt idx="0">
                  <c:v>NF-6 Low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Chart'!$X$3:$X$71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88200.0</c:v>
                </c:pt>
                <c:pt idx="26">
                  <c:v>47025.0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246933.3333333333</c:v>
                </c:pt>
                <c:pt idx="31">
                  <c:v>0.0</c:v>
                </c:pt>
                <c:pt idx="32">
                  <c:v>9400.0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142000.0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'Date Chart'!$Y$2</c:f>
              <c:strCache>
                <c:ptCount val="1"/>
                <c:pt idx="0">
                  <c:v>HL-6 Ambient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Chart'!$Y$3:$Y$71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105066.6666666667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9638376"/>
        <c:axId val="719638728"/>
      </c:barChart>
      <c:dateAx>
        <c:axId val="719638376"/>
        <c:scaling>
          <c:orientation val="minMax"/>
          <c:max val="42917.0"/>
        </c:scaling>
        <c:delete val="0"/>
        <c:axPos val="b"/>
        <c:numFmt formatCode="m/d/yy" sourceLinked="1"/>
        <c:majorTickMark val="out"/>
        <c:minorTickMark val="none"/>
        <c:tickLblPos val="nextTo"/>
        <c:crossAx val="719638728"/>
        <c:crosses val="autoZero"/>
        <c:auto val="1"/>
        <c:lblOffset val="100"/>
        <c:baseTimeUnit val="days"/>
        <c:minorUnit val="1.0"/>
        <c:minorTimeUnit val="days"/>
      </c:dateAx>
      <c:valAx>
        <c:axId val="719638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719638376"/>
        <c:crosses val="autoZero"/>
        <c:crossBetween val="between"/>
      </c:valAx>
      <c:spPr>
        <a:ln w="28575" cmpd="sng"/>
      </c:spPr>
    </c:plotArea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SPAWNING</a:t>
            </a:r>
            <a:r>
              <a:rPr lang="en-US" sz="2800" baseline="0"/>
              <a:t> DATA, COLOR CODED BY TREATMENT</a:t>
            </a:r>
            <a:endParaRPr lang="en-US" sz="2800"/>
          </a:p>
        </c:rich>
      </c:tx>
      <c:layout>
        <c:manualLayout>
          <c:xMode val="edge"/>
          <c:yMode val="edge"/>
          <c:x val="0.288127061360942"/>
          <c:y val="0.049126641777554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'Date Chart'!$B$2</c:f>
              <c:strCache>
                <c:ptCount val="1"/>
                <c:pt idx="0">
                  <c:v>SN-10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Chart'!$B$3:$B$71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554500.0</c:v>
                </c:pt>
                <c:pt idx="5">
                  <c:v>0.0</c:v>
                </c:pt>
                <c:pt idx="6">
                  <c:v>53000.0</c:v>
                </c:pt>
                <c:pt idx="7">
                  <c:v>250.0</c:v>
                </c:pt>
                <c:pt idx="8">
                  <c:v>0.0</c:v>
                </c:pt>
                <c:pt idx="9">
                  <c:v>309333.3333333333</c:v>
                </c:pt>
                <c:pt idx="10">
                  <c:v>447466.6666666667</c:v>
                </c:pt>
                <c:pt idx="11">
                  <c:v>0.0</c:v>
                </c:pt>
                <c:pt idx="12">
                  <c:v>38266.66666666666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326906.6666666667</c:v>
                </c:pt>
                <c:pt idx="24">
                  <c:v>182050.0</c:v>
                </c:pt>
                <c:pt idx="25">
                  <c:v>0.0</c:v>
                </c:pt>
                <c:pt idx="26">
                  <c:v>6300.0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'Date Chart'!$C$2</c:f>
              <c:strCache>
                <c:ptCount val="1"/>
                <c:pt idx="0">
                  <c:v>SN-10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Chart'!$C$3:$C$71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404466.6666666667</c:v>
                </c:pt>
                <c:pt idx="7">
                  <c:v>11200.0</c:v>
                </c:pt>
                <c:pt idx="8">
                  <c:v>0.0</c:v>
                </c:pt>
                <c:pt idx="9">
                  <c:v>0.0</c:v>
                </c:pt>
                <c:pt idx="10">
                  <c:v>172266.6666666667</c:v>
                </c:pt>
                <c:pt idx="11">
                  <c:v>0.0</c:v>
                </c:pt>
                <c:pt idx="12">
                  <c:v>67600.0</c:v>
                </c:pt>
                <c:pt idx="13">
                  <c:v>0.0</c:v>
                </c:pt>
                <c:pt idx="14">
                  <c:v>0.0</c:v>
                </c:pt>
                <c:pt idx="15">
                  <c:v>115733.3333333333</c:v>
                </c:pt>
                <c:pt idx="16">
                  <c:v>156750.0</c:v>
                </c:pt>
                <c:pt idx="17">
                  <c:v>0.0</c:v>
                </c:pt>
                <c:pt idx="18">
                  <c:v>4500.0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377373.3333333333</c:v>
                </c:pt>
                <c:pt idx="35">
                  <c:v>128000.0</c:v>
                </c:pt>
                <c:pt idx="36">
                  <c:v>0.0</c:v>
                </c:pt>
                <c:pt idx="37">
                  <c:v>1866.666666666667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'Date Chart'!$D$2</c:f>
              <c:strCache>
                <c:ptCount val="1"/>
                <c:pt idx="0">
                  <c:v>SN-6 Ambient A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Chart'!$D$3:$D$71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69066.66666666666</c:v>
                </c:pt>
                <c:pt idx="4">
                  <c:v>461500.0</c:v>
                </c:pt>
                <c:pt idx="5">
                  <c:v>0.0</c:v>
                </c:pt>
                <c:pt idx="6">
                  <c:v>1416.666666666667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1400.0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163200.0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'Date Chart'!$E$2</c:f>
              <c:strCache>
                <c:ptCount val="1"/>
                <c:pt idx="0">
                  <c:v>NF-6 Low B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Chart'!$E$3:$E$71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307800.0</c:v>
                </c:pt>
                <c:pt idx="15">
                  <c:v>190400.0</c:v>
                </c:pt>
                <c:pt idx="16">
                  <c:v>8016.666666666666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81600.0</c:v>
                </c:pt>
                <c:pt idx="26">
                  <c:v>1586.666666666667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'Date Chart'!$F$2</c:f>
              <c:strCache>
                <c:ptCount val="1"/>
                <c:pt idx="0">
                  <c:v>SN-10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Chart'!$F$3:$F$71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80666.66666666666</c:v>
                </c:pt>
                <c:pt idx="4">
                  <c:v>0.0</c:v>
                </c:pt>
                <c:pt idx="5">
                  <c:v>0.0</c:v>
                </c:pt>
                <c:pt idx="6">
                  <c:v>9400.0</c:v>
                </c:pt>
                <c:pt idx="7">
                  <c:v>5750.0</c:v>
                </c:pt>
                <c:pt idx="8">
                  <c:v>201600.0</c:v>
                </c:pt>
                <c:pt idx="9">
                  <c:v>8960.0</c:v>
                </c:pt>
                <c:pt idx="10">
                  <c:v>194666.6666666667</c:v>
                </c:pt>
                <c:pt idx="11">
                  <c:v>3400.0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406800.0</c:v>
                </c:pt>
                <c:pt idx="22">
                  <c:v>0.0</c:v>
                </c:pt>
                <c:pt idx="23">
                  <c:v>177173.3333333333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68250.0</c:v>
                </c:pt>
                <c:pt idx="35">
                  <c:v>77866.66666666666</c:v>
                </c:pt>
                <c:pt idx="36">
                  <c:v>0.0</c:v>
                </c:pt>
                <c:pt idx="37">
                  <c:v>1166.666666666667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'Date Chart'!$G$2</c:f>
              <c:strCache>
                <c:ptCount val="1"/>
                <c:pt idx="0">
                  <c:v>SN-6 Ambient B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Chart'!$G$3:$G$71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218033.3333333333</c:v>
                </c:pt>
                <c:pt idx="7">
                  <c:v>3583.333333333333</c:v>
                </c:pt>
                <c:pt idx="8">
                  <c:v>0.0</c:v>
                </c:pt>
                <c:pt idx="9">
                  <c:v>0.0</c:v>
                </c:pt>
                <c:pt idx="10">
                  <c:v>8166.666666666666</c:v>
                </c:pt>
                <c:pt idx="11">
                  <c:v>24500.0</c:v>
                </c:pt>
                <c:pt idx="12">
                  <c:v>209066.6666666667</c:v>
                </c:pt>
                <c:pt idx="13">
                  <c:v>4500.0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150166.6666666667</c:v>
                </c:pt>
                <c:pt idx="24">
                  <c:v>0.0</c:v>
                </c:pt>
                <c:pt idx="25">
                  <c:v>484266.6666666667</c:v>
                </c:pt>
                <c:pt idx="26">
                  <c:v>9866.666666666668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235200.0</c:v>
                </c:pt>
                <c:pt idx="36">
                  <c:v>0.0</c:v>
                </c:pt>
                <c:pt idx="37">
                  <c:v>104533.3333333333</c:v>
                </c:pt>
                <c:pt idx="38">
                  <c:v>0.0</c:v>
                </c:pt>
                <c:pt idx="39">
                  <c:v>29920.0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'Date Chart'!$H$2</c:f>
              <c:strCache>
                <c:ptCount val="1"/>
                <c:pt idx="0">
                  <c:v>SN-10 Low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Chart'!$H$3:$H$71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98000.0</c:v>
                </c:pt>
                <c:pt idx="4">
                  <c:v>77250.0</c:v>
                </c:pt>
                <c:pt idx="5">
                  <c:v>0.0</c:v>
                </c:pt>
                <c:pt idx="6">
                  <c:v>2666.666666666667</c:v>
                </c:pt>
                <c:pt idx="7">
                  <c:v>200.0</c:v>
                </c:pt>
                <c:pt idx="8">
                  <c:v>0.0</c:v>
                </c:pt>
                <c:pt idx="9">
                  <c:v>281000.0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378000.0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'Date Chart'!$I$2</c:f>
              <c:strCache>
                <c:ptCount val="1"/>
                <c:pt idx="0">
                  <c:v>SN-6 Low B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Chart'!$I$3:$I$71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210133.3333333333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245660.0</c:v>
                </c:pt>
                <c:pt idx="17">
                  <c:v>0.0</c:v>
                </c:pt>
                <c:pt idx="18">
                  <c:v>7900.0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1400.0</c:v>
                </c:pt>
                <c:pt idx="33">
                  <c:v>0.0</c:v>
                </c:pt>
                <c:pt idx="34">
                  <c:v>808800.0</c:v>
                </c:pt>
                <c:pt idx="35">
                  <c:v>121066.6666666667</c:v>
                </c:pt>
                <c:pt idx="36">
                  <c:v>0.0</c:v>
                </c:pt>
                <c:pt idx="37">
                  <c:v>1833.333333333333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'Date Chart'!$J$2</c:f>
              <c:strCache>
                <c:ptCount val="1"/>
                <c:pt idx="0">
                  <c:v>K-10 Low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Chart'!$J$3:$J$71</c:f>
              <c:numCache>
                <c:formatCode>_(* #,##0_);_(* \(#,##0\);_(* "-"??_);_(@_)</c:formatCode>
                <c:ptCount val="69"/>
                <c:pt idx="0">
                  <c:v>37200.0</c:v>
                </c:pt>
                <c:pt idx="1">
                  <c:v>0.0</c:v>
                </c:pt>
                <c:pt idx="2">
                  <c:v>0.0</c:v>
                </c:pt>
                <c:pt idx="3">
                  <c:v>52266.66666666666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241066.6666666667</c:v>
                </c:pt>
                <c:pt idx="13">
                  <c:v>66666.66666666667</c:v>
                </c:pt>
                <c:pt idx="14">
                  <c:v>3400.0</c:v>
                </c:pt>
                <c:pt idx="15">
                  <c:v>10000.0</c:v>
                </c:pt>
                <c:pt idx="16">
                  <c:v>21600.0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190850.0</c:v>
                </c:pt>
                <c:pt idx="25">
                  <c:v>17306.66666666667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13000.0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'Date Chart'!$K$2</c:f>
              <c:strCache>
                <c:ptCount val="1"/>
                <c:pt idx="0">
                  <c:v>SN-6 Low A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Chart'!$K$3:$K$71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11866.66666666667</c:v>
                </c:pt>
                <c:pt idx="10">
                  <c:v>250133.3333333333</c:v>
                </c:pt>
                <c:pt idx="11">
                  <c:v>136000.0</c:v>
                </c:pt>
                <c:pt idx="12">
                  <c:v>1000.0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164266.6666666667</c:v>
                </c:pt>
                <c:pt idx="21">
                  <c:v>750.0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154666.6666666667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'Date Chart'!$L$2</c:f>
              <c:strCache>
                <c:ptCount val="1"/>
                <c:pt idx="0">
                  <c:v>HL-10 Low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Chart'!$L$3:$L$71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54400.0</c:v>
                </c:pt>
                <c:pt idx="16">
                  <c:v>268146.6666666667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149050.0</c:v>
                </c:pt>
                <c:pt idx="31">
                  <c:v>0.0</c:v>
                </c:pt>
                <c:pt idx="32">
                  <c:v>176000.0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47466.66666666667</c:v>
                </c:pt>
                <c:pt idx="38">
                  <c:v>0.0</c:v>
                </c:pt>
                <c:pt idx="39">
                  <c:v>125.0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'Date Chart'!$M$2</c:f>
              <c:strCache>
                <c:ptCount val="1"/>
                <c:pt idx="0">
                  <c:v>NF-10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Chart'!$M$3:$M$71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126400.0</c:v>
                </c:pt>
                <c:pt idx="11">
                  <c:v>0.0</c:v>
                </c:pt>
                <c:pt idx="12">
                  <c:v>0.0</c:v>
                </c:pt>
                <c:pt idx="13">
                  <c:v>186133.3333333333</c:v>
                </c:pt>
                <c:pt idx="14">
                  <c:v>0.0</c:v>
                </c:pt>
                <c:pt idx="15">
                  <c:v>0.0</c:v>
                </c:pt>
                <c:pt idx="16">
                  <c:v>2625.0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1466.666666666667</c:v>
                </c:pt>
                <c:pt idx="22">
                  <c:v>0.0</c:v>
                </c:pt>
                <c:pt idx="23">
                  <c:v>74666.66666666666</c:v>
                </c:pt>
                <c:pt idx="24">
                  <c:v>1200.0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'Date Chart'!$N$2</c:f>
              <c:strCache>
                <c:ptCount val="1"/>
                <c:pt idx="0">
                  <c:v>K-6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Chart'!$N$3:$N$71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123200.0</c:v>
                </c:pt>
                <c:pt idx="11">
                  <c:v>1800.0</c:v>
                </c:pt>
                <c:pt idx="12">
                  <c:v>130933.3333333333</c:v>
                </c:pt>
                <c:pt idx="13">
                  <c:v>48406.66666666666</c:v>
                </c:pt>
                <c:pt idx="14">
                  <c:v>0.0</c:v>
                </c:pt>
                <c:pt idx="15">
                  <c:v>4266.666666666666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49600.0</c:v>
                </c:pt>
                <c:pt idx="28">
                  <c:v>9066.666666666668</c:v>
                </c:pt>
                <c:pt idx="29">
                  <c:v>0.0</c:v>
                </c:pt>
                <c:pt idx="30">
                  <c:v>2800.0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'Date Chart'!$O$2</c:f>
              <c:strCache>
                <c:ptCount val="1"/>
                <c:pt idx="0">
                  <c:v>K-10 Ambient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Chart'!$O$3:$O$71</c:f>
              <c:numCache>
                <c:formatCode>_(* #,##0_);_(* \(#,##0\);_(* "-"??_);_(@_)</c:formatCode>
                <c:ptCount val="69"/>
                <c:pt idx="0">
                  <c:v>47400.0</c:v>
                </c:pt>
                <c:pt idx="1">
                  <c:v>0.0</c:v>
                </c:pt>
                <c:pt idx="2">
                  <c:v>0.0</c:v>
                </c:pt>
                <c:pt idx="3">
                  <c:v>66800.0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108000.0</c:v>
                </c:pt>
                <c:pt idx="10">
                  <c:v>13250.0</c:v>
                </c:pt>
                <c:pt idx="11">
                  <c:v>625.0</c:v>
                </c:pt>
                <c:pt idx="12">
                  <c:v>0.0</c:v>
                </c:pt>
                <c:pt idx="13">
                  <c:v>37566.66666666666</c:v>
                </c:pt>
                <c:pt idx="14">
                  <c:v>31206.66666666667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40533.33333333333</c:v>
                </c:pt>
                <c:pt idx="22">
                  <c:v>0.0</c:v>
                </c:pt>
                <c:pt idx="23">
                  <c:v>63413.33333333333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25166.66666666667</c:v>
                </c:pt>
                <c:pt idx="29">
                  <c:v>0.0</c:v>
                </c:pt>
                <c:pt idx="30">
                  <c:v>1280.0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18166.66666666667</c:v>
                </c:pt>
                <c:pt idx="36">
                  <c:v>0.0</c:v>
                </c:pt>
                <c:pt idx="37">
                  <c:v>12800.0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'Date Chart'!$P$2</c:f>
              <c:strCache>
                <c:ptCount val="1"/>
                <c:pt idx="0">
                  <c:v>NF-10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Chart'!$P$3:$P$71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248000.0</c:v>
                </c:pt>
                <c:pt idx="15">
                  <c:v>0.0</c:v>
                </c:pt>
                <c:pt idx="16">
                  <c:v>4916.666666666666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214480.0</c:v>
                </c:pt>
                <c:pt idx="24">
                  <c:v>2933.333333333333</c:v>
                </c:pt>
                <c:pt idx="25">
                  <c:v>0.0</c:v>
                </c:pt>
                <c:pt idx="26">
                  <c:v>0.0</c:v>
                </c:pt>
                <c:pt idx="27">
                  <c:v>224533.3333333333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'Date Chart'!$Q$2</c:f>
              <c:strCache>
                <c:ptCount val="1"/>
                <c:pt idx="0">
                  <c:v>NF-10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Chart'!$Q$3:$Q$71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245666.6666666667</c:v>
                </c:pt>
                <c:pt idx="7">
                  <c:v>1000.0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115733.3333333333</c:v>
                </c:pt>
                <c:pt idx="35">
                  <c:v>58133.33333333334</c:v>
                </c:pt>
                <c:pt idx="36">
                  <c:v>0.0</c:v>
                </c:pt>
                <c:pt idx="37">
                  <c:v>666.6666666666666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'Date Chart'!$R$2</c:f>
              <c:strCache>
                <c:ptCount val="1"/>
                <c:pt idx="0">
                  <c:v>HL-10 Ambient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Chart'!$R$3:$R$71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205866.6666666667</c:v>
                </c:pt>
                <c:pt idx="14">
                  <c:v>26320.0</c:v>
                </c:pt>
                <c:pt idx="15">
                  <c:v>2800.0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436800.0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67666.66666666667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'Date Chart'!$S$2</c:f>
              <c:strCache>
                <c:ptCount val="1"/>
                <c:pt idx="0">
                  <c:v>HL-6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Chart'!$S$3:$S$71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3483.333333333333</c:v>
                </c:pt>
                <c:pt idx="3">
                  <c:v>3844.444444444444</c:v>
                </c:pt>
                <c:pt idx="4">
                  <c:v>0.0</c:v>
                </c:pt>
                <c:pt idx="5">
                  <c:v>0.0</c:v>
                </c:pt>
                <c:pt idx="6">
                  <c:v>142666.6666666667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282133.3333333333</c:v>
                </c:pt>
                <c:pt idx="28">
                  <c:v>4391.666666666666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483.3333333333334</c:v>
                </c:pt>
                <c:pt idx="36">
                  <c:v>0.0</c:v>
                </c:pt>
                <c:pt idx="37">
                  <c:v>356266.6666666666</c:v>
                </c:pt>
                <c:pt idx="38">
                  <c:v>0.0</c:v>
                </c:pt>
                <c:pt idx="39">
                  <c:v>165000.0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'Date Chart'!$T$2</c:f>
              <c:strCache>
                <c:ptCount val="1"/>
                <c:pt idx="0">
                  <c:v>NF-6 Ambient B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Chart'!$T$3:$T$71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350.0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139800.0</c:v>
                </c:pt>
                <c:pt idx="16">
                  <c:v>7050.0</c:v>
                </c:pt>
                <c:pt idx="17">
                  <c:v>0.0</c:v>
                </c:pt>
                <c:pt idx="18">
                  <c:v>3200.0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'Date Chart'!$U$2</c:f>
              <c:strCache>
                <c:ptCount val="1"/>
                <c:pt idx="0">
                  <c:v>K-6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Chart'!$U$3:$U$71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2041.666666666667</c:v>
                </c:pt>
                <c:pt idx="9">
                  <c:v>89666.66666666667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99733.33333333334</c:v>
                </c:pt>
                <c:pt idx="22">
                  <c:v>0.0</c:v>
                </c:pt>
                <c:pt idx="23">
                  <c:v>132840.0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72053.33333333333</c:v>
                </c:pt>
                <c:pt idx="31">
                  <c:v>0.0</c:v>
                </c:pt>
                <c:pt idx="32">
                  <c:v>4200.0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51150.0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'Date Chart'!$V$2</c:f>
              <c:strCache>
                <c:ptCount val="1"/>
                <c:pt idx="0">
                  <c:v>NF-6 Ambient A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Chart'!$V$3:$V$71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466.6666666666666</c:v>
                </c:pt>
                <c:pt idx="12">
                  <c:v>0.0</c:v>
                </c:pt>
                <c:pt idx="13">
                  <c:v>0.0</c:v>
                </c:pt>
                <c:pt idx="14">
                  <c:v>10800.0</c:v>
                </c:pt>
                <c:pt idx="15">
                  <c:v>0.0</c:v>
                </c:pt>
                <c:pt idx="16">
                  <c:v>3575.0</c:v>
                </c:pt>
                <c:pt idx="17">
                  <c:v>0.0</c:v>
                </c:pt>
                <c:pt idx="18">
                  <c:v>1111</c:v>
                </c:pt>
                <c:pt idx="19">
                  <c:v>0.0</c:v>
                </c:pt>
                <c:pt idx="20">
                  <c:v>1333.333333333333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'Date Chart'!$W$2</c:f>
              <c:strCache>
                <c:ptCount val="1"/>
                <c:pt idx="0">
                  <c:v>NF-10 Low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Chart'!$W$3:$W$71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583.3333333333333</c:v>
                </c:pt>
                <c:pt idx="12">
                  <c:v>2266.666666666667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2333.333333333333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'Date Chart'!$X$2</c:f>
              <c:strCache>
                <c:ptCount val="1"/>
                <c:pt idx="0">
                  <c:v>NF-6 Low A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Chart'!$X$3:$X$71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88200.0</c:v>
                </c:pt>
                <c:pt idx="26">
                  <c:v>47025.0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246933.3333333333</c:v>
                </c:pt>
                <c:pt idx="31">
                  <c:v>0.0</c:v>
                </c:pt>
                <c:pt idx="32">
                  <c:v>9400.0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142000.0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'Date Chart'!$Y$2</c:f>
              <c:strCache>
                <c:ptCount val="1"/>
                <c:pt idx="0">
                  <c:v>HL-6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Chart'!$Y$3:$Y$71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105066.6666666667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0099656"/>
        <c:axId val="1169794600"/>
      </c:barChart>
      <c:dateAx>
        <c:axId val="1170099656"/>
        <c:scaling>
          <c:orientation val="minMax"/>
          <c:max val="42917.0"/>
        </c:scaling>
        <c:delete val="0"/>
        <c:axPos val="b"/>
        <c:numFmt formatCode="m/d/yy" sourceLinked="1"/>
        <c:majorTickMark val="out"/>
        <c:minorTickMark val="none"/>
        <c:tickLblPos val="nextTo"/>
        <c:crossAx val="1169794600"/>
        <c:crosses val="autoZero"/>
        <c:auto val="1"/>
        <c:lblOffset val="100"/>
        <c:baseTimeUnit val="days"/>
        <c:minorUnit val="1.0"/>
        <c:minorTimeUnit val="days"/>
      </c:dateAx>
      <c:valAx>
        <c:axId val="1169794600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170099656"/>
        <c:crosses val="autoZero"/>
        <c:crossBetween val="between"/>
      </c:valAx>
      <c:spPr>
        <a:ln w="28575" cmpd="sng"/>
      </c:spPr>
    </c:plotArea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28575</xdr:colOff>
      <xdr:row>1</xdr:row>
      <xdr:rowOff>68792</xdr:rowOff>
    </xdr:from>
    <xdr:to>
      <xdr:col>54</xdr:col>
      <xdr:colOff>650874</xdr:colOff>
      <xdr:row>40</xdr:row>
      <xdr:rowOff>119592</xdr:rowOff>
    </xdr:to>
    <xdr:grpSp>
      <xdr:nvGrpSpPr>
        <xdr:cNvPr id="10" name="Group 9"/>
        <xdr:cNvGrpSpPr/>
      </xdr:nvGrpSpPr>
      <xdr:grpSpPr>
        <a:xfrm>
          <a:off x="32731075" y="259292"/>
          <a:ext cx="16306799" cy="7924800"/>
          <a:chOff x="24113067" y="440267"/>
          <a:chExt cx="16387233" cy="7755466"/>
        </a:xfrm>
      </xdr:grpSpPr>
      <xdr:graphicFrame macro="">
        <xdr:nvGraphicFramePr>
          <xdr:cNvPr id="2" name="Chart 1"/>
          <xdr:cNvGraphicFramePr/>
        </xdr:nvGraphicFramePr>
        <xdr:xfrm>
          <a:off x="24113067" y="440267"/>
          <a:ext cx="16387233" cy="775546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TextBox 4"/>
          <xdr:cNvSpPr txBox="1"/>
        </xdr:nvSpPr>
        <xdr:spPr>
          <a:xfrm>
            <a:off x="36423600" y="1049866"/>
            <a:ext cx="3251201" cy="2726267"/>
          </a:xfrm>
          <a:prstGeom prst="rect">
            <a:avLst/>
          </a:prstGeom>
          <a:solidFill>
            <a:srgbClr val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2400" b="1">
                <a:solidFill>
                  <a:schemeClr val="accent3"/>
                </a:solidFill>
              </a:rPr>
              <a:t>SOUTH</a:t>
            </a:r>
            <a:r>
              <a:rPr lang="en-US" sz="2400" b="1" baseline="0">
                <a:solidFill>
                  <a:schemeClr val="accent3"/>
                </a:solidFill>
              </a:rPr>
              <a:t> SOUND F1 (SN)</a:t>
            </a:r>
          </a:p>
          <a:p>
            <a:pPr algn="ctr"/>
            <a:endParaRPr lang="en-US" sz="2400" b="1" baseline="0"/>
          </a:p>
          <a:p>
            <a:pPr algn="ctr"/>
            <a:r>
              <a:rPr lang="en-US" sz="2400" b="1" baseline="0">
                <a:solidFill>
                  <a:schemeClr val="accent2"/>
                </a:solidFill>
              </a:rPr>
              <a:t>NORTH SOUND F1 (NF)</a:t>
            </a:r>
          </a:p>
          <a:p>
            <a:pPr algn="ctr"/>
            <a:endParaRPr lang="en-US" sz="2400" b="1" baseline="0"/>
          </a:p>
          <a:p>
            <a:pPr algn="ctr"/>
            <a:r>
              <a:rPr lang="en-US" sz="2400" b="1" baseline="0">
                <a:solidFill>
                  <a:schemeClr val="accent6"/>
                </a:solidFill>
              </a:rPr>
              <a:t>HOOD CANAL F1 (HL)</a:t>
            </a:r>
          </a:p>
          <a:p>
            <a:pPr algn="ctr"/>
            <a:endParaRPr lang="en-US" sz="2400" b="1" baseline="0"/>
          </a:p>
          <a:p>
            <a:pPr algn="ctr"/>
            <a:r>
              <a:rPr lang="en-US" sz="2400" b="1" baseline="0">
                <a:solidFill>
                  <a:schemeClr val="accent5"/>
                </a:solidFill>
              </a:rPr>
              <a:t>SOUTH SOUND F2 (K) </a:t>
            </a:r>
            <a:endParaRPr lang="en-US" sz="2400" b="1">
              <a:solidFill>
                <a:schemeClr val="accent5"/>
              </a:solidFill>
            </a:endParaRPr>
          </a:p>
        </xdr:txBody>
      </xdr:sp>
      <xdr:cxnSp macro="">
        <xdr:nvCxnSpPr>
          <xdr:cNvPr id="7" name="Straight Connector 6"/>
          <xdr:cNvCxnSpPr/>
        </xdr:nvCxnSpPr>
        <xdr:spPr>
          <a:xfrm flipH="1" flipV="1">
            <a:off x="32139467" y="1524001"/>
            <a:ext cx="33866" cy="6553199"/>
          </a:xfrm>
          <a:prstGeom prst="line">
            <a:avLst/>
          </a:prstGeom>
          <a:ln>
            <a:solidFill>
              <a:schemeClr val="tx1"/>
            </a:solidFill>
            <a:prstDash val="sysDash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TextBox 8"/>
          <xdr:cNvSpPr txBox="1"/>
        </xdr:nvSpPr>
        <xdr:spPr>
          <a:xfrm>
            <a:off x="32139468" y="1557869"/>
            <a:ext cx="3319589" cy="337583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000000"/>
            </a:solidFill>
            <a:prstDash val="sysDash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600" b="1"/>
              <a:t>STARTED</a:t>
            </a:r>
            <a:r>
              <a:rPr lang="en-US" sz="1600" b="1" baseline="0"/>
              <a:t> REARING LARVAE @ 5/19</a:t>
            </a:r>
            <a:endParaRPr lang="en-US" sz="1600" b="1"/>
          </a:p>
        </xdr:txBody>
      </xdr:sp>
    </xdr:grpSp>
    <xdr:clientData/>
  </xdr:twoCellAnchor>
  <xdr:twoCellAnchor>
    <xdr:from>
      <xdr:col>37</xdr:col>
      <xdr:colOff>158750</xdr:colOff>
      <xdr:row>45</xdr:row>
      <xdr:rowOff>111125</xdr:rowOff>
    </xdr:from>
    <xdr:to>
      <xdr:col>56</xdr:col>
      <xdr:colOff>781049</xdr:colOff>
      <xdr:row>87</xdr:row>
      <xdr:rowOff>39158</xdr:rowOff>
    </xdr:to>
    <xdr:grpSp>
      <xdr:nvGrpSpPr>
        <xdr:cNvPr id="11" name="Group 10"/>
        <xdr:cNvGrpSpPr/>
      </xdr:nvGrpSpPr>
      <xdr:grpSpPr>
        <a:xfrm>
          <a:off x="34512250" y="9128125"/>
          <a:ext cx="16306799" cy="7929033"/>
          <a:chOff x="24113067" y="440267"/>
          <a:chExt cx="16387233" cy="7755466"/>
        </a:xfrm>
      </xdr:grpSpPr>
      <xdr:graphicFrame macro="">
        <xdr:nvGraphicFramePr>
          <xdr:cNvPr id="12" name="Chart 11"/>
          <xdr:cNvGraphicFramePr/>
        </xdr:nvGraphicFramePr>
        <xdr:xfrm>
          <a:off x="24113067" y="440267"/>
          <a:ext cx="16387233" cy="775546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3" name="TextBox 12"/>
          <xdr:cNvSpPr txBox="1"/>
        </xdr:nvSpPr>
        <xdr:spPr>
          <a:xfrm>
            <a:off x="37100933" y="914400"/>
            <a:ext cx="2675468" cy="2810934"/>
          </a:xfrm>
          <a:prstGeom prst="rect">
            <a:avLst/>
          </a:prstGeom>
          <a:solidFill>
            <a:srgbClr val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2400" b="1">
                <a:solidFill>
                  <a:srgbClr val="4BACC6"/>
                </a:solidFill>
              </a:rPr>
              <a:t>6°C Ambient pH</a:t>
            </a:r>
          </a:p>
          <a:p>
            <a:pPr algn="ctr"/>
            <a:endParaRPr lang="en-US" sz="2400" b="1">
              <a:solidFill>
                <a:schemeClr val="accent3"/>
              </a:solidFill>
            </a:endParaRPr>
          </a:p>
          <a:p>
            <a:pPr algn="ctr"/>
            <a:r>
              <a:rPr lang="en-US" sz="2400" b="1">
                <a:solidFill>
                  <a:schemeClr val="accent6"/>
                </a:solidFill>
              </a:rPr>
              <a:t>6°C Low pH</a:t>
            </a:r>
          </a:p>
          <a:p>
            <a:pPr algn="ctr"/>
            <a:endParaRPr lang="en-US" sz="2400" b="1">
              <a:solidFill>
                <a:schemeClr val="accent3"/>
              </a:solidFill>
            </a:endParaRPr>
          </a:p>
          <a:p>
            <a:pPr algn="ctr"/>
            <a:r>
              <a:rPr lang="en-US" sz="2400" b="1">
                <a:solidFill>
                  <a:schemeClr val="accent3"/>
                </a:solidFill>
              </a:rPr>
              <a:t>10°C Ambient pH</a:t>
            </a:r>
          </a:p>
          <a:p>
            <a:pPr algn="ctr"/>
            <a:endParaRPr lang="en-US" sz="2400" b="1" baseline="0"/>
          </a:p>
          <a:p>
            <a:pPr algn="ctr"/>
            <a:r>
              <a:rPr lang="en-US" sz="2400" b="1" baseline="0">
                <a:solidFill>
                  <a:schemeClr val="accent2"/>
                </a:solidFill>
              </a:rPr>
              <a:t>10°C Low pH</a:t>
            </a:r>
          </a:p>
          <a:p>
            <a:pPr algn="ctr"/>
            <a:endParaRPr lang="en-US" sz="2400" b="1" baseline="0"/>
          </a:p>
          <a:p>
            <a:pPr algn="ctr"/>
            <a:endParaRPr lang="en-US" sz="2400" b="1" baseline="0"/>
          </a:p>
        </xdr:txBody>
      </xdr:sp>
      <xdr:cxnSp macro="">
        <xdr:nvCxnSpPr>
          <xdr:cNvPr id="14" name="Straight Connector 13"/>
          <xdr:cNvCxnSpPr/>
        </xdr:nvCxnSpPr>
        <xdr:spPr>
          <a:xfrm flipH="1" flipV="1">
            <a:off x="27479143" y="1426618"/>
            <a:ext cx="33866" cy="6553199"/>
          </a:xfrm>
          <a:prstGeom prst="line">
            <a:avLst/>
          </a:prstGeom>
          <a:ln>
            <a:solidFill>
              <a:schemeClr val="tx1"/>
            </a:solidFill>
            <a:prstDash val="sysDash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TextBox 14"/>
          <xdr:cNvSpPr txBox="1"/>
        </xdr:nvSpPr>
        <xdr:spPr>
          <a:xfrm>
            <a:off x="27479144" y="1460487"/>
            <a:ext cx="3445984" cy="315145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000000"/>
            </a:solidFill>
            <a:prstDash val="sysDash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600" b="1"/>
              <a:t>STARTED</a:t>
            </a:r>
            <a:r>
              <a:rPr lang="en-US" sz="1600" b="1" baseline="0"/>
              <a:t> REARING LARVAE @ 5/19</a:t>
            </a:r>
            <a:endParaRPr lang="en-US" sz="1600" b="1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48576"/>
  <sheetViews>
    <sheetView showRuler="0" workbookViewId="0">
      <pane ySplit="2080" topLeftCell="A150" activePane="bottomLeft"/>
      <selection activeCell="K1" sqref="K1:N1048576"/>
      <selection pane="bottomLeft" activeCell="C166" sqref="C166"/>
    </sheetView>
  </sheetViews>
  <sheetFormatPr baseColWidth="10" defaultRowHeight="15" x14ac:dyDescent="0.75"/>
  <cols>
    <col min="1" max="1" width="12.1640625" style="40" customWidth="1"/>
    <col min="2" max="2" width="16.33203125" style="15" customWidth="1"/>
    <col min="3" max="3" width="9.1640625" style="15" customWidth="1"/>
    <col min="4" max="4" width="9.83203125" style="43" bestFit="1" customWidth="1"/>
    <col min="5" max="5" width="10.83203125" style="15"/>
    <col min="6" max="6" width="10.5" style="15" bestFit="1" customWidth="1"/>
    <col min="7" max="8" width="10.33203125" style="15" bestFit="1" customWidth="1"/>
    <col min="9" max="9" width="10.6640625" style="16" bestFit="1" customWidth="1"/>
    <col min="10" max="10" width="12.5" style="16" customWidth="1"/>
    <col min="11" max="11" width="10.1640625" style="15" customWidth="1"/>
    <col min="12" max="13" width="10.5" style="148" customWidth="1"/>
    <col min="14" max="14" width="13.5" style="15" customWidth="1"/>
    <col min="15" max="15" width="13.5" style="16" customWidth="1"/>
    <col min="16" max="16" width="12.1640625" style="15" customWidth="1"/>
    <col min="17" max="17" width="12.1640625" style="16" customWidth="1"/>
    <col min="18" max="18" width="12.5" style="15" customWidth="1"/>
    <col min="19" max="19" width="9.83203125" style="15" bestFit="1" customWidth="1"/>
    <col min="20" max="20" width="69.83203125" style="17" customWidth="1"/>
    <col min="21" max="16384" width="10.83203125" style="15"/>
  </cols>
  <sheetData>
    <row r="1" spans="1:20" s="2" customFormat="1" ht="91" customHeight="1">
      <c r="A1" s="38" t="s">
        <v>0</v>
      </c>
      <c r="B1" s="2" t="s">
        <v>1</v>
      </c>
      <c r="C1" s="2" t="s">
        <v>2</v>
      </c>
      <c r="D1" s="4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2" t="s">
        <v>10</v>
      </c>
      <c r="L1" s="146" t="s">
        <v>11</v>
      </c>
      <c r="M1" s="146" t="s">
        <v>12</v>
      </c>
      <c r="N1" s="2" t="s">
        <v>13</v>
      </c>
      <c r="O1" s="3" t="s">
        <v>14</v>
      </c>
      <c r="P1" s="2" t="s">
        <v>15</v>
      </c>
      <c r="Q1" s="3" t="s">
        <v>68</v>
      </c>
      <c r="R1" s="2" t="s">
        <v>53</v>
      </c>
      <c r="S1" s="2" t="s">
        <v>16</v>
      </c>
      <c r="T1" s="4"/>
    </row>
    <row r="2" spans="1:20" s="6" customFormat="1">
      <c r="A2" s="39">
        <v>42866</v>
      </c>
      <c r="B2" s="6" t="s">
        <v>17</v>
      </c>
      <c r="D2" s="42">
        <v>0.5</v>
      </c>
      <c r="E2" s="6">
        <v>300</v>
      </c>
      <c r="F2" s="45">
        <v>80</v>
      </c>
      <c r="G2" s="6">
        <v>77</v>
      </c>
      <c r="H2" s="6">
        <v>80</v>
      </c>
      <c r="I2" s="9">
        <f t="shared" ref="I2:I33" si="0">AVERAGE(F2:H2)/D2</f>
        <v>158</v>
      </c>
      <c r="J2" s="9">
        <f t="shared" ref="J2:J33" si="1">I2*E2</f>
        <v>47400</v>
      </c>
      <c r="K2" s="7" t="s">
        <v>18</v>
      </c>
      <c r="L2" s="147" t="s">
        <v>18</v>
      </c>
      <c r="M2" s="147"/>
      <c r="N2" s="7" t="s">
        <v>18</v>
      </c>
      <c r="O2" s="7" t="s">
        <v>18</v>
      </c>
      <c r="P2" s="7" t="s">
        <v>18</v>
      </c>
      <c r="Q2" s="9"/>
      <c r="R2" s="7"/>
      <c r="T2" s="8" t="s">
        <v>19</v>
      </c>
    </row>
    <row r="3" spans="1:20" s="6" customFormat="1">
      <c r="A3" s="39">
        <v>42866</v>
      </c>
      <c r="B3" s="6" t="s">
        <v>20</v>
      </c>
      <c r="D3" s="42">
        <v>0.5</v>
      </c>
      <c r="E3" s="6">
        <v>300</v>
      </c>
      <c r="F3" s="45">
        <v>52</v>
      </c>
      <c r="G3" s="6">
        <v>57</v>
      </c>
      <c r="H3" s="6">
        <v>77</v>
      </c>
      <c r="I3" s="9">
        <f t="shared" si="0"/>
        <v>124</v>
      </c>
      <c r="J3" s="9">
        <f t="shared" si="1"/>
        <v>37200</v>
      </c>
      <c r="K3" s="7" t="s">
        <v>18</v>
      </c>
      <c r="L3" s="147" t="s">
        <v>18</v>
      </c>
      <c r="M3" s="147"/>
      <c r="N3" s="7" t="s">
        <v>18</v>
      </c>
      <c r="O3" s="7" t="s">
        <v>18</v>
      </c>
      <c r="P3" s="7" t="s">
        <v>18</v>
      </c>
      <c r="Q3" s="9"/>
      <c r="R3" s="7"/>
      <c r="T3" s="8" t="s">
        <v>19</v>
      </c>
    </row>
    <row r="4" spans="1:20" s="6" customFormat="1">
      <c r="A4" s="39">
        <v>42868</v>
      </c>
      <c r="B4" s="6" t="s">
        <v>21</v>
      </c>
      <c r="D4" s="42">
        <v>1</v>
      </c>
      <c r="E4" s="6">
        <v>50</v>
      </c>
      <c r="F4" s="6">
        <v>78</v>
      </c>
      <c r="G4" s="6">
        <v>65</v>
      </c>
      <c r="H4" s="6">
        <v>66</v>
      </c>
      <c r="I4" s="9">
        <f t="shared" si="0"/>
        <v>69.666666666666671</v>
      </c>
      <c r="J4" s="9">
        <f t="shared" si="1"/>
        <v>3483.3333333333335</v>
      </c>
      <c r="K4" s="7" t="s">
        <v>18</v>
      </c>
      <c r="L4" s="147" t="s">
        <v>18</v>
      </c>
      <c r="M4" s="147"/>
      <c r="N4" s="7" t="s">
        <v>18</v>
      </c>
      <c r="O4" s="7" t="s">
        <v>18</v>
      </c>
      <c r="P4" s="7" t="s">
        <v>18</v>
      </c>
      <c r="Q4" s="9"/>
      <c r="R4" s="7"/>
      <c r="T4" s="8" t="s">
        <v>22</v>
      </c>
    </row>
    <row r="5" spans="1:20" s="6" customFormat="1">
      <c r="A5" s="39">
        <v>42869</v>
      </c>
      <c r="B5" s="6" t="s">
        <v>21</v>
      </c>
      <c r="D5" s="42">
        <v>0.75</v>
      </c>
      <c r="E5" s="6">
        <v>50</v>
      </c>
      <c r="F5" s="6">
        <v>45</v>
      </c>
      <c r="G5" s="6">
        <v>59</v>
      </c>
      <c r="H5" s="6">
        <v>69</v>
      </c>
      <c r="I5" s="9">
        <f t="shared" si="0"/>
        <v>76.888888888888886</v>
      </c>
      <c r="J5" s="9">
        <f t="shared" si="1"/>
        <v>3844.4444444444443</v>
      </c>
      <c r="K5" s="7" t="s">
        <v>18</v>
      </c>
      <c r="L5" s="147" t="s">
        <v>18</v>
      </c>
      <c r="M5" s="147"/>
      <c r="N5" s="7" t="s">
        <v>18</v>
      </c>
      <c r="O5" s="7" t="s">
        <v>18</v>
      </c>
      <c r="P5" s="7" t="s">
        <v>18</v>
      </c>
      <c r="Q5" s="9"/>
      <c r="R5" s="7"/>
      <c r="T5" s="8"/>
    </row>
    <row r="6" spans="1:20" s="6" customFormat="1" ht="20">
      <c r="A6" s="39">
        <v>42869</v>
      </c>
      <c r="B6" s="6" t="s">
        <v>17</v>
      </c>
      <c r="D6" s="42">
        <v>0.5</v>
      </c>
      <c r="E6" s="6">
        <v>300</v>
      </c>
      <c r="F6" s="6">
        <v>115</v>
      </c>
      <c r="G6" s="6">
        <v>112</v>
      </c>
      <c r="H6" s="6">
        <v>107</v>
      </c>
      <c r="I6" s="9">
        <f t="shared" si="0"/>
        <v>222.66666666666666</v>
      </c>
      <c r="J6" s="9">
        <f t="shared" si="1"/>
        <v>66800</v>
      </c>
      <c r="K6" s="7" t="s">
        <v>18</v>
      </c>
      <c r="L6" s="147" t="s">
        <v>18</v>
      </c>
      <c r="M6" s="147"/>
      <c r="N6" s="7" t="s">
        <v>18</v>
      </c>
      <c r="O6" s="7" t="s">
        <v>18</v>
      </c>
      <c r="P6" s="7" t="s">
        <v>18</v>
      </c>
      <c r="Q6" s="9"/>
      <c r="R6" s="7"/>
      <c r="S6" s="10"/>
      <c r="T6" s="8"/>
    </row>
    <row r="7" spans="1:20" s="6" customFormat="1">
      <c r="A7" s="39">
        <v>42869</v>
      </c>
      <c r="B7" s="6" t="s">
        <v>20</v>
      </c>
      <c r="D7" s="42">
        <v>0.75</v>
      </c>
      <c r="E7" s="6">
        <v>300</v>
      </c>
      <c r="F7" s="6">
        <v>127</v>
      </c>
      <c r="G7" s="6">
        <v>139</v>
      </c>
      <c r="H7" s="6">
        <v>126</v>
      </c>
      <c r="I7" s="9">
        <f t="shared" si="0"/>
        <v>174.2222222222222</v>
      </c>
      <c r="J7" s="9">
        <f t="shared" si="1"/>
        <v>52266.666666666657</v>
      </c>
      <c r="K7" s="7" t="s">
        <v>18</v>
      </c>
      <c r="L7" s="147" t="s">
        <v>18</v>
      </c>
      <c r="M7" s="147"/>
      <c r="N7" s="7" t="s">
        <v>18</v>
      </c>
      <c r="O7" s="7" t="s">
        <v>18</v>
      </c>
      <c r="P7" s="7" t="s">
        <v>18</v>
      </c>
      <c r="Q7" s="9"/>
      <c r="R7" s="7"/>
      <c r="S7" s="11"/>
      <c r="T7" s="8"/>
    </row>
    <row r="8" spans="1:20" s="6" customFormat="1">
      <c r="A8" s="39">
        <v>42869</v>
      </c>
      <c r="B8" s="6" t="s">
        <v>23</v>
      </c>
      <c r="D8" s="42">
        <v>0.75</v>
      </c>
      <c r="E8" s="6">
        <v>300</v>
      </c>
      <c r="F8" s="6">
        <v>185</v>
      </c>
      <c r="G8" s="6">
        <v>223</v>
      </c>
      <c r="H8" s="6">
        <v>197</v>
      </c>
      <c r="I8" s="9">
        <f t="shared" si="0"/>
        <v>268.88888888888886</v>
      </c>
      <c r="J8" s="9">
        <f t="shared" si="1"/>
        <v>80666.666666666657</v>
      </c>
      <c r="K8" s="7" t="s">
        <v>18</v>
      </c>
      <c r="L8" s="147" t="s">
        <v>18</v>
      </c>
      <c r="M8" s="147"/>
      <c r="N8" s="7" t="s">
        <v>18</v>
      </c>
      <c r="O8" s="7" t="s">
        <v>18</v>
      </c>
      <c r="P8" s="7" t="s">
        <v>18</v>
      </c>
      <c r="Q8" s="9"/>
      <c r="R8" s="7"/>
      <c r="S8" s="11"/>
      <c r="T8" s="8"/>
    </row>
    <row r="9" spans="1:20" s="6" customFormat="1">
      <c r="A9" s="39">
        <v>42869</v>
      </c>
      <c r="B9" s="6" t="s">
        <v>24</v>
      </c>
      <c r="D9" s="42">
        <v>0.75</v>
      </c>
      <c r="E9" s="6">
        <v>300</v>
      </c>
      <c r="F9" s="6">
        <v>234</v>
      </c>
      <c r="G9" s="6">
        <v>277</v>
      </c>
      <c r="H9" s="6">
        <v>224</v>
      </c>
      <c r="I9" s="9">
        <f t="shared" si="0"/>
        <v>326.66666666666669</v>
      </c>
      <c r="J9" s="9">
        <f t="shared" si="1"/>
        <v>98000</v>
      </c>
      <c r="K9" s="7" t="s">
        <v>18</v>
      </c>
      <c r="L9" s="147" t="s">
        <v>18</v>
      </c>
      <c r="M9" s="147"/>
      <c r="N9" s="7" t="s">
        <v>18</v>
      </c>
      <c r="O9" s="7" t="s">
        <v>18</v>
      </c>
      <c r="P9" s="7" t="s">
        <v>18</v>
      </c>
      <c r="Q9" s="9"/>
      <c r="R9" s="7"/>
      <c r="S9" s="11"/>
      <c r="T9" s="8"/>
    </row>
    <row r="10" spans="1:20" s="6" customFormat="1">
      <c r="A10" s="39">
        <v>42869</v>
      </c>
      <c r="B10" s="6" t="s">
        <v>25</v>
      </c>
      <c r="D10" s="42">
        <v>0.75</v>
      </c>
      <c r="E10" s="6">
        <v>300</v>
      </c>
      <c r="F10" s="6">
        <v>173</v>
      </c>
      <c r="G10" s="6">
        <v>175</v>
      </c>
      <c r="H10" s="6">
        <v>170</v>
      </c>
      <c r="I10" s="9">
        <f t="shared" si="0"/>
        <v>230.2222222222222</v>
      </c>
      <c r="J10" s="9">
        <f t="shared" si="1"/>
        <v>69066.666666666657</v>
      </c>
      <c r="K10" s="7" t="s">
        <v>18</v>
      </c>
      <c r="L10" s="147" t="s">
        <v>18</v>
      </c>
      <c r="M10" s="147"/>
      <c r="N10" s="7" t="s">
        <v>18</v>
      </c>
      <c r="O10" s="7" t="s">
        <v>18</v>
      </c>
      <c r="P10" s="7" t="s">
        <v>18</v>
      </c>
      <c r="Q10" s="9"/>
      <c r="R10" s="7"/>
      <c r="S10" s="11"/>
      <c r="T10" s="8" t="s">
        <v>26</v>
      </c>
    </row>
    <row r="11" spans="1:20" s="6" customFormat="1">
      <c r="A11" s="39">
        <v>42870</v>
      </c>
      <c r="B11" s="6" t="s">
        <v>27</v>
      </c>
      <c r="D11" s="42">
        <v>0.2</v>
      </c>
      <c r="E11" s="6">
        <v>300</v>
      </c>
      <c r="F11" s="6">
        <v>375</v>
      </c>
      <c r="G11" s="6">
        <v>370</v>
      </c>
      <c r="H11" s="6">
        <v>364</v>
      </c>
      <c r="I11" s="9">
        <f t="shared" si="0"/>
        <v>1848.3333333333333</v>
      </c>
      <c r="J11" s="9">
        <f t="shared" si="1"/>
        <v>554500</v>
      </c>
      <c r="K11" s="7" t="s">
        <v>18</v>
      </c>
      <c r="L11" s="147" t="s">
        <v>18</v>
      </c>
      <c r="M11" s="147"/>
      <c r="N11" s="7" t="s">
        <v>18</v>
      </c>
      <c r="O11" s="7" t="s">
        <v>18</v>
      </c>
      <c r="P11" s="7" t="s">
        <v>18</v>
      </c>
      <c r="Q11" s="9"/>
      <c r="R11" s="7"/>
      <c r="S11" s="11"/>
      <c r="T11" s="8" t="s">
        <v>28</v>
      </c>
    </row>
    <row r="12" spans="1:20" s="6" customFormat="1">
      <c r="A12" s="39">
        <v>42870</v>
      </c>
      <c r="B12" s="6" t="s">
        <v>24</v>
      </c>
      <c r="D12" s="42">
        <v>0.2</v>
      </c>
      <c r="E12" s="6">
        <v>150</v>
      </c>
      <c r="F12" s="6">
        <v>110</v>
      </c>
      <c r="G12" s="6">
        <v>76</v>
      </c>
      <c r="H12" s="6">
        <v>123</v>
      </c>
      <c r="I12" s="9">
        <f t="shared" si="0"/>
        <v>515</v>
      </c>
      <c r="J12" s="9">
        <f t="shared" si="1"/>
        <v>77250</v>
      </c>
      <c r="K12" s="7" t="s">
        <v>18</v>
      </c>
      <c r="L12" s="147" t="s">
        <v>18</v>
      </c>
      <c r="M12" s="147"/>
      <c r="N12" s="7" t="s">
        <v>18</v>
      </c>
      <c r="O12" s="7" t="s">
        <v>18</v>
      </c>
      <c r="P12" s="7" t="s">
        <v>18</v>
      </c>
      <c r="Q12" s="9"/>
      <c r="R12" s="7"/>
      <c r="S12" s="11"/>
      <c r="T12" s="8" t="s">
        <v>29</v>
      </c>
    </row>
    <row r="13" spans="1:20" s="6" customFormat="1">
      <c r="A13" s="39">
        <v>42870</v>
      </c>
      <c r="B13" s="6" t="s">
        <v>25</v>
      </c>
      <c r="D13" s="42">
        <v>0.2</v>
      </c>
      <c r="E13" s="6">
        <v>300</v>
      </c>
      <c r="F13" s="6">
        <v>307</v>
      </c>
      <c r="G13" s="6">
        <v>286</v>
      </c>
      <c r="H13" s="6">
        <v>330</v>
      </c>
      <c r="I13" s="9">
        <f t="shared" si="0"/>
        <v>1538.3333333333333</v>
      </c>
      <c r="J13" s="9">
        <f t="shared" si="1"/>
        <v>461500</v>
      </c>
      <c r="K13" s="7" t="s">
        <v>18</v>
      </c>
      <c r="L13" s="147" t="s">
        <v>18</v>
      </c>
      <c r="M13" s="147"/>
      <c r="N13" s="7" t="s">
        <v>18</v>
      </c>
      <c r="O13" s="7" t="s">
        <v>18</v>
      </c>
      <c r="P13" s="7" t="s">
        <v>18</v>
      </c>
      <c r="Q13" s="9"/>
      <c r="R13" s="7"/>
      <c r="S13" s="11"/>
      <c r="T13" s="8" t="s">
        <v>28</v>
      </c>
    </row>
    <row r="14" spans="1:20" s="6" customFormat="1">
      <c r="A14" s="39">
        <v>42872</v>
      </c>
      <c r="B14" s="6" t="s">
        <v>21</v>
      </c>
      <c r="C14" s="6">
        <v>2</v>
      </c>
      <c r="D14" s="42">
        <v>0.5</v>
      </c>
      <c r="E14" s="6">
        <v>500</v>
      </c>
      <c r="F14" s="6">
        <v>147</v>
      </c>
      <c r="G14" s="6">
        <v>126</v>
      </c>
      <c r="H14" s="6">
        <v>155</v>
      </c>
      <c r="I14" s="9">
        <f t="shared" si="0"/>
        <v>285.33333333333331</v>
      </c>
      <c r="J14" s="9">
        <f t="shared" si="1"/>
        <v>142666.66666666666</v>
      </c>
      <c r="K14" s="7" t="s">
        <v>18</v>
      </c>
      <c r="L14" s="147" t="s">
        <v>18</v>
      </c>
      <c r="M14" s="147"/>
      <c r="N14" s="7" t="s">
        <v>18</v>
      </c>
      <c r="O14" s="7" t="s">
        <v>18</v>
      </c>
      <c r="P14" s="7" t="s">
        <v>18</v>
      </c>
      <c r="Q14" s="9"/>
      <c r="R14" s="7"/>
      <c r="S14" s="11"/>
      <c r="T14" s="8"/>
    </row>
    <row r="15" spans="1:20" s="6" customFormat="1">
      <c r="A15" s="39">
        <v>42872</v>
      </c>
      <c r="B15" s="6" t="s">
        <v>30</v>
      </c>
      <c r="C15" s="6">
        <v>2</v>
      </c>
      <c r="D15" s="42">
        <v>1</v>
      </c>
      <c r="E15" s="6">
        <v>250</v>
      </c>
      <c r="F15" s="6">
        <v>80</v>
      </c>
      <c r="G15" s="6">
        <v>61</v>
      </c>
      <c r="H15" s="6">
        <v>81</v>
      </c>
      <c r="I15" s="9">
        <f t="shared" si="0"/>
        <v>74</v>
      </c>
      <c r="J15" s="9">
        <f t="shared" si="1"/>
        <v>18500</v>
      </c>
      <c r="K15" s="7" t="s">
        <v>18</v>
      </c>
      <c r="L15" s="147" t="s">
        <v>18</v>
      </c>
      <c r="M15" s="147"/>
      <c r="N15" s="7" t="s">
        <v>18</v>
      </c>
      <c r="O15" s="7" t="s">
        <v>18</v>
      </c>
      <c r="P15" s="7" t="s">
        <v>18</v>
      </c>
      <c r="Q15" s="9"/>
      <c r="R15" s="7"/>
      <c r="S15" s="11"/>
      <c r="T15" s="8"/>
    </row>
    <row r="16" spans="1:20" s="6" customFormat="1">
      <c r="A16" s="39">
        <v>42872</v>
      </c>
      <c r="B16" s="6" t="s">
        <v>31</v>
      </c>
      <c r="C16" s="6">
        <v>1</v>
      </c>
      <c r="D16" s="42">
        <v>0.5</v>
      </c>
      <c r="E16" s="6">
        <v>500</v>
      </c>
      <c r="F16" s="6">
        <v>242</v>
      </c>
      <c r="G16" s="6">
        <v>210</v>
      </c>
      <c r="H16" s="6">
        <v>285</v>
      </c>
      <c r="I16" s="9">
        <f t="shared" si="0"/>
        <v>491.33333333333331</v>
      </c>
      <c r="J16" s="9">
        <f t="shared" si="1"/>
        <v>245666.66666666666</v>
      </c>
      <c r="K16" s="7" t="s">
        <v>18</v>
      </c>
      <c r="L16" s="147" t="s">
        <v>18</v>
      </c>
      <c r="M16" s="147"/>
      <c r="N16" s="7" t="s">
        <v>18</v>
      </c>
      <c r="O16" s="7" t="s">
        <v>18</v>
      </c>
      <c r="P16" s="7" t="s">
        <v>18</v>
      </c>
      <c r="Q16" s="9"/>
      <c r="R16" s="7"/>
      <c r="S16" s="11"/>
      <c r="T16" s="8" t="s">
        <v>32</v>
      </c>
    </row>
    <row r="17" spans="1:20" s="6" customFormat="1">
      <c r="A17" s="39">
        <v>42872</v>
      </c>
      <c r="B17" s="6" t="s">
        <v>27</v>
      </c>
      <c r="C17" s="6">
        <v>1</v>
      </c>
      <c r="D17" s="42">
        <v>0.5</v>
      </c>
      <c r="E17" s="6">
        <v>500</v>
      </c>
      <c r="F17" s="6">
        <v>54</v>
      </c>
      <c r="G17" s="6">
        <v>55</v>
      </c>
      <c r="H17" s="6">
        <v>50</v>
      </c>
      <c r="I17" s="9">
        <f t="shared" si="0"/>
        <v>106</v>
      </c>
      <c r="J17" s="9">
        <f t="shared" si="1"/>
        <v>53000</v>
      </c>
      <c r="K17" s="7" t="s">
        <v>18</v>
      </c>
      <c r="L17" s="147" t="s">
        <v>18</v>
      </c>
      <c r="M17" s="147"/>
      <c r="N17" s="7" t="s">
        <v>18</v>
      </c>
      <c r="O17" s="7" t="s">
        <v>18</v>
      </c>
      <c r="P17" s="7" t="s">
        <v>18</v>
      </c>
      <c r="Q17" s="9"/>
      <c r="R17" s="7"/>
      <c r="S17" s="11"/>
      <c r="T17" s="8" t="s">
        <v>33</v>
      </c>
    </row>
    <row r="18" spans="1:20" s="6" customFormat="1">
      <c r="A18" s="39">
        <v>42872</v>
      </c>
      <c r="B18" s="6" t="s">
        <v>23</v>
      </c>
      <c r="C18" s="6">
        <v>1</v>
      </c>
      <c r="D18" s="42">
        <v>0.5</v>
      </c>
      <c r="E18" s="6">
        <v>150</v>
      </c>
      <c r="F18" s="6">
        <v>33</v>
      </c>
      <c r="G18" s="6">
        <v>32</v>
      </c>
      <c r="H18" s="6">
        <v>29</v>
      </c>
      <c r="I18" s="9">
        <f t="shared" si="0"/>
        <v>62.666666666666664</v>
      </c>
      <c r="J18" s="9">
        <f t="shared" si="1"/>
        <v>9400</v>
      </c>
      <c r="K18" s="7" t="s">
        <v>18</v>
      </c>
      <c r="L18" s="147" t="s">
        <v>18</v>
      </c>
      <c r="M18" s="147"/>
      <c r="N18" s="7" t="s">
        <v>18</v>
      </c>
      <c r="O18" s="7" t="s">
        <v>18</v>
      </c>
      <c r="P18" s="7" t="s">
        <v>18</v>
      </c>
      <c r="Q18" s="9"/>
      <c r="R18" s="7"/>
      <c r="S18" s="11"/>
      <c r="T18" s="8"/>
    </row>
    <row r="19" spans="1:20" s="6" customFormat="1">
      <c r="A19" s="39">
        <v>42872</v>
      </c>
      <c r="B19" s="6" t="s">
        <v>24</v>
      </c>
      <c r="C19" s="6">
        <v>2</v>
      </c>
      <c r="D19" s="42">
        <v>1</v>
      </c>
      <c r="E19" s="6">
        <v>250</v>
      </c>
      <c r="F19" s="6">
        <v>4</v>
      </c>
      <c r="G19" s="6">
        <v>12</v>
      </c>
      <c r="H19" s="6">
        <v>16</v>
      </c>
      <c r="I19" s="9">
        <f t="shared" si="0"/>
        <v>10.666666666666666</v>
      </c>
      <c r="J19" s="9">
        <f t="shared" si="1"/>
        <v>2666.6666666666665</v>
      </c>
      <c r="K19" s="7" t="s">
        <v>18</v>
      </c>
      <c r="L19" s="147" t="s">
        <v>18</v>
      </c>
      <c r="M19" s="147"/>
      <c r="N19" s="7" t="s">
        <v>18</v>
      </c>
      <c r="O19" s="7" t="s">
        <v>18</v>
      </c>
      <c r="P19" s="7" t="s">
        <v>18</v>
      </c>
      <c r="Q19" s="9"/>
      <c r="R19" s="7"/>
      <c r="S19" s="11"/>
      <c r="T19" s="8"/>
    </row>
    <row r="20" spans="1:20" s="6" customFormat="1">
      <c r="A20" s="39">
        <v>42872</v>
      </c>
      <c r="B20" s="6" t="s">
        <v>34</v>
      </c>
      <c r="C20" s="6">
        <v>1</v>
      </c>
      <c r="D20" s="42">
        <v>0.5</v>
      </c>
      <c r="E20" s="6">
        <v>500</v>
      </c>
      <c r="F20" s="6">
        <v>371</v>
      </c>
      <c r="G20" s="6">
        <v>366</v>
      </c>
      <c r="H20" s="6">
        <v>400</v>
      </c>
      <c r="I20" s="9">
        <f t="shared" si="0"/>
        <v>758</v>
      </c>
      <c r="J20" s="9">
        <f t="shared" si="1"/>
        <v>379000</v>
      </c>
      <c r="K20" s="7" t="s">
        <v>18</v>
      </c>
      <c r="L20" s="147" t="s">
        <v>18</v>
      </c>
      <c r="M20" s="147"/>
      <c r="N20" s="7" t="s">
        <v>18</v>
      </c>
      <c r="O20" s="7" t="s">
        <v>18</v>
      </c>
      <c r="P20" s="7" t="s">
        <v>18</v>
      </c>
      <c r="Q20" s="9"/>
      <c r="R20" s="7"/>
      <c r="S20" s="11"/>
      <c r="T20" s="8"/>
    </row>
    <row r="21" spans="1:20" s="6" customFormat="1">
      <c r="A21" s="39">
        <v>42872</v>
      </c>
      <c r="B21" s="6" t="s">
        <v>34</v>
      </c>
      <c r="C21" s="6">
        <v>1</v>
      </c>
      <c r="D21" s="42">
        <v>0.5</v>
      </c>
      <c r="E21" s="6">
        <v>200</v>
      </c>
      <c r="F21" s="6">
        <v>31</v>
      </c>
      <c r="G21" s="6">
        <v>40</v>
      </c>
      <c r="H21" s="6">
        <v>40</v>
      </c>
      <c r="I21" s="9">
        <f t="shared" si="0"/>
        <v>74</v>
      </c>
      <c r="J21" s="9">
        <f t="shared" si="1"/>
        <v>14800</v>
      </c>
      <c r="K21" s="7" t="s">
        <v>18</v>
      </c>
      <c r="L21" s="147" t="s">
        <v>18</v>
      </c>
      <c r="M21" s="147"/>
      <c r="N21" s="7" t="s">
        <v>18</v>
      </c>
      <c r="O21" s="7" t="s">
        <v>18</v>
      </c>
      <c r="P21" s="7" t="s">
        <v>18</v>
      </c>
      <c r="Q21" s="9"/>
      <c r="R21" s="7"/>
      <c r="S21" s="11"/>
      <c r="T21" s="8" t="s">
        <v>35</v>
      </c>
    </row>
    <row r="22" spans="1:20" s="6" customFormat="1">
      <c r="A22" s="39">
        <v>42872</v>
      </c>
      <c r="B22" s="6" t="s">
        <v>34</v>
      </c>
      <c r="C22" s="6">
        <v>1</v>
      </c>
      <c r="D22" s="42">
        <v>0.5</v>
      </c>
      <c r="E22" s="6">
        <v>200</v>
      </c>
      <c r="F22" s="6">
        <v>31</v>
      </c>
      <c r="G22" s="6">
        <v>26</v>
      </c>
      <c r="H22" s="6">
        <v>23</v>
      </c>
      <c r="I22" s="9">
        <f t="shared" si="0"/>
        <v>53.333333333333336</v>
      </c>
      <c r="J22" s="9">
        <f t="shared" si="1"/>
        <v>10666.666666666668</v>
      </c>
      <c r="K22" s="7" t="s">
        <v>18</v>
      </c>
      <c r="L22" s="147" t="s">
        <v>18</v>
      </c>
      <c r="M22" s="147"/>
      <c r="N22" s="7" t="s">
        <v>18</v>
      </c>
      <c r="O22" s="7" t="s">
        <v>18</v>
      </c>
      <c r="P22" s="7" t="s">
        <v>18</v>
      </c>
      <c r="Q22" s="9"/>
      <c r="R22" s="7"/>
      <c r="S22" s="11"/>
      <c r="T22" s="8" t="s">
        <v>35</v>
      </c>
    </row>
    <row r="23" spans="1:20" s="6" customFormat="1">
      <c r="A23" s="39">
        <v>42872</v>
      </c>
      <c r="B23" s="6" t="s">
        <v>25</v>
      </c>
      <c r="C23" s="6">
        <v>2</v>
      </c>
      <c r="D23" s="42">
        <v>1</v>
      </c>
      <c r="E23" s="6">
        <v>250</v>
      </c>
      <c r="F23" s="6">
        <v>3</v>
      </c>
      <c r="G23" s="6">
        <v>7</v>
      </c>
      <c r="H23" s="6">
        <v>7</v>
      </c>
      <c r="I23" s="9">
        <f t="shared" si="0"/>
        <v>5.666666666666667</v>
      </c>
      <c r="J23" s="9">
        <f t="shared" si="1"/>
        <v>1416.6666666666667</v>
      </c>
      <c r="K23" s="7" t="s">
        <v>18</v>
      </c>
      <c r="L23" s="147" t="s">
        <v>18</v>
      </c>
      <c r="M23" s="147"/>
      <c r="N23" s="7" t="s">
        <v>18</v>
      </c>
      <c r="O23" s="7" t="s">
        <v>18</v>
      </c>
      <c r="P23" s="7" t="s">
        <v>18</v>
      </c>
      <c r="Q23" s="9"/>
      <c r="R23" s="7"/>
      <c r="S23" s="11"/>
      <c r="T23" s="8"/>
    </row>
    <row r="24" spans="1:20" s="6" customFormat="1">
      <c r="A24" s="39">
        <v>42872</v>
      </c>
      <c r="B24" s="6" t="s">
        <v>36</v>
      </c>
      <c r="C24" s="6">
        <v>2</v>
      </c>
      <c r="D24" s="42">
        <v>0.5</v>
      </c>
      <c r="E24" s="6">
        <v>800</v>
      </c>
      <c r="F24" s="6">
        <v>136</v>
      </c>
      <c r="G24" s="6">
        <v>131</v>
      </c>
      <c r="H24" s="6">
        <v>134</v>
      </c>
      <c r="I24" s="9">
        <f t="shared" si="0"/>
        <v>267.33333333333331</v>
      </c>
      <c r="J24" s="9">
        <f t="shared" si="1"/>
        <v>213866.66666666666</v>
      </c>
      <c r="K24" s="7" t="s">
        <v>18</v>
      </c>
      <c r="L24" s="147" t="s">
        <v>18</v>
      </c>
      <c r="M24" s="147"/>
      <c r="N24" s="7" t="s">
        <v>18</v>
      </c>
      <c r="O24" s="7" t="s">
        <v>18</v>
      </c>
      <c r="P24" s="7" t="s">
        <v>18</v>
      </c>
      <c r="Q24" s="9"/>
      <c r="R24" s="7"/>
      <c r="S24" s="11"/>
      <c r="T24" s="8"/>
    </row>
    <row r="25" spans="1:20" s="6" customFormat="1">
      <c r="A25" s="39">
        <v>42872</v>
      </c>
      <c r="B25" s="6" t="s">
        <v>36</v>
      </c>
      <c r="C25" s="6">
        <v>2</v>
      </c>
      <c r="D25" s="42">
        <v>0.5</v>
      </c>
      <c r="E25" s="6">
        <v>250</v>
      </c>
      <c r="F25" s="6">
        <v>5</v>
      </c>
      <c r="G25" s="6">
        <v>8</v>
      </c>
      <c r="H25" s="6">
        <v>12</v>
      </c>
      <c r="I25" s="9">
        <f t="shared" si="0"/>
        <v>16.666666666666668</v>
      </c>
      <c r="J25" s="9">
        <f t="shared" si="1"/>
        <v>4166.666666666667</v>
      </c>
      <c r="K25" s="7" t="s">
        <v>18</v>
      </c>
      <c r="L25" s="147" t="s">
        <v>18</v>
      </c>
      <c r="M25" s="147"/>
      <c r="N25" s="7" t="s">
        <v>18</v>
      </c>
      <c r="O25" s="7" t="s">
        <v>18</v>
      </c>
      <c r="P25" s="7" t="s">
        <v>18</v>
      </c>
      <c r="Q25" s="9"/>
      <c r="R25" s="7"/>
      <c r="S25" s="11"/>
      <c r="T25" s="8"/>
    </row>
    <row r="26" spans="1:20" s="6" customFormat="1">
      <c r="A26" s="39">
        <v>42873</v>
      </c>
      <c r="B26" s="6" t="s">
        <v>37</v>
      </c>
      <c r="D26" s="42">
        <v>0.5</v>
      </c>
      <c r="E26" s="6">
        <v>350</v>
      </c>
      <c r="F26" s="6">
        <v>33</v>
      </c>
      <c r="G26" s="6">
        <v>32</v>
      </c>
      <c r="H26" s="6">
        <v>38</v>
      </c>
      <c r="I26" s="9">
        <f t="shared" si="0"/>
        <v>68.666666666666671</v>
      </c>
      <c r="J26" s="9">
        <f t="shared" si="1"/>
        <v>24033.333333333336</v>
      </c>
      <c r="K26" s="7" t="s">
        <v>18</v>
      </c>
      <c r="L26" s="147" t="s">
        <v>18</v>
      </c>
      <c r="M26" s="147"/>
      <c r="N26" s="7" t="s">
        <v>18</v>
      </c>
      <c r="O26" s="7" t="s">
        <v>18</v>
      </c>
      <c r="P26" s="7" t="s">
        <v>18</v>
      </c>
      <c r="Q26" s="9"/>
      <c r="R26" s="7"/>
      <c r="S26" s="11"/>
      <c r="T26" s="8"/>
    </row>
    <row r="27" spans="1:20" s="6" customFormat="1">
      <c r="A27" s="39">
        <v>42873</v>
      </c>
      <c r="B27" s="6" t="s">
        <v>31</v>
      </c>
      <c r="D27" s="42">
        <v>1</v>
      </c>
      <c r="E27" s="6">
        <v>250</v>
      </c>
      <c r="F27" s="6">
        <v>2</v>
      </c>
      <c r="G27" s="6">
        <v>4</v>
      </c>
      <c r="H27" s="6">
        <v>6</v>
      </c>
      <c r="I27" s="9">
        <f t="shared" si="0"/>
        <v>4</v>
      </c>
      <c r="J27" s="9">
        <f t="shared" si="1"/>
        <v>1000</v>
      </c>
      <c r="K27" s="7" t="s">
        <v>18</v>
      </c>
      <c r="L27" s="147" t="s">
        <v>18</v>
      </c>
      <c r="M27" s="147"/>
      <c r="N27" s="7" t="s">
        <v>18</v>
      </c>
      <c r="O27" s="7" t="s">
        <v>18</v>
      </c>
      <c r="P27" s="7" t="s">
        <v>18</v>
      </c>
      <c r="Q27" s="9"/>
      <c r="R27" s="7"/>
      <c r="S27" s="11"/>
      <c r="T27" s="8"/>
    </row>
    <row r="28" spans="1:20" s="6" customFormat="1">
      <c r="A28" s="39">
        <v>42873</v>
      </c>
      <c r="B28" s="6" t="s">
        <v>27</v>
      </c>
      <c r="D28" s="42">
        <v>1</v>
      </c>
      <c r="E28" s="6">
        <v>250</v>
      </c>
      <c r="F28" s="6">
        <v>0</v>
      </c>
      <c r="G28" s="6">
        <v>1</v>
      </c>
      <c r="H28" s="6">
        <v>2</v>
      </c>
      <c r="I28" s="9">
        <f t="shared" si="0"/>
        <v>1</v>
      </c>
      <c r="J28" s="9">
        <f t="shared" si="1"/>
        <v>250</v>
      </c>
      <c r="K28" s="7" t="s">
        <v>18</v>
      </c>
      <c r="L28" s="147" t="s">
        <v>18</v>
      </c>
      <c r="M28" s="147"/>
      <c r="N28" s="7" t="s">
        <v>18</v>
      </c>
      <c r="O28" s="7" t="s">
        <v>18</v>
      </c>
      <c r="P28" s="7" t="s">
        <v>18</v>
      </c>
      <c r="Q28" s="9"/>
      <c r="R28" s="7"/>
      <c r="S28" s="11"/>
      <c r="T28" s="8"/>
    </row>
    <row r="29" spans="1:20" s="6" customFormat="1">
      <c r="A29" s="39">
        <v>42873</v>
      </c>
      <c r="B29" s="6" t="s">
        <v>23</v>
      </c>
      <c r="D29" s="42">
        <v>1</v>
      </c>
      <c r="E29" s="6">
        <v>250</v>
      </c>
      <c r="F29" s="6">
        <v>23</v>
      </c>
      <c r="G29" s="6">
        <v>26</v>
      </c>
      <c r="H29" s="6">
        <v>20</v>
      </c>
      <c r="I29" s="9">
        <f t="shared" si="0"/>
        <v>23</v>
      </c>
      <c r="J29" s="9">
        <f t="shared" si="1"/>
        <v>5750</v>
      </c>
      <c r="K29" s="7" t="s">
        <v>18</v>
      </c>
      <c r="L29" s="147" t="s">
        <v>18</v>
      </c>
      <c r="M29" s="147"/>
      <c r="N29" s="7" t="s">
        <v>18</v>
      </c>
      <c r="O29" s="7" t="s">
        <v>18</v>
      </c>
      <c r="P29" s="7" t="s">
        <v>18</v>
      </c>
      <c r="Q29" s="9"/>
      <c r="R29" s="7"/>
      <c r="S29" s="11"/>
      <c r="T29" s="8"/>
    </row>
    <row r="30" spans="1:20" s="6" customFormat="1">
      <c r="A30" s="39">
        <v>42873</v>
      </c>
      <c r="B30" s="6" t="s">
        <v>24</v>
      </c>
      <c r="D30" s="42">
        <v>1</v>
      </c>
      <c r="E30" s="6">
        <v>200</v>
      </c>
      <c r="F30" s="6">
        <v>1</v>
      </c>
      <c r="G30" s="6">
        <v>1</v>
      </c>
      <c r="H30" s="6">
        <v>1</v>
      </c>
      <c r="I30" s="9">
        <f t="shared" si="0"/>
        <v>1</v>
      </c>
      <c r="J30" s="9">
        <f t="shared" si="1"/>
        <v>200</v>
      </c>
      <c r="K30" s="7" t="s">
        <v>18</v>
      </c>
      <c r="L30" s="147" t="s">
        <v>18</v>
      </c>
      <c r="M30" s="147"/>
      <c r="N30" s="7" t="s">
        <v>18</v>
      </c>
      <c r="O30" s="7" t="s">
        <v>18</v>
      </c>
      <c r="P30" s="7" t="s">
        <v>18</v>
      </c>
      <c r="Q30" s="9"/>
      <c r="R30" s="7"/>
      <c r="S30" s="11"/>
      <c r="T30" s="8"/>
    </row>
    <row r="31" spans="1:20" s="6" customFormat="1">
      <c r="A31" s="39">
        <v>42873</v>
      </c>
      <c r="B31" s="6" t="s">
        <v>34</v>
      </c>
      <c r="D31" s="42">
        <v>1</v>
      </c>
      <c r="E31" s="6">
        <v>300</v>
      </c>
      <c r="F31" s="6">
        <v>27</v>
      </c>
      <c r="G31" s="6">
        <v>43</v>
      </c>
      <c r="H31" s="6">
        <v>42</v>
      </c>
      <c r="I31" s="9">
        <f t="shared" si="0"/>
        <v>37.333333333333336</v>
      </c>
      <c r="J31" s="9">
        <f t="shared" si="1"/>
        <v>11200</v>
      </c>
      <c r="K31" s="7" t="s">
        <v>18</v>
      </c>
      <c r="L31" s="147" t="s">
        <v>18</v>
      </c>
      <c r="M31" s="147"/>
      <c r="N31" s="7" t="s">
        <v>18</v>
      </c>
      <c r="O31" s="7" t="s">
        <v>18</v>
      </c>
      <c r="P31" s="7" t="s">
        <v>18</v>
      </c>
      <c r="Q31" s="9"/>
      <c r="R31" s="7"/>
      <c r="S31" s="11"/>
      <c r="T31" s="8"/>
    </row>
    <row r="32" spans="1:20" s="6" customFormat="1">
      <c r="A32" s="39">
        <v>42873</v>
      </c>
      <c r="B32" s="6" t="s">
        <v>36</v>
      </c>
      <c r="D32" s="42">
        <v>1</v>
      </c>
      <c r="E32" s="6">
        <v>250</v>
      </c>
      <c r="F32" s="6">
        <v>16</v>
      </c>
      <c r="G32" s="6">
        <v>11</v>
      </c>
      <c r="H32" s="6">
        <v>16</v>
      </c>
      <c r="I32" s="9">
        <f t="shared" si="0"/>
        <v>14.333333333333334</v>
      </c>
      <c r="J32" s="9">
        <f t="shared" si="1"/>
        <v>3583.3333333333335</v>
      </c>
      <c r="K32" s="7" t="s">
        <v>18</v>
      </c>
      <c r="L32" s="147" t="s">
        <v>18</v>
      </c>
      <c r="M32" s="147"/>
      <c r="N32" s="7" t="s">
        <v>18</v>
      </c>
      <c r="O32" s="7" t="s">
        <v>18</v>
      </c>
      <c r="P32" s="7" t="s">
        <v>18</v>
      </c>
      <c r="Q32" s="9"/>
      <c r="R32" s="7"/>
      <c r="S32" s="11"/>
      <c r="T32" s="8"/>
    </row>
    <row r="33" spans="1:21" s="6" customFormat="1">
      <c r="A33" s="39">
        <v>42874</v>
      </c>
      <c r="B33" s="6" t="s">
        <v>37</v>
      </c>
      <c r="D33" s="42">
        <v>2</v>
      </c>
      <c r="E33" s="6">
        <v>500</v>
      </c>
      <c r="F33" s="6">
        <v>49</v>
      </c>
      <c r="G33" s="6">
        <v>44</v>
      </c>
      <c r="H33" s="6">
        <v>50</v>
      </c>
      <c r="I33" s="9">
        <f t="shared" si="0"/>
        <v>23.833333333333332</v>
      </c>
      <c r="J33" s="9">
        <f t="shared" si="1"/>
        <v>11916.666666666666</v>
      </c>
      <c r="K33" s="46">
        <v>17</v>
      </c>
      <c r="L33" s="147"/>
      <c r="M33" s="147"/>
      <c r="N33" s="6">
        <v>500</v>
      </c>
      <c r="O33" s="9">
        <f>N33*I33</f>
        <v>11916.666666666666</v>
      </c>
      <c r="P33" s="6" t="s">
        <v>18</v>
      </c>
      <c r="Q33" s="9"/>
      <c r="S33" s="11"/>
      <c r="T33" s="8"/>
    </row>
    <row r="34" spans="1:21" s="6" customFormat="1">
      <c r="A34" s="39">
        <v>42874</v>
      </c>
      <c r="B34" s="6" t="s">
        <v>38</v>
      </c>
      <c r="D34" s="42">
        <v>2</v>
      </c>
      <c r="E34" s="6">
        <v>175</v>
      </c>
      <c r="F34" s="6">
        <v>27</v>
      </c>
      <c r="G34" s="6">
        <v>23</v>
      </c>
      <c r="H34" s="6">
        <v>20</v>
      </c>
      <c r="I34" s="9">
        <f t="shared" ref="I34:I65" si="2">AVERAGE(F34:H34)/D34</f>
        <v>11.666666666666666</v>
      </c>
      <c r="J34" s="9">
        <f t="shared" ref="J34:J65" si="3">I34*E34</f>
        <v>2041.6666666666665</v>
      </c>
      <c r="K34" s="46">
        <v>19</v>
      </c>
      <c r="L34" s="147"/>
      <c r="M34" s="147"/>
      <c r="N34" s="6">
        <v>175</v>
      </c>
      <c r="O34" s="9">
        <f t="shared" ref="O34:O36" si="4">N34*I34</f>
        <v>2041.6666666666665</v>
      </c>
      <c r="P34" s="6" t="s">
        <v>18</v>
      </c>
      <c r="Q34" s="9"/>
      <c r="S34" s="11"/>
      <c r="T34" s="8"/>
    </row>
    <row r="35" spans="1:21" s="6" customFormat="1">
      <c r="A35" s="39">
        <v>42874</v>
      </c>
      <c r="B35" s="6" t="s">
        <v>39</v>
      </c>
      <c r="D35" s="42">
        <v>1</v>
      </c>
      <c r="E35" s="6">
        <v>150</v>
      </c>
      <c r="F35" s="6">
        <v>2</v>
      </c>
      <c r="G35" s="6">
        <v>1</v>
      </c>
      <c r="H35" s="6">
        <v>4</v>
      </c>
      <c r="I35" s="9">
        <f t="shared" si="2"/>
        <v>2.3333333333333335</v>
      </c>
      <c r="J35" s="9">
        <f t="shared" si="3"/>
        <v>350</v>
      </c>
      <c r="K35" s="46">
        <v>8</v>
      </c>
      <c r="L35" s="147"/>
      <c r="M35" s="147"/>
      <c r="N35" s="6">
        <v>150</v>
      </c>
      <c r="O35" s="9">
        <f t="shared" si="4"/>
        <v>350</v>
      </c>
      <c r="P35" s="6" t="s">
        <v>18</v>
      </c>
      <c r="Q35" s="9"/>
      <c r="S35" s="11"/>
      <c r="T35" s="8"/>
    </row>
    <row r="36" spans="1:21" s="6" customFormat="1" ht="30">
      <c r="A36" s="39">
        <v>42874</v>
      </c>
      <c r="B36" s="6" t="s">
        <v>23</v>
      </c>
      <c r="D36" s="42">
        <v>0.5</v>
      </c>
      <c r="E36" s="6">
        <v>800</v>
      </c>
      <c r="F36" s="6">
        <v>133</v>
      </c>
      <c r="G36" s="6">
        <v>139</v>
      </c>
      <c r="H36" s="6">
        <v>106</v>
      </c>
      <c r="I36" s="9">
        <f t="shared" si="2"/>
        <v>252</v>
      </c>
      <c r="J36" s="9">
        <f t="shared" si="3"/>
        <v>201600</v>
      </c>
      <c r="K36" s="46">
        <v>5</v>
      </c>
      <c r="L36" s="147">
        <v>80640</v>
      </c>
      <c r="M36" s="147">
        <f>L36/I36</f>
        <v>320</v>
      </c>
      <c r="N36" s="6">
        <v>320</v>
      </c>
      <c r="O36" s="9">
        <f t="shared" si="4"/>
        <v>80640</v>
      </c>
      <c r="P36" s="6" t="s">
        <v>18</v>
      </c>
      <c r="Q36" s="9"/>
      <c r="S36" s="11"/>
      <c r="T36" s="12" t="s">
        <v>52</v>
      </c>
      <c r="U36" s="6" t="s">
        <v>40</v>
      </c>
    </row>
    <row r="37" spans="1:21" s="6" customFormat="1">
      <c r="A37" s="39">
        <v>42875</v>
      </c>
      <c r="B37" s="6" t="s">
        <v>17</v>
      </c>
      <c r="D37" s="42">
        <v>0.5</v>
      </c>
      <c r="E37" s="6">
        <v>500</v>
      </c>
      <c r="F37" s="6">
        <v>95</v>
      </c>
      <c r="G37" s="6">
        <v>103</v>
      </c>
      <c r="H37" s="6">
        <v>126</v>
      </c>
      <c r="I37" s="9">
        <f t="shared" si="2"/>
        <v>216</v>
      </c>
      <c r="J37" s="9">
        <f t="shared" si="3"/>
        <v>108000</v>
      </c>
      <c r="K37" s="47">
        <v>22</v>
      </c>
      <c r="L37" s="147"/>
      <c r="M37" s="147"/>
      <c r="N37" s="6">
        <v>500</v>
      </c>
      <c r="O37" s="9">
        <f t="shared" ref="O37:O42" si="5">N37*I37</f>
        <v>108000</v>
      </c>
      <c r="P37" s="6" t="s">
        <v>18</v>
      </c>
      <c r="Q37" s="9">
        <f t="shared" ref="Q37:Q38" si="6">J37-O37</f>
        <v>0</v>
      </c>
      <c r="R37" s="5"/>
      <c r="S37" s="11"/>
      <c r="T37" s="8"/>
      <c r="U37" s="6" t="s">
        <v>41</v>
      </c>
    </row>
    <row r="38" spans="1:21" s="6" customFormat="1">
      <c r="A38" s="39">
        <v>42875</v>
      </c>
      <c r="B38" s="6" t="s">
        <v>38</v>
      </c>
      <c r="D38" s="42">
        <v>0.5</v>
      </c>
      <c r="E38" s="6">
        <v>500</v>
      </c>
      <c r="F38" s="6">
        <v>89</v>
      </c>
      <c r="G38" s="6">
        <v>94</v>
      </c>
      <c r="H38" s="6">
        <v>86</v>
      </c>
      <c r="I38" s="9">
        <f t="shared" si="2"/>
        <v>179.33333333333334</v>
      </c>
      <c r="J38" s="9">
        <f t="shared" si="3"/>
        <v>89666.666666666672</v>
      </c>
      <c r="K38" s="47">
        <v>19</v>
      </c>
      <c r="L38" s="147"/>
      <c r="M38" s="147"/>
      <c r="N38" s="6">
        <v>500</v>
      </c>
      <c r="O38" s="9">
        <f t="shared" si="5"/>
        <v>89666.666666666672</v>
      </c>
      <c r="P38" s="6" t="s">
        <v>18</v>
      </c>
      <c r="Q38" s="9">
        <f t="shared" si="6"/>
        <v>0</v>
      </c>
      <c r="R38" s="5"/>
      <c r="S38" s="11"/>
      <c r="T38" s="13"/>
      <c r="U38" s="6" t="s">
        <v>41</v>
      </c>
    </row>
    <row r="39" spans="1:21" s="6" customFormat="1">
      <c r="A39" s="39">
        <v>42875</v>
      </c>
      <c r="B39" s="6" t="s">
        <v>27</v>
      </c>
      <c r="D39" s="42">
        <v>0.5</v>
      </c>
      <c r="E39" s="6">
        <v>800</v>
      </c>
      <c r="F39" s="6">
        <v>201</v>
      </c>
      <c r="G39" s="6">
        <v>194</v>
      </c>
      <c r="H39" s="6">
        <v>185</v>
      </c>
      <c r="I39" s="9">
        <f t="shared" si="2"/>
        <v>386.66666666666669</v>
      </c>
      <c r="J39" s="9">
        <f t="shared" si="3"/>
        <v>309333.33333333337</v>
      </c>
      <c r="K39" s="47">
        <v>5</v>
      </c>
      <c r="L39" s="147"/>
      <c r="M39" s="147"/>
      <c r="N39" s="6">
        <v>300</v>
      </c>
      <c r="O39" s="9">
        <f t="shared" si="5"/>
        <v>116000</v>
      </c>
      <c r="P39" s="6" t="s">
        <v>54</v>
      </c>
      <c r="Q39" s="9">
        <f>J39-O39</f>
        <v>193333.33333333337</v>
      </c>
      <c r="R39" s="5">
        <v>42877</v>
      </c>
      <c r="S39" s="11"/>
      <c r="T39" s="8"/>
      <c r="U39" s="6" t="s">
        <v>42</v>
      </c>
    </row>
    <row r="40" spans="1:21" s="6" customFormat="1">
      <c r="A40" s="39">
        <v>42875</v>
      </c>
      <c r="B40" s="6" t="s">
        <v>23</v>
      </c>
      <c r="D40" s="42">
        <v>0.5</v>
      </c>
      <c r="E40" s="6">
        <v>280</v>
      </c>
      <c r="F40" s="6">
        <v>16</v>
      </c>
      <c r="G40" s="6">
        <v>17</v>
      </c>
      <c r="H40" s="6">
        <v>15</v>
      </c>
      <c r="I40" s="9">
        <f t="shared" si="2"/>
        <v>32</v>
      </c>
      <c r="J40" s="9">
        <f t="shared" si="3"/>
        <v>8960</v>
      </c>
      <c r="K40" s="47">
        <v>5</v>
      </c>
      <c r="L40" s="147"/>
      <c r="M40" s="147"/>
      <c r="N40" s="6">
        <v>280</v>
      </c>
      <c r="O40" s="9">
        <f t="shared" si="5"/>
        <v>8960</v>
      </c>
      <c r="P40" s="6" t="s">
        <v>55</v>
      </c>
      <c r="Q40" s="9">
        <f t="shared" ref="Q40:Q45" si="7">J40-O40</f>
        <v>0</v>
      </c>
      <c r="R40" s="5">
        <v>42877</v>
      </c>
      <c r="S40" s="11"/>
      <c r="T40" s="8"/>
      <c r="U40" s="6" t="s">
        <v>41</v>
      </c>
    </row>
    <row r="41" spans="1:21" s="6" customFormat="1">
      <c r="A41" s="39">
        <v>42875</v>
      </c>
      <c r="B41" s="6" t="s">
        <v>24</v>
      </c>
      <c r="D41" s="42">
        <v>0.5</v>
      </c>
      <c r="E41" s="6">
        <v>750</v>
      </c>
      <c r="F41" s="6">
        <v>192</v>
      </c>
      <c r="G41" s="6">
        <v>180</v>
      </c>
      <c r="H41" s="6">
        <v>190</v>
      </c>
      <c r="I41" s="9">
        <f t="shared" si="2"/>
        <v>374.66666666666669</v>
      </c>
      <c r="J41" s="9">
        <f t="shared" si="3"/>
        <v>281000</v>
      </c>
      <c r="K41" s="47">
        <v>7</v>
      </c>
      <c r="L41" s="147"/>
      <c r="M41" s="147"/>
      <c r="N41" s="6">
        <v>500</v>
      </c>
      <c r="O41" s="9">
        <f t="shared" si="5"/>
        <v>187333.33333333334</v>
      </c>
      <c r="P41" s="6" t="s">
        <v>18</v>
      </c>
      <c r="Q41" s="9">
        <f t="shared" si="7"/>
        <v>93666.666666666657</v>
      </c>
      <c r="R41" s="5"/>
      <c r="S41" s="11"/>
      <c r="T41" s="8"/>
      <c r="U41" s="6" t="s">
        <v>43</v>
      </c>
    </row>
    <row r="42" spans="1:21" s="6" customFormat="1">
      <c r="A42" s="39">
        <v>42875</v>
      </c>
      <c r="B42" s="6" t="s">
        <v>44</v>
      </c>
      <c r="D42" s="42">
        <v>1</v>
      </c>
      <c r="E42" s="6">
        <v>200</v>
      </c>
      <c r="F42" s="6">
        <v>56</v>
      </c>
      <c r="G42" s="6">
        <v>54</v>
      </c>
      <c r="H42" s="6">
        <v>68</v>
      </c>
      <c r="I42" s="9">
        <f t="shared" si="2"/>
        <v>59.333333333333336</v>
      </c>
      <c r="J42" s="9">
        <f t="shared" si="3"/>
        <v>11866.666666666668</v>
      </c>
      <c r="K42" s="47">
        <v>3</v>
      </c>
      <c r="L42" s="147"/>
      <c r="M42" s="147"/>
      <c r="N42" s="6">
        <v>200</v>
      </c>
      <c r="O42" s="9">
        <f t="shared" si="5"/>
        <v>11866.666666666668</v>
      </c>
      <c r="P42" s="6" t="s">
        <v>18</v>
      </c>
      <c r="Q42" s="9">
        <f t="shared" si="7"/>
        <v>0</v>
      </c>
      <c r="R42" s="5"/>
      <c r="S42" s="11"/>
      <c r="T42" s="8"/>
      <c r="U42" s="6" t="s">
        <v>45</v>
      </c>
    </row>
    <row r="43" spans="1:21" s="6" customFormat="1">
      <c r="A43" s="39">
        <v>42876</v>
      </c>
      <c r="B43" s="6" t="s">
        <v>17</v>
      </c>
      <c r="D43" s="42">
        <v>1</v>
      </c>
      <c r="E43" s="6">
        <v>250</v>
      </c>
      <c r="F43" s="6">
        <v>53</v>
      </c>
      <c r="G43" s="6">
        <v>61</v>
      </c>
      <c r="H43" s="6">
        <v>45</v>
      </c>
      <c r="I43" s="9">
        <f t="shared" si="2"/>
        <v>53</v>
      </c>
      <c r="J43" s="9">
        <f t="shared" si="3"/>
        <v>13250</v>
      </c>
      <c r="K43" s="47">
        <v>22</v>
      </c>
      <c r="L43" s="147"/>
      <c r="M43" s="147"/>
      <c r="N43" s="48">
        <v>250</v>
      </c>
      <c r="O43" s="44">
        <f t="shared" ref="O43:O51" si="8">N43*I43</f>
        <v>13250</v>
      </c>
      <c r="P43" s="6" t="s">
        <v>18</v>
      </c>
      <c r="Q43" s="9">
        <f t="shared" si="7"/>
        <v>0</v>
      </c>
      <c r="R43" s="5"/>
      <c r="S43" s="14"/>
      <c r="T43" s="8"/>
    </row>
    <row r="44" spans="1:21" s="6" customFormat="1">
      <c r="A44" s="39">
        <v>42876</v>
      </c>
      <c r="B44" s="6" t="s">
        <v>46</v>
      </c>
      <c r="D44" s="42">
        <v>0.5</v>
      </c>
      <c r="E44" s="6">
        <v>800</v>
      </c>
      <c r="F44" s="6">
        <v>72</v>
      </c>
      <c r="G44" s="6">
        <v>71</v>
      </c>
      <c r="H44" s="6">
        <v>88</v>
      </c>
      <c r="I44" s="9">
        <f t="shared" si="2"/>
        <v>154</v>
      </c>
      <c r="J44" s="9">
        <f t="shared" si="3"/>
        <v>123200</v>
      </c>
      <c r="K44" s="47">
        <v>23</v>
      </c>
      <c r="L44" s="147"/>
      <c r="M44" s="147"/>
      <c r="N44" s="48">
        <v>350</v>
      </c>
      <c r="O44" s="44">
        <f t="shared" si="8"/>
        <v>53900</v>
      </c>
      <c r="P44" s="6" t="s">
        <v>60</v>
      </c>
      <c r="Q44" s="9">
        <f>J44-O44</f>
        <v>69300</v>
      </c>
      <c r="R44" s="5">
        <v>42877</v>
      </c>
      <c r="S44" s="11"/>
      <c r="T44" s="8"/>
    </row>
    <row r="45" spans="1:21" s="6" customFormat="1">
      <c r="A45" s="39">
        <v>42876</v>
      </c>
      <c r="B45" s="6" t="s">
        <v>47</v>
      </c>
      <c r="D45" s="42">
        <v>0.5</v>
      </c>
      <c r="E45" s="6">
        <v>800</v>
      </c>
      <c r="F45" s="6">
        <v>81</v>
      </c>
      <c r="G45" s="6">
        <v>80</v>
      </c>
      <c r="H45" s="6">
        <v>76</v>
      </c>
      <c r="I45" s="9">
        <f t="shared" si="2"/>
        <v>158</v>
      </c>
      <c r="J45" s="9">
        <f t="shared" si="3"/>
        <v>126400</v>
      </c>
      <c r="K45" s="47">
        <v>12</v>
      </c>
      <c r="L45" s="147"/>
      <c r="M45" s="147"/>
      <c r="N45" s="48">
        <v>350</v>
      </c>
      <c r="O45" s="44">
        <f t="shared" si="8"/>
        <v>55300</v>
      </c>
      <c r="P45" s="6" t="s">
        <v>18</v>
      </c>
      <c r="Q45" s="9">
        <f t="shared" si="7"/>
        <v>71100</v>
      </c>
      <c r="R45" s="5"/>
      <c r="S45" s="11"/>
      <c r="T45" s="8"/>
    </row>
    <row r="46" spans="1:21" s="6" customFormat="1">
      <c r="A46" s="39">
        <v>42876</v>
      </c>
      <c r="B46" s="6" t="s">
        <v>27</v>
      </c>
      <c r="D46" s="42">
        <v>0.5</v>
      </c>
      <c r="E46" s="6">
        <v>800</v>
      </c>
      <c r="F46" s="6">
        <v>278</v>
      </c>
      <c r="G46" s="6">
        <v>294</v>
      </c>
      <c r="H46" s="6">
        <v>267</v>
      </c>
      <c r="I46" s="9">
        <f t="shared" si="2"/>
        <v>559.33333333333337</v>
      </c>
      <c r="J46" s="9">
        <f t="shared" si="3"/>
        <v>447466.66666666669</v>
      </c>
      <c r="K46" s="47">
        <v>11</v>
      </c>
      <c r="L46" s="147"/>
      <c r="M46" s="147"/>
      <c r="N46" s="48">
        <v>150</v>
      </c>
      <c r="O46" s="44">
        <f t="shared" si="8"/>
        <v>83900</v>
      </c>
      <c r="P46" s="6" t="s">
        <v>58</v>
      </c>
      <c r="Q46" s="9">
        <f>J46-O46</f>
        <v>363566.66666666669</v>
      </c>
      <c r="R46" s="5">
        <v>42877</v>
      </c>
      <c r="S46" s="11"/>
      <c r="T46" s="8" t="s">
        <v>59</v>
      </c>
    </row>
    <row r="47" spans="1:21" s="6" customFormat="1">
      <c r="A47" s="39">
        <v>42876</v>
      </c>
      <c r="B47" s="6" t="s">
        <v>23</v>
      </c>
      <c r="D47" s="42">
        <v>0.5</v>
      </c>
      <c r="E47" s="6">
        <v>800</v>
      </c>
      <c r="F47" s="6">
        <v>118</v>
      </c>
      <c r="G47" s="6">
        <v>125</v>
      </c>
      <c r="H47" s="6">
        <v>122</v>
      </c>
      <c r="I47" s="9">
        <f t="shared" si="2"/>
        <v>243.33333333333334</v>
      </c>
      <c r="J47" s="9">
        <f t="shared" si="3"/>
        <v>194666.66666666669</v>
      </c>
      <c r="K47" s="47">
        <v>11</v>
      </c>
      <c r="L47" s="147"/>
      <c r="M47" s="147"/>
      <c r="N47" s="48">
        <v>250</v>
      </c>
      <c r="O47" s="44">
        <f t="shared" si="8"/>
        <v>60833.333333333336</v>
      </c>
      <c r="P47" s="6" t="s">
        <v>58</v>
      </c>
      <c r="Q47" s="9">
        <f>J47-O47</f>
        <v>133833.33333333334</v>
      </c>
      <c r="R47" s="5">
        <v>42877</v>
      </c>
      <c r="S47" s="11"/>
      <c r="T47" s="8" t="s">
        <v>59</v>
      </c>
    </row>
    <row r="48" spans="1:21" s="6" customFormat="1">
      <c r="A48" s="39">
        <v>42876</v>
      </c>
      <c r="B48" s="6" t="s">
        <v>34</v>
      </c>
      <c r="D48" s="42">
        <v>0.5</v>
      </c>
      <c r="E48" s="6">
        <v>800</v>
      </c>
      <c r="F48" s="6">
        <v>116</v>
      </c>
      <c r="G48" s="6">
        <v>102</v>
      </c>
      <c r="H48" s="6">
        <v>105</v>
      </c>
      <c r="I48" s="9">
        <f t="shared" si="2"/>
        <v>215.33333333333334</v>
      </c>
      <c r="J48" s="9">
        <f t="shared" si="3"/>
        <v>172266.66666666669</v>
      </c>
      <c r="K48" s="47">
        <v>7</v>
      </c>
      <c r="L48" s="147"/>
      <c r="M48" s="147"/>
      <c r="N48" s="48">
        <v>250</v>
      </c>
      <c r="O48" s="44">
        <f t="shared" si="8"/>
        <v>53833.333333333336</v>
      </c>
      <c r="P48" s="6" t="s">
        <v>61</v>
      </c>
      <c r="Q48" s="9">
        <f>J48-O48</f>
        <v>118433.33333333334</v>
      </c>
      <c r="R48" s="5">
        <v>42877</v>
      </c>
      <c r="S48" s="11"/>
      <c r="T48" s="8"/>
    </row>
    <row r="49" spans="1:20" s="6" customFormat="1">
      <c r="A49" s="39">
        <v>42876</v>
      </c>
      <c r="B49" s="6" t="s">
        <v>36</v>
      </c>
      <c r="D49" s="42">
        <v>1</v>
      </c>
      <c r="E49" s="6">
        <v>250</v>
      </c>
      <c r="F49" s="6">
        <v>33</v>
      </c>
      <c r="G49" s="6">
        <v>38</v>
      </c>
      <c r="H49" s="6">
        <v>27</v>
      </c>
      <c r="I49" s="9">
        <f t="shared" si="2"/>
        <v>32.666666666666664</v>
      </c>
      <c r="J49" s="9">
        <f t="shared" si="3"/>
        <v>8166.6666666666661</v>
      </c>
      <c r="K49" s="47">
        <v>16</v>
      </c>
      <c r="L49" s="147"/>
      <c r="M49" s="147"/>
      <c r="N49" s="48">
        <v>250</v>
      </c>
      <c r="O49" s="44">
        <f t="shared" si="8"/>
        <v>8166.6666666666661</v>
      </c>
      <c r="P49" s="6" t="s">
        <v>18</v>
      </c>
      <c r="Q49" s="9">
        <f t="shared" ref="Q49" si="9">J49-O49</f>
        <v>0</v>
      </c>
      <c r="R49" s="5"/>
      <c r="S49" s="11"/>
      <c r="T49" s="8"/>
    </row>
    <row r="50" spans="1:20" s="6" customFormat="1">
      <c r="A50" s="39">
        <v>42876</v>
      </c>
      <c r="B50" s="6" t="s">
        <v>44</v>
      </c>
      <c r="D50" s="42">
        <v>0.5</v>
      </c>
      <c r="E50" s="6">
        <v>800</v>
      </c>
      <c r="F50" s="6">
        <v>177</v>
      </c>
      <c r="G50" s="6">
        <v>158</v>
      </c>
      <c r="H50" s="6">
        <v>134</v>
      </c>
      <c r="I50" s="9">
        <f t="shared" si="2"/>
        <v>312.66666666666669</v>
      </c>
      <c r="J50" s="9">
        <f t="shared" si="3"/>
        <v>250133.33333333334</v>
      </c>
      <c r="K50" s="47">
        <v>13</v>
      </c>
      <c r="L50" s="147"/>
      <c r="M50" s="147"/>
      <c r="N50" s="48">
        <v>150</v>
      </c>
      <c r="O50" s="44">
        <f t="shared" si="8"/>
        <v>46900</v>
      </c>
      <c r="P50" s="6" t="s">
        <v>56</v>
      </c>
      <c r="Q50" s="9">
        <f>J50-O50</f>
        <v>203233.33333333334</v>
      </c>
      <c r="R50" s="5">
        <v>42877</v>
      </c>
      <c r="S50" s="11"/>
      <c r="T50" s="8" t="s">
        <v>57</v>
      </c>
    </row>
    <row r="51" spans="1:20" s="6" customFormat="1">
      <c r="A51" s="39">
        <v>42876</v>
      </c>
      <c r="B51" s="6" t="s">
        <v>48</v>
      </c>
      <c r="D51" s="42">
        <v>0.5</v>
      </c>
      <c r="E51" s="6">
        <v>800</v>
      </c>
      <c r="F51" s="6">
        <v>145</v>
      </c>
      <c r="G51" s="6">
        <v>104</v>
      </c>
      <c r="H51" s="6">
        <v>145</v>
      </c>
      <c r="I51" s="9">
        <f t="shared" si="2"/>
        <v>262.66666666666669</v>
      </c>
      <c r="J51" s="9">
        <f t="shared" si="3"/>
        <v>210133.33333333334</v>
      </c>
      <c r="K51" s="47">
        <v>13</v>
      </c>
      <c r="L51" s="147"/>
      <c r="M51" s="147"/>
      <c r="N51" s="48">
        <v>200</v>
      </c>
      <c r="O51" s="44">
        <f t="shared" si="8"/>
        <v>52533.333333333336</v>
      </c>
      <c r="P51" s="6" t="s">
        <v>56</v>
      </c>
      <c r="Q51" s="9">
        <f>J51-O51</f>
        <v>157600</v>
      </c>
      <c r="R51" s="5">
        <v>42877</v>
      </c>
      <c r="S51" s="11"/>
      <c r="T51" s="8" t="s">
        <v>57</v>
      </c>
    </row>
    <row r="52" spans="1:20" s="6" customFormat="1">
      <c r="A52" s="39">
        <v>42877</v>
      </c>
      <c r="B52" s="6" t="s">
        <v>17</v>
      </c>
      <c r="D52" s="42">
        <v>1</v>
      </c>
      <c r="E52" s="6">
        <v>125</v>
      </c>
      <c r="F52" s="6">
        <v>5</v>
      </c>
      <c r="G52" s="6">
        <v>6</v>
      </c>
      <c r="H52" s="6">
        <v>4</v>
      </c>
      <c r="I52" s="9">
        <f t="shared" si="2"/>
        <v>5</v>
      </c>
      <c r="J52" s="9">
        <f t="shared" si="3"/>
        <v>625</v>
      </c>
      <c r="K52" s="47">
        <v>22</v>
      </c>
      <c r="L52" s="147"/>
      <c r="M52" s="147"/>
      <c r="N52" s="48">
        <v>125</v>
      </c>
      <c r="O52" s="44">
        <f t="shared" ref="O52:O58" si="10">N52*I52</f>
        <v>625</v>
      </c>
      <c r="P52" s="6" t="s">
        <v>18</v>
      </c>
      <c r="Q52" s="9">
        <f t="shared" ref="Q52:Q61" si="11">J52-O52</f>
        <v>0</v>
      </c>
      <c r="R52" s="5"/>
      <c r="S52" s="11"/>
      <c r="T52" s="8"/>
    </row>
    <row r="53" spans="1:20" s="6" customFormat="1">
      <c r="A53" s="39">
        <v>42877</v>
      </c>
      <c r="B53" s="6" t="s">
        <v>46</v>
      </c>
      <c r="D53" s="42">
        <v>1</v>
      </c>
      <c r="E53" s="6">
        <v>200</v>
      </c>
      <c r="F53" s="6">
        <v>10</v>
      </c>
      <c r="G53" s="6">
        <v>9</v>
      </c>
      <c r="H53" s="6">
        <v>8</v>
      </c>
      <c r="I53" s="9">
        <f t="shared" si="2"/>
        <v>9</v>
      </c>
      <c r="J53" s="9">
        <f t="shared" si="3"/>
        <v>1800</v>
      </c>
      <c r="K53" s="47">
        <v>23</v>
      </c>
      <c r="L53" s="147"/>
      <c r="M53" s="147"/>
      <c r="N53" s="48">
        <v>200</v>
      </c>
      <c r="O53" s="44">
        <f t="shared" si="10"/>
        <v>1800</v>
      </c>
      <c r="P53" s="6" t="s">
        <v>18</v>
      </c>
      <c r="Q53" s="9">
        <f t="shared" si="11"/>
        <v>0</v>
      </c>
      <c r="R53" s="5"/>
      <c r="S53" s="11"/>
      <c r="T53" s="8"/>
    </row>
    <row r="54" spans="1:20" s="6" customFormat="1">
      <c r="A54" s="39">
        <v>42877</v>
      </c>
      <c r="B54" s="6" t="s">
        <v>49</v>
      </c>
      <c r="D54" s="42">
        <v>1</v>
      </c>
      <c r="E54" s="6">
        <v>250</v>
      </c>
      <c r="F54" s="6">
        <v>1</v>
      </c>
      <c r="G54" s="6">
        <v>3</v>
      </c>
      <c r="H54" s="6">
        <v>3</v>
      </c>
      <c r="I54" s="9">
        <f t="shared" si="2"/>
        <v>2.3333333333333335</v>
      </c>
      <c r="J54" s="9">
        <f t="shared" si="3"/>
        <v>583.33333333333337</v>
      </c>
      <c r="K54" s="47">
        <v>12</v>
      </c>
      <c r="L54" s="147"/>
      <c r="M54" s="147"/>
      <c r="N54" s="48">
        <v>250</v>
      </c>
      <c r="O54" s="44">
        <f t="shared" si="10"/>
        <v>583.33333333333337</v>
      </c>
      <c r="P54" s="6" t="s">
        <v>18</v>
      </c>
      <c r="Q54" s="9">
        <f t="shared" si="11"/>
        <v>0</v>
      </c>
      <c r="R54" s="5"/>
      <c r="S54" s="11"/>
      <c r="T54" s="8"/>
    </row>
    <row r="55" spans="1:20" s="6" customFormat="1">
      <c r="A55" s="39">
        <v>42877</v>
      </c>
      <c r="B55" s="6" t="s">
        <v>50</v>
      </c>
      <c r="D55" s="42">
        <v>1</v>
      </c>
      <c r="E55" s="6">
        <v>175</v>
      </c>
      <c r="F55" s="6">
        <v>3</v>
      </c>
      <c r="G55" s="6">
        <v>4</v>
      </c>
      <c r="H55" s="6">
        <v>1</v>
      </c>
      <c r="I55" s="9">
        <f t="shared" si="2"/>
        <v>2.6666666666666665</v>
      </c>
      <c r="J55" s="9">
        <f t="shared" si="3"/>
        <v>466.66666666666663</v>
      </c>
      <c r="K55" s="47">
        <v>8</v>
      </c>
      <c r="L55" s="147"/>
      <c r="M55" s="147"/>
      <c r="N55" s="48">
        <v>175</v>
      </c>
      <c r="O55" s="44">
        <f t="shared" si="10"/>
        <v>466.66666666666663</v>
      </c>
      <c r="P55" s="6" t="s">
        <v>18</v>
      </c>
      <c r="Q55" s="9">
        <f t="shared" si="11"/>
        <v>0</v>
      </c>
      <c r="R55" s="5"/>
      <c r="S55" s="11"/>
      <c r="T55" s="8"/>
    </row>
    <row r="56" spans="1:20" s="6" customFormat="1">
      <c r="A56" s="39">
        <v>42877</v>
      </c>
      <c r="B56" s="6" t="s">
        <v>23</v>
      </c>
      <c r="D56" s="42">
        <v>1</v>
      </c>
      <c r="E56" s="6">
        <v>200</v>
      </c>
      <c r="F56" s="6">
        <v>17</v>
      </c>
      <c r="G56" s="6">
        <v>18</v>
      </c>
      <c r="H56" s="6">
        <v>16</v>
      </c>
      <c r="I56" s="9">
        <f t="shared" si="2"/>
        <v>17</v>
      </c>
      <c r="J56" s="9">
        <f t="shared" si="3"/>
        <v>3400</v>
      </c>
      <c r="K56" s="47">
        <v>11</v>
      </c>
      <c r="L56" s="147"/>
      <c r="M56" s="147"/>
      <c r="N56" s="48">
        <v>200</v>
      </c>
      <c r="O56" s="44">
        <f t="shared" si="10"/>
        <v>3400</v>
      </c>
      <c r="P56" s="6" t="s">
        <v>18</v>
      </c>
      <c r="Q56" s="9">
        <f t="shared" si="11"/>
        <v>0</v>
      </c>
      <c r="R56" s="5"/>
      <c r="S56" s="11"/>
      <c r="T56" s="8"/>
    </row>
    <row r="57" spans="1:20" s="6" customFormat="1">
      <c r="A57" s="39">
        <v>42877</v>
      </c>
      <c r="B57" s="6" t="s">
        <v>36</v>
      </c>
      <c r="D57" s="42">
        <v>1</v>
      </c>
      <c r="E57" s="6">
        <v>250</v>
      </c>
      <c r="F57" s="6">
        <v>97</v>
      </c>
      <c r="G57" s="6">
        <v>101</v>
      </c>
      <c r="H57" s="6">
        <v>96</v>
      </c>
      <c r="I57" s="9">
        <f t="shared" si="2"/>
        <v>98</v>
      </c>
      <c r="J57" s="9">
        <f t="shared" si="3"/>
        <v>24500</v>
      </c>
      <c r="K57" s="47">
        <v>16</v>
      </c>
      <c r="L57" s="147"/>
      <c r="M57" s="147"/>
      <c r="N57" s="48">
        <v>250</v>
      </c>
      <c r="O57" s="44">
        <f t="shared" si="10"/>
        <v>24500</v>
      </c>
      <c r="P57" s="6" t="s">
        <v>18</v>
      </c>
      <c r="Q57" s="9">
        <f t="shared" si="11"/>
        <v>0</v>
      </c>
      <c r="R57" s="5"/>
      <c r="S57" s="11"/>
      <c r="T57" s="8"/>
    </row>
    <row r="58" spans="1:20" s="6" customFormat="1">
      <c r="A58" s="39">
        <v>42877</v>
      </c>
      <c r="B58" s="6" t="s">
        <v>44</v>
      </c>
      <c r="D58" s="42">
        <v>0.5</v>
      </c>
      <c r="E58" s="6">
        <v>800</v>
      </c>
      <c r="F58" s="6">
        <v>75</v>
      </c>
      <c r="G58" s="6">
        <v>79</v>
      </c>
      <c r="H58" s="6">
        <v>101</v>
      </c>
      <c r="I58" s="9">
        <f t="shared" si="2"/>
        <v>170</v>
      </c>
      <c r="J58" s="9">
        <f t="shared" si="3"/>
        <v>136000</v>
      </c>
      <c r="K58" s="47">
        <v>13</v>
      </c>
      <c r="L58" s="147"/>
      <c r="M58" s="147"/>
      <c r="N58" s="48">
        <v>300</v>
      </c>
      <c r="O58" s="44">
        <f t="shared" si="10"/>
        <v>51000</v>
      </c>
      <c r="P58" s="6" t="s">
        <v>62</v>
      </c>
      <c r="Q58" s="9">
        <f t="shared" si="11"/>
        <v>85000</v>
      </c>
      <c r="R58" s="5">
        <v>42877</v>
      </c>
      <c r="S58" s="11"/>
      <c r="T58" s="8"/>
    </row>
    <row r="59" spans="1:20" s="6" customFormat="1">
      <c r="A59" s="39">
        <v>42878</v>
      </c>
      <c r="B59" s="6" t="s">
        <v>20</v>
      </c>
      <c r="D59" s="42">
        <v>0.5</v>
      </c>
      <c r="E59" s="6">
        <v>800</v>
      </c>
      <c r="F59" s="6">
        <v>148</v>
      </c>
      <c r="G59" s="6">
        <v>144</v>
      </c>
      <c r="H59" s="6">
        <v>160</v>
      </c>
      <c r="I59" s="9">
        <f t="shared" si="2"/>
        <v>301.33333333333331</v>
      </c>
      <c r="J59" s="9">
        <f t="shared" si="3"/>
        <v>241066.66666666666</v>
      </c>
      <c r="K59" s="47">
        <v>17</v>
      </c>
      <c r="L59" s="147"/>
      <c r="M59" s="147"/>
      <c r="N59" s="48">
        <v>175</v>
      </c>
      <c r="O59" s="44">
        <f t="shared" ref="O59:O122" si="12">N59*I59</f>
        <v>52733.333333333328</v>
      </c>
      <c r="P59" s="6" t="s">
        <v>64</v>
      </c>
      <c r="Q59" s="9">
        <f t="shared" si="11"/>
        <v>188333.33333333331</v>
      </c>
      <c r="R59" s="5">
        <v>42878</v>
      </c>
      <c r="S59" s="11"/>
      <c r="T59" s="8"/>
    </row>
    <row r="60" spans="1:20" s="6" customFormat="1">
      <c r="A60" s="39">
        <v>42878</v>
      </c>
      <c r="B60" s="6" t="s">
        <v>46</v>
      </c>
      <c r="D60" s="42">
        <v>1</v>
      </c>
      <c r="E60" s="6">
        <v>800</v>
      </c>
      <c r="F60" s="6">
        <v>156</v>
      </c>
      <c r="G60" s="6">
        <v>159</v>
      </c>
      <c r="H60" s="6">
        <v>176</v>
      </c>
      <c r="I60" s="9">
        <f t="shared" si="2"/>
        <v>163.66666666666666</v>
      </c>
      <c r="J60" s="9">
        <f t="shared" si="3"/>
        <v>130933.33333333333</v>
      </c>
      <c r="K60" s="47">
        <v>23</v>
      </c>
      <c r="L60" s="147"/>
      <c r="M60" s="147"/>
      <c r="N60" s="48">
        <v>300</v>
      </c>
      <c r="O60" s="44">
        <f t="shared" si="12"/>
        <v>49100</v>
      </c>
      <c r="P60" s="6" t="s">
        <v>63</v>
      </c>
      <c r="Q60" s="9">
        <f t="shared" si="11"/>
        <v>81833.333333333328</v>
      </c>
      <c r="R60" s="5">
        <v>42878</v>
      </c>
      <c r="S60" s="11"/>
      <c r="T60" s="8"/>
    </row>
    <row r="61" spans="1:20" s="6" customFormat="1">
      <c r="A61" s="39">
        <v>42878</v>
      </c>
      <c r="B61" s="6" t="s">
        <v>49</v>
      </c>
      <c r="C61" s="6">
        <v>12</v>
      </c>
      <c r="D61" s="42">
        <v>1</v>
      </c>
      <c r="E61" s="6">
        <v>200</v>
      </c>
      <c r="F61" s="6">
        <v>17</v>
      </c>
      <c r="G61" s="6">
        <v>7</v>
      </c>
      <c r="H61" s="6">
        <v>10</v>
      </c>
      <c r="I61" s="9">
        <f t="shared" si="2"/>
        <v>11.333333333333334</v>
      </c>
      <c r="J61" s="9">
        <f t="shared" si="3"/>
        <v>2266.666666666667</v>
      </c>
      <c r="K61" s="47">
        <v>12</v>
      </c>
      <c r="L61" s="147"/>
      <c r="M61" s="147"/>
      <c r="N61" s="48">
        <v>200</v>
      </c>
      <c r="O61" s="44">
        <f t="shared" si="12"/>
        <v>2266.666666666667</v>
      </c>
      <c r="P61" s="6" t="s">
        <v>18</v>
      </c>
      <c r="Q61" s="9">
        <f t="shared" si="11"/>
        <v>0</v>
      </c>
      <c r="S61" s="11"/>
      <c r="T61" s="8"/>
    </row>
    <row r="62" spans="1:20" s="6" customFormat="1">
      <c r="A62" s="39">
        <v>42878</v>
      </c>
      <c r="B62" s="6" t="s">
        <v>27</v>
      </c>
      <c r="D62" s="42">
        <v>0.5</v>
      </c>
      <c r="E62" s="6">
        <v>350</v>
      </c>
      <c r="F62" s="6">
        <v>40</v>
      </c>
      <c r="G62" s="6">
        <v>64</v>
      </c>
      <c r="H62" s="6">
        <v>60</v>
      </c>
      <c r="I62" s="9">
        <f t="shared" si="2"/>
        <v>109.33333333333333</v>
      </c>
      <c r="J62" s="9">
        <f t="shared" si="3"/>
        <v>38266.666666666664</v>
      </c>
      <c r="K62" s="47">
        <v>11</v>
      </c>
      <c r="L62" s="147"/>
      <c r="M62" s="147"/>
      <c r="N62" s="48">
        <v>200</v>
      </c>
      <c r="O62" s="44">
        <f t="shared" si="12"/>
        <v>21866.666666666664</v>
      </c>
      <c r="P62" s="6" t="s">
        <v>65</v>
      </c>
      <c r="Q62" s="9">
        <f>J62-O62</f>
        <v>16400</v>
      </c>
      <c r="S62" s="11"/>
      <c r="T62" s="8"/>
    </row>
    <row r="63" spans="1:20" s="6" customFormat="1">
      <c r="A63" s="39">
        <v>42878</v>
      </c>
      <c r="B63" s="6" t="s">
        <v>34</v>
      </c>
      <c r="C63" s="6">
        <v>7</v>
      </c>
      <c r="D63" s="42">
        <v>0.5</v>
      </c>
      <c r="E63" s="6">
        <v>600</v>
      </c>
      <c r="F63" s="6">
        <v>43</v>
      </c>
      <c r="G63" s="6">
        <v>63</v>
      </c>
      <c r="H63" s="6">
        <v>63</v>
      </c>
      <c r="I63" s="9">
        <f t="shared" si="2"/>
        <v>112.66666666666667</v>
      </c>
      <c r="J63" s="9">
        <f t="shared" si="3"/>
        <v>67600</v>
      </c>
      <c r="K63" s="47">
        <v>7</v>
      </c>
      <c r="L63" s="147"/>
      <c r="M63" s="147"/>
      <c r="N63" s="48">
        <v>300</v>
      </c>
      <c r="O63" s="44">
        <f t="shared" si="12"/>
        <v>33800</v>
      </c>
      <c r="P63" s="6" t="s">
        <v>66</v>
      </c>
      <c r="Q63" s="9">
        <f>J63-O63</f>
        <v>33800</v>
      </c>
      <c r="S63" s="11"/>
      <c r="T63" s="8"/>
    </row>
    <row r="64" spans="1:20" s="6" customFormat="1">
      <c r="A64" s="39">
        <v>42878</v>
      </c>
      <c r="B64" s="6" t="s">
        <v>36</v>
      </c>
      <c r="D64" s="42">
        <v>0.5</v>
      </c>
      <c r="E64" s="6">
        <v>640</v>
      </c>
      <c r="F64" s="6">
        <v>162</v>
      </c>
      <c r="G64" s="6">
        <v>151</v>
      </c>
      <c r="H64" s="6">
        <v>177</v>
      </c>
      <c r="I64" s="9">
        <f t="shared" si="2"/>
        <v>326.66666666666669</v>
      </c>
      <c r="J64" s="9">
        <f t="shared" si="3"/>
        <v>209066.66666666669</v>
      </c>
      <c r="K64" s="47">
        <v>16</v>
      </c>
      <c r="L64" s="147"/>
      <c r="M64" s="147"/>
      <c r="N64" s="48">
        <v>200</v>
      </c>
      <c r="O64" s="44">
        <f t="shared" si="12"/>
        <v>65333.333333333336</v>
      </c>
      <c r="P64" s="6" t="s">
        <v>67</v>
      </c>
      <c r="Q64" s="9">
        <f>J64-O64</f>
        <v>143733.33333333334</v>
      </c>
      <c r="S64" s="11"/>
      <c r="T64" s="8"/>
    </row>
    <row r="65" spans="1:20" s="6" customFormat="1">
      <c r="A65" s="39">
        <v>42878</v>
      </c>
      <c r="B65" s="6" t="s">
        <v>51</v>
      </c>
      <c r="C65" s="6">
        <v>13</v>
      </c>
      <c r="D65" s="42">
        <v>1</v>
      </c>
      <c r="E65" s="6">
        <v>150</v>
      </c>
      <c r="F65" s="6">
        <v>7</v>
      </c>
      <c r="G65" s="6">
        <v>9</v>
      </c>
      <c r="H65" s="6">
        <v>4</v>
      </c>
      <c r="I65" s="9">
        <f t="shared" si="2"/>
        <v>6.666666666666667</v>
      </c>
      <c r="J65" s="9">
        <f t="shared" si="3"/>
        <v>1000</v>
      </c>
      <c r="K65" s="47">
        <v>13</v>
      </c>
      <c r="L65" s="147"/>
      <c r="M65" s="147"/>
      <c r="N65" s="48">
        <v>150</v>
      </c>
      <c r="O65" s="44">
        <f t="shared" si="12"/>
        <v>1000</v>
      </c>
      <c r="P65" s="6" t="s">
        <v>18</v>
      </c>
      <c r="Q65" s="9">
        <f t="shared" ref="Q65:Q128" si="13">J65-O65</f>
        <v>0</v>
      </c>
      <c r="S65" s="11"/>
      <c r="T65" s="8"/>
    </row>
    <row r="66" spans="1:20" s="6" customFormat="1">
      <c r="A66" s="39">
        <v>42879</v>
      </c>
      <c r="B66" s="6" t="s">
        <v>89</v>
      </c>
      <c r="D66" s="42">
        <v>0.5</v>
      </c>
      <c r="E66" s="6">
        <v>800</v>
      </c>
      <c r="F66" s="6">
        <v>131</v>
      </c>
      <c r="G66" s="6">
        <v>137</v>
      </c>
      <c r="H66" s="6">
        <v>118</v>
      </c>
      <c r="I66" s="9">
        <f t="shared" ref="I66:I73" si="14">AVERAGE(F66:H66)/D66</f>
        <v>257.33333333333331</v>
      </c>
      <c r="J66" s="9">
        <f t="shared" ref="J66:J73" si="15">I66*E66</f>
        <v>205866.66666666666</v>
      </c>
      <c r="K66" s="7">
        <v>19</v>
      </c>
      <c r="L66" s="147">
        <v>50000</v>
      </c>
      <c r="M66" s="147">
        <f>L66/I66</f>
        <v>194.30051813471505</v>
      </c>
      <c r="N66" s="6">
        <v>200</v>
      </c>
      <c r="O66" s="9">
        <f t="shared" si="12"/>
        <v>51466.666666666664</v>
      </c>
      <c r="P66" s="6" t="s">
        <v>90</v>
      </c>
      <c r="Q66" s="9">
        <f t="shared" si="13"/>
        <v>154400</v>
      </c>
      <c r="R66" s="5">
        <v>42879</v>
      </c>
      <c r="S66" s="11"/>
      <c r="T66" s="8"/>
    </row>
    <row r="67" spans="1:20" s="6" customFormat="1">
      <c r="A67" s="39">
        <v>42879</v>
      </c>
      <c r="B67" s="6" t="s">
        <v>46</v>
      </c>
      <c r="D67" s="42">
        <v>0.5</v>
      </c>
      <c r="E67" s="6">
        <v>530</v>
      </c>
      <c r="F67" s="6">
        <v>45</v>
      </c>
      <c r="G67" s="6">
        <v>51</v>
      </c>
      <c r="H67" s="6">
        <v>41</v>
      </c>
      <c r="I67" s="9">
        <f t="shared" si="14"/>
        <v>91.333333333333329</v>
      </c>
      <c r="J67" s="9">
        <f t="shared" si="15"/>
        <v>48406.666666666664</v>
      </c>
      <c r="K67" s="7"/>
      <c r="L67" s="147"/>
      <c r="M67" s="147"/>
      <c r="N67" s="6">
        <v>250</v>
      </c>
      <c r="O67" s="9">
        <f t="shared" si="12"/>
        <v>22833.333333333332</v>
      </c>
      <c r="P67" s="6" t="s">
        <v>91</v>
      </c>
      <c r="Q67" s="9">
        <f t="shared" si="13"/>
        <v>25573.333333333332</v>
      </c>
      <c r="S67" s="11"/>
      <c r="T67" s="8"/>
    </row>
    <row r="68" spans="1:20" s="6" customFormat="1">
      <c r="A68" s="39">
        <v>42879</v>
      </c>
      <c r="B68" s="6" t="s">
        <v>20</v>
      </c>
      <c r="D68" s="42">
        <v>0.5</v>
      </c>
      <c r="E68" s="6">
        <v>500</v>
      </c>
      <c r="F68" s="6">
        <v>65</v>
      </c>
      <c r="G68" s="6">
        <v>73</v>
      </c>
      <c r="H68" s="6">
        <v>62</v>
      </c>
      <c r="I68" s="9">
        <f t="shared" si="14"/>
        <v>133.33333333333334</v>
      </c>
      <c r="J68" s="9">
        <f t="shared" si="15"/>
        <v>66666.666666666672</v>
      </c>
      <c r="K68" s="7"/>
      <c r="L68" s="147">
        <v>50000</v>
      </c>
      <c r="M68" s="147">
        <f>L68/I68</f>
        <v>375</v>
      </c>
      <c r="N68" s="6">
        <v>375</v>
      </c>
      <c r="O68" s="9">
        <f t="shared" si="12"/>
        <v>50000</v>
      </c>
      <c r="P68" s="6" t="s">
        <v>92</v>
      </c>
      <c r="Q68" s="9">
        <f t="shared" si="13"/>
        <v>16666.666666666672</v>
      </c>
      <c r="S68" s="11"/>
      <c r="T68" s="8"/>
    </row>
    <row r="69" spans="1:20" s="6" customFormat="1">
      <c r="A69" s="39">
        <v>42879</v>
      </c>
      <c r="B69" s="6" t="s">
        <v>17</v>
      </c>
      <c r="D69" s="42">
        <v>0.5</v>
      </c>
      <c r="E69" s="6">
        <v>350</v>
      </c>
      <c r="F69" s="6">
        <v>51</v>
      </c>
      <c r="G69" s="6">
        <v>54</v>
      </c>
      <c r="H69" s="6">
        <v>56</v>
      </c>
      <c r="I69" s="9">
        <f t="shared" si="14"/>
        <v>107.33333333333333</v>
      </c>
      <c r="J69" s="9">
        <f t="shared" si="15"/>
        <v>37566.666666666664</v>
      </c>
      <c r="K69" s="7"/>
      <c r="L69" s="147">
        <v>25000</v>
      </c>
      <c r="M69" s="147">
        <f>L69/I69</f>
        <v>232.91925465838511</v>
      </c>
      <c r="N69" s="6">
        <v>225</v>
      </c>
      <c r="O69" s="9">
        <f t="shared" si="12"/>
        <v>24150</v>
      </c>
      <c r="P69" s="6" t="s">
        <v>94</v>
      </c>
      <c r="Q69" s="9">
        <f t="shared" si="13"/>
        <v>13416.666666666664</v>
      </c>
      <c r="S69" s="11"/>
      <c r="T69" s="8"/>
    </row>
    <row r="70" spans="1:20" s="6" customFormat="1">
      <c r="A70" s="39">
        <v>42879</v>
      </c>
      <c r="B70" s="6" t="s">
        <v>47</v>
      </c>
      <c r="D70" s="42">
        <v>0.5</v>
      </c>
      <c r="E70" s="6">
        <v>800</v>
      </c>
      <c r="F70" s="6">
        <v>122</v>
      </c>
      <c r="G70" s="6">
        <v>123</v>
      </c>
      <c r="H70" s="6">
        <v>104</v>
      </c>
      <c r="I70" s="9">
        <f t="shared" si="14"/>
        <v>232.66666666666666</v>
      </c>
      <c r="J70" s="9">
        <f t="shared" si="15"/>
        <v>186133.33333333331</v>
      </c>
      <c r="K70" s="7">
        <v>12</v>
      </c>
      <c r="L70" s="147">
        <v>50000</v>
      </c>
      <c r="M70" s="147">
        <f>L70/I70</f>
        <v>214.89971346704871</v>
      </c>
      <c r="N70" s="6">
        <v>225</v>
      </c>
      <c r="O70" s="9">
        <f t="shared" si="12"/>
        <v>52350</v>
      </c>
      <c r="P70" s="6" t="s">
        <v>93</v>
      </c>
      <c r="Q70" s="9">
        <f t="shared" si="13"/>
        <v>133783.33333333331</v>
      </c>
      <c r="S70" s="11"/>
      <c r="T70" s="8"/>
    </row>
    <row r="71" spans="1:20" s="6" customFormat="1">
      <c r="A71" s="39">
        <v>42879</v>
      </c>
      <c r="B71" s="6" t="s">
        <v>36</v>
      </c>
      <c r="D71" s="42">
        <v>0.5</v>
      </c>
      <c r="E71" s="6">
        <v>250</v>
      </c>
      <c r="F71" s="6">
        <v>9</v>
      </c>
      <c r="G71" s="6">
        <v>12</v>
      </c>
      <c r="H71" s="6">
        <v>6</v>
      </c>
      <c r="I71" s="9">
        <f t="shared" si="14"/>
        <v>18</v>
      </c>
      <c r="J71" s="9">
        <f t="shared" si="15"/>
        <v>4500</v>
      </c>
      <c r="K71" s="7"/>
      <c r="L71" s="147"/>
      <c r="M71" s="147">
        <f t="shared" ref="M71:M76" si="16">L71/I71</f>
        <v>0</v>
      </c>
      <c r="N71" s="6">
        <v>250</v>
      </c>
      <c r="O71" s="9">
        <f t="shared" si="12"/>
        <v>4500</v>
      </c>
      <c r="Q71" s="9">
        <f t="shared" si="13"/>
        <v>0</v>
      </c>
      <c r="S71" s="11"/>
      <c r="T71" s="8"/>
    </row>
    <row r="72" spans="1:20">
      <c r="A72" s="39">
        <v>42879</v>
      </c>
      <c r="B72" s="15" t="s">
        <v>95</v>
      </c>
      <c r="D72" s="43">
        <v>0.5</v>
      </c>
      <c r="E72" s="15">
        <v>1000</v>
      </c>
      <c r="F72" s="15">
        <v>151</v>
      </c>
      <c r="G72" s="15">
        <v>139</v>
      </c>
      <c r="H72" s="15">
        <v>157</v>
      </c>
      <c r="I72" s="16">
        <f t="shared" si="14"/>
        <v>298</v>
      </c>
      <c r="J72" s="16">
        <f t="shared" si="15"/>
        <v>298000</v>
      </c>
      <c r="K72" s="15">
        <v>9</v>
      </c>
      <c r="L72" s="147">
        <v>50000</v>
      </c>
      <c r="M72" s="147">
        <f t="shared" si="16"/>
        <v>167.78523489932886</v>
      </c>
      <c r="N72" s="15">
        <v>200</v>
      </c>
      <c r="O72" s="16">
        <f t="shared" si="12"/>
        <v>59600</v>
      </c>
      <c r="P72" s="15" t="s">
        <v>96</v>
      </c>
      <c r="Q72" s="16">
        <f t="shared" si="13"/>
        <v>238400</v>
      </c>
      <c r="T72" s="17" t="s">
        <v>97</v>
      </c>
    </row>
    <row r="73" spans="1:20">
      <c r="A73" s="39">
        <v>42880</v>
      </c>
      <c r="B73" s="15" t="s">
        <v>50</v>
      </c>
      <c r="D73" s="43">
        <v>0.5</v>
      </c>
      <c r="E73" s="15">
        <v>300</v>
      </c>
      <c r="F73" s="15">
        <v>16</v>
      </c>
      <c r="G73" s="15">
        <v>21</v>
      </c>
      <c r="H73" s="15">
        <v>17</v>
      </c>
      <c r="I73" s="16">
        <f t="shared" si="14"/>
        <v>36</v>
      </c>
      <c r="J73" s="16">
        <f t="shared" si="15"/>
        <v>10800</v>
      </c>
      <c r="K73" s="15">
        <v>8</v>
      </c>
      <c r="M73" s="147">
        <f t="shared" si="16"/>
        <v>0</v>
      </c>
      <c r="N73" s="15">
        <v>300</v>
      </c>
      <c r="O73" s="16">
        <f t="shared" si="12"/>
        <v>10800</v>
      </c>
      <c r="Q73" s="16">
        <f t="shared" si="13"/>
        <v>0</v>
      </c>
      <c r="T73" s="49"/>
    </row>
    <row r="74" spans="1:20">
      <c r="A74" s="39">
        <v>42880</v>
      </c>
      <c r="B74" s="15" t="s">
        <v>98</v>
      </c>
      <c r="D74" s="43">
        <v>0.5</v>
      </c>
      <c r="E74" s="15">
        <v>900</v>
      </c>
      <c r="F74" s="15">
        <v>171</v>
      </c>
      <c r="I74" s="16">
        <f t="shared" ref="I74:I137" si="17">AVERAGE(F74:H74)/D74</f>
        <v>342</v>
      </c>
      <c r="J74" s="16">
        <f t="shared" ref="J74:J137" si="18">I74*E74</f>
        <v>307800</v>
      </c>
      <c r="K74" s="15">
        <v>10</v>
      </c>
      <c r="L74" s="148">
        <v>50000</v>
      </c>
      <c r="M74" s="147">
        <f t="shared" si="16"/>
        <v>146.19883040935673</v>
      </c>
      <c r="N74" s="15">
        <v>225</v>
      </c>
      <c r="O74" s="16">
        <f t="shared" si="12"/>
        <v>76950</v>
      </c>
      <c r="P74" s="15" t="s">
        <v>100</v>
      </c>
      <c r="Q74" s="16">
        <f t="shared" si="13"/>
        <v>230850</v>
      </c>
      <c r="T74" s="49" t="s">
        <v>97</v>
      </c>
    </row>
    <row r="75" spans="1:20">
      <c r="A75" s="39">
        <v>42880</v>
      </c>
      <c r="B75" s="15" t="s">
        <v>99</v>
      </c>
      <c r="D75" s="43">
        <v>0.5</v>
      </c>
      <c r="E75" s="15">
        <v>800</v>
      </c>
      <c r="F75" s="15">
        <v>155</v>
      </c>
      <c r="I75" s="16">
        <f t="shared" si="17"/>
        <v>310</v>
      </c>
      <c r="J75" s="16">
        <f t="shared" si="18"/>
        <v>248000</v>
      </c>
      <c r="K75" s="15">
        <v>3</v>
      </c>
      <c r="L75" s="148">
        <v>50000</v>
      </c>
      <c r="M75" s="147">
        <f t="shared" si="16"/>
        <v>161.29032258064515</v>
      </c>
      <c r="N75" s="15">
        <v>225</v>
      </c>
      <c r="O75" s="16">
        <f t="shared" si="12"/>
        <v>69750</v>
      </c>
      <c r="P75" s="15" t="s">
        <v>102</v>
      </c>
      <c r="Q75" s="16">
        <f t="shared" si="13"/>
        <v>178250</v>
      </c>
      <c r="T75" s="49" t="s">
        <v>97</v>
      </c>
    </row>
    <row r="76" spans="1:20">
      <c r="A76" s="39">
        <v>42880</v>
      </c>
      <c r="B76" s="15" t="s">
        <v>20</v>
      </c>
      <c r="D76" s="43">
        <v>0.5</v>
      </c>
      <c r="E76" s="15">
        <v>300</v>
      </c>
      <c r="F76" s="15">
        <v>6</v>
      </c>
      <c r="G76" s="15">
        <v>3</v>
      </c>
      <c r="H76" s="15">
        <v>8</v>
      </c>
      <c r="I76" s="16">
        <f t="shared" si="17"/>
        <v>11.333333333333334</v>
      </c>
      <c r="J76" s="16">
        <f t="shared" si="18"/>
        <v>3400</v>
      </c>
      <c r="K76" s="15">
        <v>17</v>
      </c>
      <c r="M76" s="147">
        <f t="shared" si="16"/>
        <v>0</v>
      </c>
      <c r="N76" s="15">
        <v>300</v>
      </c>
      <c r="O76" s="16">
        <f t="shared" si="12"/>
        <v>3400</v>
      </c>
      <c r="Q76" s="16">
        <f t="shared" si="13"/>
        <v>0</v>
      </c>
    </row>
    <row r="77" spans="1:20">
      <c r="A77" s="50">
        <v>42880</v>
      </c>
      <c r="B77" s="15" t="s">
        <v>89</v>
      </c>
      <c r="D77" s="43">
        <v>0.5</v>
      </c>
      <c r="E77" s="15">
        <v>420</v>
      </c>
      <c r="F77" s="15">
        <v>30</v>
      </c>
      <c r="G77" s="15">
        <v>41</v>
      </c>
      <c r="H77" s="15">
        <v>23</v>
      </c>
      <c r="I77" s="16">
        <f t="shared" si="17"/>
        <v>62.666666666666664</v>
      </c>
      <c r="J77" s="16">
        <f t="shared" si="18"/>
        <v>26320</v>
      </c>
      <c r="K77" s="15">
        <v>19</v>
      </c>
      <c r="N77" s="15">
        <v>420</v>
      </c>
      <c r="O77" s="16">
        <f t="shared" si="12"/>
        <v>26320</v>
      </c>
      <c r="Q77" s="16">
        <f t="shared" si="13"/>
        <v>0</v>
      </c>
    </row>
    <row r="78" spans="1:20">
      <c r="A78" s="50">
        <v>42880</v>
      </c>
      <c r="B78" s="15" t="s">
        <v>17</v>
      </c>
      <c r="D78" s="43">
        <v>0.5</v>
      </c>
      <c r="E78" s="15">
        <v>310</v>
      </c>
      <c r="F78" s="15">
        <v>37</v>
      </c>
      <c r="G78" s="15">
        <v>58</v>
      </c>
      <c r="H78" s="15">
        <v>56</v>
      </c>
      <c r="I78" s="16">
        <f t="shared" si="17"/>
        <v>100.66666666666667</v>
      </c>
      <c r="J78" s="16">
        <f t="shared" si="18"/>
        <v>31206.666666666668</v>
      </c>
      <c r="K78" s="15">
        <v>22</v>
      </c>
      <c r="L78" s="148">
        <v>50000</v>
      </c>
      <c r="M78" s="149"/>
      <c r="N78" s="15">
        <v>310</v>
      </c>
      <c r="O78" s="16">
        <f t="shared" si="12"/>
        <v>31206.666666666668</v>
      </c>
      <c r="Q78" s="16">
        <f t="shared" si="13"/>
        <v>0</v>
      </c>
    </row>
    <row r="79" spans="1:20">
      <c r="A79" s="50">
        <v>42881</v>
      </c>
      <c r="B79" s="15" t="s">
        <v>98</v>
      </c>
      <c r="D79" s="43">
        <v>0.5</v>
      </c>
      <c r="E79" s="15">
        <v>800</v>
      </c>
      <c r="F79" s="15">
        <v>101</v>
      </c>
      <c r="G79" s="15">
        <v>111</v>
      </c>
      <c r="H79" s="15">
        <v>145</v>
      </c>
      <c r="I79" s="16">
        <f t="shared" si="17"/>
        <v>238</v>
      </c>
      <c r="J79" s="16">
        <f t="shared" si="18"/>
        <v>190400</v>
      </c>
      <c r="K79" s="15">
        <v>10</v>
      </c>
      <c r="L79" s="148">
        <v>25000</v>
      </c>
      <c r="M79" s="149">
        <f>L79/I79</f>
        <v>105.04201680672269</v>
      </c>
      <c r="N79" s="15">
        <v>150</v>
      </c>
      <c r="O79" s="16">
        <f t="shared" si="12"/>
        <v>35700</v>
      </c>
      <c r="P79" s="15" t="s">
        <v>109</v>
      </c>
      <c r="Q79" s="16">
        <f t="shared" si="13"/>
        <v>154700</v>
      </c>
    </row>
    <row r="80" spans="1:20">
      <c r="A80" s="50">
        <v>42881</v>
      </c>
      <c r="B80" s="15" t="s">
        <v>39</v>
      </c>
      <c r="D80" s="43">
        <v>0.5</v>
      </c>
      <c r="E80" s="15">
        <v>900</v>
      </c>
      <c r="F80" s="15">
        <v>88</v>
      </c>
      <c r="G80" s="15">
        <v>73</v>
      </c>
      <c r="H80" s="15">
        <v>72</v>
      </c>
      <c r="I80" s="16">
        <f t="shared" si="17"/>
        <v>155.33333333333334</v>
      </c>
      <c r="J80" s="16">
        <f t="shared" si="18"/>
        <v>139800</v>
      </c>
      <c r="K80" s="15">
        <v>8</v>
      </c>
      <c r="L80" s="148">
        <v>47000</v>
      </c>
      <c r="M80" s="149">
        <f t="shared" ref="M80:M143" si="19">L80/I80</f>
        <v>302.57510729613733</v>
      </c>
      <c r="N80" s="15">
        <v>350</v>
      </c>
      <c r="O80" s="16">
        <f t="shared" si="12"/>
        <v>54366.666666666672</v>
      </c>
      <c r="P80" s="15" t="s">
        <v>111</v>
      </c>
      <c r="Q80" s="16">
        <f t="shared" si="13"/>
        <v>85433.333333333328</v>
      </c>
    </row>
    <row r="81" spans="1:20">
      <c r="A81" s="50">
        <v>42881</v>
      </c>
      <c r="B81" s="15" t="s">
        <v>89</v>
      </c>
      <c r="D81" s="43">
        <v>0.5</v>
      </c>
      <c r="E81" s="15">
        <v>200</v>
      </c>
      <c r="F81" s="15">
        <v>5</v>
      </c>
      <c r="G81" s="15">
        <v>7</v>
      </c>
      <c r="H81" s="15">
        <v>9</v>
      </c>
      <c r="I81" s="16">
        <f t="shared" si="17"/>
        <v>14</v>
      </c>
      <c r="J81" s="16">
        <f t="shared" si="18"/>
        <v>2800</v>
      </c>
      <c r="K81" s="15">
        <v>19</v>
      </c>
      <c r="L81" s="148">
        <v>32000</v>
      </c>
      <c r="M81" s="149">
        <f t="shared" si="19"/>
        <v>2285.7142857142858</v>
      </c>
      <c r="N81" s="15">
        <v>200</v>
      </c>
      <c r="O81" s="16">
        <f t="shared" si="12"/>
        <v>2800</v>
      </c>
      <c r="Q81" s="16">
        <f t="shared" si="13"/>
        <v>0</v>
      </c>
    </row>
    <row r="82" spans="1:20">
      <c r="A82" s="40">
        <v>42881</v>
      </c>
      <c r="B82" s="15" t="s">
        <v>20</v>
      </c>
      <c r="D82" s="43">
        <v>0.5</v>
      </c>
      <c r="E82" s="15">
        <v>300</v>
      </c>
      <c r="F82" s="15">
        <v>17</v>
      </c>
      <c r="G82" s="15">
        <v>16</v>
      </c>
      <c r="H82" s="15">
        <v>17</v>
      </c>
      <c r="I82" s="16">
        <f t="shared" si="17"/>
        <v>33.333333333333336</v>
      </c>
      <c r="J82" s="16">
        <f t="shared" si="18"/>
        <v>10000</v>
      </c>
      <c r="K82" s="15">
        <v>18</v>
      </c>
      <c r="L82" s="148">
        <v>30000</v>
      </c>
      <c r="M82" s="149">
        <f t="shared" si="19"/>
        <v>899.99999999999989</v>
      </c>
      <c r="N82" s="15">
        <v>300</v>
      </c>
      <c r="O82" s="16">
        <f t="shared" si="12"/>
        <v>10000</v>
      </c>
      <c r="Q82" s="16">
        <f t="shared" si="13"/>
        <v>0</v>
      </c>
    </row>
    <row r="83" spans="1:20">
      <c r="A83" s="40">
        <v>42881</v>
      </c>
      <c r="B83" s="15" t="s">
        <v>46</v>
      </c>
      <c r="D83" s="43">
        <v>0.5</v>
      </c>
      <c r="E83" s="15">
        <v>200</v>
      </c>
      <c r="F83" s="15">
        <v>10</v>
      </c>
      <c r="G83" s="15">
        <v>10</v>
      </c>
      <c r="H83" s="15">
        <v>12</v>
      </c>
      <c r="I83" s="16">
        <f t="shared" si="17"/>
        <v>21.333333333333332</v>
      </c>
      <c r="J83" s="16">
        <f t="shared" si="18"/>
        <v>4266.6666666666661</v>
      </c>
      <c r="K83" s="15">
        <v>20</v>
      </c>
      <c r="L83" s="148">
        <v>32000</v>
      </c>
      <c r="M83" s="149">
        <f t="shared" si="19"/>
        <v>1500</v>
      </c>
      <c r="N83" s="15">
        <v>200</v>
      </c>
      <c r="O83" s="16">
        <f t="shared" si="12"/>
        <v>4266.6666666666661</v>
      </c>
      <c r="Q83" s="16">
        <f t="shared" si="13"/>
        <v>0</v>
      </c>
    </row>
    <row r="84" spans="1:20">
      <c r="A84" s="40">
        <v>42881</v>
      </c>
      <c r="B84" s="15" t="s">
        <v>110</v>
      </c>
      <c r="D84" s="43">
        <v>0.5</v>
      </c>
      <c r="E84" s="15">
        <v>800</v>
      </c>
      <c r="F84" s="15" t="s">
        <v>76</v>
      </c>
      <c r="G84" s="15">
        <v>33</v>
      </c>
      <c r="H84" s="15">
        <v>35</v>
      </c>
      <c r="I84" s="16">
        <f t="shared" si="17"/>
        <v>68</v>
      </c>
      <c r="J84" s="16">
        <f t="shared" si="18"/>
        <v>54400</v>
      </c>
      <c r="K84" s="15">
        <v>21</v>
      </c>
      <c r="L84" s="148">
        <v>50000</v>
      </c>
      <c r="M84" s="149">
        <f t="shared" si="19"/>
        <v>735.29411764705878</v>
      </c>
      <c r="N84" s="15">
        <v>650</v>
      </c>
      <c r="O84" s="16">
        <f t="shared" si="12"/>
        <v>44200</v>
      </c>
      <c r="P84" s="15" t="s">
        <v>112</v>
      </c>
      <c r="Q84" s="16">
        <f t="shared" si="13"/>
        <v>10200</v>
      </c>
      <c r="T84" s="17" t="s">
        <v>97</v>
      </c>
    </row>
    <row r="85" spans="1:20">
      <c r="A85" s="40">
        <v>42881</v>
      </c>
      <c r="B85" s="15" t="s">
        <v>34</v>
      </c>
      <c r="D85" s="43">
        <v>0.5</v>
      </c>
      <c r="E85" s="15">
        <v>800</v>
      </c>
      <c r="F85" s="15">
        <v>69</v>
      </c>
      <c r="G85" s="15">
        <v>68</v>
      </c>
      <c r="H85" s="15">
        <v>80</v>
      </c>
      <c r="I85" s="16">
        <f t="shared" si="17"/>
        <v>144.66666666666666</v>
      </c>
      <c r="J85" s="16">
        <f t="shared" si="18"/>
        <v>115733.33333333333</v>
      </c>
      <c r="K85" s="15">
        <v>9</v>
      </c>
      <c r="L85" s="148">
        <v>50000</v>
      </c>
      <c r="M85" s="149">
        <f t="shared" si="19"/>
        <v>345.62211981566821</v>
      </c>
      <c r="N85" s="15">
        <v>400</v>
      </c>
      <c r="O85" s="16">
        <f t="shared" si="12"/>
        <v>57866.666666666664</v>
      </c>
      <c r="P85" s="15" t="s">
        <v>113</v>
      </c>
      <c r="Q85" s="16">
        <f t="shared" si="13"/>
        <v>57866.666666666664</v>
      </c>
      <c r="T85" s="17" t="s">
        <v>97</v>
      </c>
    </row>
    <row r="86" spans="1:20">
      <c r="A86" s="40">
        <v>42882</v>
      </c>
      <c r="B86" s="15" t="s">
        <v>48</v>
      </c>
      <c r="C86" s="15">
        <v>6</v>
      </c>
      <c r="D86" s="43">
        <v>0.5</v>
      </c>
      <c r="E86" s="15">
        <v>840</v>
      </c>
      <c r="F86" s="15">
        <v>67</v>
      </c>
      <c r="G86" s="15">
        <v>80</v>
      </c>
      <c r="H86" s="15">
        <v>54</v>
      </c>
      <c r="I86" s="16">
        <f t="shared" si="17"/>
        <v>134</v>
      </c>
      <c r="J86" s="16">
        <f t="shared" si="18"/>
        <v>112560</v>
      </c>
      <c r="K86" s="15">
        <v>13</v>
      </c>
      <c r="L86" s="148">
        <v>50000</v>
      </c>
      <c r="M86" s="149">
        <f t="shared" si="19"/>
        <v>373.13432835820896</v>
      </c>
      <c r="N86" s="15">
        <v>400</v>
      </c>
      <c r="O86" s="16">
        <f t="shared" si="12"/>
        <v>53600</v>
      </c>
      <c r="P86" s="15" t="s">
        <v>114</v>
      </c>
      <c r="Q86" s="16">
        <f t="shared" si="13"/>
        <v>58960</v>
      </c>
    </row>
    <row r="87" spans="1:20">
      <c r="A87" s="40">
        <v>42882</v>
      </c>
      <c r="B87" s="15" t="s">
        <v>34</v>
      </c>
      <c r="C87" s="15">
        <v>6</v>
      </c>
      <c r="D87" s="43">
        <v>0.5</v>
      </c>
      <c r="E87" s="15">
        <v>825</v>
      </c>
      <c r="F87" s="15">
        <v>86</v>
      </c>
      <c r="G87" s="15">
        <v>113</v>
      </c>
      <c r="H87" s="15">
        <v>86</v>
      </c>
      <c r="I87" s="16">
        <f t="shared" si="17"/>
        <v>190</v>
      </c>
      <c r="J87" s="16">
        <f t="shared" si="18"/>
        <v>156750</v>
      </c>
      <c r="K87" s="15">
        <v>9</v>
      </c>
      <c r="L87" s="148">
        <v>50000</v>
      </c>
      <c r="M87" s="149">
        <f t="shared" si="19"/>
        <v>263.15789473684208</v>
      </c>
      <c r="N87" s="15">
        <v>275</v>
      </c>
      <c r="O87" s="16">
        <f t="shared" si="12"/>
        <v>52250</v>
      </c>
      <c r="P87" s="15" t="s">
        <v>115</v>
      </c>
      <c r="Q87" s="16">
        <f t="shared" si="13"/>
        <v>104500</v>
      </c>
    </row>
    <row r="88" spans="1:20">
      <c r="A88" s="40">
        <v>42882</v>
      </c>
      <c r="B88" s="15" t="s">
        <v>98</v>
      </c>
      <c r="C88" s="15">
        <v>6</v>
      </c>
      <c r="D88" s="43">
        <v>1</v>
      </c>
      <c r="E88" s="15">
        <v>325</v>
      </c>
      <c r="F88" s="15">
        <v>29</v>
      </c>
      <c r="G88" s="15">
        <v>24</v>
      </c>
      <c r="H88" s="15">
        <v>21</v>
      </c>
      <c r="I88" s="16">
        <f t="shared" si="17"/>
        <v>24.666666666666668</v>
      </c>
      <c r="J88" s="16">
        <f t="shared" si="18"/>
        <v>8016.666666666667</v>
      </c>
      <c r="K88" s="15">
        <v>10</v>
      </c>
      <c r="M88" s="149">
        <f t="shared" si="19"/>
        <v>0</v>
      </c>
      <c r="N88" s="15">
        <v>325</v>
      </c>
      <c r="O88" s="16">
        <f t="shared" si="12"/>
        <v>8016.666666666667</v>
      </c>
      <c r="Q88" s="16">
        <f t="shared" si="13"/>
        <v>0</v>
      </c>
    </row>
    <row r="89" spans="1:20">
      <c r="A89" s="40">
        <v>42882</v>
      </c>
      <c r="B89" s="15" t="s">
        <v>50</v>
      </c>
      <c r="C89" s="15">
        <v>6</v>
      </c>
      <c r="D89" s="43">
        <v>1</v>
      </c>
      <c r="E89" s="15">
        <v>325</v>
      </c>
      <c r="F89" s="15">
        <v>11</v>
      </c>
      <c r="G89" s="15">
        <v>9</v>
      </c>
      <c r="H89" s="15">
        <v>13</v>
      </c>
      <c r="I89" s="16">
        <f t="shared" si="17"/>
        <v>11</v>
      </c>
      <c r="J89" s="16">
        <f t="shared" si="18"/>
        <v>3575</v>
      </c>
      <c r="K89" s="15">
        <v>8</v>
      </c>
      <c r="M89" s="149">
        <f t="shared" si="19"/>
        <v>0</v>
      </c>
      <c r="N89" s="15">
        <v>325</v>
      </c>
      <c r="O89" s="16">
        <f t="shared" si="12"/>
        <v>3575</v>
      </c>
      <c r="Q89" s="16">
        <f t="shared" si="13"/>
        <v>0</v>
      </c>
    </row>
    <row r="90" spans="1:20">
      <c r="A90" s="40">
        <v>42882</v>
      </c>
      <c r="B90" s="15" t="s">
        <v>47</v>
      </c>
      <c r="C90" s="15">
        <v>6</v>
      </c>
      <c r="D90" s="43">
        <v>1</v>
      </c>
      <c r="E90" s="15">
        <v>225</v>
      </c>
      <c r="F90" s="15">
        <v>14</v>
      </c>
      <c r="G90" s="15">
        <v>12</v>
      </c>
      <c r="H90" s="15">
        <v>9</v>
      </c>
      <c r="I90" s="16">
        <f t="shared" si="17"/>
        <v>11.666666666666666</v>
      </c>
      <c r="J90" s="16">
        <f t="shared" si="18"/>
        <v>2625</v>
      </c>
      <c r="K90" s="15">
        <v>12</v>
      </c>
      <c r="M90" s="149">
        <f t="shared" si="19"/>
        <v>0</v>
      </c>
      <c r="N90" s="15">
        <v>225</v>
      </c>
      <c r="O90" s="16">
        <f t="shared" si="12"/>
        <v>2625</v>
      </c>
      <c r="Q90" s="16">
        <f t="shared" si="13"/>
        <v>0</v>
      </c>
    </row>
    <row r="91" spans="1:20">
      <c r="A91" s="40">
        <v>42882</v>
      </c>
      <c r="B91" s="15" t="s">
        <v>49</v>
      </c>
      <c r="C91" s="15">
        <v>6</v>
      </c>
      <c r="D91" s="43">
        <v>1</v>
      </c>
      <c r="E91" s="15">
        <v>200</v>
      </c>
      <c r="F91" s="15">
        <v>7</v>
      </c>
      <c r="G91" s="15">
        <v>18</v>
      </c>
      <c r="H91" s="15">
        <v>10</v>
      </c>
      <c r="I91" s="16">
        <f t="shared" si="17"/>
        <v>11.666666666666666</v>
      </c>
      <c r="J91" s="16">
        <f t="shared" si="18"/>
        <v>2333.333333333333</v>
      </c>
      <c r="K91" s="15">
        <v>12</v>
      </c>
      <c r="M91" s="149">
        <f t="shared" si="19"/>
        <v>0</v>
      </c>
      <c r="N91" s="15">
        <v>200</v>
      </c>
      <c r="O91" s="16">
        <f t="shared" si="12"/>
        <v>2333.333333333333</v>
      </c>
      <c r="Q91" s="16">
        <f t="shared" si="13"/>
        <v>0</v>
      </c>
    </row>
    <row r="92" spans="1:20">
      <c r="A92" s="40">
        <v>42882</v>
      </c>
      <c r="B92" s="15" t="s">
        <v>25</v>
      </c>
      <c r="C92" s="15">
        <v>6</v>
      </c>
      <c r="D92" s="43">
        <v>1</v>
      </c>
      <c r="E92" s="15">
        <v>210</v>
      </c>
      <c r="F92" s="15">
        <v>4</v>
      </c>
      <c r="G92" s="15">
        <v>6</v>
      </c>
      <c r="H92" s="15">
        <v>10</v>
      </c>
      <c r="I92" s="16">
        <f t="shared" si="17"/>
        <v>6.666666666666667</v>
      </c>
      <c r="J92" s="16">
        <f t="shared" si="18"/>
        <v>1400</v>
      </c>
      <c r="K92" s="15">
        <v>16</v>
      </c>
      <c r="M92" s="149">
        <f t="shared" si="19"/>
        <v>0</v>
      </c>
      <c r="N92" s="15">
        <v>210</v>
      </c>
      <c r="O92" s="16">
        <f t="shared" si="12"/>
        <v>1400</v>
      </c>
      <c r="Q92" s="16">
        <f t="shared" si="13"/>
        <v>0</v>
      </c>
    </row>
    <row r="93" spans="1:20">
      <c r="A93" s="40">
        <v>42882</v>
      </c>
      <c r="B93" s="15" t="s">
        <v>99</v>
      </c>
      <c r="C93" s="15">
        <v>7</v>
      </c>
      <c r="D93" s="43">
        <v>1</v>
      </c>
      <c r="E93" s="15">
        <v>250</v>
      </c>
      <c r="F93" s="15">
        <v>19</v>
      </c>
      <c r="G93" s="15">
        <v>20</v>
      </c>
      <c r="H93" s="15">
        <v>20</v>
      </c>
      <c r="I93" s="16">
        <f t="shared" si="17"/>
        <v>19.666666666666668</v>
      </c>
      <c r="J93" s="16">
        <f t="shared" si="18"/>
        <v>4916.666666666667</v>
      </c>
      <c r="K93" s="15">
        <v>3</v>
      </c>
      <c r="M93" s="149">
        <f t="shared" si="19"/>
        <v>0</v>
      </c>
      <c r="N93" s="15">
        <v>250</v>
      </c>
      <c r="O93" s="16">
        <f t="shared" si="12"/>
        <v>4916.666666666667</v>
      </c>
      <c r="Q93" s="16">
        <f t="shared" si="13"/>
        <v>0</v>
      </c>
    </row>
    <row r="94" spans="1:20">
      <c r="A94" s="40">
        <v>42882</v>
      </c>
      <c r="B94" s="15" t="s">
        <v>39</v>
      </c>
      <c r="C94" s="15">
        <v>7</v>
      </c>
      <c r="D94" s="43">
        <v>1</v>
      </c>
      <c r="E94" s="15">
        <v>225</v>
      </c>
      <c r="F94" s="15">
        <v>31</v>
      </c>
      <c r="G94" s="15">
        <v>26</v>
      </c>
      <c r="H94" s="15">
        <v>37</v>
      </c>
      <c r="I94" s="16">
        <f t="shared" si="17"/>
        <v>31.333333333333332</v>
      </c>
      <c r="J94" s="16">
        <f t="shared" si="18"/>
        <v>7050</v>
      </c>
      <c r="K94" s="15">
        <v>8</v>
      </c>
      <c r="M94" s="149">
        <f t="shared" si="19"/>
        <v>0</v>
      </c>
      <c r="N94" s="15">
        <v>225</v>
      </c>
      <c r="O94" s="16">
        <f t="shared" si="12"/>
        <v>7050</v>
      </c>
      <c r="Q94" s="16">
        <f t="shared" si="13"/>
        <v>0</v>
      </c>
    </row>
    <row r="95" spans="1:20">
      <c r="A95" s="40">
        <v>42882</v>
      </c>
      <c r="B95" s="15" t="s">
        <v>20</v>
      </c>
      <c r="C95" s="15">
        <v>7</v>
      </c>
      <c r="D95" s="43">
        <v>1</v>
      </c>
      <c r="E95" s="15">
        <v>400</v>
      </c>
      <c r="F95" s="15">
        <v>58</v>
      </c>
      <c r="G95" s="15">
        <v>46</v>
      </c>
      <c r="H95" s="15">
        <v>58</v>
      </c>
      <c r="I95" s="16">
        <f t="shared" si="17"/>
        <v>54</v>
      </c>
      <c r="J95" s="16">
        <f t="shared" si="18"/>
        <v>21600</v>
      </c>
      <c r="K95" s="15">
        <v>18</v>
      </c>
      <c r="M95" s="149">
        <f t="shared" si="19"/>
        <v>0</v>
      </c>
      <c r="N95" s="15">
        <v>400</v>
      </c>
      <c r="O95" s="16">
        <f t="shared" si="12"/>
        <v>21600</v>
      </c>
      <c r="Q95" s="16">
        <f t="shared" si="13"/>
        <v>0</v>
      </c>
    </row>
    <row r="96" spans="1:20">
      <c r="A96" s="40">
        <v>42882</v>
      </c>
      <c r="B96" s="15" t="s">
        <v>110</v>
      </c>
      <c r="C96" s="15">
        <v>7</v>
      </c>
      <c r="D96" s="43">
        <v>0.5</v>
      </c>
      <c r="E96" s="15">
        <v>910</v>
      </c>
      <c r="F96" s="15">
        <v>140</v>
      </c>
      <c r="G96" s="15">
        <v>146</v>
      </c>
      <c r="H96" s="15">
        <v>156</v>
      </c>
      <c r="I96" s="16">
        <f t="shared" si="17"/>
        <v>294.66666666666669</v>
      </c>
      <c r="J96" s="16">
        <f t="shared" si="18"/>
        <v>268146.66666666669</v>
      </c>
      <c r="K96" s="15">
        <v>21</v>
      </c>
      <c r="L96" s="148">
        <v>50000</v>
      </c>
      <c r="M96" s="149">
        <f t="shared" si="19"/>
        <v>169.68325791855202</v>
      </c>
      <c r="N96" s="15">
        <v>400</v>
      </c>
      <c r="O96" s="16">
        <f t="shared" si="12"/>
        <v>117866.66666666667</v>
      </c>
      <c r="P96" s="15" t="s">
        <v>117</v>
      </c>
      <c r="Q96" s="16">
        <f t="shared" si="13"/>
        <v>150280</v>
      </c>
      <c r="T96" s="17" t="s">
        <v>116</v>
      </c>
    </row>
    <row r="97" spans="1:20">
      <c r="A97" s="40">
        <v>42882</v>
      </c>
      <c r="B97" s="15" t="s">
        <v>48</v>
      </c>
      <c r="C97" s="15">
        <v>7</v>
      </c>
      <c r="D97" s="43">
        <v>0.5</v>
      </c>
      <c r="E97" s="15">
        <v>825</v>
      </c>
      <c r="F97" s="15">
        <v>79</v>
      </c>
      <c r="G97" s="15">
        <v>70</v>
      </c>
      <c r="H97" s="15">
        <v>93</v>
      </c>
      <c r="I97" s="16">
        <f t="shared" si="17"/>
        <v>161.33333333333334</v>
      </c>
      <c r="J97" s="16">
        <f t="shared" si="18"/>
        <v>133100</v>
      </c>
      <c r="K97" s="15">
        <v>13</v>
      </c>
      <c r="L97" s="148">
        <v>25000</v>
      </c>
      <c r="M97" s="149">
        <f t="shared" si="19"/>
        <v>154.95867768595039</v>
      </c>
      <c r="N97" s="15">
        <v>200</v>
      </c>
      <c r="O97" s="16">
        <f t="shared" si="12"/>
        <v>32266.666666666668</v>
      </c>
      <c r="P97" s="15" t="s">
        <v>119</v>
      </c>
      <c r="Q97" s="16">
        <f t="shared" si="13"/>
        <v>100833.33333333333</v>
      </c>
      <c r="T97" s="17" t="s">
        <v>118</v>
      </c>
    </row>
    <row r="98" spans="1:20">
      <c r="A98" s="40">
        <v>42884</v>
      </c>
      <c r="B98" s="15" t="s">
        <v>50</v>
      </c>
      <c r="C98" s="15">
        <v>8</v>
      </c>
      <c r="D98" s="43">
        <v>0.5</v>
      </c>
      <c r="E98" s="15">
        <v>825</v>
      </c>
      <c r="F98" s="15">
        <v>73</v>
      </c>
      <c r="G98" s="15">
        <v>66</v>
      </c>
      <c r="H98" s="15">
        <v>63</v>
      </c>
      <c r="I98" s="16">
        <f t="shared" si="17"/>
        <v>134.66666666666666</v>
      </c>
      <c r="J98" s="16">
        <f t="shared" si="18"/>
        <v>111099.99999999999</v>
      </c>
      <c r="K98" s="15">
        <v>8</v>
      </c>
      <c r="L98" s="148">
        <v>50000</v>
      </c>
      <c r="M98" s="149">
        <f t="shared" si="19"/>
        <v>371.28712871287132</v>
      </c>
      <c r="N98" s="15">
        <v>375</v>
      </c>
      <c r="O98" s="16">
        <f t="shared" si="12"/>
        <v>50500</v>
      </c>
      <c r="P98" s="15" t="s">
        <v>129</v>
      </c>
      <c r="Q98" s="16">
        <f t="shared" si="13"/>
        <v>60599.999999999985</v>
      </c>
    </row>
    <row r="99" spans="1:20">
      <c r="A99" s="40">
        <v>42884</v>
      </c>
      <c r="B99" s="15" t="s">
        <v>48</v>
      </c>
      <c r="C99" s="15">
        <v>8</v>
      </c>
      <c r="D99" s="43">
        <v>1</v>
      </c>
      <c r="E99" s="15">
        <v>300</v>
      </c>
      <c r="F99" s="15">
        <v>25</v>
      </c>
      <c r="G99" s="15">
        <v>28</v>
      </c>
      <c r="H99" s="15">
        <v>26</v>
      </c>
      <c r="I99" s="16">
        <f t="shared" si="17"/>
        <v>26.333333333333332</v>
      </c>
      <c r="J99" s="16">
        <f t="shared" si="18"/>
        <v>7900</v>
      </c>
      <c r="K99" s="15" t="s">
        <v>130</v>
      </c>
      <c r="M99" s="149">
        <f t="shared" si="19"/>
        <v>0</v>
      </c>
      <c r="O99" s="16">
        <f t="shared" si="12"/>
        <v>0</v>
      </c>
      <c r="P99" s="15" t="s">
        <v>131</v>
      </c>
      <c r="Q99" s="16">
        <f t="shared" si="13"/>
        <v>7900</v>
      </c>
      <c r="T99" s="17" t="s">
        <v>132</v>
      </c>
    </row>
    <row r="100" spans="1:20">
      <c r="A100" s="40">
        <v>42884</v>
      </c>
      <c r="B100" s="15" t="s">
        <v>39</v>
      </c>
      <c r="C100" s="15">
        <v>8</v>
      </c>
      <c r="D100" s="43">
        <v>1</v>
      </c>
      <c r="E100" s="15">
        <v>300</v>
      </c>
      <c r="F100" s="15">
        <v>10</v>
      </c>
      <c r="G100" s="15">
        <v>10</v>
      </c>
      <c r="H100" s="15">
        <v>12</v>
      </c>
      <c r="I100" s="16">
        <f t="shared" si="17"/>
        <v>10.666666666666666</v>
      </c>
      <c r="J100" s="16">
        <f t="shared" si="18"/>
        <v>3200</v>
      </c>
      <c r="K100" s="15">
        <v>8</v>
      </c>
      <c r="M100" s="149">
        <f t="shared" si="19"/>
        <v>0</v>
      </c>
      <c r="N100" s="15">
        <v>300</v>
      </c>
      <c r="O100" s="16">
        <f t="shared" si="12"/>
        <v>3200</v>
      </c>
      <c r="Q100" s="16">
        <f t="shared" si="13"/>
        <v>0</v>
      </c>
    </row>
    <row r="101" spans="1:20">
      <c r="A101" s="40">
        <v>42884</v>
      </c>
      <c r="B101" s="15" t="s">
        <v>34</v>
      </c>
      <c r="C101" s="15">
        <v>8</v>
      </c>
      <c r="D101" s="43">
        <v>1</v>
      </c>
      <c r="E101" s="15">
        <v>300</v>
      </c>
      <c r="F101" s="15">
        <v>14</v>
      </c>
      <c r="G101" s="15">
        <v>14</v>
      </c>
      <c r="H101" s="15">
        <v>17</v>
      </c>
      <c r="I101" s="16">
        <f t="shared" si="17"/>
        <v>15</v>
      </c>
      <c r="J101" s="16">
        <f t="shared" si="18"/>
        <v>4500</v>
      </c>
      <c r="K101" s="15">
        <v>9</v>
      </c>
      <c r="M101" s="149">
        <f t="shared" si="19"/>
        <v>0</v>
      </c>
      <c r="N101" s="15">
        <v>300</v>
      </c>
      <c r="O101" s="16">
        <f t="shared" si="12"/>
        <v>4500</v>
      </c>
      <c r="Q101" s="16">
        <f t="shared" si="13"/>
        <v>0</v>
      </c>
    </row>
    <row r="102" spans="1:20">
      <c r="A102" s="40">
        <v>42886</v>
      </c>
      <c r="B102" s="15" t="s">
        <v>89</v>
      </c>
      <c r="C102" s="15">
        <v>1</v>
      </c>
      <c r="D102" s="43">
        <v>0.25</v>
      </c>
      <c r="E102" s="15">
        <v>900</v>
      </c>
      <c r="F102" s="15">
        <v>107</v>
      </c>
      <c r="G102" s="15">
        <v>110</v>
      </c>
      <c r="H102" s="15">
        <v>147</v>
      </c>
      <c r="I102" s="16">
        <f t="shared" si="17"/>
        <v>485.33333333333331</v>
      </c>
      <c r="J102" s="16">
        <f t="shared" si="18"/>
        <v>436800</v>
      </c>
      <c r="K102" s="15">
        <v>19</v>
      </c>
      <c r="L102" s="148">
        <v>50000</v>
      </c>
      <c r="M102" s="149">
        <f t="shared" si="19"/>
        <v>103.02197802197803</v>
      </c>
      <c r="N102" s="15">
        <v>150</v>
      </c>
      <c r="O102" s="16">
        <f t="shared" si="12"/>
        <v>72800</v>
      </c>
      <c r="P102" s="15" t="s">
        <v>154</v>
      </c>
      <c r="Q102" s="16">
        <v>15000</v>
      </c>
    </row>
    <row r="103" spans="1:20">
      <c r="A103" s="40">
        <v>42886</v>
      </c>
      <c r="B103" s="15" t="s">
        <v>24</v>
      </c>
      <c r="C103" s="15">
        <v>1</v>
      </c>
      <c r="D103" s="43">
        <v>0.25</v>
      </c>
      <c r="E103" s="15">
        <v>900</v>
      </c>
      <c r="F103" s="15">
        <v>120</v>
      </c>
      <c r="G103" s="15">
        <v>94</v>
      </c>
      <c r="H103" s="15">
        <v>101</v>
      </c>
      <c r="I103" s="16">
        <f t="shared" si="17"/>
        <v>420</v>
      </c>
      <c r="J103" s="16">
        <f t="shared" si="18"/>
        <v>378000</v>
      </c>
      <c r="K103" s="15">
        <v>7</v>
      </c>
      <c r="L103" s="148">
        <v>50000</v>
      </c>
      <c r="M103" s="149">
        <f t="shared" si="19"/>
        <v>119.04761904761905</v>
      </c>
      <c r="N103" s="15">
        <v>150</v>
      </c>
      <c r="O103" s="16">
        <f t="shared" si="12"/>
        <v>63000</v>
      </c>
      <c r="P103" s="15" t="s">
        <v>155</v>
      </c>
      <c r="Q103" s="16">
        <v>15000</v>
      </c>
    </row>
    <row r="104" spans="1:20">
      <c r="A104" s="40">
        <v>42886</v>
      </c>
      <c r="B104" s="15" t="s">
        <v>50</v>
      </c>
      <c r="C104" s="15">
        <v>1</v>
      </c>
      <c r="D104" s="43">
        <v>0.5</v>
      </c>
      <c r="E104" s="15">
        <v>200</v>
      </c>
      <c r="F104" s="15">
        <v>4</v>
      </c>
      <c r="G104" s="15">
        <v>1</v>
      </c>
      <c r="H104" s="15">
        <v>5</v>
      </c>
      <c r="I104" s="16">
        <f t="shared" si="17"/>
        <v>6.666666666666667</v>
      </c>
      <c r="J104" s="16">
        <f t="shared" si="18"/>
        <v>1333.3333333333335</v>
      </c>
      <c r="K104" s="15">
        <v>8</v>
      </c>
      <c r="L104" s="148">
        <v>50000</v>
      </c>
      <c r="M104" s="149">
        <f t="shared" si="19"/>
        <v>7500</v>
      </c>
      <c r="N104" s="15">
        <v>200</v>
      </c>
      <c r="O104" s="16">
        <f t="shared" si="12"/>
        <v>1333.3333333333335</v>
      </c>
      <c r="Q104" s="16">
        <f t="shared" si="13"/>
        <v>0</v>
      </c>
    </row>
    <row r="105" spans="1:20">
      <c r="A105" s="40">
        <v>42886</v>
      </c>
      <c r="B105" s="15" t="s">
        <v>44</v>
      </c>
      <c r="C105" s="15">
        <v>1</v>
      </c>
      <c r="D105" s="43">
        <v>0.25</v>
      </c>
      <c r="E105" s="15">
        <v>800</v>
      </c>
      <c r="F105" s="15">
        <v>43</v>
      </c>
      <c r="G105" s="15">
        <v>36</v>
      </c>
      <c r="H105" s="15">
        <v>75</v>
      </c>
      <c r="I105" s="16">
        <f t="shared" si="17"/>
        <v>205.33333333333334</v>
      </c>
      <c r="J105" s="16">
        <f t="shared" si="18"/>
        <v>164266.66666666669</v>
      </c>
      <c r="K105" s="15">
        <v>13</v>
      </c>
      <c r="L105" s="148">
        <v>30000</v>
      </c>
      <c r="M105" s="149">
        <f t="shared" si="19"/>
        <v>146.10389610389609</v>
      </c>
      <c r="N105" s="15">
        <v>200</v>
      </c>
      <c r="O105" s="16">
        <f t="shared" si="12"/>
        <v>41066.666666666672</v>
      </c>
      <c r="P105" s="15" t="s">
        <v>156</v>
      </c>
      <c r="Q105" s="16">
        <v>15000</v>
      </c>
    </row>
    <row r="106" spans="1:20">
      <c r="A106" s="40">
        <v>42887</v>
      </c>
      <c r="B106" s="15" t="s">
        <v>23</v>
      </c>
      <c r="D106" s="43">
        <v>0.5</v>
      </c>
      <c r="E106" s="15">
        <v>900</v>
      </c>
      <c r="F106" s="15">
        <v>230</v>
      </c>
      <c r="G106" s="15">
        <v>246</v>
      </c>
      <c r="H106" s="15">
        <v>202</v>
      </c>
      <c r="I106" s="16">
        <f t="shared" si="17"/>
        <v>452</v>
      </c>
      <c r="J106" s="16">
        <f t="shared" si="18"/>
        <v>406800</v>
      </c>
      <c r="K106" s="15">
        <v>5</v>
      </c>
      <c r="L106" s="148">
        <v>70000</v>
      </c>
      <c r="M106" s="149">
        <f t="shared" si="19"/>
        <v>154.86725663716814</v>
      </c>
      <c r="N106" s="15">
        <v>175</v>
      </c>
      <c r="O106" s="16">
        <f t="shared" si="12"/>
        <v>79100</v>
      </c>
      <c r="P106" s="15" t="s">
        <v>157</v>
      </c>
      <c r="Q106" s="16">
        <v>15000</v>
      </c>
      <c r="T106" s="17" t="s">
        <v>159</v>
      </c>
    </row>
    <row r="107" spans="1:20">
      <c r="A107" s="40">
        <v>42887</v>
      </c>
      <c r="B107" s="15" t="s">
        <v>17</v>
      </c>
      <c r="D107" s="43">
        <v>0.5</v>
      </c>
      <c r="E107" s="15">
        <v>800</v>
      </c>
      <c r="F107" s="15">
        <v>36</v>
      </c>
      <c r="G107" s="15">
        <v>22</v>
      </c>
      <c r="H107" s="15">
        <v>18</v>
      </c>
      <c r="I107" s="16">
        <f t="shared" si="17"/>
        <v>50.666666666666664</v>
      </c>
      <c r="J107" s="16">
        <f t="shared" si="18"/>
        <v>40533.333333333328</v>
      </c>
      <c r="K107" s="15">
        <v>22</v>
      </c>
      <c r="M107" s="149">
        <f t="shared" si="19"/>
        <v>0</v>
      </c>
      <c r="N107" s="15">
        <v>800</v>
      </c>
      <c r="O107" s="16">
        <f t="shared" si="12"/>
        <v>40533.333333333328</v>
      </c>
      <c r="Q107" s="16">
        <f t="shared" si="13"/>
        <v>0</v>
      </c>
    </row>
    <row r="108" spans="1:20">
      <c r="A108" s="40">
        <v>42887</v>
      </c>
      <c r="B108" s="15" t="s">
        <v>38</v>
      </c>
      <c r="D108" s="43">
        <v>0.5</v>
      </c>
      <c r="E108" s="15">
        <v>800</v>
      </c>
      <c r="F108" s="15">
        <v>66</v>
      </c>
      <c r="G108" s="15">
        <v>62</v>
      </c>
      <c r="H108" s="15">
        <v>59</v>
      </c>
      <c r="I108" s="16">
        <f t="shared" si="17"/>
        <v>124.66666666666667</v>
      </c>
      <c r="J108" s="16">
        <f t="shared" si="18"/>
        <v>99733.333333333343</v>
      </c>
      <c r="K108" s="15">
        <v>17</v>
      </c>
      <c r="L108" s="148">
        <v>50000</v>
      </c>
      <c r="M108" s="149">
        <f>L108/I108</f>
        <v>401.06951871657753</v>
      </c>
      <c r="N108" s="15">
        <v>400</v>
      </c>
      <c r="O108" s="16">
        <f t="shared" si="12"/>
        <v>49866.666666666672</v>
      </c>
      <c r="P108" s="15" t="s">
        <v>158</v>
      </c>
      <c r="Q108" s="16">
        <f t="shared" si="13"/>
        <v>49866.666666666672</v>
      </c>
    </row>
    <row r="109" spans="1:20">
      <c r="A109" s="40">
        <v>42887</v>
      </c>
      <c r="B109" s="15" t="s">
        <v>47</v>
      </c>
      <c r="D109" s="43">
        <v>0.5</v>
      </c>
      <c r="E109" s="15">
        <v>275</v>
      </c>
      <c r="F109" s="15">
        <v>1</v>
      </c>
      <c r="G109" s="15">
        <v>1</v>
      </c>
      <c r="H109" s="15">
        <v>6</v>
      </c>
      <c r="I109" s="16">
        <f t="shared" si="17"/>
        <v>5.333333333333333</v>
      </c>
      <c r="J109" s="16">
        <f t="shared" si="18"/>
        <v>1466.6666666666665</v>
      </c>
      <c r="K109" s="15">
        <v>12</v>
      </c>
      <c r="M109" s="149"/>
      <c r="N109" s="15">
        <v>275</v>
      </c>
      <c r="O109" s="16">
        <f t="shared" si="12"/>
        <v>1466.6666666666665</v>
      </c>
    </row>
    <row r="110" spans="1:20">
      <c r="A110" s="40">
        <v>42887</v>
      </c>
      <c r="B110" s="15" t="s">
        <v>51</v>
      </c>
      <c r="D110" s="43">
        <v>0.5</v>
      </c>
      <c r="E110" s="15">
        <v>375</v>
      </c>
      <c r="F110" s="15">
        <v>2</v>
      </c>
      <c r="G110" s="15">
        <v>1</v>
      </c>
      <c r="H110" s="15">
        <v>0</v>
      </c>
      <c r="I110" s="16">
        <f t="shared" si="17"/>
        <v>2</v>
      </c>
      <c r="J110" s="16">
        <f t="shared" si="18"/>
        <v>750</v>
      </c>
      <c r="K110" s="15">
        <v>13</v>
      </c>
      <c r="M110" s="149"/>
      <c r="N110" s="15">
        <v>375</v>
      </c>
      <c r="O110" s="16">
        <f t="shared" si="12"/>
        <v>750</v>
      </c>
    </row>
    <row r="111" spans="1:20">
      <c r="A111" s="40">
        <v>42889</v>
      </c>
      <c r="B111" s="15" t="s">
        <v>47</v>
      </c>
      <c r="C111" s="15">
        <v>1</v>
      </c>
      <c r="D111" s="43">
        <v>0.5</v>
      </c>
      <c r="E111" s="15">
        <v>800</v>
      </c>
      <c r="F111" s="15">
        <v>41</v>
      </c>
      <c r="G111" s="15">
        <v>52</v>
      </c>
      <c r="H111" s="15">
        <v>47</v>
      </c>
      <c r="I111" s="16">
        <f t="shared" si="17"/>
        <v>93.333333333333329</v>
      </c>
      <c r="J111" s="16">
        <f t="shared" si="18"/>
        <v>74666.666666666657</v>
      </c>
      <c r="K111" s="15">
        <v>12</v>
      </c>
      <c r="L111" s="148">
        <v>50000</v>
      </c>
      <c r="M111" s="149">
        <f t="shared" si="19"/>
        <v>535.71428571428578</v>
      </c>
      <c r="N111" s="15">
        <v>550</v>
      </c>
      <c r="O111" s="16">
        <f t="shared" si="12"/>
        <v>51333.333333333328</v>
      </c>
      <c r="P111" s="15" t="s">
        <v>160</v>
      </c>
      <c r="Q111" s="16">
        <f t="shared" si="13"/>
        <v>23333.333333333328</v>
      </c>
      <c r="T111" s="110"/>
    </row>
    <row r="112" spans="1:20">
      <c r="A112" s="40">
        <v>42889</v>
      </c>
      <c r="B112" s="15" t="s">
        <v>36</v>
      </c>
      <c r="C112" s="15">
        <v>1</v>
      </c>
      <c r="D112" s="43">
        <v>0.5</v>
      </c>
      <c r="E112" s="15">
        <v>850</v>
      </c>
      <c r="F112" s="15">
        <v>78</v>
      </c>
      <c r="G112" s="15">
        <v>96</v>
      </c>
      <c r="H112" s="15">
        <v>91</v>
      </c>
      <c r="I112" s="16">
        <f t="shared" si="17"/>
        <v>176.66666666666666</v>
      </c>
      <c r="J112" s="16">
        <f t="shared" si="18"/>
        <v>150166.66666666666</v>
      </c>
      <c r="K112" s="15">
        <v>16</v>
      </c>
      <c r="L112" s="148">
        <v>50000</v>
      </c>
      <c r="M112" s="149">
        <f t="shared" si="19"/>
        <v>283.01886792452831</v>
      </c>
      <c r="N112" s="15">
        <v>325</v>
      </c>
      <c r="O112" s="16">
        <f t="shared" si="12"/>
        <v>57416.666666666664</v>
      </c>
      <c r="P112" s="15" t="s">
        <v>161</v>
      </c>
      <c r="Q112" s="16">
        <f t="shared" si="13"/>
        <v>92750</v>
      </c>
    </row>
    <row r="113" spans="1:20">
      <c r="A113" s="40">
        <v>42889</v>
      </c>
      <c r="B113" s="15" t="s">
        <v>99</v>
      </c>
      <c r="C113" s="15">
        <v>1</v>
      </c>
      <c r="D113" s="43">
        <v>0.5</v>
      </c>
      <c r="E113" s="15">
        <v>840</v>
      </c>
      <c r="F113" s="15">
        <v>151</v>
      </c>
      <c r="G113" s="15">
        <v>116</v>
      </c>
      <c r="H113" s="15">
        <v>116</v>
      </c>
      <c r="I113" s="16">
        <f>AVERAGE(F113:H113)/D113</f>
        <v>255.33333333333334</v>
      </c>
      <c r="J113" s="16">
        <f>I113*E113</f>
        <v>214480</v>
      </c>
      <c r="K113" s="15">
        <v>3</v>
      </c>
      <c r="L113" s="148">
        <v>50000</v>
      </c>
      <c r="M113" s="149">
        <f t="shared" si="19"/>
        <v>195.822454308094</v>
      </c>
      <c r="N113" s="15">
        <v>230</v>
      </c>
      <c r="O113" s="16">
        <f t="shared" si="12"/>
        <v>58726.666666666672</v>
      </c>
      <c r="P113" s="15" t="s">
        <v>162</v>
      </c>
      <c r="Q113" s="16">
        <f t="shared" si="13"/>
        <v>155753.33333333331</v>
      </c>
    </row>
    <row r="114" spans="1:20">
      <c r="A114" s="40">
        <v>42889</v>
      </c>
      <c r="B114" s="15" t="s">
        <v>27</v>
      </c>
      <c r="C114" s="15">
        <v>1</v>
      </c>
      <c r="D114" s="43">
        <v>0.5</v>
      </c>
      <c r="E114" s="15">
        <v>820</v>
      </c>
      <c r="F114" s="15">
        <v>195</v>
      </c>
      <c r="G114" s="15">
        <v>212</v>
      </c>
      <c r="H114" s="15">
        <v>191</v>
      </c>
      <c r="I114" s="16">
        <f t="shared" si="17"/>
        <v>398.66666666666669</v>
      </c>
      <c r="J114" s="16">
        <f t="shared" si="18"/>
        <v>326906.66666666669</v>
      </c>
      <c r="K114" s="15">
        <v>5</v>
      </c>
      <c r="L114" s="148">
        <v>50000</v>
      </c>
      <c r="M114" s="149">
        <f t="shared" si="19"/>
        <v>125.41806020066889</v>
      </c>
      <c r="N114" s="15">
        <v>230</v>
      </c>
      <c r="O114" s="16">
        <f t="shared" si="12"/>
        <v>91693.333333333343</v>
      </c>
      <c r="P114" s="15" t="s">
        <v>163</v>
      </c>
      <c r="Q114" s="16">
        <f t="shared" si="13"/>
        <v>235213.33333333334</v>
      </c>
    </row>
    <row r="115" spans="1:20">
      <c r="A115" s="40">
        <v>42889</v>
      </c>
      <c r="B115" s="15" t="s">
        <v>23</v>
      </c>
      <c r="C115" s="15">
        <v>1</v>
      </c>
      <c r="D115" s="43">
        <v>0.5</v>
      </c>
      <c r="E115" s="15">
        <v>440</v>
      </c>
      <c r="F115" s="15">
        <v>191</v>
      </c>
      <c r="G115" s="15">
        <v>207</v>
      </c>
      <c r="H115" s="15">
        <v>206</v>
      </c>
      <c r="I115" s="16">
        <f t="shared" si="17"/>
        <v>402.66666666666669</v>
      </c>
      <c r="J115" s="16">
        <f t="shared" si="18"/>
        <v>177173.33333333334</v>
      </c>
      <c r="K115" s="15">
        <v>5</v>
      </c>
      <c r="L115" s="148">
        <v>50000</v>
      </c>
      <c r="M115" s="149">
        <f t="shared" si="19"/>
        <v>124.17218543046357</v>
      </c>
      <c r="N115" s="15">
        <v>150</v>
      </c>
      <c r="O115" s="16">
        <f t="shared" si="12"/>
        <v>60400</v>
      </c>
      <c r="P115" s="15" t="s">
        <v>164</v>
      </c>
      <c r="Q115" s="16">
        <f t="shared" si="13"/>
        <v>116773.33333333334</v>
      </c>
    </row>
    <row r="116" spans="1:20">
      <c r="A116" s="40">
        <v>42889</v>
      </c>
      <c r="B116" s="15" t="s">
        <v>38</v>
      </c>
      <c r="C116" s="15">
        <v>1</v>
      </c>
      <c r="D116" s="43">
        <v>0.5</v>
      </c>
      <c r="E116" s="15">
        <v>820</v>
      </c>
      <c r="F116" s="15">
        <v>80</v>
      </c>
      <c r="G116" s="15">
        <v>105</v>
      </c>
      <c r="H116" s="15">
        <v>58</v>
      </c>
      <c r="I116" s="16">
        <f t="shared" si="17"/>
        <v>162</v>
      </c>
      <c r="J116" s="16">
        <f t="shared" si="18"/>
        <v>132840</v>
      </c>
      <c r="K116" s="15">
        <v>17</v>
      </c>
      <c r="L116" s="148">
        <v>50000</v>
      </c>
      <c r="M116" s="149">
        <f t="shared" si="19"/>
        <v>308.64197530864197</v>
      </c>
      <c r="N116" s="15">
        <v>325</v>
      </c>
      <c r="O116" s="16">
        <f t="shared" si="12"/>
        <v>52650</v>
      </c>
      <c r="P116" s="15" t="s">
        <v>165</v>
      </c>
      <c r="Q116" s="16">
        <f t="shared" si="13"/>
        <v>80190</v>
      </c>
    </row>
    <row r="117" spans="1:20">
      <c r="A117" s="40">
        <v>42889</v>
      </c>
      <c r="B117" s="15" t="s">
        <v>17</v>
      </c>
      <c r="C117" s="15">
        <v>2</v>
      </c>
      <c r="D117" s="43">
        <v>0.5</v>
      </c>
      <c r="E117" s="15">
        <v>820</v>
      </c>
      <c r="F117" s="15">
        <v>34</v>
      </c>
      <c r="G117" s="15">
        <v>41</v>
      </c>
      <c r="H117" s="15">
        <v>41</v>
      </c>
      <c r="I117" s="16">
        <f t="shared" si="17"/>
        <v>77.333333333333329</v>
      </c>
      <c r="J117" s="16">
        <f t="shared" si="18"/>
        <v>63413.333333333328</v>
      </c>
      <c r="K117" s="15">
        <v>20</v>
      </c>
      <c r="L117" s="148">
        <v>50000</v>
      </c>
      <c r="M117" s="149">
        <f t="shared" si="19"/>
        <v>646.55172413793105</v>
      </c>
      <c r="N117" s="15">
        <v>650</v>
      </c>
      <c r="O117" s="16">
        <f t="shared" si="12"/>
        <v>50266.666666666664</v>
      </c>
      <c r="P117" s="15" t="s">
        <v>166</v>
      </c>
      <c r="Q117" s="16">
        <f t="shared" si="13"/>
        <v>13146.666666666664</v>
      </c>
    </row>
    <row r="118" spans="1:20">
      <c r="A118" s="40">
        <v>42890</v>
      </c>
      <c r="B118" s="15" t="s">
        <v>20</v>
      </c>
      <c r="C118" s="15">
        <v>1</v>
      </c>
      <c r="D118" s="43">
        <v>0.5</v>
      </c>
      <c r="E118" s="15">
        <v>825</v>
      </c>
      <c r="F118" s="15">
        <v>143</v>
      </c>
      <c r="G118" s="15">
        <v>100</v>
      </c>
      <c r="H118" s="15">
        <v>104</v>
      </c>
      <c r="I118" s="16">
        <f t="shared" si="17"/>
        <v>231.33333333333334</v>
      </c>
      <c r="J118" s="16">
        <f t="shared" si="18"/>
        <v>190850</v>
      </c>
      <c r="K118" s="15">
        <v>18</v>
      </c>
      <c r="L118" s="148">
        <v>50000</v>
      </c>
      <c r="M118" s="149">
        <f t="shared" si="19"/>
        <v>216.13832853025934</v>
      </c>
      <c r="N118" s="15">
        <v>250</v>
      </c>
      <c r="O118" s="16">
        <f t="shared" si="12"/>
        <v>57833.333333333336</v>
      </c>
      <c r="P118" s="15" t="s">
        <v>171</v>
      </c>
      <c r="Q118" s="16">
        <f t="shared" si="13"/>
        <v>133016.66666666666</v>
      </c>
    </row>
    <row r="119" spans="1:20">
      <c r="A119" s="40">
        <v>42890</v>
      </c>
      <c r="B119" s="15" t="s">
        <v>47</v>
      </c>
      <c r="C119" s="15">
        <v>1</v>
      </c>
      <c r="D119" s="43">
        <v>0.5</v>
      </c>
      <c r="E119" s="15">
        <v>360</v>
      </c>
      <c r="F119" s="15">
        <v>2</v>
      </c>
      <c r="G119" s="15">
        <v>2</v>
      </c>
      <c r="H119" s="15">
        <v>1</v>
      </c>
      <c r="I119" s="16">
        <f t="shared" si="17"/>
        <v>3.3333333333333335</v>
      </c>
      <c r="J119" s="16">
        <f t="shared" si="18"/>
        <v>1200</v>
      </c>
      <c r="K119" s="15">
        <v>12</v>
      </c>
      <c r="M119" s="149">
        <f t="shared" si="19"/>
        <v>0</v>
      </c>
      <c r="N119" s="15">
        <v>360</v>
      </c>
      <c r="O119" s="16">
        <f t="shared" si="12"/>
        <v>1200</v>
      </c>
      <c r="Q119" s="16">
        <f t="shared" si="13"/>
        <v>0</v>
      </c>
    </row>
    <row r="120" spans="1:20">
      <c r="A120" s="40">
        <v>42890</v>
      </c>
      <c r="B120" s="15" t="s">
        <v>99</v>
      </c>
      <c r="C120" s="15">
        <v>1</v>
      </c>
      <c r="D120" s="43">
        <v>0.5</v>
      </c>
      <c r="E120" s="15">
        <v>400</v>
      </c>
      <c r="F120" s="15">
        <v>2</v>
      </c>
      <c r="G120" s="15">
        <v>5</v>
      </c>
      <c r="H120" s="15">
        <v>4</v>
      </c>
      <c r="I120" s="16">
        <f t="shared" si="17"/>
        <v>7.333333333333333</v>
      </c>
      <c r="J120" s="16">
        <f t="shared" si="18"/>
        <v>2933.333333333333</v>
      </c>
      <c r="K120" s="15">
        <v>3</v>
      </c>
      <c r="M120" s="149">
        <f t="shared" si="19"/>
        <v>0</v>
      </c>
      <c r="N120" s="15">
        <v>400</v>
      </c>
      <c r="O120" s="16">
        <f t="shared" si="12"/>
        <v>2933.333333333333</v>
      </c>
      <c r="Q120" s="16">
        <f t="shared" si="13"/>
        <v>0</v>
      </c>
    </row>
    <row r="121" spans="1:20">
      <c r="A121" s="40">
        <v>42890</v>
      </c>
      <c r="B121" s="15" t="s">
        <v>27</v>
      </c>
      <c r="C121" s="15">
        <v>1</v>
      </c>
      <c r="D121" s="43">
        <v>0.5</v>
      </c>
      <c r="E121" s="15">
        <v>825</v>
      </c>
      <c r="F121" s="15">
        <v>115</v>
      </c>
      <c r="G121" s="15">
        <v>96</v>
      </c>
      <c r="H121" s="15">
        <v>120</v>
      </c>
      <c r="I121" s="16">
        <f t="shared" si="17"/>
        <v>220.66666666666666</v>
      </c>
      <c r="J121" s="16">
        <f t="shared" si="18"/>
        <v>182050</v>
      </c>
      <c r="K121" s="15">
        <v>2</v>
      </c>
      <c r="L121" s="148">
        <v>50000</v>
      </c>
      <c r="M121" s="149">
        <f t="shared" si="19"/>
        <v>226.58610271903325</v>
      </c>
      <c r="N121" s="15">
        <v>250</v>
      </c>
      <c r="O121" s="16">
        <f t="shared" si="12"/>
        <v>55166.666666666664</v>
      </c>
      <c r="P121" s="15" t="s">
        <v>173</v>
      </c>
      <c r="Q121" s="16">
        <f t="shared" si="13"/>
        <v>126883.33333333334</v>
      </c>
      <c r="T121" s="17" t="s">
        <v>172</v>
      </c>
    </row>
    <row r="122" spans="1:20">
      <c r="A122" s="40">
        <v>42891</v>
      </c>
      <c r="B122" s="15" t="s">
        <v>36</v>
      </c>
      <c r="C122" s="15">
        <v>7</v>
      </c>
      <c r="D122" s="43">
        <v>0.5</v>
      </c>
      <c r="E122" s="15">
        <v>800</v>
      </c>
      <c r="F122" s="15">
        <v>301</v>
      </c>
      <c r="G122" s="15">
        <v>299</v>
      </c>
      <c r="H122" s="15">
        <v>308</v>
      </c>
      <c r="I122" s="16">
        <f t="shared" si="17"/>
        <v>605.33333333333337</v>
      </c>
      <c r="J122" s="16">
        <f t="shared" si="18"/>
        <v>484266.66666666669</v>
      </c>
      <c r="L122" s="148">
        <v>70000</v>
      </c>
      <c r="M122" s="149">
        <f t="shared" si="19"/>
        <v>115.63876651982378</v>
      </c>
      <c r="N122" s="15">
        <v>175</v>
      </c>
      <c r="O122" s="16">
        <f t="shared" si="12"/>
        <v>105933.33333333334</v>
      </c>
      <c r="P122" s="15" t="s">
        <v>174</v>
      </c>
      <c r="Q122" s="16">
        <f t="shared" si="13"/>
        <v>378333.33333333337</v>
      </c>
    </row>
    <row r="123" spans="1:20">
      <c r="A123" s="40">
        <v>42891</v>
      </c>
      <c r="B123" s="15" t="s">
        <v>98</v>
      </c>
      <c r="C123" s="15">
        <v>7</v>
      </c>
      <c r="D123" s="43">
        <v>0.5</v>
      </c>
      <c r="E123" s="15">
        <v>800</v>
      </c>
      <c r="F123" s="15">
        <v>57</v>
      </c>
      <c r="G123" s="15">
        <v>47</v>
      </c>
      <c r="H123" s="15">
        <v>49</v>
      </c>
      <c r="I123" s="16">
        <f t="shared" si="17"/>
        <v>102</v>
      </c>
      <c r="J123" s="16">
        <f t="shared" si="18"/>
        <v>81600</v>
      </c>
      <c r="L123" s="148">
        <v>50000</v>
      </c>
      <c r="M123" s="149">
        <f t="shared" si="19"/>
        <v>490.19607843137254</v>
      </c>
      <c r="N123" s="15">
        <v>500</v>
      </c>
      <c r="O123" s="16">
        <f t="shared" ref="O123:O127" si="20">N123*I123</f>
        <v>51000</v>
      </c>
      <c r="P123" s="15" t="s">
        <v>175</v>
      </c>
      <c r="Q123" s="16">
        <f t="shared" si="13"/>
        <v>30600</v>
      </c>
    </row>
    <row r="124" spans="1:20">
      <c r="A124" s="40">
        <v>42891</v>
      </c>
      <c r="B124" s="15" t="s">
        <v>122</v>
      </c>
      <c r="C124" s="15">
        <v>7</v>
      </c>
      <c r="D124" s="43">
        <v>0.5</v>
      </c>
      <c r="E124" s="15">
        <v>540</v>
      </c>
      <c r="F124" s="15">
        <v>88</v>
      </c>
      <c r="G124" s="15">
        <v>81</v>
      </c>
      <c r="H124" s="15">
        <v>76</v>
      </c>
      <c r="I124" s="16">
        <f t="shared" si="17"/>
        <v>163.33333333333334</v>
      </c>
      <c r="J124" s="16">
        <f t="shared" si="18"/>
        <v>88200</v>
      </c>
      <c r="L124" s="148">
        <v>50000</v>
      </c>
      <c r="M124" s="149">
        <f t="shared" si="19"/>
        <v>306.12244897959181</v>
      </c>
      <c r="N124" s="15">
        <v>300</v>
      </c>
      <c r="O124" s="16">
        <f t="shared" si="20"/>
        <v>49000</v>
      </c>
      <c r="P124" s="15" t="s">
        <v>176</v>
      </c>
      <c r="Q124" s="16">
        <f t="shared" si="13"/>
        <v>39200</v>
      </c>
    </row>
    <row r="125" spans="1:20">
      <c r="A125" s="40">
        <v>42891</v>
      </c>
      <c r="B125" s="15" t="s">
        <v>20</v>
      </c>
      <c r="C125" s="15">
        <v>7</v>
      </c>
      <c r="D125" s="43">
        <v>0.5</v>
      </c>
      <c r="E125" s="15">
        <v>440</v>
      </c>
      <c r="F125" s="15">
        <v>19</v>
      </c>
      <c r="G125" s="15">
        <v>17</v>
      </c>
      <c r="H125" s="15">
        <v>23</v>
      </c>
      <c r="I125" s="16">
        <f t="shared" si="17"/>
        <v>39.333333333333336</v>
      </c>
      <c r="J125" s="16">
        <f t="shared" si="18"/>
        <v>17306.666666666668</v>
      </c>
      <c r="M125" s="149">
        <f t="shared" si="19"/>
        <v>0</v>
      </c>
      <c r="N125" s="15">
        <v>440</v>
      </c>
      <c r="O125" s="16">
        <f t="shared" si="20"/>
        <v>17306.666666666668</v>
      </c>
      <c r="Q125" s="16">
        <f t="shared" si="13"/>
        <v>0</v>
      </c>
    </row>
    <row r="126" spans="1:20">
      <c r="A126" s="40">
        <v>42892</v>
      </c>
      <c r="B126" s="15" t="s">
        <v>36</v>
      </c>
      <c r="C126" s="15">
        <v>1</v>
      </c>
      <c r="D126" s="43">
        <v>0.5</v>
      </c>
      <c r="E126" s="15">
        <v>400</v>
      </c>
      <c r="F126" s="15">
        <v>15</v>
      </c>
      <c r="G126" s="15">
        <v>12</v>
      </c>
      <c r="H126" s="15">
        <v>10</v>
      </c>
      <c r="I126" s="16">
        <f t="shared" si="17"/>
        <v>24.666666666666668</v>
      </c>
      <c r="J126" s="16">
        <f t="shared" si="18"/>
        <v>9866.6666666666679</v>
      </c>
      <c r="M126" s="149">
        <f t="shared" si="19"/>
        <v>0</v>
      </c>
      <c r="O126" s="16">
        <f t="shared" si="20"/>
        <v>0</v>
      </c>
      <c r="P126" s="15" t="s">
        <v>181</v>
      </c>
      <c r="Q126" s="16">
        <f t="shared" si="13"/>
        <v>9866.6666666666679</v>
      </c>
      <c r="T126" s="17" t="s">
        <v>180</v>
      </c>
    </row>
    <row r="127" spans="1:20">
      <c r="A127" s="40">
        <v>42892</v>
      </c>
      <c r="B127" s="15" t="s">
        <v>27</v>
      </c>
      <c r="C127" s="15">
        <v>1</v>
      </c>
      <c r="D127" s="43">
        <v>0.5</v>
      </c>
      <c r="E127" s="15">
        <v>450</v>
      </c>
      <c r="F127" s="15">
        <v>7</v>
      </c>
      <c r="G127" s="15">
        <v>7</v>
      </c>
      <c r="H127" s="15">
        <v>7</v>
      </c>
      <c r="I127" s="16">
        <f t="shared" si="17"/>
        <v>14</v>
      </c>
      <c r="J127" s="16">
        <f t="shared" si="18"/>
        <v>6300</v>
      </c>
      <c r="M127" s="149">
        <f t="shared" si="19"/>
        <v>0</v>
      </c>
      <c r="O127" s="16">
        <f t="shared" si="20"/>
        <v>0</v>
      </c>
      <c r="P127" s="15" t="s">
        <v>182</v>
      </c>
      <c r="Q127" s="16">
        <f t="shared" si="13"/>
        <v>6300</v>
      </c>
      <c r="T127" s="17" t="s">
        <v>180</v>
      </c>
    </row>
    <row r="128" spans="1:20">
      <c r="A128" s="40">
        <v>42892</v>
      </c>
      <c r="B128" s="15" t="s">
        <v>122</v>
      </c>
      <c r="C128" s="15">
        <v>1</v>
      </c>
      <c r="D128" s="43">
        <v>0.5</v>
      </c>
      <c r="E128" s="15">
        <v>825</v>
      </c>
      <c r="F128" s="15">
        <v>59</v>
      </c>
      <c r="G128" s="15">
        <v>73</v>
      </c>
      <c r="H128" s="15">
        <v>57</v>
      </c>
      <c r="I128" s="16">
        <v>57</v>
      </c>
      <c r="J128" s="16">
        <f t="shared" si="18"/>
        <v>47025</v>
      </c>
      <c r="L128" s="148">
        <v>20000</v>
      </c>
      <c r="M128" s="149">
        <f t="shared" si="19"/>
        <v>350.87719298245617</v>
      </c>
      <c r="N128" s="15">
        <v>300</v>
      </c>
      <c r="O128" s="16">
        <f t="shared" ref="O128:O145" si="21">N128*I128</f>
        <v>17100</v>
      </c>
      <c r="P128" s="15" t="s">
        <v>183</v>
      </c>
      <c r="Q128" s="16">
        <f t="shared" si="13"/>
        <v>29925</v>
      </c>
    </row>
    <row r="129" spans="1:20">
      <c r="A129" s="40">
        <v>42892</v>
      </c>
      <c r="B129" s="15" t="s">
        <v>98</v>
      </c>
      <c r="C129" s="15">
        <v>1</v>
      </c>
      <c r="D129" s="43">
        <v>0.5</v>
      </c>
      <c r="E129" s="15">
        <v>340</v>
      </c>
      <c r="F129" s="15">
        <v>3</v>
      </c>
      <c r="G129" s="15">
        <v>0</v>
      </c>
      <c r="H129" s="15">
        <v>4</v>
      </c>
      <c r="I129" s="16">
        <f t="shared" si="17"/>
        <v>4.666666666666667</v>
      </c>
      <c r="J129" s="16">
        <f t="shared" si="18"/>
        <v>1586.6666666666667</v>
      </c>
      <c r="M129" s="149">
        <f t="shared" si="19"/>
        <v>0</v>
      </c>
      <c r="N129" s="15">
        <v>340</v>
      </c>
      <c r="O129" s="16">
        <f t="shared" si="21"/>
        <v>1586.6666666666667</v>
      </c>
      <c r="Q129" s="16">
        <f t="shared" ref="Q129:Q192" si="22">J129-O129</f>
        <v>0</v>
      </c>
    </row>
    <row r="130" spans="1:20">
      <c r="A130" s="40">
        <v>42893</v>
      </c>
      <c r="B130" s="15" t="s">
        <v>21</v>
      </c>
      <c r="C130" s="15">
        <v>1</v>
      </c>
      <c r="D130" s="43">
        <v>0.5</v>
      </c>
      <c r="E130" s="15">
        <v>800</v>
      </c>
      <c r="F130" s="15">
        <v>152</v>
      </c>
      <c r="G130" s="15">
        <v>214</v>
      </c>
      <c r="H130" s="15">
        <v>163</v>
      </c>
      <c r="I130" s="16">
        <f t="shared" si="17"/>
        <v>352.66666666666669</v>
      </c>
      <c r="J130" s="16">
        <f t="shared" si="18"/>
        <v>282133.33333333337</v>
      </c>
      <c r="M130" s="149">
        <f t="shared" si="19"/>
        <v>0</v>
      </c>
      <c r="N130" s="15">
        <v>250</v>
      </c>
      <c r="O130" s="16">
        <f t="shared" si="21"/>
        <v>88166.666666666672</v>
      </c>
      <c r="P130" s="15" t="s">
        <v>186</v>
      </c>
      <c r="Q130" s="16">
        <f t="shared" si="22"/>
        <v>193966.66666666669</v>
      </c>
    </row>
    <row r="131" spans="1:20">
      <c r="A131" s="40">
        <v>42893</v>
      </c>
      <c r="B131" s="15" t="s">
        <v>46</v>
      </c>
      <c r="C131" s="15">
        <v>1</v>
      </c>
      <c r="D131" s="43">
        <v>0.5</v>
      </c>
      <c r="E131" s="15">
        <v>800</v>
      </c>
      <c r="F131" s="15">
        <v>37</v>
      </c>
      <c r="G131" s="15">
        <v>34</v>
      </c>
      <c r="H131" s="15">
        <v>22</v>
      </c>
      <c r="I131" s="16">
        <f t="shared" si="17"/>
        <v>62</v>
      </c>
      <c r="J131" s="16">
        <f t="shared" si="18"/>
        <v>49600</v>
      </c>
      <c r="M131" s="149">
        <f t="shared" si="19"/>
        <v>0</v>
      </c>
      <c r="N131" s="15">
        <v>625</v>
      </c>
      <c r="O131" s="16">
        <f t="shared" si="21"/>
        <v>38750</v>
      </c>
      <c r="P131" s="15" t="s">
        <v>187</v>
      </c>
      <c r="Q131" s="16">
        <f t="shared" si="22"/>
        <v>10850</v>
      </c>
    </row>
    <row r="132" spans="1:20">
      <c r="A132" s="40">
        <v>42893</v>
      </c>
      <c r="B132" s="15" t="s">
        <v>99</v>
      </c>
      <c r="C132" s="15">
        <v>1</v>
      </c>
      <c r="D132" s="43">
        <v>0.5</v>
      </c>
      <c r="E132" s="15">
        <v>800</v>
      </c>
      <c r="F132" s="15">
        <v>146</v>
      </c>
      <c r="G132" s="15">
        <v>142</v>
      </c>
      <c r="H132" s="15">
        <v>133</v>
      </c>
      <c r="I132" s="16">
        <f t="shared" si="17"/>
        <v>280.66666666666669</v>
      </c>
      <c r="J132" s="16">
        <f t="shared" si="18"/>
        <v>224533.33333333334</v>
      </c>
      <c r="M132" s="149">
        <f t="shared" si="19"/>
        <v>0</v>
      </c>
      <c r="N132" s="15">
        <v>275</v>
      </c>
      <c r="O132" s="16">
        <f t="shared" si="21"/>
        <v>77183.333333333343</v>
      </c>
      <c r="P132" s="15" t="s">
        <v>188</v>
      </c>
      <c r="Q132" s="16">
        <f t="shared" si="22"/>
        <v>147350</v>
      </c>
    </row>
    <row r="133" spans="1:20">
      <c r="A133" s="40">
        <v>42894</v>
      </c>
      <c r="B133" s="15" t="s">
        <v>21</v>
      </c>
      <c r="C133" s="15">
        <v>1</v>
      </c>
      <c r="D133" s="43">
        <v>1</v>
      </c>
      <c r="E133" s="15">
        <v>425</v>
      </c>
      <c r="F133" s="15">
        <v>9</v>
      </c>
      <c r="G133" s="15">
        <v>11</v>
      </c>
      <c r="H133" s="15">
        <v>11</v>
      </c>
      <c r="I133" s="16">
        <f t="shared" si="17"/>
        <v>10.333333333333334</v>
      </c>
      <c r="J133" s="16">
        <f t="shared" si="18"/>
        <v>4391.666666666667</v>
      </c>
      <c r="M133" s="149">
        <f t="shared" si="19"/>
        <v>0</v>
      </c>
      <c r="N133" s="15">
        <v>425</v>
      </c>
      <c r="O133" s="16">
        <f t="shared" si="21"/>
        <v>4391.666666666667</v>
      </c>
      <c r="Q133" s="16">
        <f t="shared" si="22"/>
        <v>0</v>
      </c>
    </row>
    <row r="134" spans="1:20">
      <c r="A134" s="40">
        <v>42894</v>
      </c>
      <c r="B134" s="15" t="s">
        <v>46</v>
      </c>
      <c r="C134" s="15">
        <v>1</v>
      </c>
      <c r="D134" s="43">
        <v>1</v>
      </c>
      <c r="E134" s="15">
        <v>400</v>
      </c>
      <c r="F134" s="15">
        <v>23</v>
      </c>
      <c r="G134" s="15">
        <v>25</v>
      </c>
      <c r="H134" s="15">
        <v>20</v>
      </c>
      <c r="I134" s="16">
        <f t="shared" si="17"/>
        <v>22.666666666666668</v>
      </c>
      <c r="J134" s="16">
        <f t="shared" si="18"/>
        <v>9066.6666666666679</v>
      </c>
      <c r="M134" s="149">
        <f t="shared" si="19"/>
        <v>0</v>
      </c>
      <c r="N134" s="15">
        <v>400</v>
      </c>
      <c r="O134" s="16">
        <f t="shared" si="21"/>
        <v>9066.6666666666679</v>
      </c>
      <c r="Q134" s="16">
        <f t="shared" si="22"/>
        <v>0</v>
      </c>
    </row>
    <row r="135" spans="1:20">
      <c r="A135" s="40">
        <v>42894</v>
      </c>
      <c r="B135" s="15" t="s">
        <v>17</v>
      </c>
      <c r="C135" s="15">
        <v>1</v>
      </c>
      <c r="D135" s="43">
        <v>1</v>
      </c>
      <c r="E135" s="15">
        <v>500</v>
      </c>
      <c r="F135" s="15">
        <v>55</v>
      </c>
      <c r="G135" s="15">
        <v>47</v>
      </c>
      <c r="H135" s="15">
        <v>49</v>
      </c>
      <c r="I135" s="16">
        <f t="shared" si="17"/>
        <v>50.333333333333336</v>
      </c>
      <c r="J135" s="16">
        <f t="shared" si="18"/>
        <v>25166.666666666668</v>
      </c>
      <c r="M135" s="149">
        <f t="shared" si="19"/>
        <v>0</v>
      </c>
      <c r="N135" s="15">
        <v>500</v>
      </c>
      <c r="O135" s="16">
        <f t="shared" si="21"/>
        <v>25166.666666666668</v>
      </c>
      <c r="Q135" s="16">
        <f t="shared" si="22"/>
        <v>0</v>
      </c>
    </row>
    <row r="136" spans="1:20">
      <c r="A136" s="40">
        <v>42896</v>
      </c>
      <c r="B136" s="15" t="s">
        <v>122</v>
      </c>
      <c r="C136" s="15">
        <v>1</v>
      </c>
      <c r="D136" s="43">
        <v>0.5</v>
      </c>
      <c r="E136" s="15">
        <v>800</v>
      </c>
      <c r="F136" s="15">
        <v>135</v>
      </c>
      <c r="G136" s="15">
        <v>168</v>
      </c>
      <c r="H136" s="15">
        <v>160</v>
      </c>
      <c r="I136" s="16">
        <f t="shared" si="17"/>
        <v>308.66666666666669</v>
      </c>
      <c r="J136" s="16">
        <f t="shared" si="18"/>
        <v>246933.33333333334</v>
      </c>
      <c r="L136" s="148">
        <v>50000</v>
      </c>
      <c r="M136" s="149">
        <f t="shared" si="19"/>
        <v>161.98704103671705</v>
      </c>
      <c r="N136" s="15">
        <v>200</v>
      </c>
      <c r="O136" s="16">
        <f t="shared" si="21"/>
        <v>61733.333333333336</v>
      </c>
      <c r="P136" s="15" t="s">
        <v>189</v>
      </c>
      <c r="Q136" s="16">
        <f t="shared" si="22"/>
        <v>185200</v>
      </c>
    </row>
    <row r="137" spans="1:20">
      <c r="A137" s="40">
        <v>42896</v>
      </c>
      <c r="B137" s="15" t="s">
        <v>38</v>
      </c>
      <c r="C137" s="15">
        <v>1</v>
      </c>
      <c r="D137" s="43">
        <v>0.5</v>
      </c>
      <c r="E137" s="15">
        <v>560</v>
      </c>
      <c r="F137" s="15">
        <v>64</v>
      </c>
      <c r="G137" s="15">
        <v>62</v>
      </c>
      <c r="H137" s="15">
        <v>67</v>
      </c>
      <c r="I137" s="16">
        <f t="shared" si="17"/>
        <v>128.66666666666666</v>
      </c>
      <c r="J137" s="16">
        <f t="shared" si="18"/>
        <v>72053.333333333328</v>
      </c>
      <c r="L137" s="148">
        <v>50000</v>
      </c>
      <c r="M137" s="149">
        <f t="shared" si="19"/>
        <v>388.6010362694301</v>
      </c>
      <c r="N137" s="15">
        <v>400</v>
      </c>
      <c r="O137" s="16">
        <f t="shared" si="21"/>
        <v>51466.666666666664</v>
      </c>
      <c r="P137" s="15" t="s">
        <v>190</v>
      </c>
      <c r="Q137" s="16">
        <f t="shared" si="22"/>
        <v>20586.666666666664</v>
      </c>
    </row>
    <row r="138" spans="1:20">
      <c r="A138" s="40">
        <v>42896</v>
      </c>
      <c r="B138" s="15" t="s">
        <v>17</v>
      </c>
      <c r="C138" s="15">
        <v>1</v>
      </c>
      <c r="D138" s="43">
        <v>0.5</v>
      </c>
      <c r="E138" s="15">
        <v>320</v>
      </c>
      <c r="F138" s="15">
        <v>0</v>
      </c>
      <c r="G138" s="15">
        <v>4</v>
      </c>
      <c r="H138" s="15">
        <v>2</v>
      </c>
      <c r="I138" s="16">
        <f t="shared" ref="I138:I189" si="23">AVERAGE(F138:H138)/D138</f>
        <v>4</v>
      </c>
      <c r="J138" s="16">
        <f t="shared" ref="J138:J140" si="24">I138*E138</f>
        <v>1280</v>
      </c>
      <c r="M138" s="149">
        <f t="shared" si="19"/>
        <v>0</v>
      </c>
      <c r="O138" s="16">
        <f t="shared" si="21"/>
        <v>0</v>
      </c>
      <c r="P138" s="15" t="s">
        <v>191</v>
      </c>
      <c r="Q138" s="16">
        <f t="shared" si="22"/>
        <v>1280</v>
      </c>
      <c r="T138" s="17" t="s">
        <v>196</v>
      </c>
    </row>
    <row r="139" spans="1:20">
      <c r="A139" s="40">
        <v>42896</v>
      </c>
      <c r="B139" s="15" t="s">
        <v>46</v>
      </c>
      <c r="C139" s="15">
        <v>1</v>
      </c>
      <c r="D139" s="43">
        <v>0.5</v>
      </c>
      <c r="E139" s="15">
        <v>300</v>
      </c>
      <c r="F139" s="15">
        <v>6</v>
      </c>
      <c r="G139" s="15">
        <v>3</v>
      </c>
      <c r="H139" s="15">
        <v>5</v>
      </c>
      <c r="I139" s="16">
        <f t="shared" si="23"/>
        <v>9.3333333333333339</v>
      </c>
      <c r="J139" s="16">
        <f t="shared" si="24"/>
        <v>2800</v>
      </c>
      <c r="M139" s="149">
        <f t="shared" si="19"/>
        <v>0</v>
      </c>
      <c r="O139" s="16">
        <f t="shared" si="21"/>
        <v>0</v>
      </c>
      <c r="P139" s="15" t="s">
        <v>192</v>
      </c>
      <c r="Q139" s="16">
        <f t="shared" si="22"/>
        <v>2800</v>
      </c>
      <c r="T139" s="17" t="s">
        <v>197</v>
      </c>
    </row>
    <row r="140" spans="1:20">
      <c r="A140" s="40">
        <v>42896</v>
      </c>
      <c r="B140" s="15" t="s">
        <v>110</v>
      </c>
      <c r="C140" s="15">
        <v>1</v>
      </c>
      <c r="D140" s="43">
        <v>0.5</v>
      </c>
      <c r="E140" s="15">
        <v>825</v>
      </c>
      <c r="F140" s="15">
        <v>100</v>
      </c>
      <c r="G140" s="15">
        <v>84</v>
      </c>
      <c r="H140" s="15">
        <v>87</v>
      </c>
      <c r="I140" s="16">
        <f t="shared" si="23"/>
        <v>180.66666666666666</v>
      </c>
      <c r="J140" s="16">
        <f t="shared" si="24"/>
        <v>149050</v>
      </c>
      <c r="L140" s="148">
        <v>50000</v>
      </c>
      <c r="M140" s="149">
        <f t="shared" si="19"/>
        <v>276.7527675276753</v>
      </c>
      <c r="N140" s="15">
        <v>300</v>
      </c>
      <c r="O140" s="16">
        <f t="shared" si="21"/>
        <v>54200</v>
      </c>
      <c r="P140" s="15" t="s">
        <v>193</v>
      </c>
      <c r="Q140" s="16">
        <f t="shared" si="22"/>
        <v>94850</v>
      </c>
    </row>
    <row r="141" spans="1:20">
      <c r="A141" s="40">
        <v>42898</v>
      </c>
      <c r="B141" s="15" t="s">
        <v>120</v>
      </c>
      <c r="C141" s="15" t="s">
        <v>195</v>
      </c>
      <c r="D141" s="43">
        <v>0.5</v>
      </c>
      <c r="E141" s="15">
        <v>800</v>
      </c>
      <c r="F141" s="15">
        <v>70</v>
      </c>
      <c r="G141" s="15">
        <v>75</v>
      </c>
      <c r="H141" s="15">
        <v>52</v>
      </c>
      <c r="I141" s="16">
        <f t="shared" si="23"/>
        <v>131.33333333333334</v>
      </c>
      <c r="J141" s="16">
        <f t="shared" ref="J141:J204" si="25">I141*E141</f>
        <v>105066.66666666667</v>
      </c>
      <c r="M141" s="149">
        <f t="shared" si="19"/>
        <v>0</v>
      </c>
      <c r="N141" s="15">
        <v>500</v>
      </c>
      <c r="O141" s="16">
        <f t="shared" si="21"/>
        <v>65666.666666666672</v>
      </c>
      <c r="P141" s="15" t="s">
        <v>198</v>
      </c>
      <c r="Q141" s="16">
        <f t="shared" si="22"/>
        <v>39400</v>
      </c>
    </row>
    <row r="142" spans="1:20">
      <c r="A142" s="40">
        <v>42898</v>
      </c>
      <c r="B142" s="15" t="s">
        <v>110</v>
      </c>
      <c r="C142" s="15" t="s">
        <v>195</v>
      </c>
      <c r="D142" s="43">
        <v>0.5</v>
      </c>
      <c r="E142" s="15">
        <v>825</v>
      </c>
      <c r="F142" s="15">
        <v>121</v>
      </c>
      <c r="G142" s="15">
        <v>94</v>
      </c>
      <c r="H142" s="15">
        <v>105</v>
      </c>
      <c r="I142" s="16">
        <f t="shared" si="23"/>
        <v>213.33333333333334</v>
      </c>
      <c r="J142" s="16">
        <f t="shared" si="25"/>
        <v>176000</v>
      </c>
      <c r="M142" s="149">
        <f t="shared" si="19"/>
        <v>0</v>
      </c>
      <c r="N142" s="15">
        <v>250</v>
      </c>
      <c r="O142" s="16">
        <f t="shared" si="21"/>
        <v>53333.333333333336</v>
      </c>
      <c r="P142" s="15" t="s">
        <v>199</v>
      </c>
      <c r="Q142" s="16">
        <f t="shared" si="22"/>
        <v>122666.66666666666</v>
      </c>
    </row>
    <row r="143" spans="1:20">
      <c r="A143" s="40">
        <v>42898</v>
      </c>
      <c r="B143" s="15" t="s">
        <v>38</v>
      </c>
      <c r="C143" s="15" t="s">
        <v>195</v>
      </c>
      <c r="D143" s="43">
        <v>0.5</v>
      </c>
      <c r="E143" s="15">
        <v>350</v>
      </c>
      <c r="F143" s="15">
        <v>3</v>
      </c>
      <c r="G143" s="15">
        <v>8</v>
      </c>
      <c r="H143" s="15">
        <v>7</v>
      </c>
      <c r="I143" s="16">
        <f t="shared" si="23"/>
        <v>12</v>
      </c>
      <c r="J143" s="16">
        <f t="shared" si="25"/>
        <v>4200</v>
      </c>
      <c r="M143" s="149">
        <f t="shared" si="19"/>
        <v>0</v>
      </c>
      <c r="N143" s="15">
        <v>350</v>
      </c>
      <c r="O143" s="16">
        <f t="shared" si="21"/>
        <v>4200</v>
      </c>
      <c r="Q143" s="16">
        <f t="shared" si="22"/>
        <v>0</v>
      </c>
    </row>
    <row r="144" spans="1:20">
      <c r="A144" s="40">
        <v>42898</v>
      </c>
      <c r="B144" s="15" t="s">
        <v>48</v>
      </c>
      <c r="C144" s="15" t="s">
        <v>195</v>
      </c>
      <c r="D144" s="43">
        <v>0.5</v>
      </c>
      <c r="E144" s="15">
        <v>175</v>
      </c>
      <c r="F144" s="15">
        <v>3</v>
      </c>
      <c r="G144" s="15">
        <v>4</v>
      </c>
      <c r="H144" s="15">
        <v>5</v>
      </c>
      <c r="I144" s="16">
        <f t="shared" si="23"/>
        <v>8</v>
      </c>
      <c r="J144" s="16">
        <f t="shared" si="25"/>
        <v>1400</v>
      </c>
      <c r="M144" s="149">
        <f t="shared" ref="M144:M189" si="26">L144/I144</f>
        <v>0</v>
      </c>
      <c r="N144" s="15">
        <v>175</v>
      </c>
      <c r="O144" s="16">
        <f t="shared" si="21"/>
        <v>1400</v>
      </c>
      <c r="Q144" s="16">
        <f t="shared" si="22"/>
        <v>0</v>
      </c>
    </row>
    <row r="145" spans="1:20">
      <c r="A145" s="40">
        <v>42898</v>
      </c>
      <c r="B145" s="15" t="s">
        <v>122</v>
      </c>
      <c r="C145" s="15" t="s">
        <v>195</v>
      </c>
      <c r="D145" s="43">
        <v>0.5</v>
      </c>
      <c r="E145" s="15">
        <v>300</v>
      </c>
      <c r="F145" s="15">
        <v>19</v>
      </c>
      <c r="G145" s="15">
        <v>10</v>
      </c>
      <c r="H145" s="15">
        <v>18</v>
      </c>
      <c r="I145" s="16">
        <f t="shared" si="23"/>
        <v>31.333333333333332</v>
      </c>
      <c r="J145" s="16">
        <f t="shared" si="25"/>
        <v>9400</v>
      </c>
      <c r="M145" s="149">
        <f t="shared" si="26"/>
        <v>0</v>
      </c>
      <c r="N145" s="15">
        <v>300</v>
      </c>
      <c r="O145" s="16">
        <f t="shared" si="21"/>
        <v>9400</v>
      </c>
      <c r="Q145" s="16">
        <f t="shared" si="22"/>
        <v>0</v>
      </c>
    </row>
    <row r="146" spans="1:20">
      <c r="A146" s="40">
        <v>42900</v>
      </c>
      <c r="B146" s="15" t="s">
        <v>48</v>
      </c>
      <c r="C146" s="15">
        <v>1</v>
      </c>
      <c r="D146" s="43">
        <v>0.25</v>
      </c>
      <c r="E146" s="15">
        <v>900</v>
      </c>
      <c r="F146" s="15">
        <v>225</v>
      </c>
      <c r="G146" s="15">
        <v>210</v>
      </c>
      <c r="H146" s="15">
        <v>239</v>
      </c>
      <c r="I146" s="16">
        <f t="shared" si="23"/>
        <v>898.66666666666663</v>
      </c>
      <c r="J146" s="16">
        <f t="shared" si="25"/>
        <v>808800</v>
      </c>
      <c r="M146" s="149">
        <f t="shared" si="26"/>
        <v>0</v>
      </c>
      <c r="N146" s="15">
        <v>150</v>
      </c>
      <c r="O146" s="16">
        <f>N146*I146</f>
        <v>134800</v>
      </c>
      <c r="P146" s="15" t="s">
        <v>200</v>
      </c>
      <c r="Q146" s="16">
        <f t="shared" si="22"/>
        <v>674000</v>
      </c>
    </row>
    <row r="147" spans="1:20">
      <c r="A147" s="40">
        <v>42900</v>
      </c>
      <c r="B147" s="15" t="s">
        <v>34</v>
      </c>
      <c r="C147" s="15">
        <v>1</v>
      </c>
      <c r="D147" s="43">
        <v>0.5</v>
      </c>
      <c r="E147" s="15">
        <v>830</v>
      </c>
      <c r="F147" s="15">
        <v>213</v>
      </c>
      <c r="G147" s="15">
        <v>227</v>
      </c>
      <c r="H147" s="15">
        <v>242</v>
      </c>
      <c r="I147" s="16">
        <f t="shared" si="23"/>
        <v>454.66666666666669</v>
      </c>
      <c r="J147" s="16">
        <f t="shared" si="25"/>
        <v>377373.33333333337</v>
      </c>
      <c r="M147" s="149">
        <f t="shared" si="26"/>
        <v>0</v>
      </c>
      <c r="N147" s="15">
        <v>175</v>
      </c>
      <c r="O147" s="16">
        <f t="shared" ref="O147:O210" si="27">N147*I147</f>
        <v>79566.666666666672</v>
      </c>
      <c r="P147" s="15" t="s">
        <v>201</v>
      </c>
      <c r="Q147" s="16">
        <f t="shared" si="22"/>
        <v>297806.66666666669</v>
      </c>
    </row>
    <row r="148" spans="1:20">
      <c r="A148" s="40">
        <v>42900</v>
      </c>
      <c r="B148" s="15" t="s">
        <v>31</v>
      </c>
      <c r="C148" s="15">
        <v>1</v>
      </c>
      <c r="D148" s="43">
        <v>0.5</v>
      </c>
      <c r="E148" s="15">
        <v>800</v>
      </c>
      <c r="F148" s="15">
        <v>78</v>
      </c>
      <c r="G148" s="15">
        <v>69</v>
      </c>
      <c r="H148" s="15">
        <v>70</v>
      </c>
      <c r="I148" s="16">
        <f t="shared" si="23"/>
        <v>144.66666666666666</v>
      </c>
      <c r="J148" s="16">
        <f t="shared" si="25"/>
        <v>115733.33333333333</v>
      </c>
      <c r="M148" s="149">
        <f t="shared" si="26"/>
        <v>0</v>
      </c>
      <c r="N148" s="15">
        <v>400</v>
      </c>
      <c r="O148" s="16">
        <f t="shared" si="27"/>
        <v>57866.666666666664</v>
      </c>
      <c r="P148" s="15" t="s">
        <v>202</v>
      </c>
      <c r="Q148" s="16">
        <f t="shared" si="22"/>
        <v>57866.666666666664</v>
      </c>
    </row>
    <row r="149" spans="1:20">
      <c r="A149" s="40">
        <v>42900</v>
      </c>
      <c r="B149" s="15" t="s">
        <v>23</v>
      </c>
      <c r="C149" s="15">
        <v>1</v>
      </c>
      <c r="D149" s="43">
        <v>0.5</v>
      </c>
      <c r="E149" s="15">
        <v>525</v>
      </c>
      <c r="F149" s="15">
        <v>63</v>
      </c>
      <c r="G149" s="15">
        <v>58</v>
      </c>
      <c r="H149" s="15">
        <v>74</v>
      </c>
      <c r="I149" s="16">
        <f>AVERAGE(F149:H149)/D149</f>
        <v>130</v>
      </c>
      <c r="J149" s="16">
        <f t="shared" si="25"/>
        <v>68250</v>
      </c>
      <c r="M149" s="149">
        <f t="shared" si="26"/>
        <v>0</v>
      </c>
      <c r="N149" s="15">
        <v>300</v>
      </c>
      <c r="O149" s="16">
        <f t="shared" si="27"/>
        <v>39000</v>
      </c>
      <c r="P149" s="15" t="s">
        <v>203</v>
      </c>
      <c r="Q149" s="16">
        <f t="shared" si="22"/>
        <v>29250</v>
      </c>
    </row>
    <row r="150" spans="1:20">
      <c r="A150" s="40">
        <v>42901</v>
      </c>
      <c r="B150" s="15" t="s">
        <v>31</v>
      </c>
      <c r="C150" s="15">
        <v>9</v>
      </c>
      <c r="D150" s="43">
        <v>0.5</v>
      </c>
      <c r="E150" s="15">
        <v>800</v>
      </c>
      <c r="F150" s="15">
        <v>36</v>
      </c>
      <c r="G150" s="15">
        <v>37</v>
      </c>
      <c r="H150" s="15">
        <v>36</v>
      </c>
      <c r="I150" s="16">
        <f t="shared" si="23"/>
        <v>72.666666666666671</v>
      </c>
      <c r="J150" s="16">
        <f t="shared" si="25"/>
        <v>58133.333333333336</v>
      </c>
      <c r="M150" s="149">
        <f t="shared" si="26"/>
        <v>0</v>
      </c>
      <c r="N150" s="15">
        <v>650</v>
      </c>
      <c r="O150" s="16">
        <f t="shared" si="27"/>
        <v>47233.333333333336</v>
      </c>
      <c r="P150" s="15" t="s">
        <v>205</v>
      </c>
      <c r="Q150" s="16">
        <f t="shared" si="22"/>
        <v>10900</v>
      </c>
    </row>
    <row r="151" spans="1:20">
      <c r="A151" s="40">
        <v>42901</v>
      </c>
      <c r="B151" s="15" t="s">
        <v>23</v>
      </c>
      <c r="C151" s="15">
        <v>9</v>
      </c>
      <c r="D151" s="43">
        <v>0.5</v>
      </c>
      <c r="E151" s="15">
        <v>800</v>
      </c>
      <c r="F151" s="15">
        <v>37</v>
      </c>
      <c r="G151" s="15">
        <v>48</v>
      </c>
      <c r="H151" s="15">
        <v>61</v>
      </c>
      <c r="I151" s="16">
        <f t="shared" si="23"/>
        <v>97.333333333333329</v>
      </c>
      <c r="J151" s="16">
        <f t="shared" si="25"/>
        <v>77866.666666666657</v>
      </c>
      <c r="M151" s="149">
        <f t="shared" si="26"/>
        <v>0</v>
      </c>
      <c r="N151" s="15">
        <v>500</v>
      </c>
      <c r="O151" s="16">
        <f t="shared" si="27"/>
        <v>48666.666666666664</v>
      </c>
      <c r="P151" s="15" t="s">
        <v>206</v>
      </c>
      <c r="Q151" s="16">
        <f t="shared" si="22"/>
        <v>29199.999999999993</v>
      </c>
    </row>
    <row r="152" spans="1:20">
      <c r="A152" s="40">
        <v>42901</v>
      </c>
      <c r="B152" s="15" t="s">
        <v>34</v>
      </c>
      <c r="C152" s="15">
        <v>9</v>
      </c>
      <c r="D152" s="43">
        <v>0.5</v>
      </c>
      <c r="E152" s="15">
        <v>800</v>
      </c>
      <c r="F152" s="15">
        <v>79</v>
      </c>
      <c r="G152" s="15">
        <v>81</v>
      </c>
      <c r="H152" s="15">
        <v>80</v>
      </c>
      <c r="I152" s="16">
        <f t="shared" si="23"/>
        <v>160</v>
      </c>
      <c r="J152" s="16">
        <f t="shared" si="25"/>
        <v>128000</v>
      </c>
      <c r="M152" s="149">
        <f t="shared" si="26"/>
        <v>0</v>
      </c>
      <c r="N152" s="15">
        <v>300</v>
      </c>
      <c r="O152" s="16">
        <f t="shared" si="27"/>
        <v>48000</v>
      </c>
      <c r="P152" s="15" t="s">
        <v>207</v>
      </c>
      <c r="Q152" s="16">
        <f t="shared" si="22"/>
        <v>80000</v>
      </c>
    </row>
    <row r="153" spans="1:20">
      <c r="A153" s="40">
        <v>42901</v>
      </c>
      <c r="B153" s="15" t="s">
        <v>48</v>
      </c>
      <c r="C153" s="15">
        <v>9</v>
      </c>
      <c r="D153" s="43">
        <v>0.5</v>
      </c>
      <c r="E153" s="15">
        <v>800</v>
      </c>
      <c r="F153" s="15">
        <v>88</v>
      </c>
      <c r="G153" s="15">
        <v>69</v>
      </c>
      <c r="H153" s="15">
        <v>70</v>
      </c>
      <c r="I153" s="16">
        <f t="shared" si="23"/>
        <v>151.33333333333334</v>
      </c>
      <c r="J153" s="16">
        <f t="shared" si="25"/>
        <v>121066.66666666667</v>
      </c>
      <c r="M153" s="149">
        <f t="shared" si="26"/>
        <v>0</v>
      </c>
      <c r="N153" s="15">
        <v>300</v>
      </c>
      <c r="O153" s="16">
        <f t="shared" si="27"/>
        <v>45400</v>
      </c>
      <c r="P153" s="15" t="s">
        <v>208</v>
      </c>
      <c r="Q153" s="16">
        <f t="shared" si="22"/>
        <v>75666.666666666672</v>
      </c>
    </row>
    <row r="154" spans="1:20">
      <c r="A154" s="40">
        <v>42901</v>
      </c>
      <c r="B154" s="15" t="s">
        <v>36</v>
      </c>
      <c r="C154" s="15">
        <v>9</v>
      </c>
      <c r="D154" s="43">
        <v>0.5</v>
      </c>
      <c r="E154" s="15">
        <v>800</v>
      </c>
      <c r="F154" s="15">
        <v>147</v>
      </c>
      <c r="G154" s="15">
        <v>154</v>
      </c>
      <c r="H154" s="15">
        <v>140</v>
      </c>
      <c r="I154" s="16">
        <f t="shared" si="23"/>
        <v>294</v>
      </c>
      <c r="J154" s="16">
        <f t="shared" si="25"/>
        <v>235200</v>
      </c>
      <c r="M154" s="149">
        <f t="shared" si="26"/>
        <v>0</v>
      </c>
      <c r="N154" s="15">
        <v>200</v>
      </c>
      <c r="O154" s="16">
        <f t="shared" si="27"/>
        <v>58800</v>
      </c>
      <c r="P154" s="15" t="s">
        <v>209</v>
      </c>
      <c r="Q154" s="16">
        <f t="shared" si="22"/>
        <v>176400</v>
      </c>
    </row>
    <row r="155" spans="1:20">
      <c r="A155" s="40">
        <v>42901</v>
      </c>
      <c r="B155" s="15" t="s">
        <v>49</v>
      </c>
      <c r="C155" s="15">
        <v>9</v>
      </c>
      <c r="D155" s="43">
        <v>2</v>
      </c>
      <c r="E155" s="15">
        <v>500</v>
      </c>
      <c r="F155" s="15">
        <v>0</v>
      </c>
      <c r="G155" s="15">
        <v>0</v>
      </c>
      <c r="H155" s="15">
        <v>0</v>
      </c>
      <c r="I155" s="16">
        <f t="shared" si="23"/>
        <v>0</v>
      </c>
      <c r="J155" s="16">
        <f t="shared" si="25"/>
        <v>0</v>
      </c>
      <c r="M155" s="149" t="e">
        <f t="shared" si="26"/>
        <v>#DIV/0!</v>
      </c>
      <c r="N155" s="15">
        <v>500</v>
      </c>
      <c r="O155" s="16">
        <f t="shared" si="27"/>
        <v>0</v>
      </c>
      <c r="Q155" s="16">
        <f t="shared" si="22"/>
        <v>0</v>
      </c>
      <c r="T155" s="17" t="s">
        <v>204</v>
      </c>
    </row>
    <row r="156" spans="1:20">
      <c r="A156" s="40">
        <v>42901</v>
      </c>
      <c r="B156" s="15" t="s">
        <v>21</v>
      </c>
      <c r="C156" s="15">
        <v>9</v>
      </c>
      <c r="D156" s="43">
        <v>1</v>
      </c>
      <c r="E156" s="15">
        <v>290</v>
      </c>
      <c r="F156" s="15">
        <v>1</v>
      </c>
      <c r="G156" s="15">
        <v>2</v>
      </c>
      <c r="H156" s="15">
        <v>2</v>
      </c>
      <c r="I156" s="16">
        <f t="shared" si="23"/>
        <v>1.6666666666666667</v>
      </c>
      <c r="J156" s="16">
        <f t="shared" si="25"/>
        <v>483.33333333333337</v>
      </c>
      <c r="M156" s="149">
        <f t="shared" si="26"/>
        <v>0</v>
      </c>
      <c r="N156" s="15">
        <v>290</v>
      </c>
      <c r="O156" s="16">
        <f t="shared" si="27"/>
        <v>483.33333333333337</v>
      </c>
      <c r="Q156" s="16">
        <f t="shared" si="22"/>
        <v>0</v>
      </c>
    </row>
    <row r="157" spans="1:20">
      <c r="A157" s="40">
        <v>42901</v>
      </c>
      <c r="B157" s="15" t="s">
        <v>17</v>
      </c>
      <c r="C157" s="15">
        <v>9</v>
      </c>
      <c r="D157" s="43">
        <v>1</v>
      </c>
      <c r="E157" s="15">
        <v>500</v>
      </c>
      <c r="F157" s="15">
        <v>33</v>
      </c>
      <c r="G157" s="15">
        <v>35</v>
      </c>
      <c r="H157" s="15">
        <v>41</v>
      </c>
      <c r="I157" s="16">
        <f t="shared" si="23"/>
        <v>36.333333333333336</v>
      </c>
      <c r="J157" s="16">
        <f t="shared" si="25"/>
        <v>18166.666666666668</v>
      </c>
      <c r="M157" s="149">
        <f t="shared" si="26"/>
        <v>0</v>
      </c>
      <c r="N157" s="15">
        <v>500</v>
      </c>
      <c r="O157" s="16">
        <f t="shared" si="27"/>
        <v>18166.666666666668</v>
      </c>
      <c r="Q157" s="16">
        <f t="shared" si="22"/>
        <v>0</v>
      </c>
    </row>
    <row r="158" spans="1:20">
      <c r="A158" s="40">
        <v>42903</v>
      </c>
      <c r="B158" s="15" t="s">
        <v>23</v>
      </c>
      <c r="C158" s="15">
        <v>1</v>
      </c>
      <c r="D158" s="43">
        <v>0.5</v>
      </c>
      <c r="E158" s="15">
        <v>250</v>
      </c>
      <c r="F158" s="15">
        <v>4</v>
      </c>
      <c r="G158" s="15">
        <v>3</v>
      </c>
      <c r="H158" s="15">
        <v>0</v>
      </c>
      <c r="I158" s="16">
        <f t="shared" si="23"/>
        <v>4.666666666666667</v>
      </c>
      <c r="J158" s="16">
        <f t="shared" si="25"/>
        <v>1166.6666666666667</v>
      </c>
      <c r="M158" s="149">
        <f t="shared" si="26"/>
        <v>0</v>
      </c>
      <c r="N158" s="15">
        <v>250</v>
      </c>
      <c r="O158" s="16">
        <f t="shared" si="27"/>
        <v>1166.6666666666667</v>
      </c>
      <c r="Q158" s="16">
        <f t="shared" si="22"/>
        <v>0</v>
      </c>
    </row>
    <row r="159" spans="1:20">
      <c r="A159" s="40">
        <v>42903</v>
      </c>
      <c r="B159" s="15" t="s">
        <v>31</v>
      </c>
      <c r="C159" s="15">
        <v>1</v>
      </c>
      <c r="D159" s="43">
        <v>0.5</v>
      </c>
      <c r="E159" s="15">
        <v>250</v>
      </c>
      <c r="F159" s="15">
        <v>1</v>
      </c>
      <c r="G159" s="15">
        <v>1</v>
      </c>
      <c r="H159" s="15">
        <v>2</v>
      </c>
      <c r="I159" s="16">
        <f t="shared" si="23"/>
        <v>2.6666666666666665</v>
      </c>
      <c r="J159" s="16">
        <f t="shared" si="25"/>
        <v>666.66666666666663</v>
      </c>
      <c r="M159" s="149">
        <f t="shared" si="26"/>
        <v>0</v>
      </c>
      <c r="N159" s="15">
        <v>250</v>
      </c>
      <c r="O159" s="16">
        <f t="shared" si="27"/>
        <v>666.66666666666663</v>
      </c>
      <c r="Q159" s="16">
        <f t="shared" si="22"/>
        <v>0</v>
      </c>
    </row>
    <row r="160" spans="1:20">
      <c r="A160" s="40">
        <v>42903</v>
      </c>
      <c r="B160" s="15" t="s">
        <v>51</v>
      </c>
      <c r="C160" s="15">
        <v>1</v>
      </c>
      <c r="D160" s="43">
        <v>0.25</v>
      </c>
      <c r="E160" s="15">
        <v>800</v>
      </c>
      <c r="F160" s="15">
        <v>61</v>
      </c>
      <c r="G160" s="15">
        <v>41</v>
      </c>
      <c r="H160" s="15">
        <v>43</v>
      </c>
      <c r="I160" s="16">
        <f t="shared" si="23"/>
        <v>193.33333333333334</v>
      </c>
      <c r="J160" s="16">
        <f t="shared" si="25"/>
        <v>154666.66666666669</v>
      </c>
      <c r="L160" s="148">
        <v>50000</v>
      </c>
      <c r="M160" s="149">
        <f t="shared" si="26"/>
        <v>258.62068965517238</v>
      </c>
      <c r="N160" s="15">
        <v>300</v>
      </c>
      <c r="O160" s="16">
        <f t="shared" si="27"/>
        <v>58000</v>
      </c>
      <c r="P160" s="15" t="s">
        <v>231</v>
      </c>
      <c r="Q160" s="16">
        <f t="shared" si="22"/>
        <v>96666.666666666686</v>
      </c>
    </row>
    <row r="161" spans="1:17">
      <c r="A161" s="40">
        <v>42903</v>
      </c>
      <c r="B161" s="15" t="s">
        <v>34</v>
      </c>
      <c r="C161" s="15">
        <v>1</v>
      </c>
      <c r="D161" s="43">
        <v>0.5</v>
      </c>
      <c r="E161" s="15">
        <v>350</v>
      </c>
      <c r="F161" s="15">
        <v>3</v>
      </c>
      <c r="G161" s="15">
        <v>2</v>
      </c>
      <c r="H161" s="15">
        <v>3</v>
      </c>
      <c r="I161" s="16">
        <f t="shared" si="23"/>
        <v>5.333333333333333</v>
      </c>
      <c r="J161" s="16">
        <f t="shared" si="25"/>
        <v>1866.6666666666665</v>
      </c>
      <c r="M161" s="149">
        <f t="shared" si="26"/>
        <v>0</v>
      </c>
      <c r="N161" s="15">
        <v>350</v>
      </c>
      <c r="O161" s="16">
        <f t="shared" si="27"/>
        <v>1866.6666666666665</v>
      </c>
      <c r="Q161" s="16">
        <f t="shared" si="22"/>
        <v>0</v>
      </c>
    </row>
    <row r="162" spans="1:17">
      <c r="A162" s="40">
        <v>42903</v>
      </c>
      <c r="B162" s="15" t="s">
        <v>48</v>
      </c>
      <c r="C162" s="15">
        <v>1</v>
      </c>
      <c r="D162" s="43">
        <v>0.5</v>
      </c>
      <c r="E162" s="15">
        <v>250</v>
      </c>
      <c r="F162" s="15">
        <v>4</v>
      </c>
      <c r="G162" s="15">
        <v>5</v>
      </c>
      <c r="H162" s="15">
        <v>2</v>
      </c>
      <c r="I162" s="16">
        <f t="shared" si="23"/>
        <v>7.333333333333333</v>
      </c>
      <c r="J162" s="16">
        <f t="shared" si="25"/>
        <v>1833.3333333333333</v>
      </c>
      <c r="M162" s="149">
        <f t="shared" si="26"/>
        <v>0</v>
      </c>
      <c r="N162" s="15">
        <v>250</v>
      </c>
      <c r="O162" s="16">
        <f t="shared" si="27"/>
        <v>1833.3333333333333</v>
      </c>
      <c r="Q162" s="16">
        <f t="shared" si="22"/>
        <v>0</v>
      </c>
    </row>
    <row r="163" spans="1:17">
      <c r="A163" s="40">
        <v>42903</v>
      </c>
      <c r="B163" s="15" t="s">
        <v>36</v>
      </c>
      <c r="C163" s="15">
        <v>1</v>
      </c>
      <c r="D163" s="43">
        <v>0.5</v>
      </c>
      <c r="E163" s="15">
        <v>800</v>
      </c>
      <c r="F163" s="15">
        <v>83</v>
      </c>
      <c r="G163" s="15">
        <v>68</v>
      </c>
      <c r="H163" s="15">
        <v>45</v>
      </c>
      <c r="I163" s="16">
        <f t="shared" si="23"/>
        <v>130.66666666666666</v>
      </c>
      <c r="J163" s="16">
        <f t="shared" si="25"/>
        <v>104533.33333333333</v>
      </c>
      <c r="L163" s="148">
        <v>50000</v>
      </c>
      <c r="M163" s="149">
        <f t="shared" si="26"/>
        <v>382.65306122448982</v>
      </c>
      <c r="N163" s="15">
        <v>500</v>
      </c>
      <c r="O163" s="16">
        <f t="shared" si="27"/>
        <v>65333.333333333328</v>
      </c>
      <c r="P163" s="15" t="s">
        <v>232</v>
      </c>
      <c r="Q163" s="16">
        <f t="shared" si="22"/>
        <v>39200</v>
      </c>
    </row>
    <row r="164" spans="1:17">
      <c r="A164" s="40">
        <v>42903</v>
      </c>
      <c r="B164" s="15" t="s">
        <v>21</v>
      </c>
      <c r="C164" s="15">
        <v>1</v>
      </c>
      <c r="D164" s="43">
        <v>0.25</v>
      </c>
      <c r="E164" s="15">
        <v>800</v>
      </c>
      <c r="F164" s="15">
        <v>110</v>
      </c>
      <c r="G164" s="15">
        <v>111</v>
      </c>
      <c r="H164" s="15">
        <v>113</v>
      </c>
      <c r="I164" s="16">
        <f t="shared" si="23"/>
        <v>445.33333333333331</v>
      </c>
      <c r="J164" s="16">
        <f t="shared" si="25"/>
        <v>356266.66666666663</v>
      </c>
      <c r="L164" s="148">
        <v>100000</v>
      </c>
      <c r="M164" s="149">
        <f t="shared" si="26"/>
        <v>224.55089820359282</v>
      </c>
      <c r="N164" s="15">
        <v>250</v>
      </c>
      <c r="O164" s="16">
        <f t="shared" si="27"/>
        <v>111333.33333333333</v>
      </c>
      <c r="P164" s="15" t="s">
        <v>233</v>
      </c>
      <c r="Q164" s="16">
        <f t="shared" si="22"/>
        <v>244933.33333333331</v>
      </c>
    </row>
    <row r="165" spans="1:17">
      <c r="A165" s="40">
        <v>42903</v>
      </c>
      <c r="B165" s="15" t="s">
        <v>110</v>
      </c>
      <c r="C165" s="15">
        <v>1</v>
      </c>
      <c r="D165" s="43">
        <v>0.5</v>
      </c>
      <c r="E165" s="15">
        <v>800</v>
      </c>
      <c r="F165" s="15">
        <v>31</v>
      </c>
      <c r="G165" s="15">
        <v>25</v>
      </c>
      <c r="H165" s="15">
        <v>33</v>
      </c>
      <c r="I165" s="16">
        <f t="shared" si="23"/>
        <v>59.333333333333336</v>
      </c>
      <c r="J165" s="16">
        <f t="shared" si="25"/>
        <v>47466.666666666672</v>
      </c>
      <c r="L165" s="148">
        <v>30000</v>
      </c>
      <c r="M165" s="149">
        <f t="shared" si="26"/>
        <v>505.61797752808985</v>
      </c>
      <c r="N165" s="15">
        <v>525</v>
      </c>
      <c r="O165" s="16">
        <f t="shared" si="27"/>
        <v>31150</v>
      </c>
      <c r="P165" s="15" t="s">
        <v>234</v>
      </c>
      <c r="Q165" s="16">
        <f t="shared" si="22"/>
        <v>16316.666666666672</v>
      </c>
    </row>
    <row r="166" spans="1:17">
      <c r="A166" s="40">
        <v>42903</v>
      </c>
      <c r="B166" s="15" t="s">
        <v>17</v>
      </c>
      <c r="C166" s="15">
        <v>2</v>
      </c>
      <c r="D166" s="43">
        <v>0.5</v>
      </c>
      <c r="E166" s="15">
        <v>300</v>
      </c>
      <c r="F166" s="15">
        <v>23</v>
      </c>
      <c r="G166" s="15">
        <v>22</v>
      </c>
      <c r="H166" s="15">
        <v>19</v>
      </c>
      <c r="I166" s="16">
        <f t="shared" si="23"/>
        <v>42.666666666666664</v>
      </c>
      <c r="J166" s="16">
        <f t="shared" si="25"/>
        <v>12800</v>
      </c>
      <c r="M166" s="149">
        <f t="shared" si="26"/>
        <v>0</v>
      </c>
      <c r="N166" s="15">
        <v>300</v>
      </c>
      <c r="O166" s="16">
        <f t="shared" si="27"/>
        <v>12800</v>
      </c>
      <c r="Q166" s="16">
        <f t="shared" si="22"/>
        <v>0</v>
      </c>
    </row>
    <row r="167" spans="1:17">
      <c r="A167" s="40">
        <v>42905</v>
      </c>
      <c r="B167" s="15" t="s">
        <v>21</v>
      </c>
      <c r="C167" s="15">
        <v>9</v>
      </c>
      <c r="D167" s="43">
        <v>0.5</v>
      </c>
      <c r="E167" s="15">
        <v>825</v>
      </c>
      <c r="F167" s="15">
        <v>81</v>
      </c>
      <c r="G167" s="15">
        <v>105</v>
      </c>
      <c r="H167" s="15">
        <v>114</v>
      </c>
      <c r="I167" s="16">
        <f t="shared" si="23"/>
        <v>200</v>
      </c>
      <c r="J167" s="16">
        <f t="shared" si="25"/>
        <v>165000</v>
      </c>
      <c r="L167" s="148">
        <v>50000</v>
      </c>
      <c r="M167" s="149">
        <f t="shared" si="26"/>
        <v>250</v>
      </c>
      <c r="N167" s="15">
        <v>250</v>
      </c>
      <c r="O167" s="16">
        <f t="shared" si="27"/>
        <v>50000</v>
      </c>
      <c r="P167" s="15" t="s">
        <v>247</v>
      </c>
      <c r="Q167" s="16">
        <f t="shared" si="22"/>
        <v>115000</v>
      </c>
    </row>
    <row r="168" spans="1:17">
      <c r="A168" s="40">
        <v>42905</v>
      </c>
      <c r="B168" s="15" t="s">
        <v>89</v>
      </c>
      <c r="C168" s="15">
        <v>9</v>
      </c>
      <c r="D168" s="43">
        <v>0.5</v>
      </c>
      <c r="E168" s="15">
        <v>500</v>
      </c>
      <c r="F168" s="15">
        <v>68</v>
      </c>
      <c r="G168" s="15">
        <v>73</v>
      </c>
      <c r="H168" s="15">
        <v>62</v>
      </c>
      <c r="I168" s="16">
        <f t="shared" si="23"/>
        <v>135.33333333333334</v>
      </c>
      <c r="J168" s="16">
        <f t="shared" si="25"/>
        <v>67666.666666666672</v>
      </c>
      <c r="L168" s="148">
        <v>50000</v>
      </c>
      <c r="M168" s="149">
        <f t="shared" si="26"/>
        <v>369.45812807881771</v>
      </c>
      <c r="N168" s="15">
        <v>395</v>
      </c>
      <c r="O168" s="16">
        <f t="shared" si="27"/>
        <v>53456.666666666672</v>
      </c>
      <c r="P168" s="15" t="s">
        <v>248</v>
      </c>
      <c r="Q168" s="16">
        <f t="shared" si="22"/>
        <v>14210</v>
      </c>
    </row>
    <row r="169" spans="1:17">
      <c r="A169" s="40">
        <v>42905</v>
      </c>
      <c r="B169" s="15" t="s">
        <v>38</v>
      </c>
      <c r="C169" s="15">
        <v>9</v>
      </c>
      <c r="D169" s="43">
        <v>0.5</v>
      </c>
      <c r="E169" s="15">
        <v>495</v>
      </c>
      <c r="F169" s="15">
        <v>52</v>
      </c>
      <c r="G169" s="15">
        <v>54</v>
      </c>
      <c r="H169" s="15">
        <v>49</v>
      </c>
      <c r="I169" s="16">
        <f t="shared" si="23"/>
        <v>103.33333333333333</v>
      </c>
      <c r="J169" s="16">
        <f t="shared" si="25"/>
        <v>51150</v>
      </c>
      <c r="L169" s="148">
        <v>50000</v>
      </c>
      <c r="M169" s="149">
        <f t="shared" si="26"/>
        <v>483.87096774193549</v>
      </c>
      <c r="N169" s="15">
        <v>495</v>
      </c>
      <c r="O169" s="16">
        <f t="shared" si="27"/>
        <v>51150</v>
      </c>
      <c r="Q169" s="16">
        <v>0</v>
      </c>
    </row>
    <row r="170" spans="1:17">
      <c r="A170" s="40">
        <v>42905</v>
      </c>
      <c r="B170" s="15" t="s">
        <v>20</v>
      </c>
      <c r="C170" s="15">
        <v>9</v>
      </c>
      <c r="D170" s="43">
        <v>0.5</v>
      </c>
      <c r="E170" s="15">
        <v>500</v>
      </c>
      <c r="F170" s="15">
        <v>11</v>
      </c>
      <c r="G170" s="15">
        <v>11</v>
      </c>
      <c r="H170" s="15">
        <v>17</v>
      </c>
      <c r="I170" s="16">
        <f t="shared" si="23"/>
        <v>26</v>
      </c>
      <c r="J170" s="16">
        <f t="shared" si="25"/>
        <v>13000</v>
      </c>
      <c r="M170" s="149">
        <f t="shared" si="26"/>
        <v>0</v>
      </c>
      <c r="N170" s="15">
        <v>500</v>
      </c>
      <c r="O170" s="16">
        <f t="shared" si="27"/>
        <v>13000</v>
      </c>
      <c r="Q170" s="16">
        <f t="shared" si="22"/>
        <v>0</v>
      </c>
    </row>
    <row r="171" spans="1:17">
      <c r="A171" s="40">
        <v>42905</v>
      </c>
      <c r="B171" s="15" t="s">
        <v>98</v>
      </c>
      <c r="C171" s="15">
        <v>9</v>
      </c>
      <c r="D171" s="43">
        <v>1.5</v>
      </c>
      <c r="E171" s="15">
        <v>300</v>
      </c>
      <c r="F171" s="15">
        <v>0</v>
      </c>
      <c r="G171" s="15">
        <v>0</v>
      </c>
      <c r="H171" s="15">
        <v>0</v>
      </c>
      <c r="I171" s="16">
        <f t="shared" si="23"/>
        <v>0</v>
      </c>
      <c r="J171" s="16">
        <f t="shared" si="25"/>
        <v>0</v>
      </c>
      <c r="M171" s="149" t="e">
        <f t="shared" si="26"/>
        <v>#DIV/0!</v>
      </c>
      <c r="O171" s="16">
        <f t="shared" si="27"/>
        <v>0</v>
      </c>
      <c r="Q171" s="16">
        <f t="shared" si="22"/>
        <v>0</v>
      </c>
    </row>
    <row r="172" spans="1:17">
      <c r="A172" s="40">
        <v>42905</v>
      </c>
      <c r="B172" s="15" t="s">
        <v>122</v>
      </c>
      <c r="C172" s="15">
        <v>9</v>
      </c>
      <c r="D172" s="43">
        <v>0.5</v>
      </c>
      <c r="E172" s="15">
        <v>500</v>
      </c>
      <c r="F172" s="15">
        <v>129</v>
      </c>
      <c r="G172" s="15">
        <v>142</v>
      </c>
      <c r="H172" s="15">
        <v>155</v>
      </c>
      <c r="I172" s="16">
        <f t="shared" si="23"/>
        <v>284</v>
      </c>
      <c r="J172" s="16">
        <f t="shared" si="25"/>
        <v>142000</v>
      </c>
      <c r="L172" s="148">
        <v>50000</v>
      </c>
      <c r="M172" s="149">
        <f t="shared" si="26"/>
        <v>176.05633802816902</v>
      </c>
      <c r="N172" s="15">
        <v>210</v>
      </c>
      <c r="O172" s="16">
        <f t="shared" si="27"/>
        <v>59640</v>
      </c>
      <c r="P172" s="15" t="s">
        <v>249</v>
      </c>
      <c r="Q172" s="16">
        <f t="shared" si="22"/>
        <v>82360</v>
      </c>
    </row>
    <row r="173" spans="1:17">
      <c r="A173" s="40">
        <v>42905</v>
      </c>
      <c r="B173" s="15" t="s">
        <v>25</v>
      </c>
      <c r="C173" s="15">
        <v>9</v>
      </c>
      <c r="D173" s="43">
        <v>0.5</v>
      </c>
      <c r="E173" s="15">
        <v>800</v>
      </c>
      <c r="F173" s="15">
        <v>100</v>
      </c>
      <c r="G173" s="15">
        <v>96</v>
      </c>
      <c r="H173" s="15">
        <v>110</v>
      </c>
      <c r="I173" s="16">
        <f t="shared" si="23"/>
        <v>204</v>
      </c>
      <c r="J173" s="16">
        <f t="shared" si="25"/>
        <v>163200</v>
      </c>
      <c r="L173" s="148">
        <v>50000</v>
      </c>
      <c r="M173" s="149">
        <f t="shared" si="26"/>
        <v>245.09803921568627</v>
      </c>
      <c r="N173" s="15">
        <v>275</v>
      </c>
      <c r="O173" s="16">
        <f t="shared" si="27"/>
        <v>56100</v>
      </c>
      <c r="P173" s="15" t="s">
        <v>250</v>
      </c>
      <c r="Q173" s="16">
        <f t="shared" si="22"/>
        <v>107100</v>
      </c>
    </row>
    <row r="174" spans="1:17">
      <c r="A174" s="40">
        <v>42905</v>
      </c>
      <c r="B174" s="15" t="s">
        <v>36</v>
      </c>
      <c r="C174" s="15">
        <v>9</v>
      </c>
      <c r="D174" s="43">
        <v>0.5</v>
      </c>
      <c r="E174" s="15">
        <v>510</v>
      </c>
      <c r="F174" s="15">
        <v>22</v>
      </c>
      <c r="G174" s="15">
        <v>35</v>
      </c>
      <c r="H174" s="15">
        <v>31</v>
      </c>
      <c r="I174" s="16">
        <f t="shared" si="23"/>
        <v>58.666666666666664</v>
      </c>
      <c r="J174" s="16">
        <f t="shared" si="25"/>
        <v>29920</v>
      </c>
      <c r="M174" s="149">
        <f t="shared" si="26"/>
        <v>0</v>
      </c>
      <c r="N174" s="15">
        <v>510</v>
      </c>
      <c r="O174" s="16">
        <f t="shared" si="27"/>
        <v>29920</v>
      </c>
      <c r="Q174" s="16">
        <f t="shared" si="22"/>
        <v>0</v>
      </c>
    </row>
    <row r="175" spans="1:17">
      <c r="A175" s="40">
        <v>42905</v>
      </c>
      <c r="B175" s="15" t="s">
        <v>110</v>
      </c>
      <c r="C175" s="15">
        <v>10</v>
      </c>
      <c r="D175" s="43">
        <v>2</v>
      </c>
      <c r="E175" s="15">
        <v>250</v>
      </c>
      <c r="F175" s="15">
        <v>1</v>
      </c>
      <c r="G175" s="15">
        <v>2</v>
      </c>
      <c r="H175" s="15">
        <v>0</v>
      </c>
      <c r="I175" s="16">
        <f t="shared" si="23"/>
        <v>0.5</v>
      </c>
      <c r="J175" s="16">
        <f t="shared" si="25"/>
        <v>125</v>
      </c>
      <c r="M175" s="149">
        <f t="shared" si="26"/>
        <v>0</v>
      </c>
      <c r="N175" s="15">
        <v>250</v>
      </c>
      <c r="O175" s="16">
        <f t="shared" si="27"/>
        <v>125</v>
      </c>
      <c r="Q175" s="16">
        <f t="shared" si="22"/>
        <v>0</v>
      </c>
    </row>
    <row r="176" spans="1:17">
      <c r="I176" s="16" t="e">
        <f t="shared" si="23"/>
        <v>#DIV/0!</v>
      </c>
      <c r="J176" s="16" t="e">
        <f t="shared" si="25"/>
        <v>#DIV/0!</v>
      </c>
      <c r="M176" s="149" t="e">
        <f t="shared" si="26"/>
        <v>#DIV/0!</v>
      </c>
      <c r="O176" s="16" t="e">
        <f t="shared" si="27"/>
        <v>#DIV/0!</v>
      </c>
      <c r="Q176" s="16" t="e">
        <f t="shared" si="22"/>
        <v>#DIV/0!</v>
      </c>
    </row>
    <row r="177" spans="9:17">
      <c r="I177" s="16" t="e">
        <f t="shared" si="23"/>
        <v>#DIV/0!</v>
      </c>
      <c r="J177" s="16" t="e">
        <f t="shared" si="25"/>
        <v>#DIV/0!</v>
      </c>
      <c r="M177" s="149" t="e">
        <f t="shared" si="26"/>
        <v>#DIV/0!</v>
      </c>
      <c r="O177" s="16" t="e">
        <f t="shared" si="27"/>
        <v>#DIV/0!</v>
      </c>
      <c r="Q177" s="16" t="e">
        <f t="shared" si="22"/>
        <v>#DIV/0!</v>
      </c>
    </row>
    <row r="178" spans="9:17">
      <c r="I178" s="16" t="e">
        <f t="shared" si="23"/>
        <v>#DIV/0!</v>
      </c>
      <c r="J178" s="16" t="e">
        <f t="shared" si="25"/>
        <v>#DIV/0!</v>
      </c>
      <c r="M178" s="149" t="e">
        <f t="shared" si="26"/>
        <v>#DIV/0!</v>
      </c>
      <c r="O178" s="16" t="e">
        <f t="shared" si="27"/>
        <v>#DIV/0!</v>
      </c>
      <c r="Q178" s="16" t="e">
        <f t="shared" si="22"/>
        <v>#DIV/0!</v>
      </c>
    </row>
    <row r="179" spans="9:17">
      <c r="I179" s="16" t="e">
        <f t="shared" si="23"/>
        <v>#DIV/0!</v>
      </c>
      <c r="J179" s="16" t="e">
        <f t="shared" si="25"/>
        <v>#DIV/0!</v>
      </c>
      <c r="M179" s="149" t="e">
        <f t="shared" si="26"/>
        <v>#DIV/0!</v>
      </c>
      <c r="O179" s="16" t="e">
        <f t="shared" si="27"/>
        <v>#DIV/0!</v>
      </c>
      <c r="Q179" s="16" t="e">
        <f t="shared" si="22"/>
        <v>#DIV/0!</v>
      </c>
    </row>
    <row r="180" spans="9:17">
      <c r="I180" s="16" t="e">
        <f t="shared" si="23"/>
        <v>#DIV/0!</v>
      </c>
      <c r="J180" s="16" t="e">
        <f t="shared" si="25"/>
        <v>#DIV/0!</v>
      </c>
      <c r="M180" s="149" t="e">
        <f t="shared" si="26"/>
        <v>#DIV/0!</v>
      </c>
      <c r="O180" s="16" t="e">
        <f t="shared" si="27"/>
        <v>#DIV/0!</v>
      </c>
      <c r="Q180" s="16" t="e">
        <f t="shared" si="22"/>
        <v>#DIV/0!</v>
      </c>
    </row>
    <row r="181" spans="9:17">
      <c r="I181" s="16" t="e">
        <f t="shared" si="23"/>
        <v>#DIV/0!</v>
      </c>
      <c r="J181" s="16" t="e">
        <f t="shared" si="25"/>
        <v>#DIV/0!</v>
      </c>
      <c r="M181" s="149" t="e">
        <f t="shared" si="26"/>
        <v>#DIV/0!</v>
      </c>
      <c r="O181" s="16" t="e">
        <f t="shared" si="27"/>
        <v>#DIV/0!</v>
      </c>
      <c r="Q181" s="16" t="e">
        <f t="shared" si="22"/>
        <v>#DIV/0!</v>
      </c>
    </row>
    <row r="182" spans="9:17">
      <c r="I182" s="16" t="e">
        <f t="shared" si="23"/>
        <v>#DIV/0!</v>
      </c>
      <c r="J182" s="16" t="e">
        <f t="shared" si="25"/>
        <v>#DIV/0!</v>
      </c>
      <c r="M182" s="149" t="e">
        <f t="shared" si="26"/>
        <v>#DIV/0!</v>
      </c>
      <c r="O182" s="16" t="e">
        <f t="shared" si="27"/>
        <v>#DIV/0!</v>
      </c>
      <c r="Q182" s="16" t="e">
        <f t="shared" si="22"/>
        <v>#DIV/0!</v>
      </c>
    </row>
    <row r="183" spans="9:17">
      <c r="I183" s="16" t="e">
        <f t="shared" si="23"/>
        <v>#DIV/0!</v>
      </c>
      <c r="J183" s="16" t="e">
        <f t="shared" si="25"/>
        <v>#DIV/0!</v>
      </c>
      <c r="M183" s="149" t="e">
        <f t="shared" si="26"/>
        <v>#DIV/0!</v>
      </c>
      <c r="O183" s="16" t="e">
        <f t="shared" si="27"/>
        <v>#DIV/0!</v>
      </c>
      <c r="Q183" s="16" t="e">
        <f t="shared" si="22"/>
        <v>#DIV/0!</v>
      </c>
    </row>
    <row r="184" spans="9:17">
      <c r="I184" s="16" t="e">
        <f t="shared" si="23"/>
        <v>#DIV/0!</v>
      </c>
      <c r="J184" s="16" t="e">
        <f t="shared" si="25"/>
        <v>#DIV/0!</v>
      </c>
      <c r="M184" s="149" t="e">
        <f t="shared" si="26"/>
        <v>#DIV/0!</v>
      </c>
      <c r="O184" s="16" t="e">
        <f t="shared" si="27"/>
        <v>#DIV/0!</v>
      </c>
      <c r="Q184" s="16" t="e">
        <f t="shared" si="22"/>
        <v>#DIV/0!</v>
      </c>
    </row>
    <row r="185" spans="9:17">
      <c r="I185" s="16" t="e">
        <f t="shared" si="23"/>
        <v>#DIV/0!</v>
      </c>
      <c r="J185" s="16" t="e">
        <f t="shared" si="25"/>
        <v>#DIV/0!</v>
      </c>
      <c r="M185" s="149" t="e">
        <f t="shared" si="26"/>
        <v>#DIV/0!</v>
      </c>
      <c r="O185" s="16" t="e">
        <f t="shared" si="27"/>
        <v>#DIV/0!</v>
      </c>
      <c r="Q185" s="16" t="e">
        <f t="shared" si="22"/>
        <v>#DIV/0!</v>
      </c>
    </row>
    <row r="186" spans="9:17">
      <c r="I186" s="16" t="e">
        <f t="shared" si="23"/>
        <v>#DIV/0!</v>
      </c>
      <c r="J186" s="16" t="e">
        <f t="shared" si="25"/>
        <v>#DIV/0!</v>
      </c>
      <c r="M186" s="149" t="e">
        <f t="shared" si="26"/>
        <v>#DIV/0!</v>
      </c>
      <c r="O186" s="16" t="e">
        <f t="shared" si="27"/>
        <v>#DIV/0!</v>
      </c>
      <c r="Q186" s="16" t="e">
        <f t="shared" si="22"/>
        <v>#DIV/0!</v>
      </c>
    </row>
    <row r="187" spans="9:17">
      <c r="I187" s="16" t="e">
        <f t="shared" si="23"/>
        <v>#DIV/0!</v>
      </c>
      <c r="J187" s="16" t="e">
        <f t="shared" si="25"/>
        <v>#DIV/0!</v>
      </c>
      <c r="M187" s="149" t="e">
        <f t="shared" si="26"/>
        <v>#DIV/0!</v>
      </c>
      <c r="O187" s="16" t="e">
        <f t="shared" si="27"/>
        <v>#DIV/0!</v>
      </c>
      <c r="Q187" s="16" t="e">
        <f t="shared" si="22"/>
        <v>#DIV/0!</v>
      </c>
    </row>
    <row r="188" spans="9:17">
      <c r="I188" s="16" t="e">
        <f t="shared" si="23"/>
        <v>#DIV/0!</v>
      </c>
      <c r="J188" s="16" t="e">
        <f t="shared" si="25"/>
        <v>#DIV/0!</v>
      </c>
      <c r="M188" s="149" t="e">
        <f t="shared" si="26"/>
        <v>#DIV/0!</v>
      </c>
      <c r="O188" s="16" t="e">
        <f t="shared" si="27"/>
        <v>#DIV/0!</v>
      </c>
      <c r="Q188" s="16" t="e">
        <f t="shared" si="22"/>
        <v>#DIV/0!</v>
      </c>
    </row>
    <row r="189" spans="9:17">
      <c r="I189" s="16" t="e">
        <f t="shared" si="23"/>
        <v>#DIV/0!</v>
      </c>
      <c r="J189" s="16" t="e">
        <f t="shared" si="25"/>
        <v>#DIV/0!</v>
      </c>
      <c r="M189" s="149" t="e">
        <f t="shared" si="26"/>
        <v>#DIV/0!</v>
      </c>
      <c r="O189" s="16" t="e">
        <f t="shared" si="27"/>
        <v>#DIV/0!</v>
      </c>
      <c r="Q189" s="16" t="e">
        <f t="shared" si="22"/>
        <v>#DIV/0!</v>
      </c>
    </row>
    <row r="190" spans="9:17">
      <c r="I190" s="51" t="e">
        <f t="shared" ref="I190:I234" si="28">AVERAGE(F190:H190)/D190</f>
        <v>#DIV/0!</v>
      </c>
      <c r="J190" s="16" t="e">
        <f t="shared" si="25"/>
        <v>#DIV/0!</v>
      </c>
      <c r="M190" s="149" t="e">
        <f t="shared" ref="M190:M207" si="29">L190/I190</f>
        <v>#DIV/0!</v>
      </c>
      <c r="O190" s="16" t="e">
        <f t="shared" si="27"/>
        <v>#DIV/0!</v>
      </c>
      <c r="Q190" s="16" t="e">
        <f t="shared" si="22"/>
        <v>#DIV/0!</v>
      </c>
    </row>
    <row r="191" spans="9:17">
      <c r="I191" s="51" t="e">
        <f t="shared" si="28"/>
        <v>#DIV/0!</v>
      </c>
      <c r="J191" s="16" t="e">
        <f t="shared" si="25"/>
        <v>#DIV/0!</v>
      </c>
      <c r="M191" s="149" t="e">
        <f t="shared" si="29"/>
        <v>#DIV/0!</v>
      </c>
      <c r="O191" s="16" t="e">
        <f t="shared" si="27"/>
        <v>#DIV/0!</v>
      </c>
      <c r="Q191" s="16" t="e">
        <f t="shared" si="22"/>
        <v>#DIV/0!</v>
      </c>
    </row>
    <row r="192" spans="9:17">
      <c r="I192" s="51" t="e">
        <f t="shared" si="28"/>
        <v>#DIV/0!</v>
      </c>
      <c r="J192" s="16" t="e">
        <f t="shared" si="25"/>
        <v>#DIV/0!</v>
      </c>
      <c r="M192" s="149" t="e">
        <f t="shared" si="29"/>
        <v>#DIV/0!</v>
      </c>
      <c r="O192" s="16" t="e">
        <f t="shared" si="27"/>
        <v>#DIV/0!</v>
      </c>
      <c r="Q192" s="16" t="e">
        <f t="shared" si="22"/>
        <v>#DIV/0!</v>
      </c>
    </row>
    <row r="193" spans="9:17">
      <c r="I193" s="51" t="e">
        <f t="shared" si="28"/>
        <v>#DIV/0!</v>
      </c>
      <c r="J193" s="16" t="e">
        <f t="shared" si="25"/>
        <v>#DIV/0!</v>
      </c>
      <c r="M193" s="149" t="e">
        <f t="shared" si="29"/>
        <v>#DIV/0!</v>
      </c>
      <c r="O193" s="16" t="e">
        <f t="shared" si="27"/>
        <v>#DIV/0!</v>
      </c>
      <c r="Q193" s="16" t="e">
        <f t="shared" ref="Q193:Q256" si="30">J193-O193</f>
        <v>#DIV/0!</v>
      </c>
    </row>
    <row r="194" spans="9:17">
      <c r="I194" s="51" t="e">
        <f t="shared" si="28"/>
        <v>#DIV/0!</v>
      </c>
      <c r="J194" s="16" t="e">
        <f t="shared" si="25"/>
        <v>#DIV/0!</v>
      </c>
      <c r="M194" s="149" t="e">
        <f t="shared" si="29"/>
        <v>#DIV/0!</v>
      </c>
      <c r="O194" s="16" t="e">
        <f t="shared" si="27"/>
        <v>#DIV/0!</v>
      </c>
      <c r="Q194" s="16" t="e">
        <f t="shared" si="30"/>
        <v>#DIV/0!</v>
      </c>
    </row>
    <row r="195" spans="9:17">
      <c r="I195" s="51" t="e">
        <f t="shared" si="28"/>
        <v>#DIV/0!</v>
      </c>
      <c r="J195" s="16" t="e">
        <f t="shared" si="25"/>
        <v>#DIV/0!</v>
      </c>
      <c r="M195" s="149" t="e">
        <f t="shared" si="29"/>
        <v>#DIV/0!</v>
      </c>
      <c r="O195" s="16" t="e">
        <f t="shared" si="27"/>
        <v>#DIV/0!</v>
      </c>
      <c r="Q195" s="16" t="e">
        <f t="shared" si="30"/>
        <v>#DIV/0!</v>
      </c>
    </row>
    <row r="196" spans="9:17">
      <c r="I196" s="51" t="e">
        <f t="shared" si="28"/>
        <v>#DIV/0!</v>
      </c>
      <c r="J196" s="16" t="e">
        <f t="shared" si="25"/>
        <v>#DIV/0!</v>
      </c>
      <c r="M196" s="149" t="e">
        <f t="shared" si="29"/>
        <v>#DIV/0!</v>
      </c>
      <c r="O196" s="16" t="e">
        <f t="shared" si="27"/>
        <v>#DIV/0!</v>
      </c>
      <c r="Q196" s="16" t="e">
        <f t="shared" si="30"/>
        <v>#DIV/0!</v>
      </c>
    </row>
    <row r="197" spans="9:17">
      <c r="I197" s="51" t="e">
        <f t="shared" si="28"/>
        <v>#DIV/0!</v>
      </c>
      <c r="J197" s="16" t="e">
        <f t="shared" si="25"/>
        <v>#DIV/0!</v>
      </c>
      <c r="M197" s="149" t="e">
        <f t="shared" si="29"/>
        <v>#DIV/0!</v>
      </c>
      <c r="O197" s="16" t="e">
        <f t="shared" si="27"/>
        <v>#DIV/0!</v>
      </c>
      <c r="Q197" s="16" t="e">
        <f t="shared" si="30"/>
        <v>#DIV/0!</v>
      </c>
    </row>
    <row r="198" spans="9:17">
      <c r="I198" s="51" t="e">
        <f t="shared" si="28"/>
        <v>#DIV/0!</v>
      </c>
      <c r="J198" s="16" t="e">
        <f t="shared" si="25"/>
        <v>#DIV/0!</v>
      </c>
      <c r="M198" s="149" t="e">
        <f t="shared" si="29"/>
        <v>#DIV/0!</v>
      </c>
      <c r="O198" s="16" t="e">
        <f t="shared" si="27"/>
        <v>#DIV/0!</v>
      </c>
      <c r="Q198" s="16" t="e">
        <f t="shared" si="30"/>
        <v>#DIV/0!</v>
      </c>
    </row>
    <row r="199" spans="9:17">
      <c r="I199" s="51" t="e">
        <f t="shared" si="28"/>
        <v>#DIV/0!</v>
      </c>
      <c r="J199" s="16" t="e">
        <f t="shared" si="25"/>
        <v>#DIV/0!</v>
      </c>
      <c r="M199" s="149" t="e">
        <f t="shared" si="29"/>
        <v>#DIV/0!</v>
      </c>
      <c r="O199" s="16" t="e">
        <f t="shared" si="27"/>
        <v>#DIV/0!</v>
      </c>
      <c r="Q199" s="16" t="e">
        <f t="shared" si="30"/>
        <v>#DIV/0!</v>
      </c>
    </row>
    <row r="200" spans="9:17">
      <c r="I200" s="51" t="e">
        <f t="shared" si="28"/>
        <v>#DIV/0!</v>
      </c>
      <c r="J200" s="16" t="e">
        <f t="shared" si="25"/>
        <v>#DIV/0!</v>
      </c>
      <c r="M200" s="149" t="e">
        <f t="shared" si="29"/>
        <v>#DIV/0!</v>
      </c>
      <c r="O200" s="16" t="e">
        <f t="shared" si="27"/>
        <v>#DIV/0!</v>
      </c>
      <c r="Q200" s="16" t="e">
        <f t="shared" si="30"/>
        <v>#DIV/0!</v>
      </c>
    </row>
    <row r="201" spans="9:17">
      <c r="I201" s="51" t="e">
        <f t="shared" si="28"/>
        <v>#DIV/0!</v>
      </c>
      <c r="J201" s="16" t="e">
        <f t="shared" si="25"/>
        <v>#DIV/0!</v>
      </c>
      <c r="M201" s="149" t="e">
        <f t="shared" si="29"/>
        <v>#DIV/0!</v>
      </c>
      <c r="O201" s="16" t="e">
        <f t="shared" si="27"/>
        <v>#DIV/0!</v>
      </c>
      <c r="Q201" s="16" t="e">
        <f t="shared" si="30"/>
        <v>#DIV/0!</v>
      </c>
    </row>
    <row r="202" spans="9:17">
      <c r="I202" s="51" t="e">
        <f t="shared" si="28"/>
        <v>#DIV/0!</v>
      </c>
      <c r="J202" s="16" t="e">
        <f t="shared" si="25"/>
        <v>#DIV/0!</v>
      </c>
      <c r="M202" s="149" t="e">
        <f t="shared" si="29"/>
        <v>#DIV/0!</v>
      </c>
      <c r="O202" s="16" t="e">
        <f t="shared" si="27"/>
        <v>#DIV/0!</v>
      </c>
      <c r="Q202" s="16" t="e">
        <f t="shared" si="30"/>
        <v>#DIV/0!</v>
      </c>
    </row>
    <row r="203" spans="9:17">
      <c r="I203" s="51" t="e">
        <f t="shared" si="28"/>
        <v>#DIV/0!</v>
      </c>
      <c r="J203" s="16" t="e">
        <f t="shared" si="25"/>
        <v>#DIV/0!</v>
      </c>
      <c r="M203" s="149" t="e">
        <f t="shared" si="29"/>
        <v>#DIV/0!</v>
      </c>
      <c r="O203" s="16" t="e">
        <f t="shared" si="27"/>
        <v>#DIV/0!</v>
      </c>
      <c r="Q203" s="16" t="e">
        <f t="shared" si="30"/>
        <v>#DIV/0!</v>
      </c>
    </row>
    <row r="204" spans="9:17">
      <c r="I204" s="51" t="e">
        <f t="shared" si="28"/>
        <v>#DIV/0!</v>
      </c>
      <c r="J204" s="16" t="e">
        <f t="shared" si="25"/>
        <v>#DIV/0!</v>
      </c>
      <c r="M204" s="149" t="e">
        <f t="shared" si="29"/>
        <v>#DIV/0!</v>
      </c>
      <c r="O204" s="16" t="e">
        <f t="shared" si="27"/>
        <v>#DIV/0!</v>
      </c>
      <c r="Q204" s="16" t="e">
        <f t="shared" si="30"/>
        <v>#DIV/0!</v>
      </c>
    </row>
    <row r="205" spans="9:17">
      <c r="I205" s="51" t="e">
        <f t="shared" si="28"/>
        <v>#DIV/0!</v>
      </c>
      <c r="J205" s="16" t="e">
        <f t="shared" ref="J205:J250" si="31">I205*E205</f>
        <v>#DIV/0!</v>
      </c>
      <c r="M205" s="149" t="e">
        <f t="shared" si="29"/>
        <v>#DIV/0!</v>
      </c>
      <c r="O205" s="16" t="e">
        <f t="shared" si="27"/>
        <v>#DIV/0!</v>
      </c>
      <c r="Q205" s="16" t="e">
        <f t="shared" si="30"/>
        <v>#DIV/0!</v>
      </c>
    </row>
    <row r="206" spans="9:17">
      <c r="I206" s="51" t="e">
        <f t="shared" si="28"/>
        <v>#DIV/0!</v>
      </c>
      <c r="J206" s="16" t="e">
        <f t="shared" si="31"/>
        <v>#DIV/0!</v>
      </c>
      <c r="M206" s="149" t="e">
        <f t="shared" si="29"/>
        <v>#DIV/0!</v>
      </c>
      <c r="O206" s="16" t="e">
        <f t="shared" si="27"/>
        <v>#DIV/0!</v>
      </c>
      <c r="Q206" s="16" t="e">
        <f t="shared" si="30"/>
        <v>#DIV/0!</v>
      </c>
    </row>
    <row r="207" spans="9:17">
      <c r="I207" s="51" t="e">
        <f t="shared" si="28"/>
        <v>#DIV/0!</v>
      </c>
      <c r="J207" s="16" t="e">
        <f t="shared" si="31"/>
        <v>#DIV/0!</v>
      </c>
      <c r="M207" s="149" t="e">
        <f t="shared" si="29"/>
        <v>#DIV/0!</v>
      </c>
      <c r="O207" s="16" t="e">
        <f t="shared" si="27"/>
        <v>#DIV/0!</v>
      </c>
      <c r="Q207" s="16" t="e">
        <f t="shared" si="30"/>
        <v>#DIV/0!</v>
      </c>
    </row>
    <row r="208" spans="9:17">
      <c r="I208" s="51" t="e">
        <f t="shared" si="28"/>
        <v>#DIV/0!</v>
      </c>
      <c r="J208" s="16" t="e">
        <f t="shared" si="31"/>
        <v>#DIV/0!</v>
      </c>
      <c r="M208" s="149" t="e">
        <f t="shared" ref="M208:M271" si="32">L208/I208</f>
        <v>#DIV/0!</v>
      </c>
      <c r="O208" s="16" t="e">
        <f t="shared" si="27"/>
        <v>#DIV/0!</v>
      </c>
      <c r="Q208" s="16" t="e">
        <f t="shared" si="30"/>
        <v>#DIV/0!</v>
      </c>
    </row>
    <row r="209" spans="9:17">
      <c r="I209" s="51" t="e">
        <f t="shared" si="28"/>
        <v>#DIV/0!</v>
      </c>
      <c r="J209" s="16" t="e">
        <f t="shared" si="31"/>
        <v>#DIV/0!</v>
      </c>
      <c r="M209" s="149" t="e">
        <f t="shared" si="32"/>
        <v>#DIV/0!</v>
      </c>
      <c r="O209" s="16" t="e">
        <f t="shared" si="27"/>
        <v>#DIV/0!</v>
      </c>
      <c r="Q209" s="16" t="e">
        <f t="shared" si="30"/>
        <v>#DIV/0!</v>
      </c>
    </row>
    <row r="210" spans="9:17">
      <c r="I210" s="51" t="e">
        <f t="shared" si="28"/>
        <v>#DIV/0!</v>
      </c>
      <c r="J210" s="16" t="e">
        <f t="shared" si="31"/>
        <v>#DIV/0!</v>
      </c>
      <c r="M210" s="149" t="e">
        <f t="shared" si="32"/>
        <v>#DIV/0!</v>
      </c>
      <c r="O210" s="16" t="e">
        <f t="shared" si="27"/>
        <v>#DIV/0!</v>
      </c>
      <c r="Q210" s="16" t="e">
        <f t="shared" si="30"/>
        <v>#DIV/0!</v>
      </c>
    </row>
    <row r="211" spans="9:17">
      <c r="I211" s="51" t="e">
        <f t="shared" si="28"/>
        <v>#DIV/0!</v>
      </c>
      <c r="J211" s="16" t="e">
        <f t="shared" si="31"/>
        <v>#DIV/0!</v>
      </c>
      <c r="M211" s="149" t="e">
        <f t="shared" si="32"/>
        <v>#DIV/0!</v>
      </c>
      <c r="O211" s="16" t="e">
        <f t="shared" ref="O211:O231" si="33">N211*I211</f>
        <v>#DIV/0!</v>
      </c>
      <c r="Q211" s="16" t="e">
        <f t="shared" si="30"/>
        <v>#DIV/0!</v>
      </c>
    </row>
    <row r="212" spans="9:17">
      <c r="I212" s="51" t="e">
        <f t="shared" si="28"/>
        <v>#DIV/0!</v>
      </c>
      <c r="J212" s="16" t="e">
        <f t="shared" si="31"/>
        <v>#DIV/0!</v>
      </c>
      <c r="M212" s="149" t="e">
        <f t="shared" si="32"/>
        <v>#DIV/0!</v>
      </c>
      <c r="O212" s="16" t="e">
        <f t="shared" si="33"/>
        <v>#DIV/0!</v>
      </c>
      <c r="Q212" s="16" t="e">
        <f t="shared" si="30"/>
        <v>#DIV/0!</v>
      </c>
    </row>
    <row r="213" spans="9:17">
      <c r="I213" s="51" t="e">
        <f t="shared" si="28"/>
        <v>#DIV/0!</v>
      </c>
      <c r="J213" s="16" t="e">
        <f t="shared" si="31"/>
        <v>#DIV/0!</v>
      </c>
      <c r="M213" s="149" t="e">
        <f t="shared" si="32"/>
        <v>#DIV/0!</v>
      </c>
      <c r="O213" s="16" t="e">
        <f t="shared" si="33"/>
        <v>#DIV/0!</v>
      </c>
      <c r="Q213" s="16" t="e">
        <f t="shared" si="30"/>
        <v>#DIV/0!</v>
      </c>
    </row>
    <row r="214" spans="9:17">
      <c r="I214" s="51" t="e">
        <f t="shared" si="28"/>
        <v>#DIV/0!</v>
      </c>
      <c r="J214" s="16" t="e">
        <f t="shared" si="31"/>
        <v>#DIV/0!</v>
      </c>
      <c r="M214" s="149" t="e">
        <f t="shared" si="32"/>
        <v>#DIV/0!</v>
      </c>
      <c r="O214" s="16" t="e">
        <f t="shared" si="33"/>
        <v>#DIV/0!</v>
      </c>
      <c r="Q214" s="16" t="e">
        <f t="shared" si="30"/>
        <v>#DIV/0!</v>
      </c>
    </row>
    <row r="215" spans="9:17">
      <c r="I215" s="51" t="e">
        <f t="shared" si="28"/>
        <v>#DIV/0!</v>
      </c>
      <c r="J215" s="16" t="e">
        <f t="shared" si="31"/>
        <v>#DIV/0!</v>
      </c>
      <c r="M215" s="149" t="e">
        <f t="shared" si="32"/>
        <v>#DIV/0!</v>
      </c>
      <c r="O215" s="16" t="e">
        <f t="shared" si="33"/>
        <v>#DIV/0!</v>
      </c>
      <c r="Q215" s="16" t="e">
        <f t="shared" si="30"/>
        <v>#DIV/0!</v>
      </c>
    </row>
    <row r="216" spans="9:17">
      <c r="I216" s="51" t="e">
        <f t="shared" si="28"/>
        <v>#DIV/0!</v>
      </c>
      <c r="J216" s="16" t="e">
        <f t="shared" si="31"/>
        <v>#DIV/0!</v>
      </c>
      <c r="M216" s="149" t="e">
        <f t="shared" si="32"/>
        <v>#DIV/0!</v>
      </c>
      <c r="O216" s="16" t="e">
        <f t="shared" si="33"/>
        <v>#DIV/0!</v>
      </c>
      <c r="Q216" s="16" t="e">
        <f t="shared" si="30"/>
        <v>#DIV/0!</v>
      </c>
    </row>
    <row r="217" spans="9:17">
      <c r="I217" s="51" t="e">
        <f t="shared" si="28"/>
        <v>#DIV/0!</v>
      </c>
      <c r="J217" s="16" t="e">
        <f t="shared" si="31"/>
        <v>#DIV/0!</v>
      </c>
      <c r="M217" s="149" t="e">
        <f t="shared" si="32"/>
        <v>#DIV/0!</v>
      </c>
      <c r="O217" s="16" t="e">
        <f t="shared" si="33"/>
        <v>#DIV/0!</v>
      </c>
      <c r="Q217" s="16" t="e">
        <f t="shared" si="30"/>
        <v>#DIV/0!</v>
      </c>
    </row>
    <row r="218" spans="9:17">
      <c r="I218" s="51" t="e">
        <f t="shared" si="28"/>
        <v>#DIV/0!</v>
      </c>
      <c r="J218" s="16" t="e">
        <f t="shared" si="31"/>
        <v>#DIV/0!</v>
      </c>
      <c r="M218" s="149" t="e">
        <f t="shared" si="32"/>
        <v>#DIV/0!</v>
      </c>
      <c r="O218" s="16" t="e">
        <f t="shared" si="33"/>
        <v>#DIV/0!</v>
      </c>
      <c r="Q218" s="16" t="e">
        <f t="shared" si="30"/>
        <v>#DIV/0!</v>
      </c>
    </row>
    <row r="219" spans="9:17">
      <c r="I219" s="51" t="e">
        <f t="shared" si="28"/>
        <v>#DIV/0!</v>
      </c>
      <c r="J219" s="16" t="e">
        <f t="shared" si="31"/>
        <v>#DIV/0!</v>
      </c>
      <c r="M219" s="149" t="e">
        <f t="shared" si="32"/>
        <v>#DIV/0!</v>
      </c>
      <c r="O219" s="16" t="e">
        <f t="shared" si="33"/>
        <v>#DIV/0!</v>
      </c>
      <c r="Q219" s="16" t="e">
        <f t="shared" si="30"/>
        <v>#DIV/0!</v>
      </c>
    </row>
    <row r="220" spans="9:17">
      <c r="I220" s="51" t="e">
        <f t="shared" si="28"/>
        <v>#DIV/0!</v>
      </c>
      <c r="J220" s="16" t="e">
        <f t="shared" si="31"/>
        <v>#DIV/0!</v>
      </c>
      <c r="M220" s="149" t="e">
        <f t="shared" si="32"/>
        <v>#DIV/0!</v>
      </c>
      <c r="O220" s="16" t="e">
        <f t="shared" si="33"/>
        <v>#DIV/0!</v>
      </c>
      <c r="Q220" s="16" t="e">
        <f t="shared" si="30"/>
        <v>#DIV/0!</v>
      </c>
    </row>
    <row r="221" spans="9:17">
      <c r="I221" s="51" t="e">
        <f t="shared" si="28"/>
        <v>#DIV/0!</v>
      </c>
      <c r="J221" s="16" t="e">
        <f t="shared" si="31"/>
        <v>#DIV/0!</v>
      </c>
      <c r="M221" s="149" t="e">
        <f t="shared" si="32"/>
        <v>#DIV/0!</v>
      </c>
      <c r="O221" s="16" t="e">
        <f t="shared" si="33"/>
        <v>#DIV/0!</v>
      </c>
      <c r="Q221" s="16" t="e">
        <f t="shared" si="30"/>
        <v>#DIV/0!</v>
      </c>
    </row>
    <row r="222" spans="9:17">
      <c r="I222" s="51" t="e">
        <f t="shared" si="28"/>
        <v>#DIV/0!</v>
      </c>
      <c r="J222" s="16" t="e">
        <f t="shared" si="31"/>
        <v>#DIV/0!</v>
      </c>
      <c r="M222" s="149" t="e">
        <f t="shared" si="32"/>
        <v>#DIV/0!</v>
      </c>
      <c r="O222" s="16" t="e">
        <f t="shared" si="33"/>
        <v>#DIV/0!</v>
      </c>
      <c r="Q222" s="16" t="e">
        <f t="shared" si="30"/>
        <v>#DIV/0!</v>
      </c>
    </row>
    <row r="223" spans="9:17">
      <c r="I223" s="51" t="e">
        <f t="shared" si="28"/>
        <v>#DIV/0!</v>
      </c>
      <c r="J223" s="16" t="e">
        <f t="shared" si="31"/>
        <v>#DIV/0!</v>
      </c>
      <c r="M223" s="149" t="e">
        <f t="shared" si="32"/>
        <v>#DIV/0!</v>
      </c>
      <c r="O223" s="16" t="e">
        <f t="shared" si="33"/>
        <v>#DIV/0!</v>
      </c>
      <c r="Q223" s="16" t="e">
        <f t="shared" si="30"/>
        <v>#DIV/0!</v>
      </c>
    </row>
    <row r="224" spans="9:17">
      <c r="I224" s="51" t="e">
        <f t="shared" si="28"/>
        <v>#DIV/0!</v>
      </c>
      <c r="J224" s="16" t="e">
        <f t="shared" si="31"/>
        <v>#DIV/0!</v>
      </c>
      <c r="M224" s="149" t="e">
        <f t="shared" si="32"/>
        <v>#DIV/0!</v>
      </c>
      <c r="O224" s="16" t="e">
        <f t="shared" si="33"/>
        <v>#DIV/0!</v>
      </c>
      <c r="Q224" s="16" t="e">
        <f t="shared" si="30"/>
        <v>#DIV/0!</v>
      </c>
    </row>
    <row r="225" spans="9:17">
      <c r="I225" s="51" t="e">
        <f t="shared" si="28"/>
        <v>#DIV/0!</v>
      </c>
      <c r="J225" s="16" t="e">
        <f t="shared" si="31"/>
        <v>#DIV/0!</v>
      </c>
      <c r="M225" s="149" t="e">
        <f t="shared" si="32"/>
        <v>#DIV/0!</v>
      </c>
      <c r="O225" s="16" t="e">
        <f t="shared" si="33"/>
        <v>#DIV/0!</v>
      </c>
      <c r="Q225" s="16" t="e">
        <f t="shared" si="30"/>
        <v>#DIV/0!</v>
      </c>
    </row>
    <row r="226" spans="9:17">
      <c r="I226" s="51" t="e">
        <f t="shared" si="28"/>
        <v>#DIV/0!</v>
      </c>
      <c r="J226" s="16" t="e">
        <f t="shared" si="31"/>
        <v>#DIV/0!</v>
      </c>
      <c r="M226" s="149" t="e">
        <f t="shared" si="32"/>
        <v>#DIV/0!</v>
      </c>
      <c r="O226" s="16" t="e">
        <f t="shared" si="33"/>
        <v>#DIV/0!</v>
      </c>
      <c r="Q226" s="16" t="e">
        <f t="shared" si="30"/>
        <v>#DIV/0!</v>
      </c>
    </row>
    <row r="227" spans="9:17">
      <c r="I227" s="51" t="e">
        <f t="shared" si="28"/>
        <v>#DIV/0!</v>
      </c>
      <c r="J227" s="16" t="e">
        <f t="shared" si="31"/>
        <v>#DIV/0!</v>
      </c>
      <c r="M227" s="149" t="e">
        <f t="shared" si="32"/>
        <v>#DIV/0!</v>
      </c>
      <c r="O227" s="16" t="e">
        <f t="shared" si="33"/>
        <v>#DIV/0!</v>
      </c>
      <c r="Q227" s="16" t="e">
        <f t="shared" si="30"/>
        <v>#DIV/0!</v>
      </c>
    </row>
    <row r="228" spans="9:17">
      <c r="I228" s="51" t="e">
        <f t="shared" si="28"/>
        <v>#DIV/0!</v>
      </c>
      <c r="J228" s="16" t="e">
        <f t="shared" si="31"/>
        <v>#DIV/0!</v>
      </c>
      <c r="M228" s="149" t="e">
        <f t="shared" si="32"/>
        <v>#DIV/0!</v>
      </c>
      <c r="O228" s="16" t="e">
        <f t="shared" si="33"/>
        <v>#DIV/0!</v>
      </c>
      <c r="Q228" s="16" t="e">
        <f t="shared" si="30"/>
        <v>#DIV/0!</v>
      </c>
    </row>
    <row r="229" spans="9:17">
      <c r="I229" s="51" t="e">
        <f t="shared" si="28"/>
        <v>#DIV/0!</v>
      </c>
      <c r="J229" s="16" t="e">
        <f t="shared" si="31"/>
        <v>#DIV/0!</v>
      </c>
      <c r="M229" s="149" t="e">
        <f t="shared" si="32"/>
        <v>#DIV/0!</v>
      </c>
      <c r="O229" s="16" t="e">
        <f t="shared" si="33"/>
        <v>#DIV/0!</v>
      </c>
      <c r="Q229" s="16" t="e">
        <f t="shared" si="30"/>
        <v>#DIV/0!</v>
      </c>
    </row>
    <row r="230" spans="9:17">
      <c r="I230" s="51" t="e">
        <f t="shared" si="28"/>
        <v>#DIV/0!</v>
      </c>
      <c r="J230" s="16" t="e">
        <f t="shared" si="31"/>
        <v>#DIV/0!</v>
      </c>
      <c r="M230" s="149" t="e">
        <f t="shared" si="32"/>
        <v>#DIV/0!</v>
      </c>
      <c r="O230" s="16" t="e">
        <f t="shared" si="33"/>
        <v>#DIV/0!</v>
      </c>
      <c r="Q230" s="16" t="e">
        <f t="shared" si="30"/>
        <v>#DIV/0!</v>
      </c>
    </row>
    <row r="231" spans="9:17">
      <c r="I231" s="51" t="e">
        <f t="shared" si="28"/>
        <v>#DIV/0!</v>
      </c>
      <c r="J231" s="16" t="e">
        <f t="shared" si="31"/>
        <v>#DIV/0!</v>
      </c>
      <c r="M231" s="149" t="e">
        <f t="shared" si="32"/>
        <v>#DIV/0!</v>
      </c>
      <c r="O231" s="16" t="e">
        <f t="shared" si="33"/>
        <v>#DIV/0!</v>
      </c>
      <c r="Q231" s="16" t="e">
        <f t="shared" si="30"/>
        <v>#DIV/0!</v>
      </c>
    </row>
    <row r="232" spans="9:17">
      <c r="I232" s="51" t="e">
        <f t="shared" si="28"/>
        <v>#DIV/0!</v>
      </c>
      <c r="J232" s="16" t="e">
        <f t="shared" si="31"/>
        <v>#DIV/0!</v>
      </c>
      <c r="M232" s="149" t="e">
        <f t="shared" si="32"/>
        <v>#DIV/0!</v>
      </c>
      <c r="O232" s="16" t="e">
        <f t="shared" ref="O232:O250" si="34">N232*I232</f>
        <v>#DIV/0!</v>
      </c>
      <c r="Q232" s="16" t="e">
        <f t="shared" si="30"/>
        <v>#DIV/0!</v>
      </c>
    </row>
    <row r="233" spans="9:17">
      <c r="I233" s="51" t="e">
        <f t="shared" si="28"/>
        <v>#DIV/0!</v>
      </c>
      <c r="J233" s="16" t="e">
        <f t="shared" si="31"/>
        <v>#DIV/0!</v>
      </c>
      <c r="M233" s="149" t="e">
        <f t="shared" si="32"/>
        <v>#DIV/0!</v>
      </c>
      <c r="O233" s="16" t="e">
        <f t="shared" si="34"/>
        <v>#DIV/0!</v>
      </c>
      <c r="Q233" s="16" t="e">
        <f t="shared" si="30"/>
        <v>#DIV/0!</v>
      </c>
    </row>
    <row r="234" spans="9:17">
      <c r="I234" s="51" t="e">
        <f t="shared" si="28"/>
        <v>#DIV/0!</v>
      </c>
      <c r="J234" s="16" t="e">
        <f t="shared" si="31"/>
        <v>#DIV/0!</v>
      </c>
      <c r="M234" s="149" t="e">
        <f t="shared" si="32"/>
        <v>#DIV/0!</v>
      </c>
      <c r="O234" s="16" t="e">
        <f t="shared" si="34"/>
        <v>#DIV/0!</v>
      </c>
      <c r="Q234" s="16" t="e">
        <f t="shared" si="30"/>
        <v>#DIV/0!</v>
      </c>
    </row>
    <row r="235" spans="9:17">
      <c r="I235" s="51" t="e">
        <f t="shared" ref="I235:I298" si="35">AVERAGE(F235:H235)/D235</f>
        <v>#DIV/0!</v>
      </c>
      <c r="J235" s="16" t="e">
        <f t="shared" si="31"/>
        <v>#DIV/0!</v>
      </c>
      <c r="M235" s="149" t="e">
        <f t="shared" si="32"/>
        <v>#DIV/0!</v>
      </c>
      <c r="O235" s="16" t="e">
        <f t="shared" si="34"/>
        <v>#DIV/0!</v>
      </c>
      <c r="Q235" s="16" t="e">
        <f t="shared" si="30"/>
        <v>#DIV/0!</v>
      </c>
    </row>
    <row r="236" spans="9:17">
      <c r="I236" s="51" t="e">
        <f t="shared" si="35"/>
        <v>#DIV/0!</v>
      </c>
      <c r="J236" s="16" t="e">
        <f t="shared" si="31"/>
        <v>#DIV/0!</v>
      </c>
      <c r="M236" s="149" t="e">
        <f t="shared" si="32"/>
        <v>#DIV/0!</v>
      </c>
      <c r="O236" s="16" t="e">
        <f t="shared" si="34"/>
        <v>#DIV/0!</v>
      </c>
      <c r="Q236" s="16" t="e">
        <f t="shared" si="30"/>
        <v>#DIV/0!</v>
      </c>
    </row>
    <row r="237" spans="9:17">
      <c r="I237" s="51" t="e">
        <f t="shared" si="35"/>
        <v>#DIV/0!</v>
      </c>
      <c r="J237" s="16" t="e">
        <f t="shared" si="31"/>
        <v>#DIV/0!</v>
      </c>
      <c r="M237" s="149" t="e">
        <f t="shared" si="32"/>
        <v>#DIV/0!</v>
      </c>
      <c r="O237" s="16" t="e">
        <f t="shared" si="34"/>
        <v>#DIV/0!</v>
      </c>
      <c r="Q237" s="16" t="e">
        <f t="shared" si="30"/>
        <v>#DIV/0!</v>
      </c>
    </row>
    <row r="238" spans="9:17">
      <c r="I238" s="51" t="e">
        <f t="shared" si="35"/>
        <v>#DIV/0!</v>
      </c>
      <c r="J238" s="16" t="e">
        <f t="shared" si="31"/>
        <v>#DIV/0!</v>
      </c>
      <c r="M238" s="149" t="e">
        <f t="shared" si="32"/>
        <v>#DIV/0!</v>
      </c>
      <c r="O238" s="16" t="e">
        <f t="shared" si="34"/>
        <v>#DIV/0!</v>
      </c>
      <c r="Q238" s="16" t="e">
        <f t="shared" si="30"/>
        <v>#DIV/0!</v>
      </c>
    </row>
    <row r="239" spans="9:17">
      <c r="I239" s="51" t="e">
        <f t="shared" si="35"/>
        <v>#DIV/0!</v>
      </c>
      <c r="J239" s="16" t="e">
        <f t="shared" si="31"/>
        <v>#DIV/0!</v>
      </c>
      <c r="M239" s="149" t="e">
        <f t="shared" si="32"/>
        <v>#DIV/0!</v>
      </c>
      <c r="O239" s="16" t="e">
        <f t="shared" si="34"/>
        <v>#DIV/0!</v>
      </c>
      <c r="Q239" s="16" t="e">
        <f t="shared" si="30"/>
        <v>#DIV/0!</v>
      </c>
    </row>
    <row r="240" spans="9:17">
      <c r="I240" s="51" t="e">
        <f t="shared" si="35"/>
        <v>#DIV/0!</v>
      </c>
      <c r="J240" s="16" t="e">
        <f t="shared" si="31"/>
        <v>#DIV/0!</v>
      </c>
      <c r="M240" s="149" t="e">
        <f t="shared" si="32"/>
        <v>#DIV/0!</v>
      </c>
      <c r="O240" s="16" t="e">
        <f t="shared" si="34"/>
        <v>#DIV/0!</v>
      </c>
      <c r="Q240" s="16" t="e">
        <f t="shared" si="30"/>
        <v>#DIV/0!</v>
      </c>
    </row>
    <row r="241" spans="9:17">
      <c r="I241" s="51" t="e">
        <f t="shared" si="35"/>
        <v>#DIV/0!</v>
      </c>
      <c r="J241" s="16" t="e">
        <f t="shared" si="31"/>
        <v>#DIV/0!</v>
      </c>
      <c r="M241" s="149" t="e">
        <f t="shared" si="32"/>
        <v>#DIV/0!</v>
      </c>
      <c r="O241" s="16" t="e">
        <f t="shared" si="34"/>
        <v>#DIV/0!</v>
      </c>
      <c r="Q241" s="16" t="e">
        <f t="shared" si="30"/>
        <v>#DIV/0!</v>
      </c>
    </row>
    <row r="242" spans="9:17">
      <c r="I242" s="51" t="e">
        <f t="shared" si="35"/>
        <v>#DIV/0!</v>
      </c>
      <c r="J242" s="16" t="e">
        <f t="shared" si="31"/>
        <v>#DIV/0!</v>
      </c>
      <c r="M242" s="149" t="e">
        <f t="shared" si="32"/>
        <v>#DIV/0!</v>
      </c>
      <c r="O242" s="16" t="e">
        <f t="shared" si="34"/>
        <v>#DIV/0!</v>
      </c>
      <c r="Q242" s="16" t="e">
        <f t="shared" si="30"/>
        <v>#DIV/0!</v>
      </c>
    </row>
    <row r="243" spans="9:17">
      <c r="I243" s="51" t="e">
        <f t="shared" si="35"/>
        <v>#DIV/0!</v>
      </c>
      <c r="J243" s="16" t="e">
        <f t="shared" si="31"/>
        <v>#DIV/0!</v>
      </c>
      <c r="M243" s="149" t="e">
        <f t="shared" si="32"/>
        <v>#DIV/0!</v>
      </c>
      <c r="O243" s="16" t="e">
        <f t="shared" si="34"/>
        <v>#DIV/0!</v>
      </c>
      <c r="Q243" s="16" t="e">
        <f t="shared" si="30"/>
        <v>#DIV/0!</v>
      </c>
    </row>
    <row r="244" spans="9:17">
      <c r="I244" s="51" t="e">
        <f t="shared" si="35"/>
        <v>#DIV/0!</v>
      </c>
      <c r="J244" s="16" t="e">
        <f t="shared" si="31"/>
        <v>#DIV/0!</v>
      </c>
      <c r="M244" s="149" t="e">
        <f t="shared" si="32"/>
        <v>#DIV/0!</v>
      </c>
      <c r="O244" s="16" t="e">
        <f t="shared" si="34"/>
        <v>#DIV/0!</v>
      </c>
      <c r="Q244" s="16" t="e">
        <f t="shared" si="30"/>
        <v>#DIV/0!</v>
      </c>
    </row>
    <row r="245" spans="9:17">
      <c r="I245" s="51" t="e">
        <f t="shared" si="35"/>
        <v>#DIV/0!</v>
      </c>
      <c r="J245" s="16" t="e">
        <f t="shared" si="31"/>
        <v>#DIV/0!</v>
      </c>
      <c r="M245" s="149" t="e">
        <f t="shared" si="32"/>
        <v>#DIV/0!</v>
      </c>
      <c r="O245" s="16" t="e">
        <f t="shared" si="34"/>
        <v>#DIV/0!</v>
      </c>
      <c r="Q245" s="16" t="e">
        <f t="shared" si="30"/>
        <v>#DIV/0!</v>
      </c>
    </row>
    <row r="246" spans="9:17">
      <c r="I246" s="51" t="e">
        <f t="shared" si="35"/>
        <v>#DIV/0!</v>
      </c>
      <c r="J246" s="16" t="e">
        <f t="shared" si="31"/>
        <v>#DIV/0!</v>
      </c>
      <c r="M246" s="149" t="e">
        <f t="shared" si="32"/>
        <v>#DIV/0!</v>
      </c>
      <c r="O246" s="16" t="e">
        <f t="shared" si="34"/>
        <v>#DIV/0!</v>
      </c>
      <c r="Q246" s="16" t="e">
        <f t="shared" si="30"/>
        <v>#DIV/0!</v>
      </c>
    </row>
    <row r="247" spans="9:17">
      <c r="I247" s="51" t="e">
        <f t="shared" si="35"/>
        <v>#DIV/0!</v>
      </c>
      <c r="J247" s="16" t="e">
        <f t="shared" si="31"/>
        <v>#DIV/0!</v>
      </c>
      <c r="M247" s="149" t="e">
        <f t="shared" si="32"/>
        <v>#DIV/0!</v>
      </c>
      <c r="O247" s="16" t="e">
        <f t="shared" si="34"/>
        <v>#DIV/0!</v>
      </c>
      <c r="Q247" s="16" t="e">
        <f t="shared" si="30"/>
        <v>#DIV/0!</v>
      </c>
    </row>
    <row r="248" spans="9:17">
      <c r="I248" s="51" t="e">
        <f t="shared" si="35"/>
        <v>#DIV/0!</v>
      </c>
      <c r="J248" s="16" t="e">
        <f t="shared" si="31"/>
        <v>#DIV/0!</v>
      </c>
      <c r="M248" s="149" t="e">
        <f t="shared" si="32"/>
        <v>#DIV/0!</v>
      </c>
      <c r="O248" s="16" t="e">
        <f t="shared" si="34"/>
        <v>#DIV/0!</v>
      </c>
      <c r="Q248" s="16" t="e">
        <f t="shared" si="30"/>
        <v>#DIV/0!</v>
      </c>
    </row>
    <row r="249" spans="9:17">
      <c r="I249" s="51" t="e">
        <f t="shared" si="35"/>
        <v>#DIV/0!</v>
      </c>
      <c r="J249" s="16" t="e">
        <f t="shared" si="31"/>
        <v>#DIV/0!</v>
      </c>
      <c r="M249" s="149" t="e">
        <f t="shared" si="32"/>
        <v>#DIV/0!</v>
      </c>
      <c r="O249" s="16" t="e">
        <f t="shared" si="34"/>
        <v>#DIV/0!</v>
      </c>
      <c r="Q249" s="16" t="e">
        <f t="shared" si="30"/>
        <v>#DIV/0!</v>
      </c>
    </row>
    <row r="250" spans="9:17">
      <c r="I250" s="51" t="e">
        <f t="shared" si="35"/>
        <v>#DIV/0!</v>
      </c>
      <c r="J250" s="16" t="e">
        <f t="shared" si="31"/>
        <v>#DIV/0!</v>
      </c>
      <c r="M250" s="149" t="e">
        <f t="shared" si="32"/>
        <v>#DIV/0!</v>
      </c>
      <c r="O250" s="16" t="e">
        <f t="shared" si="34"/>
        <v>#DIV/0!</v>
      </c>
      <c r="Q250" s="16" t="e">
        <f t="shared" si="30"/>
        <v>#DIV/0!</v>
      </c>
    </row>
    <row r="251" spans="9:17">
      <c r="I251" s="51" t="e">
        <f t="shared" si="35"/>
        <v>#DIV/0!</v>
      </c>
      <c r="J251" s="16" t="e">
        <f t="shared" ref="J251:J265" si="36">I251*E251</f>
        <v>#DIV/0!</v>
      </c>
      <c r="M251" s="149" t="e">
        <f t="shared" si="32"/>
        <v>#DIV/0!</v>
      </c>
      <c r="O251" s="16" t="e">
        <f t="shared" ref="O251:O300" si="37">N251*I251</f>
        <v>#DIV/0!</v>
      </c>
      <c r="Q251" s="16" t="e">
        <f t="shared" si="30"/>
        <v>#DIV/0!</v>
      </c>
    </row>
    <row r="252" spans="9:17">
      <c r="I252" s="51" t="e">
        <f t="shared" si="35"/>
        <v>#DIV/0!</v>
      </c>
      <c r="J252" s="16" t="e">
        <f t="shared" si="36"/>
        <v>#DIV/0!</v>
      </c>
      <c r="M252" s="149" t="e">
        <f t="shared" si="32"/>
        <v>#DIV/0!</v>
      </c>
      <c r="O252" s="16" t="e">
        <f t="shared" si="37"/>
        <v>#DIV/0!</v>
      </c>
      <c r="Q252" s="16" t="e">
        <f t="shared" si="30"/>
        <v>#DIV/0!</v>
      </c>
    </row>
    <row r="253" spans="9:17">
      <c r="I253" s="51" t="e">
        <f t="shared" si="35"/>
        <v>#DIV/0!</v>
      </c>
      <c r="J253" s="16" t="e">
        <f t="shared" si="36"/>
        <v>#DIV/0!</v>
      </c>
      <c r="M253" s="149" t="e">
        <f t="shared" si="32"/>
        <v>#DIV/0!</v>
      </c>
      <c r="O253" s="16" t="e">
        <f t="shared" si="37"/>
        <v>#DIV/0!</v>
      </c>
      <c r="Q253" s="16" t="e">
        <f t="shared" si="30"/>
        <v>#DIV/0!</v>
      </c>
    </row>
    <row r="254" spans="9:17">
      <c r="I254" s="51" t="e">
        <f t="shared" si="35"/>
        <v>#DIV/0!</v>
      </c>
      <c r="J254" s="16" t="e">
        <f t="shared" si="36"/>
        <v>#DIV/0!</v>
      </c>
      <c r="M254" s="149" t="e">
        <f t="shared" si="32"/>
        <v>#DIV/0!</v>
      </c>
      <c r="O254" s="16" t="e">
        <f t="shared" si="37"/>
        <v>#DIV/0!</v>
      </c>
      <c r="Q254" s="16" t="e">
        <f t="shared" si="30"/>
        <v>#DIV/0!</v>
      </c>
    </row>
    <row r="255" spans="9:17">
      <c r="I255" s="51" t="e">
        <f t="shared" si="35"/>
        <v>#DIV/0!</v>
      </c>
      <c r="J255" s="16" t="e">
        <f t="shared" si="36"/>
        <v>#DIV/0!</v>
      </c>
      <c r="M255" s="149" t="e">
        <f t="shared" si="32"/>
        <v>#DIV/0!</v>
      </c>
      <c r="O255" s="16" t="e">
        <f t="shared" si="37"/>
        <v>#DIV/0!</v>
      </c>
      <c r="Q255" s="16" t="e">
        <f t="shared" si="30"/>
        <v>#DIV/0!</v>
      </c>
    </row>
    <row r="256" spans="9:17">
      <c r="I256" s="51" t="e">
        <f t="shared" si="35"/>
        <v>#DIV/0!</v>
      </c>
      <c r="J256" s="16" t="e">
        <f t="shared" si="36"/>
        <v>#DIV/0!</v>
      </c>
      <c r="M256" s="149" t="e">
        <f t="shared" si="32"/>
        <v>#DIV/0!</v>
      </c>
      <c r="O256" s="16" t="e">
        <f t="shared" si="37"/>
        <v>#DIV/0!</v>
      </c>
      <c r="Q256" s="16" t="e">
        <f t="shared" si="30"/>
        <v>#DIV/0!</v>
      </c>
    </row>
    <row r="257" spans="9:17">
      <c r="I257" s="51" t="e">
        <f t="shared" si="35"/>
        <v>#DIV/0!</v>
      </c>
      <c r="J257" s="16" t="e">
        <f t="shared" si="36"/>
        <v>#DIV/0!</v>
      </c>
      <c r="M257" s="149" t="e">
        <f t="shared" si="32"/>
        <v>#DIV/0!</v>
      </c>
      <c r="O257" s="16" t="e">
        <f t="shared" si="37"/>
        <v>#DIV/0!</v>
      </c>
      <c r="Q257" s="16" t="e">
        <f t="shared" ref="Q257:Q300" si="38">J257-O257</f>
        <v>#DIV/0!</v>
      </c>
    </row>
    <row r="258" spans="9:17">
      <c r="I258" s="51" t="e">
        <f t="shared" si="35"/>
        <v>#DIV/0!</v>
      </c>
      <c r="J258" s="16" t="e">
        <f t="shared" si="36"/>
        <v>#DIV/0!</v>
      </c>
      <c r="M258" s="149" t="e">
        <f t="shared" si="32"/>
        <v>#DIV/0!</v>
      </c>
      <c r="O258" s="16" t="e">
        <f t="shared" si="37"/>
        <v>#DIV/0!</v>
      </c>
      <c r="Q258" s="16" t="e">
        <f t="shared" si="38"/>
        <v>#DIV/0!</v>
      </c>
    </row>
    <row r="259" spans="9:17">
      <c r="I259" s="51" t="e">
        <f t="shared" si="35"/>
        <v>#DIV/0!</v>
      </c>
      <c r="J259" s="16" t="e">
        <f t="shared" si="36"/>
        <v>#DIV/0!</v>
      </c>
      <c r="M259" s="149" t="e">
        <f t="shared" si="32"/>
        <v>#DIV/0!</v>
      </c>
      <c r="O259" s="16" t="e">
        <f t="shared" si="37"/>
        <v>#DIV/0!</v>
      </c>
      <c r="Q259" s="16" t="e">
        <f t="shared" si="38"/>
        <v>#DIV/0!</v>
      </c>
    </row>
    <row r="260" spans="9:17">
      <c r="I260" s="51" t="e">
        <f t="shared" si="35"/>
        <v>#DIV/0!</v>
      </c>
      <c r="J260" s="16" t="e">
        <f t="shared" si="36"/>
        <v>#DIV/0!</v>
      </c>
      <c r="M260" s="149" t="e">
        <f t="shared" si="32"/>
        <v>#DIV/0!</v>
      </c>
      <c r="O260" s="16" t="e">
        <f t="shared" si="37"/>
        <v>#DIV/0!</v>
      </c>
      <c r="Q260" s="16" t="e">
        <f t="shared" si="38"/>
        <v>#DIV/0!</v>
      </c>
    </row>
    <row r="261" spans="9:17">
      <c r="I261" s="51" t="e">
        <f t="shared" si="35"/>
        <v>#DIV/0!</v>
      </c>
      <c r="J261" s="16" t="e">
        <f t="shared" si="36"/>
        <v>#DIV/0!</v>
      </c>
      <c r="M261" s="149" t="e">
        <f t="shared" si="32"/>
        <v>#DIV/0!</v>
      </c>
      <c r="O261" s="16" t="e">
        <f t="shared" si="37"/>
        <v>#DIV/0!</v>
      </c>
      <c r="Q261" s="16" t="e">
        <f t="shared" si="38"/>
        <v>#DIV/0!</v>
      </c>
    </row>
    <row r="262" spans="9:17">
      <c r="I262" s="51" t="e">
        <f t="shared" si="35"/>
        <v>#DIV/0!</v>
      </c>
      <c r="J262" s="16" t="e">
        <f t="shared" si="36"/>
        <v>#DIV/0!</v>
      </c>
      <c r="M262" s="149" t="e">
        <f t="shared" si="32"/>
        <v>#DIV/0!</v>
      </c>
      <c r="O262" s="16" t="e">
        <f t="shared" si="37"/>
        <v>#DIV/0!</v>
      </c>
      <c r="Q262" s="16" t="e">
        <f t="shared" si="38"/>
        <v>#DIV/0!</v>
      </c>
    </row>
    <row r="263" spans="9:17">
      <c r="I263" s="51" t="e">
        <f t="shared" si="35"/>
        <v>#DIV/0!</v>
      </c>
      <c r="J263" s="16" t="e">
        <f t="shared" si="36"/>
        <v>#DIV/0!</v>
      </c>
      <c r="M263" s="149" t="e">
        <f t="shared" si="32"/>
        <v>#DIV/0!</v>
      </c>
      <c r="O263" s="16" t="e">
        <f t="shared" si="37"/>
        <v>#DIV/0!</v>
      </c>
      <c r="Q263" s="16" t="e">
        <f t="shared" si="38"/>
        <v>#DIV/0!</v>
      </c>
    </row>
    <row r="264" spans="9:17">
      <c r="I264" s="51" t="e">
        <f t="shared" si="35"/>
        <v>#DIV/0!</v>
      </c>
      <c r="J264" s="16" t="e">
        <f t="shared" si="36"/>
        <v>#DIV/0!</v>
      </c>
      <c r="M264" s="149" t="e">
        <f t="shared" si="32"/>
        <v>#DIV/0!</v>
      </c>
      <c r="O264" s="16" t="e">
        <f t="shared" si="37"/>
        <v>#DIV/0!</v>
      </c>
      <c r="Q264" s="16" t="e">
        <f t="shared" si="38"/>
        <v>#DIV/0!</v>
      </c>
    </row>
    <row r="265" spans="9:17">
      <c r="I265" s="51" t="e">
        <f t="shared" si="35"/>
        <v>#DIV/0!</v>
      </c>
      <c r="J265" s="16" t="e">
        <f t="shared" si="36"/>
        <v>#DIV/0!</v>
      </c>
      <c r="M265" s="149" t="e">
        <f t="shared" si="32"/>
        <v>#DIV/0!</v>
      </c>
      <c r="O265" s="16" t="e">
        <f t="shared" si="37"/>
        <v>#DIV/0!</v>
      </c>
      <c r="Q265" s="16" t="e">
        <f t="shared" si="38"/>
        <v>#DIV/0!</v>
      </c>
    </row>
    <row r="266" spans="9:17">
      <c r="I266" s="51" t="e">
        <f t="shared" si="35"/>
        <v>#DIV/0!</v>
      </c>
      <c r="J266" s="16" t="e">
        <f t="shared" ref="J266:J300" si="39">I266*E266</f>
        <v>#DIV/0!</v>
      </c>
      <c r="M266" s="149" t="e">
        <f t="shared" si="32"/>
        <v>#DIV/0!</v>
      </c>
      <c r="O266" s="16" t="e">
        <f t="shared" si="37"/>
        <v>#DIV/0!</v>
      </c>
      <c r="Q266" s="16" t="e">
        <f t="shared" si="38"/>
        <v>#DIV/0!</v>
      </c>
    </row>
    <row r="267" spans="9:17">
      <c r="I267" s="51" t="e">
        <f t="shared" si="35"/>
        <v>#DIV/0!</v>
      </c>
      <c r="J267" s="16" t="e">
        <f t="shared" si="39"/>
        <v>#DIV/0!</v>
      </c>
      <c r="M267" s="149" t="e">
        <f t="shared" si="32"/>
        <v>#DIV/0!</v>
      </c>
      <c r="O267" s="16" t="e">
        <f t="shared" si="37"/>
        <v>#DIV/0!</v>
      </c>
      <c r="Q267" s="16" t="e">
        <f t="shared" si="38"/>
        <v>#DIV/0!</v>
      </c>
    </row>
    <row r="268" spans="9:17">
      <c r="I268" s="51" t="e">
        <f t="shared" si="35"/>
        <v>#DIV/0!</v>
      </c>
      <c r="J268" s="16" t="e">
        <f t="shared" si="39"/>
        <v>#DIV/0!</v>
      </c>
      <c r="M268" s="149" t="e">
        <f t="shared" si="32"/>
        <v>#DIV/0!</v>
      </c>
      <c r="O268" s="16" t="e">
        <f t="shared" si="37"/>
        <v>#DIV/0!</v>
      </c>
      <c r="Q268" s="16" t="e">
        <f t="shared" si="38"/>
        <v>#DIV/0!</v>
      </c>
    </row>
    <row r="269" spans="9:17">
      <c r="I269" s="51" t="e">
        <f t="shared" si="35"/>
        <v>#DIV/0!</v>
      </c>
      <c r="J269" s="16" t="e">
        <f t="shared" si="39"/>
        <v>#DIV/0!</v>
      </c>
      <c r="M269" s="149" t="e">
        <f t="shared" si="32"/>
        <v>#DIV/0!</v>
      </c>
      <c r="O269" s="16" t="e">
        <f t="shared" si="37"/>
        <v>#DIV/0!</v>
      </c>
      <c r="Q269" s="16" t="e">
        <f t="shared" si="38"/>
        <v>#DIV/0!</v>
      </c>
    </row>
    <row r="270" spans="9:17">
      <c r="I270" s="51" t="e">
        <f t="shared" si="35"/>
        <v>#DIV/0!</v>
      </c>
      <c r="J270" s="16" t="e">
        <f t="shared" si="39"/>
        <v>#DIV/0!</v>
      </c>
      <c r="M270" s="149" t="e">
        <f t="shared" si="32"/>
        <v>#DIV/0!</v>
      </c>
      <c r="O270" s="16" t="e">
        <f t="shared" si="37"/>
        <v>#DIV/0!</v>
      </c>
      <c r="Q270" s="16" t="e">
        <f t="shared" si="38"/>
        <v>#DIV/0!</v>
      </c>
    </row>
    <row r="271" spans="9:17">
      <c r="I271" s="51" t="e">
        <f t="shared" si="35"/>
        <v>#DIV/0!</v>
      </c>
      <c r="J271" s="16" t="e">
        <f t="shared" si="39"/>
        <v>#DIV/0!</v>
      </c>
      <c r="M271" s="149" t="e">
        <f t="shared" si="32"/>
        <v>#DIV/0!</v>
      </c>
      <c r="O271" s="16" t="e">
        <f t="shared" si="37"/>
        <v>#DIV/0!</v>
      </c>
      <c r="Q271" s="16" t="e">
        <f t="shared" si="38"/>
        <v>#DIV/0!</v>
      </c>
    </row>
    <row r="272" spans="9:17">
      <c r="I272" s="51" t="e">
        <f t="shared" si="35"/>
        <v>#DIV/0!</v>
      </c>
      <c r="J272" s="16" t="e">
        <f t="shared" si="39"/>
        <v>#DIV/0!</v>
      </c>
      <c r="M272" s="149" t="e">
        <f t="shared" ref="M272:M300" si="40">L272/I272</f>
        <v>#DIV/0!</v>
      </c>
      <c r="O272" s="16" t="e">
        <f t="shared" si="37"/>
        <v>#DIV/0!</v>
      </c>
      <c r="Q272" s="16" t="e">
        <f t="shared" si="38"/>
        <v>#DIV/0!</v>
      </c>
    </row>
    <row r="273" spans="9:17">
      <c r="I273" s="51" t="e">
        <f t="shared" si="35"/>
        <v>#DIV/0!</v>
      </c>
      <c r="J273" s="16" t="e">
        <f t="shared" si="39"/>
        <v>#DIV/0!</v>
      </c>
      <c r="M273" s="149" t="e">
        <f t="shared" si="40"/>
        <v>#DIV/0!</v>
      </c>
      <c r="O273" s="16" t="e">
        <f t="shared" si="37"/>
        <v>#DIV/0!</v>
      </c>
      <c r="Q273" s="16" t="e">
        <f t="shared" si="38"/>
        <v>#DIV/0!</v>
      </c>
    </row>
    <row r="274" spans="9:17">
      <c r="I274" s="51" t="e">
        <f t="shared" si="35"/>
        <v>#DIV/0!</v>
      </c>
      <c r="J274" s="16" t="e">
        <f t="shared" si="39"/>
        <v>#DIV/0!</v>
      </c>
      <c r="M274" s="149" t="e">
        <f t="shared" si="40"/>
        <v>#DIV/0!</v>
      </c>
      <c r="O274" s="16" t="e">
        <f t="shared" si="37"/>
        <v>#DIV/0!</v>
      </c>
      <c r="Q274" s="16" t="e">
        <f t="shared" si="38"/>
        <v>#DIV/0!</v>
      </c>
    </row>
    <row r="275" spans="9:17">
      <c r="I275" s="51" t="e">
        <f t="shared" si="35"/>
        <v>#DIV/0!</v>
      </c>
      <c r="J275" s="16" t="e">
        <f t="shared" si="39"/>
        <v>#DIV/0!</v>
      </c>
      <c r="M275" s="149" t="e">
        <f t="shared" si="40"/>
        <v>#DIV/0!</v>
      </c>
      <c r="O275" s="16" t="e">
        <f t="shared" si="37"/>
        <v>#DIV/0!</v>
      </c>
      <c r="Q275" s="16" t="e">
        <f t="shared" si="38"/>
        <v>#DIV/0!</v>
      </c>
    </row>
    <row r="276" spans="9:17">
      <c r="I276" s="51" t="e">
        <f t="shared" si="35"/>
        <v>#DIV/0!</v>
      </c>
      <c r="J276" s="16" t="e">
        <f t="shared" si="39"/>
        <v>#DIV/0!</v>
      </c>
      <c r="M276" s="149" t="e">
        <f t="shared" si="40"/>
        <v>#DIV/0!</v>
      </c>
      <c r="O276" s="16" t="e">
        <f t="shared" si="37"/>
        <v>#DIV/0!</v>
      </c>
      <c r="Q276" s="16" t="e">
        <f t="shared" si="38"/>
        <v>#DIV/0!</v>
      </c>
    </row>
    <row r="277" spans="9:17">
      <c r="I277" s="51" t="e">
        <f t="shared" si="35"/>
        <v>#DIV/0!</v>
      </c>
      <c r="J277" s="16" t="e">
        <f t="shared" si="39"/>
        <v>#DIV/0!</v>
      </c>
      <c r="M277" s="149" t="e">
        <f t="shared" si="40"/>
        <v>#DIV/0!</v>
      </c>
      <c r="O277" s="16" t="e">
        <f t="shared" si="37"/>
        <v>#DIV/0!</v>
      </c>
      <c r="Q277" s="16" t="e">
        <f t="shared" si="38"/>
        <v>#DIV/0!</v>
      </c>
    </row>
    <row r="278" spans="9:17">
      <c r="I278" s="51" t="e">
        <f t="shared" si="35"/>
        <v>#DIV/0!</v>
      </c>
      <c r="J278" s="16" t="e">
        <f t="shared" si="39"/>
        <v>#DIV/0!</v>
      </c>
      <c r="M278" s="149" t="e">
        <f t="shared" si="40"/>
        <v>#DIV/0!</v>
      </c>
      <c r="O278" s="16" t="e">
        <f t="shared" si="37"/>
        <v>#DIV/0!</v>
      </c>
      <c r="Q278" s="16" t="e">
        <f t="shared" si="38"/>
        <v>#DIV/0!</v>
      </c>
    </row>
    <row r="279" spans="9:17">
      <c r="I279" s="51" t="e">
        <f t="shared" si="35"/>
        <v>#DIV/0!</v>
      </c>
      <c r="J279" s="16" t="e">
        <f t="shared" si="39"/>
        <v>#DIV/0!</v>
      </c>
      <c r="M279" s="149" t="e">
        <f t="shared" si="40"/>
        <v>#DIV/0!</v>
      </c>
      <c r="O279" s="16" t="e">
        <f t="shared" si="37"/>
        <v>#DIV/0!</v>
      </c>
      <c r="Q279" s="16" t="e">
        <f t="shared" si="38"/>
        <v>#DIV/0!</v>
      </c>
    </row>
    <row r="280" spans="9:17">
      <c r="I280" s="51" t="e">
        <f t="shared" si="35"/>
        <v>#DIV/0!</v>
      </c>
      <c r="J280" s="16" t="e">
        <f t="shared" si="39"/>
        <v>#DIV/0!</v>
      </c>
      <c r="M280" s="149" t="e">
        <f t="shared" si="40"/>
        <v>#DIV/0!</v>
      </c>
      <c r="O280" s="16" t="e">
        <f t="shared" si="37"/>
        <v>#DIV/0!</v>
      </c>
      <c r="Q280" s="16" t="e">
        <f t="shared" si="38"/>
        <v>#DIV/0!</v>
      </c>
    </row>
    <row r="281" spans="9:17">
      <c r="I281" s="51" t="e">
        <f t="shared" si="35"/>
        <v>#DIV/0!</v>
      </c>
      <c r="J281" s="16" t="e">
        <f t="shared" si="39"/>
        <v>#DIV/0!</v>
      </c>
      <c r="M281" s="149" t="e">
        <f t="shared" si="40"/>
        <v>#DIV/0!</v>
      </c>
      <c r="O281" s="16" t="e">
        <f t="shared" si="37"/>
        <v>#DIV/0!</v>
      </c>
      <c r="Q281" s="16" t="e">
        <f t="shared" si="38"/>
        <v>#DIV/0!</v>
      </c>
    </row>
    <row r="282" spans="9:17">
      <c r="I282" s="51" t="e">
        <f t="shared" si="35"/>
        <v>#DIV/0!</v>
      </c>
      <c r="J282" s="16" t="e">
        <f t="shared" si="39"/>
        <v>#DIV/0!</v>
      </c>
      <c r="M282" s="149" t="e">
        <f t="shared" si="40"/>
        <v>#DIV/0!</v>
      </c>
      <c r="O282" s="16" t="e">
        <f t="shared" si="37"/>
        <v>#DIV/0!</v>
      </c>
      <c r="Q282" s="16" t="e">
        <f t="shared" si="38"/>
        <v>#DIV/0!</v>
      </c>
    </row>
    <row r="283" spans="9:17">
      <c r="I283" s="51" t="e">
        <f t="shared" si="35"/>
        <v>#DIV/0!</v>
      </c>
      <c r="J283" s="16" t="e">
        <f t="shared" si="39"/>
        <v>#DIV/0!</v>
      </c>
      <c r="M283" s="149" t="e">
        <f t="shared" si="40"/>
        <v>#DIV/0!</v>
      </c>
      <c r="O283" s="16" t="e">
        <f t="shared" si="37"/>
        <v>#DIV/0!</v>
      </c>
      <c r="Q283" s="16" t="e">
        <f t="shared" si="38"/>
        <v>#DIV/0!</v>
      </c>
    </row>
    <row r="284" spans="9:17">
      <c r="I284" s="51" t="e">
        <f t="shared" si="35"/>
        <v>#DIV/0!</v>
      </c>
      <c r="J284" s="16" t="e">
        <f t="shared" si="39"/>
        <v>#DIV/0!</v>
      </c>
      <c r="M284" s="149" t="e">
        <f t="shared" si="40"/>
        <v>#DIV/0!</v>
      </c>
      <c r="O284" s="16" t="e">
        <f t="shared" si="37"/>
        <v>#DIV/0!</v>
      </c>
      <c r="Q284" s="16" t="e">
        <f t="shared" si="38"/>
        <v>#DIV/0!</v>
      </c>
    </row>
    <row r="285" spans="9:17">
      <c r="I285" s="51" t="e">
        <f t="shared" si="35"/>
        <v>#DIV/0!</v>
      </c>
      <c r="J285" s="16" t="e">
        <f t="shared" si="39"/>
        <v>#DIV/0!</v>
      </c>
      <c r="M285" s="149" t="e">
        <f t="shared" si="40"/>
        <v>#DIV/0!</v>
      </c>
      <c r="O285" s="16" t="e">
        <f t="shared" si="37"/>
        <v>#DIV/0!</v>
      </c>
      <c r="Q285" s="16" t="e">
        <f t="shared" si="38"/>
        <v>#DIV/0!</v>
      </c>
    </row>
    <row r="286" spans="9:17">
      <c r="I286" s="51" t="e">
        <f t="shared" si="35"/>
        <v>#DIV/0!</v>
      </c>
      <c r="J286" s="16" t="e">
        <f t="shared" si="39"/>
        <v>#DIV/0!</v>
      </c>
      <c r="M286" s="149" t="e">
        <f t="shared" si="40"/>
        <v>#DIV/0!</v>
      </c>
      <c r="O286" s="16" t="e">
        <f t="shared" si="37"/>
        <v>#DIV/0!</v>
      </c>
      <c r="Q286" s="16" t="e">
        <f t="shared" si="38"/>
        <v>#DIV/0!</v>
      </c>
    </row>
    <row r="287" spans="9:17">
      <c r="I287" s="51" t="e">
        <f t="shared" si="35"/>
        <v>#DIV/0!</v>
      </c>
      <c r="J287" s="16" t="e">
        <f t="shared" si="39"/>
        <v>#DIV/0!</v>
      </c>
      <c r="M287" s="149" t="e">
        <f t="shared" si="40"/>
        <v>#DIV/0!</v>
      </c>
      <c r="O287" s="16" t="e">
        <f t="shared" si="37"/>
        <v>#DIV/0!</v>
      </c>
      <c r="Q287" s="16" t="e">
        <f t="shared" si="38"/>
        <v>#DIV/0!</v>
      </c>
    </row>
    <row r="288" spans="9:17">
      <c r="I288" s="51" t="e">
        <f t="shared" si="35"/>
        <v>#DIV/0!</v>
      </c>
      <c r="J288" s="16" t="e">
        <f t="shared" si="39"/>
        <v>#DIV/0!</v>
      </c>
      <c r="M288" s="149" t="e">
        <f t="shared" si="40"/>
        <v>#DIV/0!</v>
      </c>
      <c r="O288" s="16" t="e">
        <f t="shared" si="37"/>
        <v>#DIV/0!</v>
      </c>
      <c r="Q288" s="16" t="e">
        <f t="shared" si="38"/>
        <v>#DIV/0!</v>
      </c>
    </row>
    <row r="289" spans="9:17">
      <c r="I289" s="51" t="e">
        <f t="shared" si="35"/>
        <v>#DIV/0!</v>
      </c>
      <c r="J289" s="16" t="e">
        <f t="shared" si="39"/>
        <v>#DIV/0!</v>
      </c>
      <c r="M289" s="149" t="e">
        <f t="shared" si="40"/>
        <v>#DIV/0!</v>
      </c>
      <c r="O289" s="16" t="e">
        <f t="shared" si="37"/>
        <v>#DIV/0!</v>
      </c>
      <c r="Q289" s="16" t="e">
        <f t="shared" si="38"/>
        <v>#DIV/0!</v>
      </c>
    </row>
    <row r="290" spans="9:17">
      <c r="I290" s="51" t="e">
        <f t="shared" si="35"/>
        <v>#DIV/0!</v>
      </c>
      <c r="J290" s="16" t="e">
        <f t="shared" si="39"/>
        <v>#DIV/0!</v>
      </c>
      <c r="M290" s="149" t="e">
        <f t="shared" si="40"/>
        <v>#DIV/0!</v>
      </c>
      <c r="O290" s="16" t="e">
        <f t="shared" si="37"/>
        <v>#DIV/0!</v>
      </c>
      <c r="Q290" s="16" t="e">
        <f t="shared" si="38"/>
        <v>#DIV/0!</v>
      </c>
    </row>
    <row r="291" spans="9:17">
      <c r="I291" s="51" t="e">
        <f t="shared" si="35"/>
        <v>#DIV/0!</v>
      </c>
      <c r="J291" s="16" t="e">
        <f t="shared" si="39"/>
        <v>#DIV/0!</v>
      </c>
      <c r="M291" s="149" t="e">
        <f t="shared" si="40"/>
        <v>#DIV/0!</v>
      </c>
      <c r="O291" s="16" t="e">
        <f t="shared" si="37"/>
        <v>#DIV/0!</v>
      </c>
      <c r="Q291" s="16" t="e">
        <f t="shared" si="38"/>
        <v>#DIV/0!</v>
      </c>
    </row>
    <row r="292" spans="9:17">
      <c r="I292" s="51" t="e">
        <f t="shared" si="35"/>
        <v>#DIV/0!</v>
      </c>
      <c r="J292" s="16" t="e">
        <f t="shared" si="39"/>
        <v>#DIV/0!</v>
      </c>
      <c r="M292" s="149" t="e">
        <f t="shared" si="40"/>
        <v>#DIV/0!</v>
      </c>
      <c r="O292" s="16" t="e">
        <f t="shared" si="37"/>
        <v>#DIV/0!</v>
      </c>
      <c r="Q292" s="16" t="e">
        <f t="shared" si="38"/>
        <v>#DIV/0!</v>
      </c>
    </row>
    <row r="293" spans="9:17">
      <c r="I293" s="51" t="e">
        <f t="shared" si="35"/>
        <v>#DIV/0!</v>
      </c>
      <c r="J293" s="16" t="e">
        <f t="shared" si="39"/>
        <v>#DIV/0!</v>
      </c>
      <c r="M293" s="149" t="e">
        <f t="shared" si="40"/>
        <v>#DIV/0!</v>
      </c>
      <c r="O293" s="16" t="e">
        <f t="shared" si="37"/>
        <v>#DIV/0!</v>
      </c>
      <c r="Q293" s="16" t="e">
        <f t="shared" si="38"/>
        <v>#DIV/0!</v>
      </c>
    </row>
    <row r="294" spans="9:17">
      <c r="I294" s="51" t="e">
        <f t="shared" si="35"/>
        <v>#DIV/0!</v>
      </c>
      <c r="J294" s="16" t="e">
        <f t="shared" si="39"/>
        <v>#DIV/0!</v>
      </c>
      <c r="M294" s="149" t="e">
        <f t="shared" si="40"/>
        <v>#DIV/0!</v>
      </c>
      <c r="O294" s="16" t="e">
        <f t="shared" si="37"/>
        <v>#DIV/0!</v>
      </c>
      <c r="Q294" s="16" t="e">
        <f t="shared" si="38"/>
        <v>#DIV/0!</v>
      </c>
    </row>
    <row r="295" spans="9:17">
      <c r="I295" s="51" t="e">
        <f t="shared" si="35"/>
        <v>#DIV/0!</v>
      </c>
      <c r="J295" s="16" t="e">
        <f t="shared" si="39"/>
        <v>#DIV/0!</v>
      </c>
      <c r="M295" s="149" t="e">
        <f t="shared" si="40"/>
        <v>#DIV/0!</v>
      </c>
      <c r="O295" s="16" t="e">
        <f t="shared" si="37"/>
        <v>#DIV/0!</v>
      </c>
      <c r="Q295" s="16" t="e">
        <f t="shared" si="38"/>
        <v>#DIV/0!</v>
      </c>
    </row>
    <row r="296" spans="9:17">
      <c r="I296" s="51" t="e">
        <f t="shared" si="35"/>
        <v>#DIV/0!</v>
      </c>
      <c r="J296" s="16" t="e">
        <f t="shared" si="39"/>
        <v>#DIV/0!</v>
      </c>
      <c r="M296" s="149" t="e">
        <f t="shared" si="40"/>
        <v>#DIV/0!</v>
      </c>
      <c r="O296" s="16" t="e">
        <f t="shared" si="37"/>
        <v>#DIV/0!</v>
      </c>
      <c r="Q296" s="16" t="e">
        <f t="shared" si="38"/>
        <v>#DIV/0!</v>
      </c>
    </row>
    <row r="297" spans="9:17">
      <c r="I297" s="51" t="e">
        <f t="shared" si="35"/>
        <v>#DIV/0!</v>
      </c>
      <c r="J297" s="16" t="e">
        <f t="shared" si="39"/>
        <v>#DIV/0!</v>
      </c>
      <c r="M297" s="149" t="e">
        <f t="shared" si="40"/>
        <v>#DIV/0!</v>
      </c>
      <c r="O297" s="16" t="e">
        <f t="shared" si="37"/>
        <v>#DIV/0!</v>
      </c>
      <c r="Q297" s="16" t="e">
        <f t="shared" si="38"/>
        <v>#DIV/0!</v>
      </c>
    </row>
    <row r="298" spans="9:17">
      <c r="I298" s="51" t="e">
        <f t="shared" si="35"/>
        <v>#DIV/0!</v>
      </c>
      <c r="J298" s="16" t="e">
        <f t="shared" si="39"/>
        <v>#DIV/0!</v>
      </c>
      <c r="M298" s="149" t="e">
        <f t="shared" si="40"/>
        <v>#DIV/0!</v>
      </c>
      <c r="O298" s="16" t="e">
        <f t="shared" si="37"/>
        <v>#DIV/0!</v>
      </c>
      <c r="Q298" s="16" t="e">
        <f t="shared" si="38"/>
        <v>#DIV/0!</v>
      </c>
    </row>
    <row r="299" spans="9:17">
      <c r="I299" s="51" t="e">
        <f t="shared" ref="I299:I300" si="41">AVERAGE(F299:H299)/D299</f>
        <v>#DIV/0!</v>
      </c>
      <c r="J299" s="16" t="e">
        <f t="shared" si="39"/>
        <v>#DIV/0!</v>
      </c>
      <c r="M299" s="149" t="e">
        <f t="shared" si="40"/>
        <v>#DIV/0!</v>
      </c>
      <c r="O299" s="16" t="e">
        <f t="shared" si="37"/>
        <v>#DIV/0!</v>
      </c>
      <c r="Q299" s="16" t="e">
        <f t="shared" si="38"/>
        <v>#DIV/0!</v>
      </c>
    </row>
    <row r="300" spans="9:17">
      <c r="I300" s="51" t="e">
        <f t="shared" si="41"/>
        <v>#DIV/0!</v>
      </c>
      <c r="J300" s="16" t="e">
        <f t="shared" si="39"/>
        <v>#DIV/0!</v>
      </c>
      <c r="M300" s="149" t="e">
        <f t="shared" si="40"/>
        <v>#DIV/0!</v>
      </c>
      <c r="O300" s="16" t="e">
        <f t="shared" si="37"/>
        <v>#DIV/0!</v>
      </c>
      <c r="Q300" s="16" t="e">
        <f t="shared" si="38"/>
        <v>#DIV/0!</v>
      </c>
    </row>
    <row r="1048576" spans="1:1">
      <c r="A1048576" s="39"/>
    </row>
  </sheetData>
  <dataValidations count="1">
    <dataValidation type="list" allowBlank="1" showInputMessage="1" showErrorMessage="1" promptTitle="Treatment Group" sqref="B1:B141">
      <formula1>$B$4:$B$27</formula1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Treatment Group">
          <x14:formula1>
            <xm:f>'Total Larvae to Date'!$A$28:$A$51</xm:f>
          </x14:formula1>
          <xm:sqref>B143:B1048576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0"/>
  <sheetViews>
    <sheetView tabSelected="1" showRuler="0" zoomScale="90" zoomScaleNormal="90" zoomScalePageLayoutView="90" workbookViewId="0">
      <pane ySplit="1140" topLeftCell="A261" activePane="bottomLeft"/>
      <selection activeCell="D1" sqref="D1:D1048576"/>
      <selection pane="bottomLeft" activeCell="S282" sqref="S282"/>
    </sheetView>
  </sheetViews>
  <sheetFormatPr baseColWidth="10" defaultRowHeight="15" x14ac:dyDescent="0"/>
  <cols>
    <col min="1" max="1" width="11.6640625" bestFit="1" customWidth="1"/>
    <col min="2" max="2" width="12.1640625" style="33" hidden="1" customWidth="1"/>
    <col min="3" max="3" width="26.6640625" style="33" hidden="1" customWidth="1"/>
    <col min="4" max="4" width="15.1640625" bestFit="1" customWidth="1"/>
    <col min="5" max="5" width="10.83203125" customWidth="1"/>
    <col min="6" max="6" width="10.83203125" style="1" customWidth="1"/>
    <col min="7" max="7" width="13.33203125" customWidth="1"/>
    <col min="8" max="15" width="10.83203125" customWidth="1"/>
    <col min="16" max="17" width="16.33203125" style="20" customWidth="1"/>
    <col min="18" max="18" width="19.83203125" style="108" hidden="1" customWidth="1"/>
    <col min="19" max="19" width="16.33203125" style="107" customWidth="1"/>
    <col min="20" max="20" width="11.6640625" customWidth="1"/>
    <col min="21" max="21" width="22.1640625" customWidth="1"/>
    <col min="22" max="22" width="16.33203125" customWidth="1"/>
    <col min="23" max="23" width="19.33203125" customWidth="1"/>
    <col min="24" max="24" width="12" bestFit="1" customWidth="1"/>
  </cols>
  <sheetData>
    <row r="1" spans="1:22" s="18" customFormat="1" ht="50" customHeight="1" thickBot="1">
      <c r="A1" s="18" t="s">
        <v>81</v>
      </c>
      <c r="B1" s="18" t="s">
        <v>83</v>
      </c>
      <c r="C1" s="18" t="s">
        <v>167</v>
      </c>
      <c r="D1" s="18" t="s">
        <v>1</v>
      </c>
      <c r="E1" s="18" t="s">
        <v>2</v>
      </c>
      <c r="F1" s="18" t="s">
        <v>69</v>
      </c>
      <c r="G1" s="18" t="s">
        <v>211</v>
      </c>
      <c r="H1" s="18" t="s">
        <v>4</v>
      </c>
      <c r="I1" s="18" t="s">
        <v>146</v>
      </c>
      <c r="J1" s="18" t="s">
        <v>147</v>
      </c>
      <c r="K1" s="18" t="s">
        <v>148</v>
      </c>
      <c r="L1" s="18" t="s">
        <v>149</v>
      </c>
      <c r="M1" s="18" t="s">
        <v>150</v>
      </c>
      <c r="N1" s="18" t="s">
        <v>151</v>
      </c>
      <c r="O1" s="18" t="s">
        <v>153</v>
      </c>
      <c r="P1" s="119" t="s">
        <v>169</v>
      </c>
      <c r="Q1" s="119" t="s">
        <v>221</v>
      </c>
      <c r="R1" s="171" t="s">
        <v>222</v>
      </c>
      <c r="S1" s="171" t="s">
        <v>226</v>
      </c>
      <c r="T1" s="18" t="s">
        <v>82</v>
      </c>
      <c r="U1" s="18" t="s">
        <v>212</v>
      </c>
      <c r="V1" s="18" t="s">
        <v>70</v>
      </c>
    </row>
    <row r="2" spans="1:22" s="22" customFormat="1">
      <c r="A2" s="21">
        <v>42878</v>
      </c>
      <c r="B2" s="59"/>
      <c r="C2" s="59"/>
      <c r="D2" s="22" t="s">
        <v>46</v>
      </c>
      <c r="E2" s="22">
        <v>1</v>
      </c>
      <c r="F2" s="23">
        <v>140</v>
      </c>
      <c r="G2" s="22">
        <v>1</v>
      </c>
      <c r="H2" s="22">
        <v>100</v>
      </c>
      <c r="I2" s="22">
        <v>67</v>
      </c>
      <c r="K2" s="22">
        <v>55</v>
      </c>
      <c r="M2" s="22">
        <v>68</v>
      </c>
      <c r="P2" s="120">
        <f t="shared" ref="P2:P34" si="0">(AVERAGE(I2:M2)/G2)*H2</f>
        <v>6333.3333333333339</v>
      </c>
      <c r="Q2" s="120"/>
      <c r="R2" s="172"/>
      <c r="S2" s="181"/>
      <c r="U2" s="24">
        <f>SUM(P2:P4)</f>
        <v>55333.333333333343</v>
      </c>
      <c r="V2" s="24" t="e">
        <f>(200000-U2)/#REF!</f>
        <v>#REF!</v>
      </c>
    </row>
    <row r="3" spans="1:22" s="26" customFormat="1">
      <c r="A3" s="25">
        <v>42878</v>
      </c>
      <c r="B3" s="60"/>
      <c r="C3" s="60"/>
      <c r="D3" s="26" t="s">
        <v>46</v>
      </c>
      <c r="E3" s="26">
        <v>1</v>
      </c>
      <c r="F3" s="27">
        <v>100</v>
      </c>
      <c r="G3" s="26">
        <v>1</v>
      </c>
      <c r="H3" s="26">
        <v>100</v>
      </c>
      <c r="I3" s="26">
        <v>28</v>
      </c>
      <c r="K3" s="26">
        <v>18</v>
      </c>
      <c r="M3" s="26">
        <v>24</v>
      </c>
      <c r="P3" s="121">
        <f t="shared" si="0"/>
        <v>2333.333333333333</v>
      </c>
      <c r="Q3" s="121"/>
      <c r="R3" s="173"/>
      <c r="S3" s="182"/>
      <c r="U3" s="28" t="s">
        <v>71</v>
      </c>
      <c r="V3" s="28" t="e">
        <f>(200000-U3)/#REF!</f>
        <v>#VALUE!</v>
      </c>
    </row>
    <row r="4" spans="1:22" s="26" customFormat="1">
      <c r="A4" s="25">
        <v>42878</v>
      </c>
      <c r="B4" s="60"/>
      <c r="C4" s="60"/>
      <c r="D4" s="26" t="s">
        <v>46</v>
      </c>
      <c r="E4" s="26">
        <v>1</v>
      </c>
      <c r="F4" s="27">
        <v>120</v>
      </c>
      <c r="G4" s="26">
        <v>0.5</v>
      </c>
      <c r="H4" s="26">
        <v>200</v>
      </c>
      <c r="I4" s="26">
        <v>111</v>
      </c>
      <c r="K4" s="26">
        <v>114</v>
      </c>
      <c r="M4" s="26">
        <v>125</v>
      </c>
      <c r="P4" s="121">
        <f t="shared" si="0"/>
        <v>46666.666666666672</v>
      </c>
      <c r="Q4" s="121"/>
      <c r="R4" s="173"/>
      <c r="S4" s="182"/>
      <c r="U4" s="28" t="s">
        <v>71</v>
      </c>
      <c r="V4" s="28" t="e">
        <f>(200000-U4)/#REF!</f>
        <v>#VALUE!</v>
      </c>
    </row>
    <row r="5" spans="1:22" s="26" customFormat="1">
      <c r="A5" s="25">
        <v>42878</v>
      </c>
      <c r="B5" s="60"/>
      <c r="C5" s="60"/>
      <c r="D5" s="26" t="s">
        <v>72</v>
      </c>
      <c r="E5" s="26">
        <v>1</v>
      </c>
      <c r="F5" s="27">
        <v>140</v>
      </c>
      <c r="G5" s="26">
        <v>0.5</v>
      </c>
      <c r="H5" s="26">
        <v>200</v>
      </c>
      <c r="I5" s="26">
        <v>118</v>
      </c>
      <c r="K5" s="26">
        <v>95</v>
      </c>
      <c r="M5" s="26">
        <v>88</v>
      </c>
      <c r="P5" s="121">
        <f t="shared" si="0"/>
        <v>40133.333333333328</v>
      </c>
      <c r="Q5" s="121"/>
      <c r="R5" s="173"/>
      <c r="S5" s="182"/>
      <c r="U5" s="28">
        <f>SUM(P5:P7)</f>
        <v>124133.33333333333</v>
      </c>
      <c r="V5" s="28" t="e">
        <f>(200000-U5)/#REF!</f>
        <v>#REF!</v>
      </c>
    </row>
    <row r="6" spans="1:22" s="26" customFormat="1">
      <c r="A6" s="25">
        <v>42878</v>
      </c>
      <c r="B6" s="60"/>
      <c r="C6" s="60"/>
      <c r="D6" s="26" t="s">
        <v>72</v>
      </c>
      <c r="E6" s="26">
        <v>1</v>
      </c>
      <c r="F6" s="27">
        <v>120</v>
      </c>
      <c r="G6" s="26">
        <v>0.5</v>
      </c>
      <c r="H6" s="26">
        <v>200</v>
      </c>
      <c r="I6" s="26">
        <v>161</v>
      </c>
      <c r="K6" s="26">
        <v>153</v>
      </c>
      <c r="M6" s="26">
        <v>295</v>
      </c>
      <c r="P6" s="121">
        <f t="shared" si="0"/>
        <v>81200</v>
      </c>
      <c r="Q6" s="121"/>
      <c r="R6" s="173"/>
      <c r="S6" s="182"/>
      <c r="U6" s="28" t="s">
        <v>71</v>
      </c>
      <c r="V6" s="28" t="e">
        <f>(200000-U6)/#REF!</f>
        <v>#VALUE!</v>
      </c>
    </row>
    <row r="7" spans="1:22" s="26" customFormat="1">
      <c r="A7" s="25">
        <v>42878</v>
      </c>
      <c r="B7" s="60"/>
      <c r="C7" s="60"/>
      <c r="D7" s="26" t="s">
        <v>72</v>
      </c>
      <c r="E7" s="26">
        <v>1</v>
      </c>
      <c r="F7" s="27">
        <v>100</v>
      </c>
      <c r="G7" s="26">
        <v>1</v>
      </c>
      <c r="H7" s="26">
        <v>200</v>
      </c>
      <c r="I7" s="26">
        <v>12</v>
      </c>
      <c r="K7" s="26">
        <v>18</v>
      </c>
      <c r="M7" s="26">
        <v>12</v>
      </c>
      <c r="P7" s="121">
        <f t="shared" si="0"/>
        <v>2800</v>
      </c>
      <c r="Q7" s="121"/>
      <c r="R7" s="173"/>
      <c r="S7" s="182"/>
      <c r="U7" s="28" t="s">
        <v>71</v>
      </c>
      <c r="V7" s="28" t="e">
        <f>(200000-U7)/#REF!</f>
        <v>#VALUE!</v>
      </c>
    </row>
    <row r="8" spans="1:22" s="26" customFormat="1">
      <c r="A8" s="25">
        <v>42878</v>
      </c>
      <c r="B8" s="60">
        <v>16</v>
      </c>
      <c r="C8" s="60"/>
      <c r="D8" s="26" t="s">
        <v>73</v>
      </c>
      <c r="E8" s="26">
        <v>1</v>
      </c>
      <c r="F8" s="27">
        <v>140</v>
      </c>
      <c r="G8" s="26">
        <v>1</v>
      </c>
      <c r="H8" s="26">
        <v>200</v>
      </c>
      <c r="I8" s="26">
        <v>6</v>
      </c>
      <c r="K8" s="26">
        <v>4</v>
      </c>
      <c r="M8" s="26">
        <v>2</v>
      </c>
      <c r="P8" s="121">
        <f t="shared" si="0"/>
        <v>800</v>
      </c>
      <c r="Q8" s="121"/>
      <c r="R8" s="173"/>
      <c r="S8" s="182"/>
      <c r="U8" s="28">
        <f>SUM(P8:P10)</f>
        <v>35533.333333333336</v>
      </c>
      <c r="V8" s="28" t="e">
        <f>(200000-U8)/#REF!</f>
        <v>#REF!</v>
      </c>
    </row>
    <row r="9" spans="1:22" s="26" customFormat="1">
      <c r="A9" s="25">
        <v>42878</v>
      </c>
      <c r="B9" s="60"/>
      <c r="C9" s="60"/>
      <c r="D9" s="26" t="s">
        <v>73</v>
      </c>
      <c r="E9" s="26">
        <v>1</v>
      </c>
      <c r="F9" s="27">
        <v>120</v>
      </c>
      <c r="G9" s="26">
        <v>1</v>
      </c>
      <c r="H9" s="26">
        <v>200</v>
      </c>
      <c r="I9" s="26">
        <v>18</v>
      </c>
      <c r="K9" s="26">
        <v>32</v>
      </c>
      <c r="M9" s="26">
        <v>29</v>
      </c>
      <c r="P9" s="121">
        <f t="shared" si="0"/>
        <v>5266.6666666666661</v>
      </c>
      <c r="Q9" s="121"/>
      <c r="R9" s="173"/>
      <c r="S9" s="182"/>
      <c r="U9" s="28" t="s">
        <v>71</v>
      </c>
      <c r="V9" s="28" t="e">
        <f>(200000-U9)/#REF!</f>
        <v>#VALUE!</v>
      </c>
    </row>
    <row r="10" spans="1:22" s="26" customFormat="1">
      <c r="A10" s="25">
        <v>42878</v>
      </c>
      <c r="B10" s="60"/>
      <c r="C10" s="60"/>
      <c r="D10" s="26" t="s">
        <v>73</v>
      </c>
      <c r="E10" s="26">
        <v>1</v>
      </c>
      <c r="F10" s="27">
        <v>100</v>
      </c>
      <c r="G10" s="26">
        <v>0.5</v>
      </c>
      <c r="H10" s="26">
        <v>200</v>
      </c>
      <c r="I10" s="26">
        <v>79</v>
      </c>
      <c r="K10" s="26">
        <v>64</v>
      </c>
      <c r="M10" s="26">
        <v>78</v>
      </c>
      <c r="P10" s="121">
        <f t="shared" si="0"/>
        <v>29466.666666666668</v>
      </c>
      <c r="Q10" s="121"/>
      <c r="R10" s="173"/>
      <c r="S10" s="182"/>
      <c r="T10" s="26">
        <v>16</v>
      </c>
      <c r="U10" s="28" t="s">
        <v>71</v>
      </c>
      <c r="V10" s="28" t="e">
        <f>(200000-U10)/#REF!</f>
        <v>#VALUE!</v>
      </c>
    </row>
    <row r="11" spans="1:22" s="26" customFormat="1">
      <c r="A11" s="25">
        <v>42878</v>
      </c>
      <c r="B11" s="60">
        <v>5</v>
      </c>
      <c r="C11" s="60"/>
      <c r="D11" s="26" t="s">
        <v>74</v>
      </c>
      <c r="E11" s="26">
        <v>1</v>
      </c>
      <c r="F11" s="27">
        <v>100</v>
      </c>
      <c r="G11" s="26">
        <v>0.5</v>
      </c>
      <c r="H11" s="26">
        <v>800</v>
      </c>
      <c r="I11" s="26">
        <v>103</v>
      </c>
      <c r="K11" s="26">
        <v>88</v>
      </c>
      <c r="M11" s="26">
        <v>82</v>
      </c>
      <c r="P11" s="121">
        <f t="shared" si="0"/>
        <v>145600</v>
      </c>
      <c r="Q11" s="121"/>
      <c r="R11" s="173"/>
      <c r="S11" s="182"/>
      <c r="T11" s="26">
        <v>5</v>
      </c>
      <c r="U11" s="28">
        <f>P11</f>
        <v>145600</v>
      </c>
      <c r="V11" s="28" t="e">
        <f>(200000-U11)/#REF!</f>
        <v>#REF!</v>
      </c>
    </row>
    <row r="12" spans="1:22" s="26" customFormat="1">
      <c r="A12" s="25">
        <v>42878</v>
      </c>
      <c r="B12" s="60">
        <v>7</v>
      </c>
      <c r="C12" s="60"/>
      <c r="D12" s="26" t="s">
        <v>75</v>
      </c>
      <c r="E12" s="26">
        <v>1</v>
      </c>
      <c r="F12" s="27">
        <v>100</v>
      </c>
      <c r="G12" s="26">
        <v>0.5</v>
      </c>
      <c r="H12" s="26">
        <v>900</v>
      </c>
      <c r="I12" s="26">
        <v>108</v>
      </c>
      <c r="K12" s="26">
        <v>86</v>
      </c>
      <c r="M12" s="26">
        <v>121</v>
      </c>
      <c r="P12" s="121">
        <f t="shared" si="0"/>
        <v>189000</v>
      </c>
      <c r="Q12" s="121"/>
      <c r="R12" s="173"/>
      <c r="S12" s="182"/>
      <c r="T12" s="26">
        <v>7</v>
      </c>
      <c r="U12" s="28">
        <f>P12</f>
        <v>189000</v>
      </c>
      <c r="V12" s="28" t="e">
        <f>(200000-U12)/#REF!</f>
        <v>#REF!</v>
      </c>
    </row>
    <row r="13" spans="1:22" s="26" customFormat="1">
      <c r="A13" s="25">
        <v>42878</v>
      </c>
      <c r="B13" s="60">
        <v>12</v>
      </c>
      <c r="C13" s="60"/>
      <c r="D13" s="26" t="s">
        <v>77</v>
      </c>
      <c r="E13" s="26">
        <v>1</v>
      </c>
      <c r="F13" s="27">
        <v>100</v>
      </c>
      <c r="G13" s="26">
        <v>0.5</v>
      </c>
      <c r="H13" s="26">
        <v>800</v>
      </c>
      <c r="I13" s="26">
        <v>20</v>
      </c>
      <c r="K13" s="26">
        <v>31</v>
      </c>
      <c r="M13" s="26">
        <v>42</v>
      </c>
      <c r="P13" s="121">
        <f t="shared" si="0"/>
        <v>49600</v>
      </c>
      <c r="Q13" s="121"/>
      <c r="R13" s="173"/>
      <c r="S13" s="182"/>
      <c r="T13" s="26">
        <v>12</v>
      </c>
      <c r="U13" s="28">
        <f>P13</f>
        <v>49600</v>
      </c>
      <c r="V13" s="28" t="e">
        <f>(200000-U13)/#REF!</f>
        <v>#REF!</v>
      </c>
    </row>
    <row r="14" spans="1:22" s="26" customFormat="1">
      <c r="A14" s="25">
        <v>42878</v>
      </c>
      <c r="B14" s="60">
        <v>13</v>
      </c>
      <c r="C14" s="60"/>
      <c r="D14" s="26" t="s">
        <v>78</v>
      </c>
      <c r="E14" s="26">
        <v>1</v>
      </c>
      <c r="F14" s="27">
        <v>100</v>
      </c>
      <c r="G14" s="26">
        <v>0.5</v>
      </c>
      <c r="H14" s="26">
        <v>700</v>
      </c>
      <c r="I14" s="26">
        <v>90</v>
      </c>
      <c r="K14" s="26">
        <v>95</v>
      </c>
      <c r="M14" s="26">
        <v>106</v>
      </c>
      <c r="P14" s="121">
        <f t="shared" si="0"/>
        <v>135800</v>
      </c>
      <c r="Q14" s="121"/>
      <c r="R14" s="173"/>
      <c r="S14" s="182"/>
      <c r="T14" s="26">
        <v>13</v>
      </c>
      <c r="U14" s="28">
        <f>P14+U15</f>
        <v>135800</v>
      </c>
      <c r="V14" s="28" t="e">
        <f>(200000-U14)/#REF!</f>
        <v>#REF!</v>
      </c>
    </row>
    <row r="15" spans="1:22" s="26" customFormat="1">
      <c r="A15" s="25">
        <v>42878</v>
      </c>
      <c r="B15" s="60">
        <v>3</v>
      </c>
      <c r="C15" s="60"/>
      <c r="D15" s="26" t="s">
        <v>78</v>
      </c>
      <c r="E15" s="26">
        <v>1</v>
      </c>
      <c r="F15" s="27">
        <v>100</v>
      </c>
      <c r="G15" s="26">
        <v>0.5</v>
      </c>
      <c r="H15" s="26">
        <v>300</v>
      </c>
      <c r="I15" s="26">
        <v>23</v>
      </c>
      <c r="K15" s="26">
        <v>12</v>
      </c>
      <c r="M15" s="26">
        <v>15</v>
      </c>
      <c r="P15" s="121">
        <f t="shared" si="0"/>
        <v>10000</v>
      </c>
      <c r="Q15" s="121"/>
      <c r="R15" s="173"/>
      <c r="S15" s="182"/>
      <c r="T15" s="26">
        <v>13</v>
      </c>
      <c r="U15" s="28"/>
      <c r="V15" s="28"/>
    </row>
    <row r="16" spans="1:22" s="26" customFormat="1">
      <c r="A16" s="25">
        <v>42878</v>
      </c>
      <c r="B16" s="60">
        <v>11</v>
      </c>
      <c r="C16" s="60"/>
      <c r="D16" s="26" t="s">
        <v>79</v>
      </c>
      <c r="E16" s="26">
        <v>1</v>
      </c>
      <c r="F16" s="27">
        <v>100</v>
      </c>
      <c r="G16" s="26">
        <v>0.5</v>
      </c>
      <c r="H16" s="26">
        <v>500</v>
      </c>
      <c r="I16" s="26">
        <v>110</v>
      </c>
      <c r="K16" s="26">
        <v>135</v>
      </c>
      <c r="M16" s="26">
        <v>120</v>
      </c>
      <c r="P16" s="121">
        <f t="shared" si="0"/>
        <v>121666.66666666667</v>
      </c>
      <c r="Q16" s="121"/>
      <c r="R16" s="173"/>
      <c r="S16" s="182"/>
      <c r="T16" s="26">
        <v>11</v>
      </c>
      <c r="U16" s="28">
        <f>P16</f>
        <v>121666.66666666667</v>
      </c>
      <c r="V16" s="28" t="e">
        <f>(200000-U16)/#REF!</f>
        <v>#REF!</v>
      </c>
    </row>
    <row r="17" spans="1:22" s="26" customFormat="1">
      <c r="A17" s="25">
        <v>42878</v>
      </c>
      <c r="B17" s="60"/>
      <c r="C17" s="60"/>
      <c r="D17" s="26" t="s">
        <v>20</v>
      </c>
      <c r="E17" s="26">
        <v>3</v>
      </c>
      <c r="F17" s="27">
        <v>100</v>
      </c>
      <c r="G17" s="26">
        <v>0.5</v>
      </c>
      <c r="H17" s="26">
        <v>300</v>
      </c>
      <c r="I17" s="26">
        <v>26</v>
      </c>
      <c r="K17" s="26">
        <v>25</v>
      </c>
      <c r="M17" s="26">
        <v>26</v>
      </c>
      <c r="P17" s="121">
        <f t="shared" si="0"/>
        <v>15400</v>
      </c>
      <c r="Q17" s="121"/>
      <c r="R17" s="173"/>
      <c r="S17" s="182"/>
      <c r="U17" s="28">
        <f>P17</f>
        <v>15400</v>
      </c>
      <c r="V17" s="28" t="e">
        <f>(200000-U17)/#REF!</f>
        <v>#REF!</v>
      </c>
    </row>
    <row r="18" spans="1:22" s="26" customFormat="1">
      <c r="A18" s="25">
        <v>42878</v>
      </c>
      <c r="B18" s="60"/>
      <c r="C18" s="60"/>
      <c r="D18" s="26" t="s">
        <v>80</v>
      </c>
      <c r="E18" s="26">
        <v>3</v>
      </c>
      <c r="F18" s="27">
        <v>100</v>
      </c>
      <c r="G18" s="26">
        <v>0.5</v>
      </c>
      <c r="H18" s="26">
        <v>500</v>
      </c>
      <c r="I18" s="26">
        <v>69</v>
      </c>
      <c r="K18" s="26">
        <v>108</v>
      </c>
      <c r="M18" s="26">
        <v>70</v>
      </c>
      <c r="P18" s="121">
        <f t="shared" si="0"/>
        <v>82333.333333333328</v>
      </c>
      <c r="Q18" s="121"/>
      <c r="R18" s="173"/>
      <c r="S18" s="182"/>
      <c r="U18" s="28">
        <f>P18</f>
        <v>82333.333333333328</v>
      </c>
      <c r="V18" s="28" t="e">
        <f>(200000-U18)/#REF!</f>
        <v>#REF!</v>
      </c>
    </row>
    <row r="19" spans="1:22" s="30" customFormat="1" ht="16" thickBot="1">
      <c r="A19" s="29">
        <v>42878</v>
      </c>
      <c r="B19" s="61">
        <v>8</v>
      </c>
      <c r="C19" s="61"/>
      <c r="D19" s="30" t="s">
        <v>101</v>
      </c>
      <c r="F19" s="31"/>
      <c r="I19" s="30">
        <v>0</v>
      </c>
      <c r="K19" s="30">
        <v>0</v>
      </c>
      <c r="M19" s="30">
        <v>0</v>
      </c>
      <c r="P19" s="122" t="e">
        <f t="shared" si="0"/>
        <v>#DIV/0!</v>
      </c>
      <c r="Q19" s="122"/>
      <c r="R19" s="174"/>
      <c r="S19" s="183"/>
      <c r="U19" s="32"/>
      <c r="V19" s="32"/>
    </row>
    <row r="20" spans="1:22" s="22" customFormat="1">
      <c r="A20" s="21">
        <v>42881</v>
      </c>
      <c r="B20" s="59">
        <v>11</v>
      </c>
      <c r="C20" s="59"/>
      <c r="D20" s="22" t="s">
        <v>79</v>
      </c>
      <c r="E20" s="22">
        <v>3</v>
      </c>
      <c r="F20" s="23">
        <v>100</v>
      </c>
      <c r="G20" s="22">
        <v>0.5</v>
      </c>
      <c r="H20" s="22">
        <v>800</v>
      </c>
      <c r="I20" s="22">
        <v>83</v>
      </c>
      <c r="K20" s="22">
        <v>68</v>
      </c>
      <c r="M20" s="22">
        <v>71</v>
      </c>
      <c r="P20" s="120">
        <f t="shared" si="0"/>
        <v>118400</v>
      </c>
      <c r="Q20" s="120"/>
      <c r="R20" s="172"/>
      <c r="S20" s="181"/>
      <c r="T20" s="22">
        <v>11</v>
      </c>
      <c r="U20" s="24">
        <f t="shared" ref="U20:U25" si="1">P20</f>
        <v>118400</v>
      </c>
      <c r="V20" s="24">
        <f>(200000-U20)/4</f>
        <v>20400</v>
      </c>
    </row>
    <row r="21" spans="1:22" s="26" customFormat="1">
      <c r="A21" s="25">
        <v>42881</v>
      </c>
      <c r="B21" s="60">
        <v>8</v>
      </c>
      <c r="C21" s="60"/>
      <c r="D21" s="26" t="s">
        <v>103</v>
      </c>
      <c r="E21" s="26">
        <v>3</v>
      </c>
      <c r="F21" s="27">
        <v>100</v>
      </c>
      <c r="G21" s="26">
        <v>0.5</v>
      </c>
      <c r="H21" s="26">
        <v>300</v>
      </c>
      <c r="I21" s="26">
        <v>21</v>
      </c>
      <c r="K21" s="26">
        <v>20</v>
      </c>
      <c r="M21" s="26">
        <v>19</v>
      </c>
      <c r="P21" s="121">
        <f t="shared" si="0"/>
        <v>12000</v>
      </c>
      <c r="Q21" s="121"/>
      <c r="R21" s="173"/>
      <c r="S21" s="182"/>
      <c r="T21" s="26">
        <v>8</v>
      </c>
      <c r="U21" s="28">
        <f t="shared" si="1"/>
        <v>12000</v>
      </c>
      <c r="V21" s="28">
        <f>(200000-U21)/4</f>
        <v>47000</v>
      </c>
    </row>
    <row r="22" spans="1:22" s="26" customFormat="1">
      <c r="A22" s="25">
        <v>42881</v>
      </c>
      <c r="B22" s="60">
        <v>16</v>
      </c>
      <c r="C22" s="60"/>
      <c r="D22" s="26" t="s">
        <v>104</v>
      </c>
      <c r="E22" s="26">
        <v>3</v>
      </c>
      <c r="F22" s="27">
        <v>100</v>
      </c>
      <c r="G22" s="26">
        <v>0.5</v>
      </c>
      <c r="H22" s="26">
        <v>400</v>
      </c>
      <c r="I22" s="26">
        <v>113</v>
      </c>
      <c r="K22" s="26">
        <v>122</v>
      </c>
      <c r="M22" s="26">
        <v>131</v>
      </c>
      <c r="P22" s="121">
        <f t="shared" si="0"/>
        <v>97600</v>
      </c>
      <c r="Q22" s="121"/>
      <c r="R22" s="173"/>
      <c r="S22" s="182"/>
      <c r="T22" s="26">
        <v>16</v>
      </c>
      <c r="U22" s="28">
        <f t="shared" si="1"/>
        <v>97600</v>
      </c>
      <c r="V22" s="28">
        <f t="shared" ref="V22:V34" si="2">(200000-U22)/4</f>
        <v>25600</v>
      </c>
    </row>
    <row r="23" spans="1:22" s="26" customFormat="1">
      <c r="A23" s="25">
        <v>42881</v>
      </c>
      <c r="B23" s="60">
        <v>13</v>
      </c>
      <c r="C23" s="60"/>
      <c r="D23" s="26" t="s">
        <v>78</v>
      </c>
      <c r="E23" s="26">
        <v>3</v>
      </c>
      <c r="F23" s="27">
        <v>100</v>
      </c>
      <c r="G23" s="26">
        <v>0.5</v>
      </c>
      <c r="H23" s="26">
        <v>800</v>
      </c>
      <c r="I23" s="26">
        <v>63</v>
      </c>
      <c r="K23" s="26">
        <v>59</v>
      </c>
      <c r="M23" s="26">
        <v>61</v>
      </c>
      <c r="P23" s="121">
        <f t="shared" si="0"/>
        <v>97600</v>
      </c>
      <c r="Q23" s="121"/>
      <c r="R23" s="173"/>
      <c r="S23" s="182"/>
      <c r="T23" s="26">
        <v>13</v>
      </c>
      <c r="U23" s="28">
        <f t="shared" si="1"/>
        <v>97600</v>
      </c>
      <c r="V23" s="28">
        <f t="shared" si="2"/>
        <v>25600</v>
      </c>
    </row>
    <row r="24" spans="1:22" s="26" customFormat="1">
      <c r="A24" s="25">
        <v>42881</v>
      </c>
      <c r="B24" s="60">
        <v>3</v>
      </c>
      <c r="C24" s="60"/>
      <c r="D24" s="26" t="s">
        <v>105</v>
      </c>
      <c r="E24" s="26">
        <v>3</v>
      </c>
      <c r="F24" s="27">
        <v>100</v>
      </c>
      <c r="G24" s="26">
        <v>0.5</v>
      </c>
      <c r="H24" s="26">
        <v>800</v>
      </c>
      <c r="I24" s="26">
        <v>41</v>
      </c>
      <c r="K24" s="26">
        <v>43</v>
      </c>
      <c r="M24" s="26">
        <v>47</v>
      </c>
      <c r="P24" s="121">
        <f t="shared" si="0"/>
        <v>69866.666666666657</v>
      </c>
      <c r="Q24" s="121"/>
      <c r="R24" s="173"/>
      <c r="S24" s="182"/>
      <c r="T24" s="26">
        <v>3</v>
      </c>
      <c r="U24" s="28">
        <f t="shared" si="1"/>
        <v>69866.666666666657</v>
      </c>
      <c r="V24" s="28">
        <f t="shared" si="2"/>
        <v>32533.333333333336</v>
      </c>
    </row>
    <row r="25" spans="1:22" s="26" customFormat="1">
      <c r="A25" s="25">
        <v>42881</v>
      </c>
      <c r="B25" s="60">
        <v>5</v>
      </c>
      <c r="C25" s="60"/>
      <c r="D25" s="26" t="s">
        <v>74</v>
      </c>
      <c r="E25" s="26">
        <v>3</v>
      </c>
      <c r="F25" s="27">
        <v>100</v>
      </c>
      <c r="G25" s="26">
        <v>0.5</v>
      </c>
      <c r="H25" s="26">
        <v>800</v>
      </c>
      <c r="I25" s="26">
        <v>70</v>
      </c>
      <c r="K25" s="26">
        <v>67</v>
      </c>
      <c r="M25" s="26">
        <v>73</v>
      </c>
      <c r="P25" s="121">
        <f t="shared" si="0"/>
        <v>112000</v>
      </c>
      <c r="Q25" s="121"/>
      <c r="R25" s="173"/>
      <c r="S25" s="182"/>
      <c r="T25" s="26">
        <v>5</v>
      </c>
      <c r="U25" s="28">
        <f t="shared" si="1"/>
        <v>112000</v>
      </c>
      <c r="V25" s="28">
        <f t="shared" si="2"/>
        <v>22000</v>
      </c>
    </row>
    <row r="26" spans="1:22" s="26" customFormat="1">
      <c r="A26" s="25">
        <v>42881</v>
      </c>
      <c r="B26" s="60">
        <v>12</v>
      </c>
      <c r="C26" s="60"/>
      <c r="D26" s="26" t="s">
        <v>84</v>
      </c>
      <c r="E26" s="26">
        <v>3</v>
      </c>
      <c r="F26" s="27">
        <v>100</v>
      </c>
      <c r="G26" s="26">
        <v>0.5</v>
      </c>
      <c r="H26" s="26">
        <v>800</v>
      </c>
      <c r="I26" s="26">
        <v>64</v>
      </c>
      <c r="K26" s="26">
        <v>50</v>
      </c>
      <c r="M26" s="26">
        <v>51</v>
      </c>
      <c r="P26" s="121">
        <f t="shared" si="0"/>
        <v>88000</v>
      </c>
      <c r="Q26" s="121"/>
      <c r="R26" s="173"/>
      <c r="S26" s="182"/>
      <c r="T26" s="26">
        <v>12</v>
      </c>
      <c r="U26" s="28">
        <f>P26+P28</f>
        <v>150666.66666666666</v>
      </c>
      <c r="V26" s="28">
        <f t="shared" si="2"/>
        <v>12333.333333333336</v>
      </c>
    </row>
    <row r="27" spans="1:22" s="26" customFormat="1">
      <c r="A27" s="25">
        <v>42881</v>
      </c>
      <c r="B27" s="60">
        <v>7</v>
      </c>
      <c r="C27" s="60"/>
      <c r="D27" s="26" t="s">
        <v>75</v>
      </c>
      <c r="E27" s="26">
        <v>3</v>
      </c>
      <c r="F27" s="27">
        <v>100</v>
      </c>
      <c r="G27" s="26">
        <v>0.5</v>
      </c>
      <c r="H27" s="26">
        <v>900</v>
      </c>
      <c r="I27" s="26">
        <v>111</v>
      </c>
      <c r="K27" s="26">
        <v>76</v>
      </c>
      <c r="M27" s="26">
        <v>112</v>
      </c>
      <c r="P27" s="121">
        <f t="shared" si="0"/>
        <v>179400</v>
      </c>
      <c r="Q27" s="121"/>
      <c r="R27" s="173"/>
      <c r="S27" s="182"/>
      <c r="T27" s="26">
        <v>7</v>
      </c>
      <c r="U27" s="28">
        <f>P27</f>
        <v>179400</v>
      </c>
      <c r="V27" s="28">
        <f t="shared" si="2"/>
        <v>5150</v>
      </c>
    </row>
    <row r="28" spans="1:22" s="26" customFormat="1">
      <c r="A28" s="25">
        <v>42881</v>
      </c>
      <c r="B28" s="60">
        <v>9</v>
      </c>
      <c r="C28" s="60"/>
      <c r="D28" s="26" t="s">
        <v>84</v>
      </c>
      <c r="E28" s="26">
        <v>4</v>
      </c>
      <c r="F28" s="27">
        <v>100</v>
      </c>
      <c r="G28" s="26">
        <v>0.5</v>
      </c>
      <c r="H28" s="26">
        <v>500</v>
      </c>
      <c r="I28" s="26">
        <v>61</v>
      </c>
      <c r="K28" s="26">
        <v>61</v>
      </c>
      <c r="M28" s="26">
        <v>66</v>
      </c>
      <c r="P28" s="121">
        <f t="shared" si="0"/>
        <v>62666.666666666664</v>
      </c>
      <c r="Q28" s="121"/>
      <c r="R28" s="173"/>
      <c r="S28" s="182"/>
      <c r="T28" s="26">
        <v>12</v>
      </c>
      <c r="U28" s="28"/>
      <c r="V28" s="28"/>
    </row>
    <row r="29" spans="1:22" s="26" customFormat="1">
      <c r="A29" s="25">
        <v>42881</v>
      </c>
      <c r="B29" s="60">
        <v>10</v>
      </c>
      <c r="C29" s="60"/>
      <c r="D29" s="26" t="s">
        <v>106</v>
      </c>
      <c r="E29" s="26">
        <v>4</v>
      </c>
      <c r="F29" s="27">
        <v>100</v>
      </c>
      <c r="G29" s="26">
        <v>0.5</v>
      </c>
      <c r="H29" s="26">
        <v>650</v>
      </c>
      <c r="I29" s="26">
        <v>82</v>
      </c>
      <c r="K29" s="26">
        <v>80</v>
      </c>
      <c r="M29" s="26">
        <v>69</v>
      </c>
      <c r="P29" s="121">
        <f t="shared" si="0"/>
        <v>100100</v>
      </c>
      <c r="Q29" s="121"/>
      <c r="R29" s="173"/>
      <c r="S29" s="182"/>
      <c r="T29" s="26">
        <v>10</v>
      </c>
      <c r="U29" s="28">
        <f t="shared" ref="U29:U34" si="3">P29</f>
        <v>100100</v>
      </c>
      <c r="V29" s="28">
        <f t="shared" si="2"/>
        <v>24975</v>
      </c>
    </row>
    <row r="30" spans="1:22" s="26" customFormat="1">
      <c r="A30" s="25">
        <v>42881</v>
      </c>
      <c r="B30" s="60">
        <v>17</v>
      </c>
      <c r="C30" s="60"/>
      <c r="D30" s="26" t="s">
        <v>107</v>
      </c>
      <c r="E30" s="26">
        <v>4</v>
      </c>
      <c r="F30" s="27">
        <v>100</v>
      </c>
      <c r="G30" s="26">
        <v>0.5</v>
      </c>
      <c r="H30" s="26">
        <v>500</v>
      </c>
      <c r="I30" s="26">
        <v>26</v>
      </c>
      <c r="K30" s="26">
        <v>22</v>
      </c>
      <c r="M30" s="26">
        <v>14</v>
      </c>
      <c r="P30" s="121">
        <f t="shared" si="0"/>
        <v>20666.666666666668</v>
      </c>
      <c r="Q30" s="121"/>
      <c r="R30" s="173"/>
      <c r="S30" s="182"/>
      <c r="T30" s="26">
        <v>17</v>
      </c>
      <c r="U30" s="28">
        <f t="shared" si="3"/>
        <v>20666.666666666668</v>
      </c>
      <c r="V30" s="28">
        <f t="shared" si="2"/>
        <v>44833.333333333336</v>
      </c>
    </row>
    <row r="31" spans="1:22" s="26" customFormat="1">
      <c r="A31" s="25">
        <v>42881</v>
      </c>
      <c r="B31" s="60">
        <v>18</v>
      </c>
      <c r="C31" s="60"/>
      <c r="D31" s="26" t="s">
        <v>20</v>
      </c>
      <c r="E31" s="26">
        <v>4</v>
      </c>
      <c r="F31" s="27">
        <v>100</v>
      </c>
      <c r="G31" s="26">
        <v>0.5</v>
      </c>
      <c r="H31" s="26">
        <v>800</v>
      </c>
      <c r="I31" s="26">
        <v>53</v>
      </c>
      <c r="K31" s="26">
        <v>54</v>
      </c>
      <c r="M31" s="26">
        <v>43</v>
      </c>
      <c r="P31" s="121">
        <f t="shared" si="0"/>
        <v>80000</v>
      </c>
      <c r="Q31" s="121"/>
      <c r="R31" s="173"/>
      <c r="S31" s="182"/>
      <c r="T31" s="26">
        <v>18</v>
      </c>
      <c r="U31" s="28">
        <f t="shared" si="3"/>
        <v>80000</v>
      </c>
      <c r="V31" s="28">
        <f t="shared" si="2"/>
        <v>30000</v>
      </c>
    </row>
    <row r="32" spans="1:22" s="26" customFormat="1">
      <c r="A32" s="25">
        <v>42881</v>
      </c>
      <c r="B32" s="60">
        <v>19</v>
      </c>
      <c r="C32" s="60"/>
      <c r="D32" s="26" t="s">
        <v>108</v>
      </c>
      <c r="E32" s="26">
        <v>4</v>
      </c>
      <c r="F32" s="27">
        <v>100</v>
      </c>
      <c r="G32" s="26">
        <v>0.5</v>
      </c>
      <c r="H32" s="26">
        <v>800</v>
      </c>
      <c r="I32" s="26">
        <v>47</v>
      </c>
      <c r="K32" s="26">
        <v>40</v>
      </c>
      <c r="M32" s="26">
        <v>47</v>
      </c>
      <c r="P32" s="121">
        <f t="shared" si="0"/>
        <v>71466.666666666657</v>
      </c>
      <c r="Q32" s="121"/>
      <c r="R32" s="173"/>
      <c r="S32" s="182"/>
      <c r="T32" s="26">
        <v>19</v>
      </c>
      <c r="U32" s="28">
        <f t="shared" si="3"/>
        <v>71466.666666666657</v>
      </c>
      <c r="V32" s="28">
        <f t="shared" si="2"/>
        <v>32133.333333333336</v>
      </c>
    </row>
    <row r="33" spans="1:22" s="26" customFormat="1">
      <c r="A33" s="25">
        <v>42881</v>
      </c>
      <c r="B33" s="60">
        <v>20</v>
      </c>
      <c r="C33" s="60"/>
      <c r="D33" s="26" t="s">
        <v>30</v>
      </c>
      <c r="E33" s="26">
        <v>4</v>
      </c>
      <c r="F33" s="27">
        <v>100</v>
      </c>
      <c r="G33" s="26">
        <v>0.5</v>
      </c>
      <c r="H33" s="26">
        <v>700</v>
      </c>
      <c r="I33" s="26">
        <v>47</v>
      </c>
      <c r="K33" s="26">
        <v>55</v>
      </c>
      <c r="M33" s="26">
        <v>51</v>
      </c>
      <c r="P33" s="121">
        <f t="shared" si="0"/>
        <v>71400</v>
      </c>
      <c r="Q33" s="121"/>
      <c r="R33" s="173"/>
      <c r="S33" s="182"/>
      <c r="T33" s="26">
        <v>20</v>
      </c>
      <c r="U33" s="28">
        <f t="shared" si="3"/>
        <v>71400</v>
      </c>
      <c r="V33" s="28">
        <f t="shared" si="2"/>
        <v>32150</v>
      </c>
    </row>
    <row r="34" spans="1:22" s="30" customFormat="1" ht="16" thickBot="1">
      <c r="A34" s="29">
        <v>42881</v>
      </c>
      <c r="B34" s="61">
        <v>22</v>
      </c>
      <c r="C34" s="61"/>
      <c r="D34" s="30" t="s">
        <v>72</v>
      </c>
      <c r="E34" s="30">
        <v>4</v>
      </c>
      <c r="F34" s="31">
        <v>100</v>
      </c>
      <c r="G34" s="30">
        <v>0.5</v>
      </c>
      <c r="H34" s="30">
        <v>800</v>
      </c>
      <c r="I34" s="30">
        <v>52</v>
      </c>
      <c r="K34" s="30">
        <v>62</v>
      </c>
      <c r="M34" s="30">
        <v>49</v>
      </c>
      <c r="P34" s="122">
        <f t="shared" si="0"/>
        <v>86933.333333333343</v>
      </c>
      <c r="Q34" s="122"/>
      <c r="R34" s="174"/>
      <c r="S34" s="183"/>
      <c r="T34" s="30">
        <v>22</v>
      </c>
      <c r="U34" s="32">
        <f t="shared" si="3"/>
        <v>86933.333333333343</v>
      </c>
      <c r="V34" s="32">
        <f t="shared" si="2"/>
        <v>28266.666666666664</v>
      </c>
    </row>
    <row r="35" spans="1:22" s="65" customFormat="1">
      <c r="A35" s="91">
        <v>42885</v>
      </c>
      <c r="B35" s="63">
        <v>3</v>
      </c>
      <c r="C35" s="63"/>
      <c r="D35" s="65" t="s">
        <v>85</v>
      </c>
      <c r="E35" s="65">
        <v>1</v>
      </c>
      <c r="F35" s="92">
        <v>180</v>
      </c>
      <c r="G35" s="65">
        <v>0.5</v>
      </c>
      <c r="H35" s="65">
        <v>800</v>
      </c>
      <c r="I35" s="65">
        <v>22</v>
      </c>
      <c r="J35" s="65">
        <v>11</v>
      </c>
      <c r="K35" s="65">
        <v>24</v>
      </c>
      <c r="L35" s="65">
        <v>19</v>
      </c>
      <c r="M35" s="65">
        <v>19</v>
      </c>
      <c r="N35" s="65">
        <v>24</v>
      </c>
      <c r="O35" s="109">
        <f>(AVERAGE(I35,K35,M35)/((AVERAGE(I35,K35,M35)+AVERAGE(J35,L35,N35))))</f>
        <v>0.54621848739495793</v>
      </c>
      <c r="P35" s="123">
        <f>(AVERAGE(I35,K35,M35)/G35)*H35</f>
        <v>34666.666666666672</v>
      </c>
      <c r="Q35" s="123">
        <f>(AVERAGE(J35,L35,N35)/G35)*H35</f>
        <v>28800</v>
      </c>
      <c r="R35" s="109">
        <f>P35/(P35+Q35)</f>
        <v>0.54621848739495804</v>
      </c>
      <c r="S35" s="184"/>
      <c r="T35" s="65">
        <v>3</v>
      </c>
      <c r="U35" s="68"/>
      <c r="V35" s="68"/>
    </row>
    <row r="36" spans="1:22" s="65" customFormat="1">
      <c r="A36" s="91">
        <v>42885</v>
      </c>
      <c r="B36" s="63">
        <v>5</v>
      </c>
      <c r="C36" s="63"/>
      <c r="D36" s="65" t="s">
        <v>87</v>
      </c>
      <c r="E36" s="65">
        <v>2</v>
      </c>
      <c r="F36" s="92">
        <v>100</v>
      </c>
      <c r="G36" s="65">
        <v>0.5</v>
      </c>
      <c r="H36" s="65">
        <v>875</v>
      </c>
      <c r="I36" s="65">
        <v>19</v>
      </c>
      <c r="J36" s="65">
        <v>59</v>
      </c>
      <c r="K36" s="65">
        <v>20</v>
      </c>
      <c r="L36" s="65">
        <v>34</v>
      </c>
      <c r="M36" s="65">
        <v>17</v>
      </c>
      <c r="N36" s="65">
        <v>54</v>
      </c>
      <c r="O36" s="109">
        <f t="shared" ref="O36:O37" si="4">(AVERAGE(I36,K36,M36)/((AVERAGE(I36,K36,M36)+AVERAGE(J36,L36,N36))))</f>
        <v>0.27586206896551724</v>
      </c>
      <c r="P36" s="123">
        <f t="shared" ref="P36:P49" si="5">(AVERAGE(I36,K36,M36)/G36)*H36</f>
        <v>32666.666666666668</v>
      </c>
      <c r="Q36" s="123">
        <f t="shared" ref="Q36:Q99" si="6">(AVERAGE(J36,L36,N36)/G36)*H36</f>
        <v>85750</v>
      </c>
      <c r="R36" s="109">
        <f t="shared" ref="R36:R99" si="7">P36/(P36+Q36)</f>
        <v>0.27586206896551724</v>
      </c>
      <c r="S36" s="184"/>
      <c r="T36" s="65">
        <v>5</v>
      </c>
      <c r="U36" s="68"/>
      <c r="V36" s="68"/>
    </row>
    <row r="37" spans="1:22" s="65" customFormat="1">
      <c r="A37" s="91">
        <v>42885</v>
      </c>
      <c r="B37" s="63">
        <v>7</v>
      </c>
      <c r="C37" s="63"/>
      <c r="D37" s="65" t="s">
        <v>140</v>
      </c>
      <c r="E37" s="65">
        <v>2</v>
      </c>
      <c r="F37" s="92">
        <v>100</v>
      </c>
      <c r="G37" s="65">
        <v>0.5</v>
      </c>
      <c r="H37" s="65">
        <v>800</v>
      </c>
      <c r="I37" s="65">
        <v>34</v>
      </c>
      <c r="J37" s="65">
        <v>65</v>
      </c>
      <c r="K37" s="65">
        <v>18</v>
      </c>
      <c r="L37" s="65">
        <v>74</v>
      </c>
      <c r="M37" s="65">
        <v>19</v>
      </c>
      <c r="N37" s="65">
        <v>92</v>
      </c>
      <c r="O37" s="109">
        <f t="shared" si="4"/>
        <v>0.23509933774834438</v>
      </c>
      <c r="P37" s="123">
        <f t="shared" si="5"/>
        <v>37866.666666666672</v>
      </c>
      <c r="Q37" s="123">
        <f t="shared" si="6"/>
        <v>123200</v>
      </c>
      <c r="R37" s="109">
        <f t="shared" si="7"/>
        <v>0.23509933774834438</v>
      </c>
      <c r="S37" s="184"/>
      <c r="T37" s="65">
        <v>7</v>
      </c>
      <c r="U37" s="68"/>
      <c r="V37" s="68"/>
    </row>
    <row r="38" spans="1:22" s="65" customFormat="1">
      <c r="A38" s="91">
        <v>42885</v>
      </c>
      <c r="B38" s="63">
        <v>8</v>
      </c>
      <c r="C38" s="63"/>
      <c r="D38" s="65" t="s">
        <v>86</v>
      </c>
      <c r="E38" s="65">
        <v>1</v>
      </c>
      <c r="F38" s="92">
        <v>100</v>
      </c>
      <c r="G38" s="65">
        <v>0.5</v>
      </c>
      <c r="H38" s="65">
        <v>800</v>
      </c>
      <c r="I38" s="65">
        <v>22</v>
      </c>
      <c r="J38" s="65">
        <v>10</v>
      </c>
      <c r="K38" s="65">
        <v>31</v>
      </c>
      <c r="L38" s="65">
        <v>22</v>
      </c>
      <c r="M38" s="65">
        <v>16</v>
      </c>
      <c r="N38" s="65">
        <v>17</v>
      </c>
      <c r="O38" s="109">
        <f>(AVERAGE(I38,K38,M38)/((AVERAGE(I38,K38,M38)+AVERAGE(J38,L38,N38))))</f>
        <v>0.58474576271186451</v>
      </c>
      <c r="P38" s="123">
        <f t="shared" si="5"/>
        <v>36800</v>
      </c>
      <c r="Q38" s="123">
        <f t="shared" si="6"/>
        <v>26133.333333333332</v>
      </c>
      <c r="R38" s="109">
        <f t="shared" si="7"/>
        <v>0.5847457627118644</v>
      </c>
      <c r="S38" s="184"/>
      <c r="T38" s="65">
        <v>8</v>
      </c>
      <c r="U38" s="68"/>
      <c r="V38" s="68"/>
    </row>
    <row r="39" spans="1:22" s="65" customFormat="1">
      <c r="A39" s="91">
        <v>42885</v>
      </c>
      <c r="B39" s="63">
        <v>9</v>
      </c>
      <c r="C39" s="63"/>
      <c r="D39" s="65" t="s">
        <v>140</v>
      </c>
      <c r="E39" s="65">
        <v>2</v>
      </c>
      <c r="F39" s="92">
        <v>100</v>
      </c>
      <c r="G39" s="65">
        <v>0.5</v>
      </c>
      <c r="H39" s="65">
        <v>800</v>
      </c>
      <c r="I39" s="65">
        <v>46</v>
      </c>
      <c r="J39" s="65">
        <v>2</v>
      </c>
      <c r="K39" s="65">
        <v>54</v>
      </c>
      <c r="L39" s="65">
        <v>3</v>
      </c>
      <c r="M39" s="65">
        <v>45</v>
      </c>
      <c r="N39" s="65">
        <v>3</v>
      </c>
      <c r="O39" s="109">
        <f t="shared" ref="O39:O50" si="8">(AVERAGE(I39,K39,M39)/((AVERAGE(I39,K39,M39)+AVERAGE(J39,L39,N39))))</f>
        <v>0.94771241830065367</v>
      </c>
      <c r="P39" s="123">
        <f t="shared" si="5"/>
        <v>77333.333333333343</v>
      </c>
      <c r="Q39" s="123">
        <f t="shared" si="6"/>
        <v>4266.6666666666661</v>
      </c>
      <c r="R39" s="109">
        <f t="shared" si="7"/>
        <v>0.94771241830065356</v>
      </c>
      <c r="S39" s="184"/>
      <c r="T39" s="65">
        <v>7</v>
      </c>
      <c r="U39" s="68"/>
      <c r="V39" s="68"/>
    </row>
    <row r="40" spans="1:22" s="65" customFormat="1">
      <c r="A40" s="91">
        <v>42885</v>
      </c>
      <c r="B40" s="63">
        <v>10</v>
      </c>
      <c r="C40" s="63"/>
      <c r="D40" s="65" t="s">
        <v>106</v>
      </c>
      <c r="E40" s="65">
        <v>2</v>
      </c>
      <c r="F40" s="92">
        <v>100</v>
      </c>
      <c r="G40" s="65">
        <v>0.5</v>
      </c>
      <c r="H40" s="65">
        <v>800</v>
      </c>
      <c r="I40" s="65">
        <v>19</v>
      </c>
      <c r="J40" s="65">
        <v>47</v>
      </c>
      <c r="K40" s="65">
        <v>26</v>
      </c>
      <c r="L40" s="65">
        <v>44</v>
      </c>
      <c r="M40" s="65">
        <v>21</v>
      </c>
      <c r="N40" s="65">
        <v>52</v>
      </c>
      <c r="O40" s="109">
        <f t="shared" si="8"/>
        <v>0.31578947368421056</v>
      </c>
      <c r="P40" s="123">
        <f t="shared" si="5"/>
        <v>35200</v>
      </c>
      <c r="Q40" s="123">
        <f t="shared" si="6"/>
        <v>76266.666666666657</v>
      </c>
      <c r="R40" s="109">
        <f t="shared" si="7"/>
        <v>0.31578947368421056</v>
      </c>
      <c r="S40" s="184"/>
      <c r="T40" s="65">
        <v>10</v>
      </c>
      <c r="U40" s="68"/>
      <c r="V40" s="68"/>
    </row>
    <row r="41" spans="1:22" s="65" customFormat="1">
      <c r="A41" s="91">
        <v>42885</v>
      </c>
      <c r="B41" s="63">
        <v>11</v>
      </c>
      <c r="C41" s="63"/>
      <c r="D41" s="65" t="s">
        <v>141</v>
      </c>
      <c r="F41" s="92">
        <v>100</v>
      </c>
      <c r="G41" s="65">
        <v>0.5</v>
      </c>
      <c r="H41" s="65">
        <v>800</v>
      </c>
      <c r="I41" s="65">
        <v>18</v>
      </c>
      <c r="J41" s="65">
        <v>79</v>
      </c>
      <c r="K41" s="65">
        <v>18</v>
      </c>
      <c r="L41" s="65">
        <v>52</v>
      </c>
      <c r="M41" s="65">
        <v>12</v>
      </c>
      <c r="N41" s="65">
        <v>59</v>
      </c>
      <c r="O41" s="109">
        <f t="shared" si="8"/>
        <v>0.20168067226890754</v>
      </c>
      <c r="P41" s="123">
        <f t="shared" si="5"/>
        <v>25600</v>
      </c>
      <c r="Q41" s="123">
        <f t="shared" si="6"/>
        <v>101333.33333333334</v>
      </c>
      <c r="R41" s="109">
        <f t="shared" si="7"/>
        <v>0.20168067226890754</v>
      </c>
      <c r="S41" s="184"/>
      <c r="T41" s="65">
        <v>5</v>
      </c>
      <c r="U41" s="68"/>
      <c r="V41" s="68"/>
    </row>
    <row r="42" spans="1:22" s="65" customFormat="1">
      <c r="A42" s="91">
        <v>42885</v>
      </c>
      <c r="B42" s="63">
        <v>12</v>
      </c>
      <c r="C42" s="63"/>
      <c r="D42" s="65" t="s">
        <v>77</v>
      </c>
      <c r="E42" s="65">
        <v>1</v>
      </c>
      <c r="F42" s="92">
        <v>100</v>
      </c>
      <c r="G42" s="65">
        <v>0.5</v>
      </c>
      <c r="H42" s="65">
        <v>800</v>
      </c>
      <c r="I42" s="65">
        <v>37</v>
      </c>
      <c r="J42" s="65">
        <v>46</v>
      </c>
      <c r="K42" s="65">
        <v>37</v>
      </c>
      <c r="L42" s="65">
        <v>33</v>
      </c>
      <c r="M42" s="65">
        <v>29</v>
      </c>
      <c r="N42" s="65">
        <v>43</v>
      </c>
      <c r="O42" s="109">
        <f t="shared" si="8"/>
        <v>0.45777777777777778</v>
      </c>
      <c r="P42" s="123">
        <f t="shared" si="5"/>
        <v>54933.333333333336</v>
      </c>
      <c r="Q42" s="123">
        <f t="shared" si="6"/>
        <v>65066.666666666664</v>
      </c>
      <c r="R42" s="109">
        <f t="shared" si="7"/>
        <v>0.45777777777777778</v>
      </c>
      <c r="S42" s="184"/>
      <c r="T42" s="65">
        <v>12</v>
      </c>
      <c r="U42" s="68"/>
      <c r="V42" s="68"/>
    </row>
    <row r="43" spans="1:22" s="65" customFormat="1">
      <c r="A43" s="91">
        <v>42885</v>
      </c>
      <c r="B43" s="63">
        <v>13</v>
      </c>
      <c r="C43" s="63"/>
      <c r="D43" s="64" t="s">
        <v>78</v>
      </c>
      <c r="E43" s="65">
        <v>1</v>
      </c>
      <c r="F43" s="92">
        <v>100</v>
      </c>
      <c r="G43" s="65">
        <v>0.5</v>
      </c>
      <c r="H43" s="65">
        <v>800</v>
      </c>
      <c r="I43" s="65">
        <v>65</v>
      </c>
      <c r="J43" s="65">
        <v>85</v>
      </c>
      <c r="K43" s="65">
        <v>63</v>
      </c>
      <c r="L43" s="65">
        <v>83</v>
      </c>
      <c r="M43" s="65">
        <v>57</v>
      </c>
      <c r="N43" s="65">
        <v>88</v>
      </c>
      <c r="O43" s="109">
        <f t="shared" si="8"/>
        <v>0.41950113378684806</v>
      </c>
      <c r="P43" s="123">
        <f t="shared" si="5"/>
        <v>98666.666666666657</v>
      </c>
      <c r="Q43" s="123">
        <f t="shared" si="6"/>
        <v>136533.33333333331</v>
      </c>
      <c r="R43" s="109">
        <f t="shared" si="7"/>
        <v>0.41950113378684806</v>
      </c>
      <c r="S43" s="184"/>
      <c r="T43" s="65">
        <v>13</v>
      </c>
      <c r="U43" s="68"/>
      <c r="V43" s="68"/>
    </row>
    <row r="44" spans="1:22" s="65" customFormat="1">
      <c r="A44" s="62">
        <v>42885</v>
      </c>
      <c r="B44" s="63">
        <v>16</v>
      </c>
      <c r="C44" s="63"/>
      <c r="D44" s="65" t="s">
        <v>88</v>
      </c>
      <c r="E44" s="65">
        <v>1</v>
      </c>
      <c r="F44" s="92">
        <v>100</v>
      </c>
      <c r="G44" s="65">
        <v>0.5</v>
      </c>
      <c r="H44" s="65">
        <v>800</v>
      </c>
      <c r="I44" s="65">
        <v>10</v>
      </c>
      <c r="J44" s="65">
        <v>44</v>
      </c>
      <c r="K44" s="65">
        <v>12</v>
      </c>
      <c r="L44" s="65">
        <v>25</v>
      </c>
      <c r="M44" s="65">
        <v>15</v>
      </c>
      <c r="N44" s="65">
        <v>26</v>
      </c>
      <c r="O44" s="109">
        <f t="shared" si="8"/>
        <v>0.28030303030303033</v>
      </c>
      <c r="P44" s="123">
        <f t="shared" si="5"/>
        <v>19733.333333333336</v>
      </c>
      <c r="Q44" s="123">
        <f t="shared" si="6"/>
        <v>50666.666666666672</v>
      </c>
      <c r="R44" s="109">
        <f t="shared" si="7"/>
        <v>0.28030303030303033</v>
      </c>
      <c r="S44" s="184"/>
      <c r="T44" s="65">
        <v>16</v>
      </c>
      <c r="U44" s="68">
        <f>P44</f>
        <v>19733.333333333336</v>
      </c>
      <c r="V44" s="68"/>
    </row>
    <row r="45" spans="1:22" s="65" customFormat="1">
      <c r="A45" s="62">
        <v>42885</v>
      </c>
      <c r="B45" s="63">
        <v>17</v>
      </c>
      <c r="C45" s="63"/>
      <c r="D45" s="65" t="s">
        <v>38</v>
      </c>
      <c r="E45" s="65">
        <v>2</v>
      </c>
      <c r="F45" s="92">
        <v>100</v>
      </c>
      <c r="G45" s="65">
        <v>0.5</v>
      </c>
      <c r="H45" s="65">
        <v>800</v>
      </c>
      <c r="I45" s="65">
        <v>5</v>
      </c>
      <c r="J45" s="65">
        <v>17</v>
      </c>
      <c r="K45" s="65">
        <v>13</v>
      </c>
      <c r="L45" s="65">
        <v>13</v>
      </c>
      <c r="M45" s="65">
        <v>15</v>
      </c>
      <c r="N45" s="65">
        <v>13</v>
      </c>
      <c r="O45" s="109">
        <f t="shared" si="8"/>
        <v>0.43421052631578944</v>
      </c>
      <c r="P45" s="123">
        <f t="shared" si="5"/>
        <v>17600</v>
      </c>
      <c r="Q45" s="123">
        <f t="shared" si="6"/>
        <v>22933.333333333336</v>
      </c>
      <c r="R45" s="109">
        <f t="shared" si="7"/>
        <v>0.43421052631578944</v>
      </c>
      <c r="S45" s="184"/>
      <c r="T45" s="65">
        <v>17</v>
      </c>
      <c r="U45" s="68"/>
      <c r="V45" s="68"/>
    </row>
    <row r="46" spans="1:22" s="65" customFormat="1">
      <c r="A46" s="62">
        <v>42885</v>
      </c>
      <c r="B46" s="63">
        <v>18</v>
      </c>
      <c r="C46" s="63"/>
      <c r="D46" s="65" t="s">
        <v>37</v>
      </c>
      <c r="E46" s="65">
        <v>3</v>
      </c>
      <c r="F46" s="92">
        <v>100</v>
      </c>
      <c r="G46" s="65">
        <v>0.5</v>
      </c>
      <c r="H46" s="65">
        <v>800</v>
      </c>
      <c r="I46" s="65">
        <v>38</v>
      </c>
      <c r="J46" s="65">
        <v>41</v>
      </c>
      <c r="K46" s="65">
        <v>37</v>
      </c>
      <c r="L46" s="65">
        <v>30</v>
      </c>
      <c r="M46" s="65">
        <v>56</v>
      </c>
      <c r="N46" s="65">
        <v>39</v>
      </c>
      <c r="O46" s="109">
        <f t="shared" si="8"/>
        <v>0.54356846473029041</v>
      </c>
      <c r="P46" s="123">
        <f t="shared" si="5"/>
        <v>69866.666666666657</v>
      </c>
      <c r="Q46" s="123">
        <f t="shared" si="6"/>
        <v>58666.666666666664</v>
      </c>
      <c r="R46" s="109">
        <f t="shared" si="7"/>
        <v>0.54356846473029041</v>
      </c>
      <c r="S46" s="184"/>
      <c r="T46" s="65">
        <v>18</v>
      </c>
    </row>
    <row r="47" spans="1:22" s="65" customFormat="1">
      <c r="A47" s="62">
        <v>42885</v>
      </c>
      <c r="B47" s="63">
        <v>19</v>
      </c>
      <c r="C47" s="63"/>
      <c r="D47" s="65" t="s">
        <v>89</v>
      </c>
      <c r="E47" s="65">
        <v>2</v>
      </c>
      <c r="F47" s="92">
        <v>100</v>
      </c>
      <c r="G47" s="65">
        <v>0.5</v>
      </c>
      <c r="H47" s="65">
        <v>800</v>
      </c>
      <c r="I47" s="65">
        <v>42</v>
      </c>
      <c r="J47" s="65">
        <v>2</v>
      </c>
      <c r="K47" s="65">
        <v>38</v>
      </c>
      <c r="L47" s="65">
        <v>6</v>
      </c>
      <c r="M47" s="65">
        <v>33</v>
      </c>
      <c r="N47" s="65">
        <v>4</v>
      </c>
      <c r="O47" s="109">
        <f t="shared" si="8"/>
        <v>0.90400000000000003</v>
      </c>
      <c r="P47" s="123">
        <f t="shared" si="5"/>
        <v>60266.666666666664</v>
      </c>
      <c r="Q47" s="123">
        <f t="shared" si="6"/>
        <v>6400</v>
      </c>
      <c r="R47" s="109">
        <f t="shared" si="7"/>
        <v>0.90400000000000014</v>
      </c>
      <c r="S47" s="184"/>
      <c r="T47" s="65">
        <v>19</v>
      </c>
    </row>
    <row r="48" spans="1:22" s="65" customFormat="1">
      <c r="A48" s="62">
        <v>42885</v>
      </c>
      <c r="B48" s="63">
        <v>20</v>
      </c>
      <c r="C48" s="63"/>
      <c r="D48" s="64" t="s">
        <v>46</v>
      </c>
      <c r="E48" s="65">
        <v>2</v>
      </c>
      <c r="F48" s="92">
        <v>100</v>
      </c>
      <c r="G48" s="65">
        <v>0.5</v>
      </c>
      <c r="H48" s="65">
        <v>800</v>
      </c>
      <c r="I48" s="65">
        <v>46</v>
      </c>
      <c r="J48" s="65">
        <v>6</v>
      </c>
      <c r="K48" s="65">
        <v>54</v>
      </c>
      <c r="L48" s="65">
        <v>8</v>
      </c>
      <c r="M48" s="65">
        <v>56</v>
      </c>
      <c r="N48" s="65">
        <v>6</v>
      </c>
      <c r="O48" s="109">
        <f t="shared" si="8"/>
        <v>0.88636363636363635</v>
      </c>
      <c r="P48" s="123">
        <f t="shared" si="5"/>
        <v>83200</v>
      </c>
      <c r="Q48" s="123">
        <f t="shared" si="6"/>
        <v>10666.666666666668</v>
      </c>
      <c r="R48" s="109">
        <f t="shared" si="7"/>
        <v>0.88636363636363635</v>
      </c>
      <c r="S48" s="184"/>
      <c r="T48" s="65">
        <v>20</v>
      </c>
    </row>
    <row r="49" spans="1:20" s="65" customFormat="1">
      <c r="A49" s="62">
        <v>42885</v>
      </c>
      <c r="B49" s="63">
        <v>21</v>
      </c>
      <c r="C49" s="63"/>
      <c r="D49" s="65" t="s">
        <v>139</v>
      </c>
      <c r="E49" s="65">
        <v>3</v>
      </c>
      <c r="F49" s="92">
        <v>100</v>
      </c>
      <c r="G49" s="65">
        <v>0.5</v>
      </c>
      <c r="H49" s="65">
        <v>800</v>
      </c>
      <c r="I49" s="65">
        <v>53</v>
      </c>
      <c r="J49" s="65">
        <v>39</v>
      </c>
      <c r="K49" s="65">
        <v>45</v>
      </c>
      <c r="L49" s="65">
        <v>48</v>
      </c>
      <c r="M49" s="65">
        <v>83</v>
      </c>
      <c r="N49" s="65">
        <v>23</v>
      </c>
      <c r="O49" s="109">
        <f t="shared" si="8"/>
        <v>0.62199312714776633</v>
      </c>
      <c r="P49" s="123">
        <f t="shared" si="5"/>
        <v>96533.333333333343</v>
      </c>
      <c r="Q49" s="123">
        <f t="shared" si="6"/>
        <v>58666.666666666664</v>
      </c>
      <c r="R49" s="109">
        <f t="shared" si="7"/>
        <v>0.62199312714776633</v>
      </c>
      <c r="S49" s="184"/>
      <c r="T49" s="65">
        <v>21</v>
      </c>
    </row>
    <row r="50" spans="1:20" s="65" customFormat="1">
      <c r="A50" s="62">
        <v>42885</v>
      </c>
      <c r="B50" s="63">
        <v>22</v>
      </c>
      <c r="C50" s="63"/>
      <c r="D50" s="65" t="s">
        <v>17</v>
      </c>
      <c r="E50" s="65">
        <v>2</v>
      </c>
      <c r="F50" s="92">
        <v>100</v>
      </c>
      <c r="G50" s="65">
        <v>0.5</v>
      </c>
      <c r="H50" s="65">
        <v>800</v>
      </c>
      <c r="I50" s="65">
        <v>47</v>
      </c>
      <c r="J50" s="65">
        <v>20</v>
      </c>
      <c r="K50" s="65">
        <v>51</v>
      </c>
      <c r="L50" s="65">
        <v>24</v>
      </c>
      <c r="M50" s="65">
        <v>41</v>
      </c>
      <c r="N50" s="65">
        <v>20</v>
      </c>
      <c r="O50" s="109">
        <f t="shared" si="8"/>
        <v>0.68472906403940881</v>
      </c>
      <c r="P50" s="123">
        <f>(AVERAGE(I50,K50,M50)/G50)*H50</f>
        <v>74133.333333333343</v>
      </c>
      <c r="Q50" s="123">
        <f t="shared" si="6"/>
        <v>34133.333333333328</v>
      </c>
      <c r="R50" s="109">
        <f t="shared" si="7"/>
        <v>0.68472906403940892</v>
      </c>
      <c r="S50" s="184"/>
      <c r="T50" s="68">
        <v>22</v>
      </c>
    </row>
    <row r="51" spans="1:20" s="113" customFormat="1">
      <c r="A51" s="111">
        <v>42886</v>
      </c>
      <c r="B51" s="112">
        <v>3</v>
      </c>
      <c r="C51" s="112">
        <v>5</v>
      </c>
      <c r="D51" s="113" t="s">
        <v>85</v>
      </c>
      <c r="F51" s="114">
        <v>180</v>
      </c>
      <c r="G51" s="117">
        <v>1</v>
      </c>
      <c r="H51" s="113">
        <v>800</v>
      </c>
      <c r="I51" s="113">
        <v>5</v>
      </c>
      <c r="J51" s="113">
        <v>68</v>
      </c>
      <c r="O51" s="115">
        <f>(AVERAGE(I51,K51,M51)/((AVERAGE(I51,K51,M51)+AVERAGE(J51,L51,N51))))</f>
        <v>6.8493150684931503E-2</v>
      </c>
      <c r="P51" s="124">
        <f>(AVERAGE(I51,K51,M51)/G51)*H51</f>
        <v>4000</v>
      </c>
      <c r="Q51" s="124">
        <f t="shared" si="6"/>
        <v>54400</v>
      </c>
      <c r="R51" s="115">
        <f t="shared" si="7"/>
        <v>6.8493150684931503E-2</v>
      </c>
      <c r="S51" s="118">
        <f>I51/(I51+I52)</f>
        <v>0.25</v>
      </c>
      <c r="T51" s="116"/>
    </row>
    <row r="52" spans="1:20" s="113" customFormat="1">
      <c r="A52" s="111">
        <v>42886</v>
      </c>
      <c r="B52" s="112">
        <v>3</v>
      </c>
      <c r="C52" s="112">
        <v>2</v>
      </c>
      <c r="F52" s="114"/>
      <c r="G52" s="117">
        <v>1</v>
      </c>
      <c r="H52" s="113">
        <v>800</v>
      </c>
      <c r="I52" s="113">
        <v>15</v>
      </c>
      <c r="J52" s="113">
        <v>0</v>
      </c>
      <c r="O52" s="115">
        <f t="shared" ref="O52:O83" si="9">(AVERAGE(I52,K52,M52)/((AVERAGE(I52,K52,M52)+AVERAGE(J52,L52,N52))))</f>
        <v>1</v>
      </c>
      <c r="P52" s="124">
        <f t="shared" ref="P52:P53" si="10">(AVERAGE(I52,K52,M52)/G52)*H52</f>
        <v>12000</v>
      </c>
      <c r="Q52" s="124">
        <f t="shared" si="6"/>
        <v>0</v>
      </c>
      <c r="R52" s="115">
        <f t="shared" si="7"/>
        <v>1</v>
      </c>
      <c r="S52" s="118">
        <f>I52/(I51+I52)</f>
        <v>0.75</v>
      </c>
      <c r="T52" s="116">
        <v>3</v>
      </c>
    </row>
    <row r="53" spans="1:20" s="113" customFormat="1">
      <c r="A53" s="111">
        <v>42886</v>
      </c>
      <c r="B53" s="112">
        <v>5</v>
      </c>
      <c r="C53" s="112">
        <v>5</v>
      </c>
      <c r="D53" s="113" t="s">
        <v>87</v>
      </c>
      <c r="F53" s="114">
        <v>100</v>
      </c>
      <c r="G53" s="117">
        <v>1</v>
      </c>
      <c r="H53" s="113">
        <v>800</v>
      </c>
      <c r="I53" s="113">
        <v>0</v>
      </c>
      <c r="J53" s="113">
        <v>124</v>
      </c>
      <c r="O53" s="115">
        <f t="shared" si="9"/>
        <v>0</v>
      </c>
      <c r="P53" s="124">
        <f t="shared" si="10"/>
        <v>0</v>
      </c>
      <c r="Q53" s="124">
        <f t="shared" si="6"/>
        <v>99200</v>
      </c>
      <c r="R53" s="115">
        <f t="shared" si="7"/>
        <v>0</v>
      </c>
      <c r="S53" s="118">
        <f>I53/(I53+I54)</f>
        <v>0</v>
      </c>
      <c r="T53" s="116"/>
    </row>
    <row r="54" spans="1:20" s="113" customFormat="1">
      <c r="A54" s="111">
        <v>42886</v>
      </c>
      <c r="B54" s="112">
        <v>5</v>
      </c>
      <c r="C54" s="112">
        <v>2</v>
      </c>
      <c r="F54" s="114"/>
      <c r="G54" s="117">
        <v>1</v>
      </c>
      <c r="H54" s="113">
        <v>800</v>
      </c>
      <c r="I54" s="113">
        <v>2</v>
      </c>
      <c r="J54" s="113">
        <v>7</v>
      </c>
      <c r="O54" s="115">
        <f t="shared" si="9"/>
        <v>0.22222222222222221</v>
      </c>
      <c r="P54" s="124">
        <f>I54/G54*H54</f>
        <v>1600</v>
      </c>
      <c r="Q54" s="124">
        <f t="shared" si="6"/>
        <v>5600</v>
      </c>
      <c r="R54" s="115">
        <f t="shared" si="7"/>
        <v>0.22222222222222221</v>
      </c>
      <c r="S54" s="118">
        <f>I54/(I53+I54)</f>
        <v>1</v>
      </c>
      <c r="T54" s="116">
        <v>5</v>
      </c>
    </row>
    <row r="55" spans="1:20" s="113" customFormat="1">
      <c r="A55" s="111">
        <v>42886</v>
      </c>
      <c r="B55" s="112">
        <v>7</v>
      </c>
      <c r="C55" s="112">
        <v>5</v>
      </c>
      <c r="D55" s="113" t="s">
        <v>140</v>
      </c>
      <c r="F55" s="114">
        <v>100</v>
      </c>
      <c r="G55" s="117">
        <v>1</v>
      </c>
      <c r="H55" s="113">
        <v>800</v>
      </c>
      <c r="I55" s="113">
        <v>2</v>
      </c>
      <c r="J55" s="113">
        <v>177</v>
      </c>
      <c r="O55" s="115">
        <f t="shared" si="9"/>
        <v>1.11731843575419E-2</v>
      </c>
      <c r="P55" s="124">
        <f t="shared" ref="P55:P82" si="11">I55/G55*H55</f>
        <v>1600</v>
      </c>
      <c r="Q55" s="124">
        <f t="shared" si="6"/>
        <v>141600</v>
      </c>
      <c r="R55" s="115">
        <f t="shared" si="7"/>
        <v>1.11731843575419E-2</v>
      </c>
      <c r="S55" s="118">
        <f>I55/(I55+I56)</f>
        <v>0.15384615384615385</v>
      </c>
    </row>
    <row r="56" spans="1:20" s="113" customFormat="1">
      <c r="A56" s="111">
        <v>42886</v>
      </c>
      <c r="B56" s="112">
        <v>7</v>
      </c>
      <c r="C56" s="112">
        <v>2</v>
      </c>
      <c r="F56" s="114"/>
      <c r="G56" s="117">
        <v>1</v>
      </c>
      <c r="H56" s="113">
        <v>800</v>
      </c>
      <c r="I56" s="113">
        <v>11</v>
      </c>
      <c r="J56" s="113">
        <v>1</v>
      </c>
      <c r="O56" s="115">
        <f t="shared" si="9"/>
        <v>0.91666666666666663</v>
      </c>
      <c r="P56" s="124">
        <f t="shared" si="11"/>
        <v>8800</v>
      </c>
      <c r="Q56" s="124">
        <f t="shared" si="6"/>
        <v>800</v>
      </c>
      <c r="R56" s="115">
        <f t="shared" si="7"/>
        <v>0.91666666666666663</v>
      </c>
      <c r="S56" s="118">
        <f>I56/(I55+I56)</f>
        <v>0.84615384615384615</v>
      </c>
      <c r="T56" s="116">
        <v>7</v>
      </c>
    </row>
    <row r="57" spans="1:20" s="113" customFormat="1">
      <c r="A57" s="111">
        <v>42886</v>
      </c>
      <c r="B57" s="112">
        <v>8</v>
      </c>
      <c r="C57" s="112">
        <v>5</v>
      </c>
      <c r="D57" s="113" t="s">
        <v>86</v>
      </c>
      <c r="F57" s="114">
        <v>100</v>
      </c>
      <c r="G57" s="117">
        <v>1</v>
      </c>
      <c r="H57" s="113">
        <v>800</v>
      </c>
      <c r="I57" s="113">
        <v>4</v>
      </c>
      <c r="J57" s="113">
        <v>69</v>
      </c>
      <c r="O57" s="115">
        <f t="shared" si="9"/>
        <v>5.4794520547945202E-2</v>
      </c>
      <c r="P57" s="124">
        <f t="shared" si="11"/>
        <v>3200</v>
      </c>
      <c r="Q57" s="124">
        <f t="shared" si="6"/>
        <v>55200</v>
      </c>
      <c r="R57" s="115">
        <f t="shared" si="7"/>
        <v>5.4794520547945202E-2</v>
      </c>
      <c r="S57" s="118">
        <f>I57/(I57+I58)</f>
        <v>4.7619047619047616E-2</v>
      </c>
    </row>
    <row r="58" spans="1:20" s="113" customFormat="1">
      <c r="A58" s="111">
        <v>42886</v>
      </c>
      <c r="B58" s="112">
        <v>8</v>
      </c>
      <c r="C58" s="112">
        <v>2</v>
      </c>
      <c r="F58" s="114"/>
      <c r="G58" s="117">
        <v>1</v>
      </c>
      <c r="H58" s="113">
        <v>800</v>
      </c>
      <c r="I58" s="113">
        <v>80</v>
      </c>
      <c r="J58" s="113">
        <v>6</v>
      </c>
      <c r="O58" s="115">
        <f t="shared" si="9"/>
        <v>0.93023255813953487</v>
      </c>
      <c r="P58" s="124">
        <f t="shared" si="11"/>
        <v>64000</v>
      </c>
      <c r="Q58" s="124">
        <f t="shared" si="6"/>
        <v>4800</v>
      </c>
      <c r="R58" s="115">
        <f t="shared" si="7"/>
        <v>0.93023255813953487</v>
      </c>
      <c r="S58" s="118">
        <f>I58/(I57+I58)</f>
        <v>0.95238095238095233</v>
      </c>
      <c r="T58" s="116">
        <v>8</v>
      </c>
    </row>
    <row r="59" spans="1:20" s="113" customFormat="1">
      <c r="A59" s="111">
        <v>42886</v>
      </c>
      <c r="B59" s="112">
        <v>9</v>
      </c>
      <c r="C59" s="112">
        <v>5</v>
      </c>
      <c r="D59" s="113" t="s">
        <v>140</v>
      </c>
      <c r="F59" s="114">
        <v>100</v>
      </c>
      <c r="G59" s="117">
        <v>1</v>
      </c>
      <c r="H59" s="113">
        <v>800</v>
      </c>
      <c r="I59" s="113">
        <v>20</v>
      </c>
      <c r="J59" s="113">
        <v>15</v>
      </c>
      <c r="O59" s="115">
        <f t="shared" si="9"/>
        <v>0.5714285714285714</v>
      </c>
      <c r="P59" s="124">
        <f t="shared" si="11"/>
        <v>16000</v>
      </c>
      <c r="Q59" s="124">
        <f t="shared" si="6"/>
        <v>12000</v>
      </c>
      <c r="R59" s="115">
        <f t="shared" si="7"/>
        <v>0.5714285714285714</v>
      </c>
      <c r="S59" s="118">
        <f>I59/(I59+I60)</f>
        <v>0.32786885245901637</v>
      </c>
      <c r="T59" s="113" t="s">
        <v>170</v>
      </c>
    </row>
    <row r="60" spans="1:20" s="113" customFormat="1">
      <c r="A60" s="111">
        <v>42886</v>
      </c>
      <c r="B60" s="112">
        <v>9</v>
      </c>
      <c r="C60" s="112">
        <v>2</v>
      </c>
      <c r="F60" s="114"/>
      <c r="G60" s="117">
        <v>1</v>
      </c>
      <c r="H60" s="113">
        <v>800</v>
      </c>
      <c r="I60" s="113">
        <v>41</v>
      </c>
      <c r="J60" s="113">
        <v>0</v>
      </c>
      <c r="O60" s="115">
        <f t="shared" si="9"/>
        <v>1</v>
      </c>
      <c r="P60" s="124">
        <f t="shared" si="11"/>
        <v>32800</v>
      </c>
      <c r="Q60" s="124">
        <f t="shared" si="6"/>
        <v>0</v>
      </c>
      <c r="R60" s="115">
        <f t="shared" si="7"/>
        <v>1</v>
      </c>
      <c r="S60" s="118">
        <f>I60/(I59+I60)</f>
        <v>0.67213114754098358</v>
      </c>
      <c r="T60" s="116">
        <v>7</v>
      </c>
    </row>
    <row r="61" spans="1:20" s="113" customFormat="1">
      <c r="A61" s="111">
        <v>42886</v>
      </c>
      <c r="B61" s="112">
        <v>10</v>
      </c>
      <c r="C61" s="112">
        <v>5</v>
      </c>
      <c r="D61" s="113" t="s">
        <v>106</v>
      </c>
      <c r="F61" s="114">
        <v>100</v>
      </c>
      <c r="G61" s="117">
        <v>1</v>
      </c>
      <c r="H61" s="113">
        <v>800</v>
      </c>
      <c r="I61" s="113">
        <v>3</v>
      </c>
      <c r="J61" s="113">
        <v>89</v>
      </c>
      <c r="O61" s="115">
        <f t="shared" si="9"/>
        <v>3.2608695652173912E-2</v>
      </c>
      <c r="P61" s="124">
        <f t="shared" si="11"/>
        <v>2400</v>
      </c>
      <c r="Q61" s="124">
        <f t="shared" si="6"/>
        <v>71200</v>
      </c>
      <c r="R61" s="115">
        <f t="shared" si="7"/>
        <v>3.2608695652173912E-2</v>
      </c>
      <c r="S61" s="118">
        <f>I61/(I61+I62)</f>
        <v>0.14285714285714285</v>
      </c>
    </row>
    <row r="62" spans="1:20" s="113" customFormat="1">
      <c r="A62" s="111">
        <v>42886</v>
      </c>
      <c r="B62" s="112">
        <v>10</v>
      </c>
      <c r="C62" s="112">
        <v>2</v>
      </c>
      <c r="F62" s="114"/>
      <c r="G62" s="117">
        <v>1</v>
      </c>
      <c r="H62" s="113">
        <v>800</v>
      </c>
      <c r="I62" s="113">
        <v>18</v>
      </c>
      <c r="J62" s="113">
        <v>8</v>
      </c>
      <c r="O62" s="115">
        <f t="shared" si="9"/>
        <v>0.69230769230769229</v>
      </c>
      <c r="P62" s="124">
        <f t="shared" si="11"/>
        <v>14400</v>
      </c>
      <c r="Q62" s="124">
        <f t="shared" si="6"/>
        <v>6400</v>
      </c>
      <c r="R62" s="115">
        <f t="shared" si="7"/>
        <v>0.69230769230769229</v>
      </c>
      <c r="S62" s="118">
        <f>I62/(I61+I62)</f>
        <v>0.8571428571428571</v>
      </c>
      <c r="T62" s="116">
        <v>10</v>
      </c>
    </row>
    <row r="63" spans="1:20" s="113" customFormat="1">
      <c r="A63" s="111">
        <v>42886</v>
      </c>
      <c r="B63" s="112">
        <v>11</v>
      </c>
      <c r="C63" s="112">
        <v>5</v>
      </c>
      <c r="D63" s="113" t="s">
        <v>141</v>
      </c>
      <c r="F63" s="114">
        <v>100</v>
      </c>
      <c r="G63" s="117">
        <v>1</v>
      </c>
      <c r="H63" s="113">
        <v>800</v>
      </c>
      <c r="I63" s="113">
        <v>1</v>
      </c>
      <c r="J63" s="113">
        <v>114</v>
      </c>
      <c r="O63" s="115">
        <f t="shared" si="9"/>
        <v>8.6956521739130436E-3</v>
      </c>
      <c r="P63" s="124">
        <f t="shared" si="11"/>
        <v>800</v>
      </c>
      <c r="Q63" s="124">
        <f t="shared" si="6"/>
        <v>91200</v>
      </c>
      <c r="R63" s="115">
        <f t="shared" si="7"/>
        <v>8.6956521739130436E-3</v>
      </c>
      <c r="S63" s="118">
        <f>I63/(I63+I64)</f>
        <v>0.25</v>
      </c>
    </row>
    <row r="64" spans="1:20" s="113" customFormat="1">
      <c r="A64" s="111">
        <v>42886</v>
      </c>
      <c r="B64" s="112">
        <v>11</v>
      </c>
      <c r="C64" s="112">
        <v>2</v>
      </c>
      <c r="F64" s="114"/>
      <c r="G64" s="117">
        <v>1</v>
      </c>
      <c r="H64" s="113">
        <v>800</v>
      </c>
      <c r="I64" s="113">
        <v>3</v>
      </c>
      <c r="J64" s="113">
        <v>0</v>
      </c>
      <c r="O64" s="115">
        <f t="shared" si="9"/>
        <v>1</v>
      </c>
      <c r="P64" s="124">
        <f t="shared" si="11"/>
        <v>2400</v>
      </c>
      <c r="Q64" s="124">
        <f t="shared" si="6"/>
        <v>0</v>
      </c>
      <c r="R64" s="115">
        <f t="shared" si="7"/>
        <v>1</v>
      </c>
      <c r="S64" s="118">
        <f>I64/(I63+I64)</f>
        <v>0.75</v>
      </c>
      <c r="T64" s="116">
        <v>5</v>
      </c>
    </row>
    <row r="65" spans="1:20" s="113" customFormat="1">
      <c r="A65" s="111">
        <v>42886</v>
      </c>
      <c r="B65" s="112">
        <v>12</v>
      </c>
      <c r="C65" s="112">
        <v>5</v>
      </c>
      <c r="D65" s="113" t="s">
        <v>77</v>
      </c>
      <c r="F65" s="114">
        <v>100</v>
      </c>
      <c r="G65" s="117">
        <v>1</v>
      </c>
      <c r="H65" s="113">
        <v>800</v>
      </c>
      <c r="I65" s="113">
        <v>10</v>
      </c>
      <c r="J65" s="113">
        <v>119</v>
      </c>
      <c r="O65" s="115">
        <f t="shared" si="9"/>
        <v>7.7519379844961239E-2</v>
      </c>
      <c r="P65" s="124">
        <f t="shared" si="11"/>
        <v>8000</v>
      </c>
      <c r="Q65" s="124">
        <f t="shared" si="6"/>
        <v>95200</v>
      </c>
      <c r="R65" s="115">
        <f t="shared" si="7"/>
        <v>7.7519379844961239E-2</v>
      </c>
      <c r="S65" s="118">
        <f>I65/(I65+I66)</f>
        <v>0.58823529411764708</v>
      </c>
    </row>
    <row r="66" spans="1:20" s="113" customFormat="1">
      <c r="A66" s="111">
        <v>42886</v>
      </c>
      <c r="B66" s="112">
        <v>12</v>
      </c>
      <c r="C66" s="112">
        <v>2</v>
      </c>
      <c r="F66" s="114"/>
      <c r="G66" s="117">
        <v>1</v>
      </c>
      <c r="H66" s="113">
        <v>800</v>
      </c>
      <c r="I66" s="113">
        <v>7</v>
      </c>
      <c r="J66" s="113">
        <v>7</v>
      </c>
      <c r="O66" s="115">
        <f t="shared" si="9"/>
        <v>0.5</v>
      </c>
      <c r="P66" s="124">
        <f t="shared" si="11"/>
        <v>5600</v>
      </c>
      <c r="Q66" s="124">
        <f t="shared" si="6"/>
        <v>5600</v>
      </c>
      <c r="R66" s="115">
        <f t="shared" si="7"/>
        <v>0.5</v>
      </c>
      <c r="S66" s="118">
        <f>I66/(I65+I66)</f>
        <v>0.41176470588235292</v>
      </c>
      <c r="T66" s="116">
        <v>12</v>
      </c>
    </row>
    <row r="67" spans="1:20" s="113" customFormat="1">
      <c r="A67" s="111">
        <v>42886</v>
      </c>
      <c r="B67" s="112">
        <v>13</v>
      </c>
      <c r="C67" s="112">
        <v>5</v>
      </c>
      <c r="D67" s="113" t="s">
        <v>78</v>
      </c>
      <c r="F67" s="114">
        <v>100</v>
      </c>
      <c r="G67" s="117">
        <v>1</v>
      </c>
      <c r="H67" s="113">
        <v>800</v>
      </c>
      <c r="I67" s="113">
        <v>13</v>
      </c>
      <c r="J67" s="113">
        <v>127</v>
      </c>
      <c r="O67" s="115">
        <f t="shared" si="9"/>
        <v>9.285714285714286E-2</v>
      </c>
      <c r="P67" s="124">
        <f t="shared" si="11"/>
        <v>10400</v>
      </c>
      <c r="Q67" s="124">
        <f t="shared" si="6"/>
        <v>101600</v>
      </c>
      <c r="R67" s="115">
        <f t="shared" si="7"/>
        <v>9.285714285714286E-2</v>
      </c>
      <c r="S67" s="118" t="e">
        <f>I67/(I67+I68)</f>
        <v>#VALUE!</v>
      </c>
    </row>
    <row r="68" spans="1:20" s="113" customFormat="1">
      <c r="A68" s="111">
        <v>42886</v>
      </c>
      <c r="B68" s="112">
        <v>13</v>
      </c>
      <c r="C68" s="112">
        <v>2</v>
      </c>
      <c r="F68" s="114"/>
      <c r="G68" s="117">
        <v>1</v>
      </c>
      <c r="H68" s="113">
        <v>800</v>
      </c>
      <c r="I68" s="113" t="s">
        <v>168</v>
      </c>
      <c r="J68" s="113" t="s">
        <v>168</v>
      </c>
      <c r="O68" s="115" t="e">
        <f t="shared" si="9"/>
        <v>#DIV/0!</v>
      </c>
      <c r="P68" s="124" t="e">
        <f t="shared" si="11"/>
        <v>#VALUE!</v>
      </c>
      <c r="Q68" s="124" t="e">
        <f t="shared" si="6"/>
        <v>#DIV/0!</v>
      </c>
      <c r="R68" s="115" t="e">
        <f t="shared" si="7"/>
        <v>#VALUE!</v>
      </c>
      <c r="S68" s="118" t="e">
        <f>I68/(I67+I68)</f>
        <v>#VALUE!</v>
      </c>
      <c r="T68" s="116">
        <v>13</v>
      </c>
    </row>
    <row r="69" spans="1:20" s="113" customFormat="1">
      <c r="A69" s="111">
        <v>42886</v>
      </c>
      <c r="B69" s="112">
        <v>16</v>
      </c>
      <c r="C69" s="112">
        <v>5</v>
      </c>
      <c r="D69" s="113" t="s">
        <v>88</v>
      </c>
      <c r="F69" s="114">
        <v>100</v>
      </c>
      <c r="G69" s="117">
        <v>1</v>
      </c>
      <c r="H69" s="113">
        <v>800</v>
      </c>
      <c r="I69" s="113">
        <v>0</v>
      </c>
      <c r="J69" s="113">
        <v>82</v>
      </c>
      <c r="O69" s="115">
        <f t="shared" si="9"/>
        <v>0</v>
      </c>
      <c r="P69" s="124">
        <f t="shared" si="11"/>
        <v>0</v>
      </c>
      <c r="Q69" s="124">
        <f t="shared" si="6"/>
        <v>65600</v>
      </c>
      <c r="R69" s="115">
        <f t="shared" si="7"/>
        <v>0</v>
      </c>
      <c r="S69" s="118">
        <f>I69/(I69+I70)</f>
        <v>0</v>
      </c>
    </row>
    <row r="70" spans="1:20" s="113" customFormat="1">
      <c r="A70" s="111">
        <v>42886</v>
      </c>
      <c r="B70" s="112">
        <v>16</v>
      </c>
      <c r="C70" s="112">
        <v>2</v>
      </c>
      <c r="F70" s="114"/>
      <c r="G70" s="117">
        <v>1</v>
      </c>
      <c r="H70" s="113">
        <v>400</v>
      </c>
      <c r="I70" s="113">
        <v>1</v>
      </c>
      <c r="J70" s="113">
        <v>6</v>
      </c>
      <c r="O70" s="115">
        <f t="shared" si="9"/>
        <v>0.14285714285714285</v>
      </c>
      <c r="P70" s="124">
        <f t="shared" si="11"/>
        <v>400</v>
      </c>
      <c r="Q70" s="124">
        <f t="shared" si="6"/>
        <v>2400</v>
      </c>
      <c r="R70" s="115">
        <f t="shared" si="7"/>
        <v>0.14285714285714285</v>
      </c>
      <c r="S70" s="118">
        <f>I70/(I69+I70)</f>
        <v>1</v>
      </c>
      <c r="T70" s="116">
        <v>16</v>
      </c>
    </row>
    <row r="71" spans="1:20" s="113" customFormat="1">
      <c r="A71" s="111">
        <v>42886</v>
      </c>
      <c r="B71" s="112">
        <v>17</v>
      </c>
      <c r="C71" s="112">
        <v>5</v>
      </c>
      <c r="D71" s="113" t="s">
        <v>38</v>
      </c>
      <c r="F71" s="114">
        <v>100</v>
      </c>
      <c r="G71" s="117">
        <v>1</v>
      </c>
      <c r="H71" s="113">
        <v>800</v>
      </c>
      <c r="I71" s="113">
        <v>4</v>
      </c>
      <c r="J71" s="113">
        <v>40</v>
      </c>
      <c r="O71" s="115">
        <f t="shared" si="9"/>
        <v>9.0909090909090912E-2</v>
      </c>
      <c r="P71" s="124">
        <f t="shared" si="11"/>
        <v>3200</v>
      </c>
      <c r="Q71" s="124">
        <f t="shared" si="6"/>
        <v>32000</v>
      </c>
      <c r="R71" s="115">
        <f t="shared" si="7"/>
        <v>9.0909090909090912E-2</v>
      </c>
      <c r="S71" s="118">
        <f>I71/(I71+I72)</f>
        <v>0.19047619047619047</v>
      </c>
    </row>
    <row r="72" spans="1:20" s="113" customFormat="1">
      <c r="A72" s="111">
        <v>42886</v>
      </c>
      <c r="B72" s="112">
        <v>17</v>
      </c>
      <c r="C72" s="112">
        <v>2</v>
      </c>
      <c r="F72" s="114"/>
      <c r="G72" s="117">
        <v>1</v>
      </c>
      <c r="H72" s="113">
        <v>800</v>
      </c>
      <c r="I72" s="113">
        <v>17</v>
      </c>
      <c r="J72" s="113">
        <v>5</v>
      </c>
      <c r="O72" s="115">
        <f t="shared" si="9"/>
        <v>0.77272727272727271</v>
      </c>
      <c r="P72" s="124">
        <f t="shared" si="11"/>
        <v>13600</v>
      </c>
      <c r="Q72" s="124">
        <f t="shared" si="6"/>
        <v>4000</v>
      </c>
      <c r="R72" s="115">
        <f t="shared" si="7"/>
        <v>0.77272727272727271</v>
      </c>
      <c r="S72" s="118">
        <f>I72/(I71+I72)</f>
        <v>0.80952380952380953</v>
      </c>
      <c r="T72" s="116">
        <v>17</v>
      </c>
    </row>
    <row r="73" spans="1:20" s="113" customFormat="1">
      <c r="A73" s="111">
        <v>42886</v>
      </c>
      <c r="B73" s="112">
        <v>18</v>
      </c>
      <c r="C73" s="112">
        <v>5</v>
      </c>
      <c r="D73" s="113" t="s">
        <v>37</v>
      </c>
      <c r="F73" s="114">
        <v>100</v>
      </c>
      <c r="G73" s="117">
        <v>1</v>
      </c>
      <c r="H73" s="113">
        <v>800</v>
      </c>
      <c r="I73" s="113">
        <v>6</v>
      </c>
      <c r="J73" s="113">
        <v>35</v>
      </c>
      <c r="O73" s="115">
        <f t="shared" si="9"/>
        <v>0.14634146341463414</v>
      </c>
      <c r="P73" s="124">
        <f t="shared" si="11"/>
        <v>4800</v>
      </c>
      <c r="Q73" s="124">
        <f t="shared" si="6"/>
        <v>28000</v>
      </c>
      <c r="R73" s="115">
        <f t="shared" si="7"/>
        <v>0.14634146341463414</v>
      </c>
      <c r="S73" s="118">
        <f>I73/(I73+I74)</f>
        <v>8.9552238805970144E-2</v>
      </c>
    </row>
    <row r="74" spans="1:20" s="113" customFormat="1">
      <c r="A74" s="111">
        <v>42886</v>
      </c>
      <c r="B74" s="112">
        <v>18</v>
      </c>
      <c r="C74" s="112">
        <v>2</v>
      </c>
      <c r="F74" s="114"/>
      <c r="G74" s="117">
        <v>1</v>
      </c>
      <c r="H74" s="113">
        <v>800</v>
      </c>
      <c r="I74" s="113">
        <v>61</v>
      </c>
      <c r="J74" s="113">
        <v>3</v>
      </c>
      <c r="O74" s="115">
        <f t="shared" si="9"/>
        <v>0.953125</v>
      </c>
      <c r="P74" s="124">
        <f t="shared" si="11"/>
        <v>48800</v>
      </c>
      <c r="Q74" s="124">
        <f t="shared" si="6"/>
        <v>2400</v>
      </c>
      <c r="R74" s="115">
        <f t="shared" si="7"/>
        <v>0.953125</v>
      </c>
      <c r="S74" s="118">
        <f>I74/(I73+I74)</f>
        <v>0.91044776119402981</v>
      </c>
      <c r="T74" s="116">
        <v>18</v>
      </c>
    </row>
    <row r="75" spans="1:20" s="113" customFormat="1">
      <c r="A75" s="111">
        <v>42886</v>
      </c>
      <c r="B75" s="112">
        <v>19</v>
      </c>
      <c r="C75" s="112">
        <v>5</v>
      </c>
      <c r="D75" s="113" t="s">
        <v>89</v>
      </c>
      <c r="F75" s="114">
        <v>100</v>
      </c>
      <c r="G75" s="117">
        <v>1</v>
      </c>
      <c r="H75" s="113">
        <v>800</v>
      </c>
      <c r="I75" s="113">
        <v>0</v>
      </c>
      <c r="J75" s="113">
        <v>4</v>
      </c>
      <c r="O75" s="115">
        <f t="shared" si="9"/>
        <v>0</v>
      </c>
      <c r="P75" s="124">
        <f t="shared" si="11"/>
        <v>0</v>
      </c>
      <c r="Q75" s="124">
        <f t="shared" si="6"/>
        <v>3200</v>
      </c>
      <c r="R75" s="115">
        <f t="shared" si="7"/>
        <v>0</v>
      </c>
      <c r="S75" s="118" t="e">
        <f>I75/(I75+I76)</f>
        <v>#VALUE!</v>
      </c>
    </row>
    <row r="76" spans="1:20" s="113" customFormat="1">
      <c r="A76" s="111">
        <v>42886</v>
      </c>
      <c r="B76" s="112">
        <v>19</v>
      </c>
      <c r="C76" s="112">
        <v>2</v>
      </c>
      <c r="F76" s="114"/>
      <c r="G76" s="117">
        <v>1</v>
      </c>
      <c r="H76" s="113">
        <v>800</v>
      </c>
      <c r="I76" s="113" t="s">
        <v>168</v>
      </c>
      <c r="J76" s="113" t="s">
        <v>168</v>
      </c>
      <c r="O76" s="115" t="e">
        <f t="shared" si="9"/>
        <v>#DIV/0!</v>
      </c>
      <c r="P76" s="124" t="e">
        <f t="shared" si="11"/>
        <v>#VALUE!</v>
      </c>
      <c r="Q76" s="124" t="e">
        <f t="shared" si="6"/>
        <v>#DIV/0!</v>
      </c>
      <c r="R76" s="115" t="e">
        <f t="shared" si="7"/>
        <v>#VALUE!</v>
      </c>
      <c r="S76" s="118" t="e">
        <f>I76/(I75+I76)</f>
        <v>#VALUE!</v>
      </c>
      <c r="T76" s="116">
        <v>19</v>
      </c>
    </row>
    <row r="77" spans="1:20" s="113" customFormat="1">
      <c r="A77" s="111">
        <v>42886</v>
      </c>
      <c r="B77" s="112">
        <v>20</v>
      </c>
      <c r="C77" s="112">
        <v>5</v>
      </c>
      <c r="D77" s="113" t="s">
        <v>46</v>
      </c>
      <c r="F77" s="114">
        <v>100</v>
      </c>
      <c r="G77" s="117">
        <v>1</v>
      </c>
      <c r="H77" s="113">
        <v>800</v>
      </c>
      <c r="I77" s="113">
        <v>21</v>
      </c>
      <c r="J77" s="113">
        <v>24</v>
      </c>
      <c r="O77" s="115">
        <f t="shared" si="9"/>
        <v>0.46666666666666667</v>
      </c>
      <c r="P77" s="124">
        <f>I77/G77*H77</f>
        <v>16800</v>
      </c>
      <c r="Q77" s="124">
        <f t="shared" si="6"/>
        <v>19200</v>
      </c>
      <c r="R77" s="115">
        <f t="shared" si="7"/>
        <v>0.46666666666666667</v>
      </c>
      <c r="S77" s="118">
        <f>I77/(I77+I78)</f>
        <v>0.80769230769230771</v>
      </c>
      <c r="T77" s="113" t="s">
        <v>170</v>
      </c>
    </row>
    <row r="78" spans="1:20" s="113" customFormat="1">
      <c r="A78" s="111">
        <v>42886</v>
      </c>
      <c r="B78" s="112">
        <v>20</v>
      </c>
      <c r="C78" s="112">
        <v>2</v>
      </c>
      <c r="F78" s="114"/>
      <c r="G78" s="117">
        <v>1</v>
      </c>
      <c r="H78" s="113">
        <v>800</v>
      </c>
      <c r="I78" s="113">
        <v>5</v>
      </c>
      <c r="J78" s="113">
        <v>1</v>
      </c>
      <c r="O78" s="115">
        <f t="shared" si="9"/>
        <v>0.83333333333333337</v>
      </c>
      <c r="P78" s="124">
        <f t="shared" si="11"/>
        <v>4000</v>
      </c>
      <c r="Q78" s="124">
        <f t="shared" si="6"/>
        <v>800</v>
      </c>
      <c r="R78" s="115">
        <f t="shared" si="7"/>
        <v>0.83333333333333337</v>
      </c>
      <c r="S78" s="118">
        <f>I78/(I77+I78)</f>
        <v>0.19230769230769232</v>
      </c>
      <c r="T78" s="116">
        <v>20</v>
      </c>
    </row>
    <row r="79" spans="1:20" s="113" customFormat="1">
      <c r="A79" s="111">
        <v>42886</v>
      </c>
      <c r="B79" s="112">
        <v>21</v>
      </c>
      <c r="C79" s="112">
        <v>5</v>
      </c>
      <c r="D79" s="113" t="s">
        <v>139</v>
      </c>
      <c r="F79" s="114">
        <v>100</v>
      </c>
      <c r="G79" s="117">
        <v>1</v>
      </c>
      <c r="H79" s="113">
        <v>800</v>
      </c>
      <c r="I79" s="113">
        <v>1</v>
      </c>
      <c r="J79" s="113">
        <v>177</v>
      </c>
      <c r="O79" s="115">
        <f t="shared" si="9"/>
        <v>5.6179775280898875E-3</v>
      </c>
      <c r="P79" s="124">
        <f t="shared" si="11"/>
        <v>800</v>
      </c>
      <c r="Q79" s="124">
        <f t="shared" si="6"/>
        <v>141600</v>
      </c>
      <c r="R79" s="115">
        <f t="shared" si="7"/>
        <v>5.6179775280898875E-3</v>
      </c>
      <c r="S79" s="118">
        <f>I79/(I79+I80)</f>
        <v>1.5873015873015872E-2</v>
      </c>
    </row>
    <row r="80" spans="1:20" s="113" customFormat="1">
      <c r="A80" s="111">
        <v>42886</v>
      </c>
      <c r="B80" s="112">
        <v>21</v>
      </c>
      <c r="C80" s="112">
        <v>2</v>
      </c>
      <c r="F80" s="114"/>
      <c r="G80" s="117">
        <v>1</v>
      </c>
      <c r="H80" s="113">
        <v>800</v>
      </c>
      <c r="I80" s="113">
        <v>62</v>
      </c>
      <c r="J80" s="113">
        <v>0</v>
      </c>
      <c r="O80" s="115">
        <f t="shared" si="9"/>
        <v>1</v>
      </c>
      <c r="P80" s="124">
        <f t="shared" si="11"/>
        <v>49600</v>
      </c>
      <c r="Q80" s="124">
        <f t="shared" si="6"/>
        <v>0</v>
      </c>
      <c r="R80" s="115">
        <f t="shared" si="7"/>
        <v>1</v>
      </c>
      <c r="S80" s="118">
        <f>I80/(I79+I80)</f>
        <v>0.98412698412698407</v>
      </c>
      <c r="T80" s="116">
        <v>21</v>
      </c>
    </row>
    <row r="81" spans="1:23" s="113" customFormat="1">
      <c r="A81" s="111">
        <v>42886</v>
      </c>
      <c r="B81" s="112">
        <v>22</v>
      </c>
      <c r="C81" s="112">
        <v>5</v>
      </c>
      <c r="F81" s="114"/>
      <c r="G81" s="117">
        <v>1</v>
      </c>
      <c r="H81" s="113">
        <v>800</v>
      </c>
      <c r="I81" s="113">
        <v>5</v>
      </c>
      <c r="J81" s="113">
        <v>58</v>
      </c>
      <c r="O81" s="115">
        <f t="shared" si="9"/>
        <v>7.9365079365079361E-2</v>
      </c>
      <c r="P81" s="124">
        <f t="shared" si="11"/>
        <v>4000</v>
      </c>
      <c r="Q81" s="124">
        <f t="shared" si="6"/>
        <v>46400</v>
      </c>
      <c r="R81" s="115">
        <f t="shared" si="7"/>
        <v>7.9365079365079361E-2</v>
      </c>
      <c r="S81" s="118">
        <f>I81/(I81+I82)</f>
        <v>5.5555555555555552E-2</v>
      </c>
      <c r="T81" s="116"/>
    </row>
    <row r="82" spans="1:23" s="130" customFormat="1" ht="16" thickBot="1">
      <c r="A82" s="128">
        <v>42886</v>
      </c>
      <c r="B82" s="129">
        <v>22</v>
      </c>
      <c r="C82" s="129">
        <v>2</v>
      </c>
      <c r="D82" s="130" t="s">
        <v>17</v>
      </c>
      <c r="F82" s="131">
        <v>100</v>
      </c>
      <c r="G82" s="132">
        <v>1</v>
      </c>
      <c r="H82" s="130">
        <v>800</v>
      </c>
      <c r="I82" s="130">
        <v>85</v>
      </c>
      <c r="J82" s="130">
        <v>2</v>
      </c>
      <c r="O82" s="133">
        <f t="shared" si="9"/>
        <v>0.97701149425287359</v>
      </c>
      <c r="P82" s="134">
        <f t="shared" si="11"/>
        <v>68000</v>
      </c>
      <c r="Q82" s="134">
        <f t="shared" si="6"/>
        <v>1600</v>
      </c>
      <c r="R82" s="133">
        <f t="shared" si="7"/>
        <v>0.97701149425287359</v>
      </c>
      <c r="S82" s="135">
        <f>I82/(I81+I82)</f>
        <v>0.94444444444444442</v>
      </c>
      <c r="T82" s="136">
        <v>22</v>
      </c>
    </row>
    <row r="83" spans="1:23" s="78" customFormat="1">
      <c r="A83" s="75">
        <v>42891</v>
      </c>
      <c r="B83" s="76">
        <v>7</v>
      </c>
      <c r="C83" s="76"/>
      <c r="D83" s="77" t="s">
        <v>140</v>
      </c>
      <c r="E83" s="78">
        <v>1</v>
      </c>
      <c r="F83" s="89">
        <v>224</v>
      </c>
      <c r="G83" s="89">
        <v>2</v>
      </c>
      <c r="H83" s="78">
        <v>695</v>
      </c>
      <c r="I83" s="78">
        <v>0</v>
      </c>
      <c r="J83" s="78">
        <v>0</v>
      </c>
      <c r="K83" s="78">
        <v>1</v>
      </c>
      <c r="L83" s="78">
        <v>0</v>
      </c>
      <c r="M83" s="78">
        <v>0</v>
      </c>
      <c r="N83" s="78">
        <v>0</v>
      </c>
      <c r="O83" s="78">
        <f t="shared" si="9"/>
        <v>1</v>
      </c>
      <c r="P83" s="125">
        <f>(AVERAGE(I83,K83,M83)/G83)*H83</f>
        <v>115.83333333333333</v>
      </c>
      <c r="Q83" s="125">
        <f t="shared" si="6"/>
        <v>0</v>
      </c>
      <c r="R83" s="165">
        <f t="shared" si="7"/>
        <v>1</v>
      </c>
      <c r="S83" s="178" t="str">
        <f>D83</f>
        <v xml:space="preserve">SN-10 Low </v>
      </c>
      <c r="T83" s="79"/>
      <c r="U83" s="79"/>
      <c r="V83" s="79"/>
      <c r="W83" s="78" t="s">
        <v>218</v>
      </c>
    </row>
    <row r="84" spans="1:23" s="83" customFormat="1">
      <c r="A84" s="80">
        <v>42891</v>
      </c>
      <c r="B84" s="81">
        <v>7</v>
      </c>
      <c r="C84" s="81"/>
      <c r="D84" s="82" t="s">
        <v>140</v>
      </c>
      <c r="E84" s="83">
        <v>1</v>
      </c>
      <c r="F84" s="90">
        <v>180</v>
      </c>
      <c r="G84" s="90">
        <v>1</v>
      </c>
      <c r="H84" s="83">
        <v>660</v>
      </c>
      <c r="I84" s="83">
        <v>5</v>
      </c>
      <c r="J84" s="83">
        <v>0</v>
      </c>
      <c r="K84" s="83">
        <v>1</v>
      </c>
      <c r="L84" s="83">
        <v>0</v>
      </c>
      <c r="M84" s="83">
        <v>2</v>
      </c>
      <c r="N84" s="83">
        <v>0</v>
      </c>
      <c r="P84" s="127">
        <f t="shared" ref="P84:P132" si="12">(AVERAGE(I84,K84,M84)/G84)*H84</f>
        <v>1760</v>
      </c>
      <c r="Q84" s="127">
        <f t="shared" si="6"/>
        <v>0</v>
      </c>
      <c r="R84" s="166">
        <f t="shared" si="7"/>
        <v>1</v>
      </c>
      <c r="S84" s="179">
        <f>(P83+P84+P85)/(P83+P84+P85+Q83+Q84+Q85)</f>
        <v>0.87502557140466053</v>
      </c>
      <c r="T84" s="84"/>
      <c r="U84" s="84"/>
      <c r="V84" s="84"/>
    </row>
    <row r="85" spans="1:23" s="83" customFormat="1">
      <c r="A85" s="80">
        <v>42891</v>
      </c>
      <c r="B85" s="81">
        <v>7</v>
      </c>
      <c r="C85" s="81"/>
      <c r="D85" s="82" t="s">
        <v>140</v>
      </c>
      <c r="E85" s="83">
        <v>1</v>
      </c>
      <c r="F85" s="90">
        <v>100</v>
      </c>
      <c r="G85" s="90">
        <v>1</v>
      </c>
      <c r="H85" s="83">
        <v>800</v>
      </c>
      <c r="I85" s="83">
        <v>40</v>
      </c>
      <c r="J85" s="83">
        <v>7</v>
      </c>
      <c r="K85" s="83">
        <v>41</v>
      </c>
      <c r="L85" s="83">
        <v>7</v>
      </c>
      <c r="M85" s="83">
        <v>59</v>
      </c>
      <c r="N85" s="83">
        <v>7</v>
      </c>
      <c r="P85" s="127">
        <f t="shared" si="12"/>
        <v>37333.333333333328</v>
      </c>
      <c r="Q85" s="127">
        <f t="shared" si="6"/>
        <v>5600</v>
      </c>
      <c r="R85" s="166">
        <f t="shared" si="7"/>
        <v>0.86956521739130432</v>
      </c>
      <c r="S85" s="179"/>
      <c r="T85" s="84"/>
      <c r="U85" s="84"/>
      <c r="V85" s="84"/>
    </row>
    <row r="86" spans="1:23" s="83" customFormat="1">
      <c r="A86" s="80">
        <v>42891</v>
      </c>
      <c r="B86" s="81">
        <v>10</v>
      </c>
      <c r="C86" s="81"/>
      <c r="D86" s="83" t="s">
        <v>106</v>
      </c>
      <c r="E86" s="83">
        <v>1</v>
      </c>
      <c r="F86" s="90">
        <v>224</v>
      </c>
      <c r="G86" s="90">
        <v>3</v>
      </c>
      <c r="H86" s="83">
        <v>350</v>
      </c>
      <c r="I86" s="83">
        <v>0</v>
      </c>
      <c r="J86" s="83">
        <v>0</v>
      </c>
      <c r="K86" s="83">
        <v>1</v>
      </c>
      <c r="L86" s="83">
        <v>0</v>
      </c>
      <c r="M86" s="83">
        <v>0</v>
      </c>
      <c r="N86" s="83">
        <v>0</v>
      </c>
      <c r="P86" s="127">
        <f t="shared" si="12"/>
        <v>38.888888888888886</v>
      </c>
      <c r="Q86" s="127">
        <f t="shared" si="6"/>
        <v>0</v>
      </c>
      <c r="R86" s="166">
        <f t="shared" si="7"/>
        <v>1</v>
      </c>
      <c r="S86" s="179" t="str">
        <f>D86</f>
        <v>NF-6 Low</v>
      </c>
      <c r="T86" s="84"/>
      <c r="U86" s="84"/>
      <c r="V86" s="84"/>
    </row>
    <row r="87" spans="1:23" s="83" customFormat="1">
      <c r="A87" s="80">
        <v>42891</v>
      </c>
      <c r="B87" s="81">
        <v>10</v>
      </c>
      <c r="C87" s="81"/>
      <c r="D87" s="83" t="s">
        <v>106</v>
      </c>
      <c r="E87" s="83">
        <v>1</v>
      </c>
      <c r="F87" s="90">
        <v>180</v>
      </c>
      <c r="G87" s="90">
        <v>2</v>
      </c>
      <c r="H87" s="83">
        <v>420</v>
      </c>
      <c r="I87" s="83">
        <v>0</v>
      </c>
      <c r="J87" s="83">
        <v>0</v>
      </c>
      <c r="K87" s="83">
        <v>0</v>
      </c>
      <c r="L87" s="83">
        <v>0</v>
      </c>
      <c r="M87" s="83">
        <v>1</v>
      </c>
      <c r="N87" s="83">
        <v>0</v>
      </c>
      <c r="P87" s="127">
        <f t="shared" si="12"/>
        <v>70</v>
      </c>
      <c r="Q87" s="127">
        <f t="shared" si="6"/>
        <v>0</v>
      </c>
      <c r="R87" s="166">
        <f t="shared" si="7"/>
        <v>1</v>
      </c>
      <c r="S87" s="179">
        <f>(P86+P87+P88)/(P86+P87+P88+Q86+Q87+Q88)</f>
        <v>0.44459712679575258</v>
      </c>
      <c r="T87" s="84"/>
      <c r="U87" s="84"/>
      <c r="V87" s="84"/>
    </row>
    <row r="88" spans="1:23" s="83" customFormat="1">
      <c r="A88" s="80">
        <v>42891</v>
      </c>
      <c r="B88" s="81">
        <v>10</v>
      </c>
      <c r="C88" s="81"/>
      <c r="D88" s="83" t="s">
        <v>106</v>
      </c>
      <c r="E88" s="83">
        <v>1</v>
      </c>
      <c r="F88" s="90">
        <v>100</v>
      </c>
      <c r="G88" s="90">
        <v>0.5</v>
      </c>
      <c r="H88" s="83">
        <v>780</v>
      </c>
      <c r="I88" s="83">
        <v>5</v>
      </c>
      <c r="J88" s="83">
        <v>9</v>
      </c>
      <c r="K88" s="83">
        <v>4</v>
      </c>
      <c r="L88" s="83">
        <v>5</v>
      </c>
      <c r="M88" s="83">
        <v>6</v>
      </c>
      <c r="N88" s="83">
        <v>5</v>
      </c>
      <c r="P88" s="127">
        <f t="shared" si="12"/>
        <v>7800</v>
      </c>
      <c r="Q88" s="127">
        <f t="shared" si="6"/>
        <v>9880</v>
      </c>
      <c r="R88" s="166">
        <f t="shared" si="7"/>
        <v>0.44117647058823528</v>
      </c>
      <c r="S88" s="179"/>
      <c r="T88" s="84"/>
      <c r="U88" s="84"/>
      <c r="V88" s="84"/>
    </row>
    <row r="89" spans="1:23" s="83" customFormat="1">
      <c r="A89" s="80">
        <v>42891</v>
      </c>
      <c r="B89" s="81">
        <v>5</v>
      </c>
      <c r="C89" s="81"/>
      <c r="D89" s="83" t="s">
        <v>87</v>
      </c>
      <c r="E89" s="83">
        <v>1</v>
      </c>
      <c r="F89" s="90">
        <v>224</v>
      </c>
      <c r="G89" s="90">
        <v>3</v>
      </c>
      <c r="H89" s="83">
        <v>470</v>
      </c>
      <c r="I89" s="83">
        <v>0</v>
      </c>
      <c r="J89" s="83">
        <v>0</v>
      </c>
      <c r="K89" s="83">
        <v>0</v>
      </c>
      <c r="L89" s="83">
        <v>0</v>
      </c>
      <c r="M89" s="83">
        <v>0</v>
      </c>
      <c r="N89" s="83">
        <v>0</v>
      </c>
      <c r="P89" s="127">
        <f t="shared" si="12"/>
        <v>0</v>
      </c>
      <c r="Q89" s="127">
        <f t="shared" si="6"/>
        <v>0</v>
      </c>
      <c r="R89" s="166" t="e">
        <f t="shared" si="7"/>
        <v>#DIV/0!</v>
      </c>
      <c r="S89" s="179" t="str">
        <f>D89</f>
        <v>SN-10 Ambient</v>
      </c>
      <c r="T89" s="84"/>
      <c r="U89" s="84"/>
      <c r="V89" s="84"/>
    </row>
    <row r="90" spans="1:23" s="83" customFormat="1">
      <c r="A90" s="80">
        <v>42891</v>
      </c>
      <c r="B90" s="81">
        <v>5</v>
      </c>
      <c r="C90" s="81"/>
      <c r="D90" s="83" t="s">
        <v>87</v>
      </c>
      <c r="E90" s="83">
        <v>1</v>
      </c>
      <c r="F90" s="90">
        <v>180</v>
      </c>
      <c r="G90" s="90">
        <v>1</v>
      </c>
      <c r="H90" s="83">
        <v>590</v>
      </c>
      <c r="I90" s="83">
        <v>1</v>
      </c>
      <c r="J90" s="83">
        <v>1</v>
      </c>
      <c r="K90" s="83">
        <v>1</v>
      </c>
      <c r="L90" s="83">
        <v>1</v>
      </c>
      <c r="M90" s="83">
        <v>2</v>
      </c>
      <c r="N90" s="83">
        <v>0</v>
      </c>
      <c r="P90" s="127">
        <f t="shared" si="12"/>
        <v>786.66666666666663</v>
      </c>
      <c r="Q90" s="127">
        <f t="shared" si="6"/>
        <v>393.33333333333331</v>
      </c>
      <c r="R90" s="166">
        <f t="shared" si="7"/>
        <v>0.66666666666666663</v>
      </c>
      <c r="S90" s="179">
        <f>(P89+P90+P91)/(P89+P90+P91+Q89+Q90+Q91)</f>
        <v>0.81344419721278838</v>
      </c>
      <c r="T90" s="84"/>
      <c r="U90" s="84"/>
      <c r="V90" s="84"/>
    </row>
    <row r="91" spans="1:23" s="83" customFormat="1">
      <c r="A91" s="80">
        <v>42891</v>
      </c>
      <c r="B91" s="81">
        <v>5</v>
      </c>
      <c r="C91" s="81"/>
      <c r="D91" s="83" t="s">
        <v>87</v>
      </c>
      <c r="E91" s="83">
        <v>2</v>
      </c>
      <c r="F91" s="90">
        <v>100</v>
      </c>
      <c r="G91" s="90">
        <v>0.5</v>
      </c>
      <c r="H91" s="83">
        <v>800</v>
      </c>
      <c r="I91" s="83">
        <v>87</v>
      </c>
      <c r="J91" s="83">
        <v>16</v>
      </c>
      <c r="K91" s="83">
        <v>85</v>
      </c>
      <c r="L91" s="83">
        <v>22</v>
      </c>
      <c r="M91" s="83">
        <v>87</v>
      </c>
      <c r="N91" s="83">
        <v>21</v>
      </c>
      <c r="P91" s="127">
        <f t="shared" si="12"/>
        <v>138133.33333333331</v>
      </c>
      <c r="Q91" s="127">
        <f t="shared" si="6"/>
        <v>31466.666666666668</v>
      </c>
      <c r="R91" s="166">
        <f t="shared" si="7"/>
        <v>0.81446540880503149</v>
      </c>
      <c r="S91" s="179"/>
      <c r="T91" s="84"/>
      <c r="U91" s="84"/>
      <c r="V91" s="84"/>
    </row>
    <row r="92" spans="1:23" s="83" customFormat="1">
      <c r="A92" s="80">
        <v>42891</v>
      </c>
      <c r="B92" s="81">
        <v>12</v>
      </c>
      <c r="C92" s="81"/>
      <c r="D92" s="83" t="s">
        <v>77</v>
      </c>
      <c r="E92" s="83">
        <v>2</v>
      </c>
      <c r="F92" s="90">
        <v>224</v>
      </c>
      <c r="G92" s="90">
        <v>3</v>
      </c>
      <c r="H92" s="83">
        <v>270</v>
      </c>
      <c r="I92" s="83">
        <v>1</v>
      </c>
      <c r="J92" s="83">
        <v>0</v>
      </c>
      <c r="K92" s="83">
        <v>1</v>
      </c>
      <c r="L92" s="83">
        <v>0</v>
      </c>
      <c r="M92" s="83">
        <v>1</v>
      </c>
      <c r="N92" s="83">
        <v>0</v>
      </c>
      <c r="P92" s="127">
        <f t="shared" si="12"/>
        <v>90</v>
      </c>
      <c r="Q92" s="127">
        <f t="shared" si="6"/>
        <v>0</v>
      </c>
      <c r="R92" s="166">
        <f t="shared" si="7"/>
        <v>1</v>
      </c>
      <c r="S92" s="179" t="str">
        <f>D92</f>
        <v xml:space="preserve">NF-10 Low </v>
      </c>
      <c r="T92" s="84"/>
      <c r="U92" s="84"/>
      <c r="V92" s="84"/>
    </row>
    <row r="93" spans="1:23" s="83" customFormat="1">
      <c r="A93" s="80">
        <v>42891</v>
      </c>
      <c r="B93" s="81">
        <v>12</v>
      </c>
      <c r="C93" s="81"/>
      <c r="D93" s="83" t="s">
        <v>77</v>
      </c>
      <c r="E93" s="83">
        <v>2</v>
      </c>
      <c r="F93" s="90">
        <v>180</v>
      </c>
      <c r="G93" s="90">
        <v>1</v>
      </c>
      <c r="H93" s="83">
        <v>360</v>
      </c>
      <c r="I93" s="83">
        <v>4</v>
      </c>
      <c r="J93" s="83">
        <v>3</v>
      </c>
      <c r="K93" s="83">
        <v>2</v>
      </c>
      <c r="L93" s="83">
        <v>0</v>
      </c>
      <c r="M93" s="83">
        <v>1</v>
      </c>
      <c r="N93" s="83">
        <v>1</v>
      </c>
      <c r="P93" s="127">
        <f t="shared" si="12"/>
        <v>840</v>
      </c>
      <c r="Q93" s="127">
        <f t="shared" si="6"/>
        <v>480</v>
      </c>
      <c r="R93" s="166">
        <f t="shared" si="7"/>
        <v>0.63636363636363635</v>
      </c>
      <c r="S93" s="179">
        <f>(P92+P93+P94)/(P92+P93+P94+Q92+Q93+Q94)</f>
        <v>0.81850310665222603</v>
      </c>
      <c r="T93" s="84"/>
      <c r="U93" s="84"/>
      <c r="V93" s="84"/>
    </row>
    <row r="94" spans="1:23" s="83" customFormat="1">
      <c r="A94" s="80">
        <v>42891</v>
      </c>
      <c r="B94" s="81">
        <v>12</v>
      </c>
      <c r="C94" s="81"/>
      <c r="D94" s="83" t="s">
        <v>77</v>
      </c>
      <c r="E94" s="83">
        <v>2</v>
      </c>
      <c r="F94" s="90">
        <v>100</v>
      </c>
      <c r="G94" s="90">
        <v>0.5</v>
      </c>
      <c r="H94" s="83">
        <v>800</v>
      </c>
      <c r="I94" s="83">
        <v>30</v>
      </c>
      <c r="J94" s="83">
        <v>8</v>
      </c>
      <c r="K94" s="83">
        <v>23</v>
      </c>
      <c r="L94" s="83">
        <v>3</v>
      </c>
      <c r="M94" s="83">
        <v>35</v>
      </c>
      <c r="N94" s="83">
        <v>8</v>
      </c>
      <c r="P94" s="127">
        <f t="shared" si="12"/>
        <v>46933.333333333328</v>
      </c>
      <c r="Q94" s="127">
        <f t="shared" si="6"/>
        <v>10133.333333333332</v>
      </c>
      <c r="R94" s="166">
        <f t="shared" si="7"/>
        <v>0.82242990654205617</v>
      </c>
      <c r="S94" s="179"/>
      <c r="T94" s="84"/>
      <c r="U94" s="84"/>
      <c r="V94" s="84"/>
    </row>
    <row r="95" spans="1:23" s="83" customFormat="1">
      <c r="A95" s="80">
        <v>42891</v>
      </c>
      <c r="B95" s="81">
        <v>13</v>
      </c>
      <c r="C95" s="81"/>
      <c r="D95" s="82" t="s">
        <v>78</v>
      </c>
      <c r="E95" s="83">
        <v>2</v>
      </c>
      <c r="F95" s="90">
        <v>224</v>
      </c>
      <c r="G95" s="90">
        <v>3</v>
      </c>
      <c r="H95" s="83">
        <v>245</v>
      </c>
      <c r="I95" s="83">
        <v>0</v>
      </c>
      <c r="J95" s="83">
        <v>0</v>
      </c>
      <c r="K95" s="83">
        <v>1</v>
      </c>
      <c r="L95" s="83">
        <v>2</v>
      </c>
      <c r="M95" s="83">
        <v>0</v>
      </c>
      <c r="N95" s="83">
        <v>0</v>
      </c>
      <c r="P95" s="127">
        <f t="shared" si="12"/>
        <v>27.222222222222221</v>
      </c>
      <c r="Q95" s="127">
        <f t="shared" si="6"/>
        <v>54.444444444444443</v>
      </c>
      <c r="R95" s="166">
        <f t="shared" si="7"/>
        <v>0.33333333333333337</v>
      </c>
      <c r="S95" s="179" t="str">
        <f>D95</f>
        <v>SN-6 Low</v>
      </c>
      <c r="T95" s="84"/>
      <c r="U95" s="84"/>
      <c r="V95" s="84"/>
    </row>
    <row r="96" spans="1:23" s="83" customFormat="1">
      <c r="A96" s="80">
        <v>42891</v>
      </c>
      <c r="B96" s="81">
        <v>13</v>
      </c>
      <c r="C96" s="81"/>
      <c r="D96" s="82" t="s">
        <v>78</v>
      </c>
      <c r="E96" s="83">
        <v>2</v>
      </c>
      <c r="F96" s="90">
        <v>180</v>
      </c>
      <c r="G96" s="90">
        <v>1</v>
      </c>
      <c r="H96" s="83">
        <v>420</v>
      </c>
      <c r="I96" s="83">
        <v>4</v>
      </c>
      <c r="J96" s="83">
        <v>1</v>
      </c>
      <c r="K96" s="83">
        <v>6</v>
      </c>
      <c r="L96" s="83">
        <v>0</v>
      </c>
      <c r="M96" s="83">
        <v>3</v>
      </c>
      <c r="N96" s="83">
        <v>0</v>
      </c>
      <c r="P96" s="127">
        <f t="shared" si="12"/>
        <v>1819.9999999999998</v>
      </c>
      <c r="Q96" s="127">
        <f t="shared" si="6"/>
        <v>140</v>
      </c>
      <c r="R96" s="166">
        <f t="shared" si="7"/>
        <v>0.9285714285714286</v>
      </c>
      <c r="S96" s="179">
        <f>(P95+P96+P97)/(P95+P96+P97+Q95+Q96+Q97)</f>
        <v>0.83877037362852191</v>
      </c>
      <c r="T96" s="84"/>
      <c r="U96" s="84"/>
      <c r="V96" s="84"/>
    </row>
    <row r="97" spans="1:23" s="83" customFormat="1">
      <c r="A97" s="80">
        <v>42891</v>
      </c>
      <c r="B97" s="81">
        <v>13</v>
      </c>
      <c r="C97" s="81"/>
      <c r="D97" s="82" t="s">
        <v>78</v>
      </c>
      <c r="E97" s="83">
        <v>2</v>
      </c>
      <c r="F97" s="90">
        <v>100</v>
      </c>
      <c r="G97" s="90">
        <v>0.5</v>
      </c>
      <c r="H97" s="83">
        <v>850</v>
      </c>
      <c r="I97" s="83">
        <v>57</v>
      </c>
      <c r="J97" s="83">
        <v>12</v>
      </c>
      <c r="K97" s="83">
        <v>49</v>
      </c>
      <c r="L97" s="83">
        <v>11</v>
      </c>
      <c r="M97" s="83">
        <v>59</v>
      </c>
      <c r="N97" s="83">
        <v>9</v>
      </c>
      <c r="P97" s="127">
        <f t="shared" si="12"/>
        <v>93500</v>
      </c>
      <c r="Q97" s="127">
        <f t="shared" si="6"/>
        <v>18133.333333333332</v>
      </c>
      <c r="R97" s="166">
        <f t="shared" si="7"/>
        <v>0.83756345177664981</v>
      </c>
      <c r="S97" s="179"/>
      <c r="T97" s="84"/>
      <c r="U97" s="84"/>
      <c r="V97" s="84"/>
    </row>
    <row r="98" spans="1:23" s="83" customFormat="1">
      <c r="A98" s="80">
        <v>42891</v>
      </c>
      <c r="B98" s="81">
        <v>8</v>
      </c>
      <c r="C98" s="81"/>
      <c r="D98" s="83" t="s">
        <v>86</v>
      </c>
      <c r="E98" s="83">
        <v>2</v>
      </c>
      <c r="F98" s="90">
        <v>224</v>
      </c>
      <c r="G98" s="90">
        <v>2</v>
      </c>
      <c r="H98" s="83">
        <v>270</v>
      </c>
      <c r="I98" s="83">
        <v>0</v>
      </c>
      <c r="J98" s="83">
        <v>0</v>
      </c>
      <c r="K98" s="83">
        <v>1</v>
      </c>
      <c r="L98" s="83">
        <v>0</v>
      </c>
      <c r="M98" s="83">
        <v>1</v>
      </c>
      <c r="N98" s="83">
        <v>1</v>
      </c>
      <c r="P98" s="127">
        <f t="shared" si="12"/>
        <v>90</v>
      </c>
      <c r="Q98" s="127">
        <f t="shared" si="6"/>
        <v>45</v>
      </c>
      <c r="R98" s="166">
        <f t="shared" si="7"/>
        <v>0.66666666666666663</v>
      </c>
      <c r="S98" s="179" t="str">
        <f>D98</f>
        <v>NF-6 Ambient</v>
      </c>
      <c r="T98" s="84"/>
      <c r="U98" s="84"/>
      <c r="V98" s="84"/>
    </row>
    <row r="99" spans="1:23" s="83" customFormat="1">
      <c r="A99" s="80">
        <v>42891</v>
      </c>
      <c r="B99" s="81">
        <v>8</v>
      </c>
      <c r="C99" s="81"/>
      <c r="D99" s="83" t="s">
        <v>86</v>
      </c>
      <c r="E99" s="83">
        <v>3</v>
      </c>
      <c r="F99" s="90">
        <v>180</v>
      </c>
      <c r="G99" s="90">
        <v>1</v>
      </c>
      <c r="H99" s="83">
        <v>495</v>
      </c>
      <c r="I99" s="83">
        <v>3</v>
      </c>
      <c r="J99" s="83">
        <v>0</v>
      </c>
      <c r="K99" s="83">
        <v>2</v>
      </c>
      <c r="L99" s="83">
        <v>0</v>
      </c>
      <c r="M99" s="83">
        <v>4</v>
      </c>
      <c r="N99" s="83">
        <v>0</v>
      </c>
      <c r="P99" s="127">
        <f t="shared" si="12"/>
        <v>1485</v>
      </c>
      <c r="Q99" s="127">
        <f t="shared" si="6"/>
        <v>0</v>
      </c>
      <c r="R99" s="166">
        <f t="shared" si="7"/>
        <v>1</v>
      </c>
      <c r="S99" s="179">
        <f>(P98+P99+P100)/(P98+P99+P100+Q98+Q99+Q100)</f>
        <v>0.86138640525692123</v>
      </c>
      <c r="T99" s="84"/>
    </row>
    <row r="100" spans="1:23" s="83" customFormat="1">
      <c r="A100" s="80">
        <v>42891</v>
      </c>
      <c r="B100" s="81">
        <v>8</v>
      </c>
      <c r="C100" s="81"/>
      <c r="D100" s="83" t="s">
        <v>86</v>
      </c>
      <c r="E100" s="83">
        <v>3</v>
      </c>
      <c r="F100" s="90">
        <v>100</v>
      </c>
      <c r="G100" s="90">
        <v>0.5</v>
      </c>
      <c r="H100" s="83">
        <v>800</v>
      </c>
      <c r="I100" s="83">
        <v>24</v>
      </c>
      <c r="J100" s="83">
        <v>4</v>
      </c>
      <c r="K100" s="83">
        <v>31</v>
      </c>
      <c r="L100" s="83">
        <v>4</v>
      </c>
      <c r="M100" s="83">
        <v>42</v>
      </c>
      <c r="N100" s="83">
        <v>8</v>
      </c>
      <c r="P100" s="127">
        <f t="shared" si="12"/>
        <v>51733.333333333336</v>
      </c>
      <c r="Q100" s="127">
        <f t="shared" ref="Q100:Q163" si="13">(AVERAGE(J100,L100,N100)/G100)*H100</f>
        <v>8533.3333333333321</v>
      </c>
      <c r="R100" s="166">
        <f t="shared" ref="R100:R163" si="14">P100/(P100+Q100)</f>
        <v>0.8584070796460177</v>
      </c>
      <c r="S100" s="179"/>
      <c r="T100" s="84"/>
    </row>
    <row r="101" spans="1:23" s="83" customFormat="1">
      <c r="A101" s="80">
        <v>42891</v>
      </c>
      <c r="B101" s="81">
        <v>16</v>
      </c>
      <c r="C101" s="81"/>
      <c r="D101" s="82" t="s">
        <v>88</v>
      </c>
      <c r="E101" s="83">
        <v>3</v>
      </c>
      <c r="F101" s="90">
        <v>224</v>
      </c>
      <c r="G101" s="90">
        <v>3</v>
      </c>
      <c r="H101" s="83">
        <v>370</v>
      </c>
      <c r="I101" s="83">
        <v>3</v>
      </c>
      <c r="J101" s="83">
        <v>1</v>
      </c>
      <c r="K101" s="83">
        <v>0</v>
      </c>
      <c r="L101" s="83">
        <v>0</v>
      </c>
      <c r="M101" s="83">
        <v>0</v>
      </c>
      <c r="N101" s="83">
        <v>0</v>
      </c>
      <c r="P101" s="127">
        <f t="shared" si="12"/>
        <v>123.33333333333333</v>
      </c>
      <c r="Q101" s="127">
        <f t="shared" si="13"/>
        <v>41.111111111111107</v>
      </c>
      <c r="R101" s="166">
        <f t="shared" si="14"/>
        <v>0.75</v>
      </c>
      <c r="S101" s="179" t="str">
        <f>D101</f>
        <v>SN-6 Ambient</v>
      </c>
      <c r="T101" s="84"/>
    </row>
    <row r="102" spans="1:23" s="83" customFormat="1">
      <c r="A102" s="80">
        <v>42891</v>
      </c>
      <c r="B102" s="81">
        <v>16</v>
      </c>
      <c r="C102" s="81"/>
      <c r="D102" s="82" t="s">
        <v>88</v>
      </c>
      <c r="E102" s="83">
        <v>3</v>
      </c>
      <c r="F102" s="90">
        <v>180</v>
      </c>
      <c r="G102" s="90">
        <v>3</v>
      </c>
      <c r="H102" s="83">
        <v>260</v>
      </c>
      <c r="I102" s="83">
        <v>0</v>
      </c>
      <c r="J102" s="83">
        <v>0</v>
      </c>
      <c r="K102" s="83">
        <v>0</v>
      </c>
      <c r="L102" s="83">
        <v>0</v>
      </c>
      <c r="M102" s="83">
        <v>0</v>
      </c>
      <c r="N102" s="83">
        <v>0</v>
      </c>
      <c r="P102" s="127">
        <f t="shared" si="12"/>
        <v>0</v>
      </c>
      <c r="Q102" s="127">
        <f t="shared" si="13"/>
        <v>0</v>
      </c>
      <c r="R102" s="166" t="e">
        <f t="shared" si="14"/>
        <v>#DIV/0!</v>
      </c>
      <c r="S102" s="179">
        <f>(P101+P102+P103)/(P101+P102+P103+Q101+Q102+Q103)</f>
        <v>0.75958466453674123</v>
      </c>
      <c r="T102" s="84"/>
    </row>
    <row r="103" spans="1:23" s="83" customFormat="1">
      <c r="A103" s="80">
        <v>42891</v>
      </c>
      <c r="B103" s="81">
        <v>16</v>
      </c>
      <c r="C103" s="81"/>
      <c r="D103" s="82" t="s">
        <v>88</v>
      </c>
      <c r="E103" s="83">
        <v>3</v>
      </c>
      <c r="F103" s="90">
        <v>100</v>
      </c>
      <c r="G103" s="90">
        <v>0.5</v>
      </c>
      <c r="H103" s="83">
        <v>740</v>
      </c>
      <c r="I103" s="83">
        <v>24</v>
      </c>
      <c r="J103" s="83">
        <v>9</v>
      </c>
      <c r="K103" s="83">
        <v>31</v>
      </c>
      <c r="L103" s="83">
        <v>8</v>
      </c>
      <c r="M103" s="83">
        <v>24</v>
      </c>
      <c r="N103" s="83">
        <v>8</v>
      </c>
      <c r="P103" s="127">
        <f t="shared" si="12"/>
        <v>38973.333333333328</v>
      </c>
      <c r="Q103" s="127">
        <f t="shared" si="13"/>
        <v>12333.333333333334</v>
      </c>
      <c r="R103" s="166">
        <f t="shared" si="14"/>
        <v>0.75961538461538458</v>
      </c>
      <c r="S103" s="179"/>
      <c r="T103" s="84"/>
    </row>
    <row r="104" spans="1:23" s="83" customFormat="1">
      <c r="A104" s="80">
        <v>42891</v>
      </c>
      <c r="B104" s="81">
        <v>3</v>
      </c>
      <c r="C104" s="81"/>
      <c r="D104" s="83" t="s">
        <v>85</v>
      </c>
      <c r="E104" s="83">
        <v>3</v>
      </c>
      <c r="F104" s="90">
        <v>224</v>
      </c>
      <c r="G104" s="83">
        <v>3</v>
      </c>
      <c r="H104" s="83">
        <v>550</v>
      </c>
      <c r="I104" s="83">
        <v>0</v>
      </c>
      <c r="J104" s="83">
        <v>0</v>
      </c>
      <c r="K104" s="83">
        <v>0</v>
      </c>
      <c r="L104" s="83">
        <v>0</v>
      </c>
      <c r="M104" s="83">
        <v>0</v>
      </c>
      <c r="N104" s="83">
        <v>0</v>
      </c>
      <c r="P104" s="127">
        <f t="shared" si="12"/>
        <v>0</v>
      </c>
      <c r="Q104" s="127">
        <f t="shared" si="13"/>
        <v>0</v>
      </c>
      <c r="R104" s="166" t="e">
        <f t="shared" si="14"/>
        <v>#DIV/0!</v>
      </c>
      <c r="S104" s="179" t="str">
        <f>D104</f>
        <v>NF-10 Ambient</v>
      </c>
    </row>
    <row r="105" spans="1:23" s="83" customFormat="1">
      <c r="A105" s="80">
        <v>42891</v>
      </c>
      <c r="B105" s="81">
        <v>3</v>
      </c>
      <c r="C105" s="81"/>
      <c r="D105" s="83" t="s">
        <v>85</v>
      </c>
      <c r="E105" s="83">
        <v>3</v>
      </c>
      <c r="F105" s="90">
        <v>180</v>
      </c>
      <c r="G105" s="83">
        <v>1</v>
      </c>
      <c r="H105" s="83">
        <v>300</v>
      </c>
      <c r="I105" s="83">
        <v>3</v>
      </c>
      <c r="J105" s="83">
        <v>0</v>
      </c>
      <c r="K105" s="83">
        <v>7</v>
      </c>
      <c r="L105" s="83">
        <v>0</v>
      </c>
      <c r="M105" s="83">
        <v>4</v>
      </c>
      <c r="N105" s="83">
        <v>1</v>
      </c>
      <c r="P105" s="127">
        <f t="shared" si="12"/>
        <v>1400</v>
      </c>
      <c r="Q105" s="127">
        <f t="shared" si="13"/>
        <v>100</v>
      </c>
      <c r="R105" s="166">
        <f t="shared" si="14"/>
        <v>0.93333333333333335</v>
      </c>
      <c r="S105" s="179">
        <f>(P104+P105+P106)/(P104+P105+P106+Q104+Q105+Q106)</f>
        <v>0.8665880734846253</v>
      </c>
    </row>
    <row r="106" spans="1:23" s="83" customFormat="1">
      <c r="A106" s="80">
        <v>42891</v>
      </c>
      <c r="B106" s="81">
        <v>3</v>
      </c>
      <c r="C106" s="81"/>
      <c r="D106" s="83" t="s">
        <v>85</v>
      </c>
      <c r="E106" s="83">
        <v>3</v>
      </c>
      <c r="F106" s="90">
        <v>100</v>
      </c>
      <c r="G106" s="83">
        <v>0.5</v>
      </c>
      <c r="H106" s="83">
        <v>790</v>
      </c>
      <c r="I106" s="83">
        <v>36</v>
      </c>
      <c r="J106" s="83">
        <v>5</v>
      </c>
      <c r="K106" s="83">
        <v>44</v>
      </c>
      <c r="L106" s="83">
        <v>4</v>
      </c>
      <c r="M106" s="83">
        <v>29</v>
      </c>
      <c r="N106" s="83">
        <v>8</v>
      </c>
      <c r="P106" s="127">
        <f t="shared" si="12"/>
        <v>57406.666666666672</v>
      </c>
      <c r="Q106" s="127">
        <f t="shared" si="13"/>
        <v>8953.3333333333339</v>
      </c>
      <c r="R106" s="166">
        <f t="shared" si="14"/>
        <v>0.86507936507936511</v>
      </c>
      <c r="S106" s="179"/>
    </row>
    <row r="107" spans="1:23" s="83" customFormat="1">
      <c r="A107" s="80">
        <v>42891</v>
      </c>
      <c r="B107" s="81">
        <v>9</v>
      </c>
      <c r="C107" s="81"/>
      <c r="D107" s="82" t="s">
        <v>140</v>
      </c>
      <c r="E107" s="83">
        <v>4</v>
      </c>
      <c r="F107" s="90">
        <v>224</v>
      </c>
      <c r="G107" s="90">
        <v>3</v>
      </c>
      <c r="H107" s="83">
        <v>200</v>
      </c>
      <c r="I107" s="83">
        <v>2</v>
      </c>
      <c r="J107" s="83">
        <v>1</v>
      </c>
      <c r="K107" s="83">
        <v>4</v>
      </c>
      <c r="L107" s="83">
        <v>0</v>
      </c>
      <c r="M107" s="83">
        <v>1</v>
      </c>
      <c r="N107" s="83">
        <v>0</v>
      </c>
      <c r="P107" s="127">
        <f t="shared" si="12"/>
        <v>155.55555555555557</v>
      </c>
      <c r="Q107" s="127">
        <f t="shared" si="13"/>
        <v>22.222222222222221</v>
      </c>
      <c r="R107" s="166">
        <f t="shared" si="14"/>
        <v>0.875</v>
      </c>
      <c r="S107" s="179" t="str">
        <f>D107</f>
        <v xml:space="preserve">SN-10 Low </v>
      </c>
      <c r="T107" s="84"/>
      <c r="U107" s="84"/>
      <c r="V107" s="84"/>
      <c r="W107" s="83" t="s">
        <v>177</v>
      </c>
    </row>
    <row r="108" spans="1:23" s="83" customFormat="1">
      <c r="A108" s="80">
        <v>42891</v>
      </c>
      <c r="B108" s="81">
        <v>9</v>
      </c>
      <c r="C108" s="81"/>
      <c r="D108" s="82" t="s">
        <v>140</v>
      </c>
      <c r="E108" s="83">
        <v>4</v>
      </c>
      <c r="F108" s="90">
        <v>180</v>
      </c>
      <c r="G108" s="90">
        <v>1</v>
      </c>
      <c r="H108" s="83">
        <v>350</v>
      </c>
      <c r="I108" s="83">
        <v>4</v>
      </c>
      <c r="J108" s="83">
        <v>0</v>
      </c>
      <c r="K108" s="83">
        <v>2</v>
      </c>
      <c r="L108" s="83">
        <v>1</v>
      </c>
      <c r="M108" s="83">
        <v>2</v>
      </c>
      <c r="N108" s="83">
        <v>0</v>
      </c>
      <c r="P108" s="127">
        <f t="shared" si="12"/>
        <v>933.33333333333326</v>
      </c>
      <c r="Q108" s="127">
        <f t="shared" si="13"/>
        <v>116.66666666666666</v>
      </c>
      <c r="R108" s="166">
        <f t="shared" si="14"/>
        <v>0.88888888888888884</v>
      </c>
      <c r="S108" s="179">
        <f>(P107+P108+P109)/(P107+P108+P109+Q107+Q108+Q109)</f>
        <v>0.32666632564325543</v>
      </c>
      <c r="T108" s="84"/>
      <c r="U108" s="84"/>
      <c r="V108" s="84"/>
    </row>
    <row r="109" spans="1:23" s="83" customFormat="1">
      <c r="A109" s="80">
        <v>42891</v>
      </c>
      <c r="B109" s="81">
        <v>9</v>
      </c>
      <c r="C109" s="81"/>
      <c r="D109" s="82" t="s">
        <v>140</v>
      </c>
      <c r="E109" s="83">
        <v>4</v>
      </c>
      <c r="F109" s="90">
        <v>100</v>
      </c>
      <c r="G109" s="90">
        <v>0.5</v>
      </c>
      <c r="H109" s="83">
        <v>530</v>
      </c>
      <c r="I109" s="83">
        <v>5</v>
      </c>
      <c r="J109" s="83">
        <v>13</v>
      </c>
      <c r="K109" s="83">
        <v>7</v>
      </c>
      <c r="L109" s="83">
        <v>14</v>
      </c>
      <c r="M109" s="83">
        <v>5</v>
      </c>
      <c r="N109" s="83">
        <v>14</v>
      </c>
      <c r="P109" s="127">
        <f t="shared" si="12"/>
        <v>6006.666666666667</v>
      </c>
      <c r="Q109" s="127">
        <f t="shared" si="13"/>
        <v>14486.666666666666</v>
      </c>
      <c r="R109" s="166">
        <f t="shared" si="14"/>
        <v>0.2931034482758621</v>
      </c>
      <c r="S109" s="179"/>
      <c r="T109" s="84"/>
      <c r="U109" s="84"/>
      <c r="V109" s="84"/>
    </row>
    <row r="110" spans="1:23" s="83" customFormat="1">
      <c r="A110" s="80">
        <v>42891</v>
      </c>
      <c r="B110" s="81" t="s">
        <v>178</v>
      </c>
      <c r="C110" s="159" t="s">
        <v>219</v>
      </c>
      <c r="E110" s="83">
        <v>4</v>
      </c>
      <c r="F110" s="90">
        <v>224</v>
      </c>
      <c r="G110" s="90">
        <v>3</v>
      </c>
      <c r="H110" s="83">
        <v>555</v>
      </c>
      <c r="I110" s="83">
        <v>0</v>
      </c>
      <c r="J110" s="83">
        <v>0</v>
      </c>
      <c r="K110" s="83">
        <v>0</v>
      </c>
      <c r="L110" s="83">
        <v>0</v>
      </c>
      <c r="M110" s="83">
        <v>0</v>
      </c>
      <c r="N110" s="83">
        <v>0</v>
      </c>
      <c r="P110" s="127">
        <f t="shared" si="12"/>
        <v>0</v>
      </c>
      <c r="Q110" s="127">
        <f t="shared" si="13"/>
        <v>0</v>
      </c>
      <c r="R110" s="166" t="e">
        <f t="shared" si="14"/>
        <v>#DIV/0!</v>
      </c>
      <c r="S110" s="179">
        <f>D110</f>
        <v>0</v>
      </c>
      <c r="T110" s="84"/>
      <c r="U110" s="84"/>
      <c r="V110" s="84"/>
    </row>
    <row r="111" spans="1:23" s="83" customFormat="1">
      <c r="A111" s="80">
        <v>42891</v>
      </c>
      <c r="B111" s="81" t="s">
        <v>178</v>
      </c>
      <c r="C111" s="159" t="s">
        <v>219</v>
      </c>
      <c r="E111" s="83">
        <v>4</v>
      </c>
      <c r="F111" s="90">
        <v>180</v>
      </c>
      <c r="G111" s="90">
        <v>1</v>
      </c>
      <c r="H111" s="83">
        <v>370</v>
      </c>
      <c r="I111" s="83">
        <v>6</v>
      </c>
      <c r="J111" s="83">
        <v>0</v>
      </c>
      <c r="K111" s="83">
        <v>3</v>
      </c>
      <c r="L111" s="83">
        <v>0</v>
      </c>
      <c r="M111" s="83">
        <v>4</v>
      </c>
      <c r="N111" s="83">
        <v>0</v>
      </c>
      <c r="P111" s="127">
        <f t="shared" si="12"/>
        <v>1603.3333333333333</v>
      </c>
      <c r="Q111" s="127">
        <f t="shared" si="13"/>
        <v>0</v>
      </c>
      <c r="R111" s="166">
        <f t="shared" si="14"/>
        <v>1</v>
      </c>
      <c r="S111" s="179"/>
      <c r="T111" s="84"/>
      <c r="U111" s="84"/>
      <c r="V111" s="84"/>
    </row>
    <row r="112" spans="1:23" s="83" customFormat="1">
      <c r="A112" s="80">
        <v>42891</v>
      </c>
      <c r="B112" s="81" t="s">
        <v>178</v>
      </c>
      <c r="C112" s="159" t="s">
        <v>219</v>
      </c>
      <c r="E112" s="83">
        <v>4</v>
      </c>
      <c r="F112" s="90">
        <v>100</v>
      </c>
      <c r="G112" s="90">
        <v>0.5</v>
      </c>
      <c r="H112" s="83">
        <v>800</v>
      </c>
      <c r="I112" s="83">
        <v>36</v>
      </c>
      <c r="J112" s="83">
        <v>12</v>
      </c>
      <c r="K112" s="83">
        <v>31</v>
      </c>
      <c r="L112" s="83">
        <v>6</v>
      </c>
      <c r="M112" s="83">
        <v>24</v>
      </c>
      <c r="N112" s="83">
        <v>5</v>
      </c>
      <c r="P112" s="127">
        <f t="shared" si="12"/>
        <v>48533.333333333328</v>
      </c>
      <c r="Q112" s="127">
        <f t="shared" si="13"/>
        <v>12266.666666666668</v>
      </c>
      <c r="R112" s="166">
        <f t="shared" si="14"/>
        <v>0.79824561403508765</v>
      </c>
      <c r="S112" s="179"/>
      <c r="T112" s="84"/>
      <c r="U112" s="84"/>
      <c r="V112" s="84"/>
    </row>
    <row r="113" spans="1:23" s="83" customFormat="1">
      <c r="A113" s="80">
        <v>42891</v>
      </c>
      <c r="B113" s="81">
        <v>18</v>
      </c>
      <c r="C113" s="81"/>
      <c r="D113" s="83" t="s">
        <v>37</v>
      </c>
      <c r="E113" s="83">
        <v>4</v>
      </c>
      <c r="F113" s="90">
        <v>224</v>
      </c>
      <c r="G113" s="90">
        <v>3</v>
      </c>
      <c r="H113" s="83">
        <v>240</v>
      </c>
      <c r="I113" s="83">
        <v>0</v>
      </c>
      <c r="J113" s="83">
        <v>0</v>
      </c>
      <c r="K113" s="83">
        <v>0</v>
      </c>
      <c r="L113" s="83">
        <v>0</v>
      </c>
      <c r="M113" s="83">
        <v>0</v>
      </c>
      <c r="N113" s="83">
        <v>0</v>
      </c>
      <c r="P113" s="127">
        <f t="shared" si="12"/>
        <v>0</v>
      </c>
      <c r="Q113" s="127">
        <f t="shared" si="13"/>
        <v>0</v>
      </c>
      <c r="R113" s="166" t="e">
        <f t="shared" si="14"/>
        <v>#DIV/0!</v>
      </c>
      <c r="S113" s="179" t="str">
        <f>D113</f>
        <v xml:space="preserve">K-10 Low </v>
      </c>
      <c r="T113" s="84"/>
      <c r="U113" s="84"/>
      <c r="V113" s="84"/>
      <c r="W113" s="83" t="s">
        <v>179</v>
      </c>
    </row>
    <row r="114" spans="1:23" s="83" customFormat="1">
      <c r="A114" s="80">
        <v>42891</v>
      </c>
      <c r="B114" s="81">
        <v>18</v>
      </c>
      <c r="C114" s="81"/>
      <c r="D114" s="83" t="s">
        <v>37</v>
      </c>
      <c r="E114" s="83">
        <v>4</v>
      </c>
      <c r="F114" s="90">
        <v>180</v>
      </c>
      <c r="G114" s="90">
        <v>1</v>
      </c>
      <c r="H114" s="83">
        <v>400</v>
      </c>
      <c r="I114" s="83">
        <v>0</v>
      </c>
      <c r="J114" s="83">
        <v>1</v>
      </c>
      <c r="K114" s="83">
        <v>1</v>
      </c>
      <c r="L114" s="83">
        <v>0</v>
      </c>
      <c r="M114" s="83">
        <v>2</v>
      </c>
      <c r="N114" s="83">
        <v>0</v>
      </c>
      <c r="P114" s="127">
        <f t="shared" si="12"/>
        <v>400</v>
      </c>
      <c r="Q114" s="127">
        <f t="shared" si="13"/>
        <v>133.33333333333331</v>
      </c>
      <c r="R114" s="166">
        <f t="shared" si="14"/>
        <v>0.75000000000000011</v>
      </c>
      <c r="S114" s="179">
        <f>(P113+P114+P115)/(P113+P114+P115+Q113+Q114+Q115)</f>
        <v>9.2578305817003562E-3</v>
      </c>
      <c r="T114" s="84"/>
      <c r="U114" s="84"/>
      <c r="V114" s="84"/>
    </row>
    <row r="115" spans="1:23" s="83" customFormat="1">
      <c r="A115" s="80">
        <v>42891</v>
      </c>
      <c r="B115" s="81">
        <v>18</v>
      </c>
      <c r="C115" s="81"/>
      <c r="D115" s="83" t="s">
        <v>37</v>
      </c>
      <c r="E115" s="83">
        <v>5</v>
      </c>
      <c r="F115" s="90">
        <v>100</v>
      </c>
      <c r="G115" s="90">
        <v>0.5</v>
      </c>
      <c r="H115" s="83">
        <v>370</v>
      </c>
      <c r="I115" s="83">
        <v>0</v>
      </c>
      <c r="J115" s="83">
        <v>55</v>
      </c>
      <c r="K115" s="83">
        <v>0</v>
      </c>
      <c r="L115" s="83">
        <v>69</v>
      </c>
      <c r="M115" s="83">
        <v>0</v>
      </c>
      <c r="N115" s="83">
        <v>49</v>
      </c>
      <c r="P115" s="127">
        <f t="shared" si="12"/>
        <v>0</v>
      </c>
      <c r="Q115" s="127">
        <f t="shared" si="13"/>
        <v>42673.333333333328</v>
      </c>
      <c r="R115" s="166">
        <f t="shared" si="14"/>
        <v>0</v>
      </c>
      <c r="S115" s="179"/>
      <c r="T115" s="84"/>
      <c r="U115" s="84"/>
      <c r="V115" s="84"/>
    </row>
    <row r="116" spans="1:23" s="83" customFormat="1">
      <c r="A116" s="80">
        <v>42891</v>
      </c>
      <c r="B116" s="81">
        <v>21</v>
      </c>
      <c r="C116" s="81"/>
      <c r="D116" s="83" t="s">
        <v>139</v>
      </c>
      <c r="E116" s="83">
        <v>5</v>
      </c>
      <c r="F116" s="90">
        <v>224</v>
      </c>
      <c r="G116" s="90">
        <v>3</v>
      </c>
      <c r="H116" s="83">
        <v>270</v>
      </c>
      <c r="I116" s="83">
        <v>0</v>
      </c>
      <c r="J116" s="83">
        <v>0</v>
      </c>
      <c r="K116" s="83">
        <v>0</v>
      </c>
      <c r="L116" s="83">
        <v>0</v>
      </c>
      <c r="M116" s="83">
        <v>0</v>
      </c>
      <c r="N116" s="83">
        <v>0</v>
      </c>
      <c r="P116" s="127">
        <f t="shared" si="12"/>
        <v>0</v>
      </c>
      <c r="Q116" s="127">
        <f t="shared" si="13"/>
        <v>0</v>
      </c>
      <c r="R116" s="166" t="e">
        <f t="shared" si="14"/>
        <v>#DIV/0!</v>
      </c>
      <c r="S116" s="179" t="str">
        <f>D116</f>
        <v xml:space="preserve">HL-10 Low </v>
      </c>
      <c r="T116" s="84"/>
      <c r="U116" s="84"/>
      <c r="V116" s="84"/>
    </row>
    <row r="117" spans="1:23" s="83" customFormat="1">
      <c r="A117" s="80">
        <v>42891</v>
      </c>
      <c r="B117" s="81">
        <v>21</v>
      </c>
      <c r="C117" s="81"/>
      <c r="D117" s="83" t="s">
        <v>139</v>
      </c>
      <c r="E117" s="83">
        <v>5</v>
      </c>
      <c r="F117" s="90">
        <v>180</v>
      </c>
      <c r="G117" s="90">
        <v>2</v>
      </c>
      <c r="H117" s="83">
        <v>500</v>
      </c>
      <c r="I117" s="83">
        <v>1</v>
      </c>
      <c r="J117" s="83">
        <v>0</v>
      </c>
      <c r="K117" s="83">
        <v>2</v>
      </c>
      <c r="L117" s="83">
        <v>0</v>
      </c>
      <c r="M117" s="83">
        <v>0</v>
      </c>
      <c r="N117" s="83">
        <v>0</v>
      </c>
      <c r="P117" s="127">
        <f t="shared" si="12"/>
        <v>250</v>
      </c>
      <c r="Q117" s="127">
        <f t="shared" si="13"/>
        <v>0</v>
      </c>
      <c r="R117" s="166">
        <f t="shared" si="14"/>
        <v>1</v>
      </c>
      <c r="S117" s="179">
        <f>(P116+P117+P118)/(P116+P117+P118+Q116+Q117+Q118)</f>
        <v>0.90077017999234077</v>
      </c>
      <c r="T117" s="84"/>
      <c r="U117" s="84"/>
      <c r="V117" s="84"/>
    </row>
    <row r="118" spans="1:23" s="83" customFormat="1">
      <c r="A118" s="80">
        <v>42891</v>
      </c>
      <c r="B118" s="81">
        <v>21</v>
      </c>
      <c r="C118" s="81"/>
      <c r="D118" s="83" t="s">
        <v>139</v>
      </c>
      <c r="E118" s="83">
        <v>5</v>
      </c>
      <c r="F118" s="90">
        <v>100</v>
      </c>
      <c r="G118" s="90">
        <v>0.5</v>
      </c>
      <c r="H118" s="83">
        <v>530</v>
      </c>
      <c r="I118" s="83">
        <v>58</v>
      </c>
      <c r="J118" s="83">
        <v>5</v>
      </c>
      <c r="K118" s="83">
        <v>62</v>
      </c>
      <c r="L118" s="83">
        <v>5</v>
      </c>
      <c r="M118" s="83">
        <v>79</v>
      </c>
      <c r="N118" s="83">
        <v>12</v>
      </c>
      <c r="P118" s="127">
        <f t="shared" si="12"/>
        <v>70313.333333333328</v>
      </c>
      <c r="Q118" s="127">
        <f t="shared" si="13"/>
        <v>7773.333333333333</v>
      </c>
      <c r="R118" s="166">
        <f t="shared" si="14"/>
        <v>0.90045248868778283</v>
      </c>
      <c r="S118" s="179"/>
      <c r="T118" s="84"/>
      <c r="U118" s="84"/>
      <c r="V118" s="84"/>
    </row>
    <row r="119" spans="1:23" s="83" customFormat="1">
      <c r="A119" s="80">
        <v>42891</v>
      </c>
      <c r="B119" s="81">
        <v>18</v>
      </c>
      <c r="C119" s="81"/>
      <c r="D119" s="83" t="s">
        <v>37</v>
      </c>
      <c r="E119" s="83">
        <v>5</v>
      </c>
      <c r="F119" s="90">
        <v>224</v>
      </c>
      <c r="G119" s="90">
        <v>3</v>
      </c>
      <c r="H119" s="83">
        <v>470</v>
      </c>
      <c r="I119" s="83">
        <v>5</v>
      </c>
      <c r="J119" s="83">
        <v>2</v>
      </c>
      <c r="K119" s="83">
        <v>4</v>
      </c>
      <c r="L119" s="83">
        <v>0</v>
      </c>
      <c r="M119" s="83">
        <v>9</v>
      </c>
      <c r="N119" s="83">
        <v>2</v>
      </c>
      <c r="P119" s="127">
        <f t="shared" si="12"/>
        <v>940</v>
      </c>
      <c r="Q119" s="127">
        <f t="shared" si="13"/>
        <v>208.88888888888889</v>
      </c>
      <c r="R119" s="166">
        <f t="shared" si="14"/>
        <v>0.81818181818181812</v>
      </c>
      <c r="S119" s="179" t="str">
        <f>D119</f>
        <v xml:space="preserve">K-10 Low </v>
      </c>
      <c r="T119" s="84"/>
      <c r="U119" s="84"/>
      <c r="V119" s="84"/>
    </row>
    <row r="120" spans="1:23" s="83" customFormat="1">
      <c r="A120" s="80">
        <v>42891</v>
      </c>
      <c r="B120" s="81">
        <v>18</v>
      </c>
      <c r="C120" s="81"/>
      <c r="D120" s="83" t="s">
        <v>37</v>
      </c>
      <c r="E120" s="83">
        <v>5</v>
      </c>
      <c r="F120" s="90">
        <v>180</v>
      </c>
      <c r="G120" s="90">
        <v>1</v>
      </c>
      <c r="H120" s="83">
        <v>460</v>
      </c>
      <c r="I120" s="83">
        <v>50</v>
      </c>
      <c r="J120" s="83">
        <v>3</v>
      </c>
      <c r="K120" s="83">
        <v>47</v>
      </c>
      <c r="L120" s="83">
        <v>0</v>
      </c>
      <c r="M120" s="83">
        <v>43</v>
      </c>
      <c r="N120" s="83">
        <v>1</v>
      </c>
      <c r="P120" s="127">
        <f t="shared" si="12"/>
        <v>21466.666666666664</v>
      </c>
      <c r="Q120" s="127">
        <f t="shared" si="13"/>
        <v>613.33333333333326</v>
      </c>
      <c r="R120" s="166">
        <f t="shared" si="14"/>
        <v>0.97222222222222232</v>
      </c>
      <c r="S120" s="179">
        <f>(P119+P120+P121)/(P119+P120+P121+Q119+Q120+Q121)</f>
        <v>0.89954659323823527</v>
      </c>
      <c r="T120" s="84"/>
      <c r="U120" s="84"/>
      <c r="V120" s="84"/>
    </row>
    <row r="121" spans="1:23" s="83" customFormat="1">
      <c r="A121" s="80">
        <v>42891</v>
      </c>
      <c r="B121" s="81">
        <v>18</v>
      </c>
      <c r="C121" s="81"/>
      <c r="D121" s="83" t="s">
        <v>37</v>
      </c>
      <c r="E121" s="83">
        <v>5</v>
      </c>
      <c r="F121" s="90">
        <v>100</v>
      </c>
      <c r="G121" s="90">
        <v>0.5</v>
      </c>
      <c r="H121" s="83">
        <v>830</v>
      </c>
      <c r="I121" s="83">
        <v>49</v>
      </c>
      <c r="J121" s="83">
        <v>5</v>
      </c>
      <c r="K121" s="83">
        <v>46</v>
      </c>
      <c r="L121" s="83">
        <v>5</v>
      </c>
      <c r="M121" s="83">
        <v>39</v>
      </c>
      <c r="N121" s="83">
        <v>8</v>
      </c>
      <c r="P121" s="127">
        <f t="shared" si="12"/>
        <v>74146.666666666657</v>
      </c>
      <c r="Q121" s="127">
        <f t="shared" si="13"/>
        <v>9960</v>
      </c>
      <c r="R121" s="166">
        <f t="shared" si="14"/>
        <v>0.88157894736842102</v>
      </c>
      <c r="S121" s="179"/>
      <c r="T121" s="84"/>
      <c r="U121" s="84"/>
      <c r="V121" s="84"/>
    </row>
    <row r="122" spans="1:23" s="83" customFormat="1">
      <c r="A122" s="80">
        <v>42891</v>
      </c>
      <c r="B122" s="81">
        <v>19</v>
      </c>
      <c r="C122" s="81"/>
      <c r="D122" s="83" t="s">
        <v>89</v>
      </c>
      <c r="E122" s="83">
        <v>6</v>
      </c>
      <c r="F122" s="90">
        <v>224</v>
      </c>
      <c r="G122" s="90">
        <v>3</v>
      </c>
      <c r="H122" s="83">
        <v>380</v>
      </c>
      <c r="I122" s="83">
        <v>0</v>
      </c>
      <c r="J122" s="83">
        <v>0</v>
      </c>
      <c r="K122" s="83">
        <v>0</v>
      </c>
      <c r="L122" s="83">
        <v>0</v>
      </c>
      <c r="M122" s="83">
        <v>0</v>
      </c>
      <c r="N122" s="83">
        <v>0</v>
      </c>
      <c r="P122" s="127">
        <f t="shared" si="12"/>
        <v>0</v>
      </c>
      <c r="Q122" s="127">
        <f t="shared" si="13"/>
        <v>0</v>
      </c>
      <c r="R122" s="166" t="e">
        <f t="shared" si="14"/>
        <v>#DIV/0!</v>
      </c>
      <c r="S122" s="179" t="str">
        <f>D122</f>
        <v>HL-10 Ambient</v>
      </c>
      <c r="T122" s="84"/>
      <c r="U122" s="84"/>
      <c r="V122" s="84"/>
    </row>
    <row r="123" spans="1:23" s="83" customFormat="1">
      <c r="A123" s="80">
        <v>42891</v>
      </c>
      <c r="B123" s="81">
        <v>19</v>
      </c>
      <c r="C123" s="81"/>
      <c r="D123" s="83" t="s">
        <v>89</v>
      </c>
      <c r="E123" s="83">
        <v>6</v>
      </c>
      <c r="F123" s="90">
        <v>180</v>
      </c>
      <c r="G123" s="90">
        <v>0.5</v>
      </c>
      <c r="H123" s="83">
        <v>490</v>
      </c>
      <c r="I123" s="83">
        <v>2</v>
      </c>
      <c r="J123" s="83">
        <v>0</v>
      </c>
      <c r="K123" s="83">
        <v>4</v>
      </c>
      <c r="L123" s="83">
        <v>0</v>
      </c>
      <c r="M123" s="83">
        <v>4</v>
      </c>
      <c r="N123" s="83">
        <v>0</v>
      </c>
      <c r="P123" s="127">
        <f t="shared" si="12"/>
        <v>3266.666666666667</v>
      </c>
      <c r="Q123" s="127">
        <f t="shared" si="13"/>
        <v>0</v>
      </c>
      <c r="R123" s="166">
        <f t="shared" si="14"/>
        <v>1</v>
      </c>
      <c r="S123" s="179">
        <f>(P122+P123+P124)/(P122+P123+P124+Q122+Q123+Q124)</f>
        <v>0.95704367949088809</v>
      </c>
      <c r="T123" s="84"/>
    </row>
    <row r="124" spans="1:23" s="83" customFormat="1">
      <c r="A124" s="80">
        <v>42891</v>
      </c>
      <c r="B124" s="81">
        <v>19</v>
      </c>
      <c r="C124" s="81"/>
      <c r="D124" s="83" t="s">
        <v>89</v>
      </c>
      <c r="E124" s="83">
        <v>6</v>
      </c>
      <c r="F124" s="90">
        <v>100</v>
      </c>
      <c r="G124" s="90">
        <v>0.5</v>
      </c>
      <c r="H124" s="83">
        <v>540</v>
      </c>
      <c r="I124" s="83">
        <v>75</v>
      </c>
      <c r="J124" s="83">
        <v>4</v>
      </c>
      <c r="K124" s="83">
        <v>83</v>
      </c>
      <c r="L124" s="83">
        <v>3</v>
      </c>
      <c r="M124" s="83">
        <v>78</v>
      </c>
      <c r="N124" s="83">
        <v>4</v>
      </c>
      <c r="P124" s="127">
        <f t="shared" si="12"/>
        <v>84960</v>
      </c>
      <c r="Q124" s="127">
        <f t="shared" si="13"/>
        <v>3960</v>
      </c>
      <c r="R124" s="166">
        <f t="shared" si="14"/>
        <v>0.95546558704453444</v>
      </c>
      <c r="S124" s="179"/>
      <c r="T124" s="84"/>
    </row>
    <row r="125" spans="1:23" s="83" customFormat="1">
      <c r="A125" s="80">
        <v>42891</v>
      </c>
      <c r="B125" s="81">
        <v>17</v>
      </c>
      <c r="C125" s="81"/>
      <c r="D125" s="82" t="s">
        <v>38</v>
      </c>
      <c r="E125" s="83">
        <v>6</v>
      </c>
      <c r="F125" s="90">
        <v>224</v>
      </c>
      <c r="G125" s="90">
        <v>3</v>
      </c>
      <c r="H125" s="83">
        <v>250</v>
      </c>
      <c r="I125" s="83">
        <v>0</v>
      </c>
      <c r="J125" s="83">
        <v>0</v>
      </c>
      <c r="K125" s="83">
        <v>0</v>
      </c>
      <c r="L125" s="83">
        <v>0</v>
      </c>
      <c r="M125" s="83">
        <v>2</v>
      </c>
      <c r="N125" s="83">
        <v>0</v>
      </c>
      <c r="P125" s="127">
        <f t="shared" si="12"/>
        <v>55.55555555555555</v>
      </c>
      <c r="Q125" s="127">
        <f t="shared" si="13"/>
        <v>0</v>
      </c>
      <c r="R125" s="166">
        <f t="shared" si="14"/>
        <v>1</v>
      </c>
      <c r="S125" s="179" t="str">
        <f>D125</f>
        <v>K-6 Ambient</v>
      </c>
      <c r="T125" s="84"/>
    </row>
    <row r="126" spans="1:23" s="83" customFormat="1">
      <c r="A126" s="80">
        <v>42891</v>
      </c>
      <c r="B126" s="81">
        <v>17</v>
      </c>
      <c r="C126" s="81"/>
      <c r="D126" s="82" t="s">
        <v>38</v>
      </c>
      <c r="E126" s="83">
        <v>6</v>
      </c>
      <c r="F126" s="90">
        <v>180</v>
      </c>
      <c r="G126" s="90">
        <v>1</v>
      </c>
      <c r="H126" s="83">
        <v>440</v>
      </c>
      <c r="I126" s="83">
        <v>7</v>
      </c>
      <c r="J126" s="83">
        <v>0</v>
      </c>
      <c r="K126" s="83">
        <v>9</v>
      </c>
      <c r="L126" s="83">
        <v>0</v>
      </c>
      <c r="M126" s="83">
        <v>10</v>
      </c>
      <c r="N126" s="83">
        <v>0</v>
      </c>
      <c r="P126" s="127">
        <f t="shared" si="12"/>
        <v>3813.333333333333</v>
      </c>
      <c r="Q126" s="127">
        <f t="shared" si="13"/>
        <v>0</v>
      </c>
      <c r="R126" s="166">
        <f t="shared" si="14"/>
        <v>1</v>
      </c>
      <c r="S126" s="179">
        <f>(P125+P126+P127)/(P125+P126+P127+Q125+Q126+Q127)</f>
        <v>0.88352628524299726</v>
      </c>
      <c r="T126" s="84"/>
    </row>
    <row r="127" spans="1:23" s="83" customFormat="1">
      <c r="A127" s="80">
        <v>42891</v>
      </c>
      <c r="B127" s="81">
        <v>17</v>
      </c>
      <c r="C127" s="81"/>
      <c r="D127" s="82" t="s">
        <v>38</v>
      </c>
      <c r="E127" s="83">
        <v>6</v>
      </c>
      <c r="F127" s="90">
        <v>100</v>
      </c>
      <c r="G127" s="90">
        <v>0.5</v>
      </c>
      <c r="H127" s="83">
        <v>410</v>
      </c>
      <c r="I127" s="83">
        <v>14</v>
      </c>
      <c r="J127" s="83">
        <v>15</v>
      </c>
      <c r="K127" s="83">
        <v>105</v>
      </c>
      <c r="L127" s="83">
        <v>9</v>
      </c>
      <c r="M127" s="83">
        <v>102</v>
      </c>
      <c r="N127" s="83">
        <v>7</v>
      </c>
      <c r="P127" s="127">
        <f t="shared" si="12"/>
        <v>60406.666666666672</v>
      </c>
      <c r="Q127" s="127">
        <f t="shared" si="13"/>
        <v>8473.3333333333339</v>
      </c>
      <c r="R127" s="166">
        <f t="shared" si="14"/>
        <v>0.87698412698412709</v>
      </c>
      <c r="S127" s="179"/>
      <c r="T127" s="84"/>
    </row>
    <row r="128" spans="1:23" s="83" customFormat="1">
      <c r="A128" s="80">
        <v>42891</v>
      </c>
      <c r="B128" s="81">
        <v>20</v>
      </c>
      <c r="C128" s="81"/>
      <c r="D128" s="83" t="s">
        <v>46</v>
      </c>
      <c r="E128" s="83">
        <v>6</v>
      </c>
      <c r="F128" s="90">
        <v>224</v>
      </c>
      <c r="G128" s="83">
        <v>3</v>
      </c>
      <c r="H128" s="83">
        <v>250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P128" s="127">
        <f t="shared" ref="P128:P129" si="15">(AVERAGE(I128,K128,M128)/G128)*H128</f>
        <v>0</v>
      </c>
      <c r="Q128" s="127">
        <f t="shared" si="13"/>
        <v>0</v>
      </c>
      <c r="R128" s="166" t="e">
        <f t="shared" si="14"/>
        <v>#DIV/0!</v>
      </c>
      <c r="S128" s="179" t="str">
        <f>D128</f>
        <v>K-6 Low</v>
      </c>
    </row>
    <row r="129" spans="1:22" s="83" customFormat="1">
      <c r="A129" s="80">
        <v>42891</v>
      </c>
      <c r="B129" s="81">
        <v>20</v>
      </c>
      <c r="C129" s="81"/>
      <c r="D129" s="83" t="s">
        <v>46</v>
      </c>
      <c r="E129" s="83">
        <v>6</v>
      </c>
      <c r="F129" s="90">
        <v>180</v>
      </c>
      <c r="G129" s="83">
        <v>2</v>
      </c>
      <c r="H129" s="83">
        <v>250</v>
      </c>
      <c r="I129" s="83">
        <v>3</v>
      </c>
      <c r="J129" s="83">
        <v>0</v>
      </c>
      <c r="K129" s="83">
        <v>5</v>
      </c>
      <c r="L129" s="83">
        <v>0</v>
      </c>
      <c r="M129" s="83">
        <v>1</v>
      </c>
      <c r="N129" s="83">
        <v>0</v>
      </c>
      <c r="P129" s="127">
        <f t="shared" si="15"/>
        <v>375</v>
      </c>
      <c r="Q129" s="127">
        <f t="shared" si="13"/>
        <v>0</v>
      </c>
      <c r="R129" s="166">
        <f t="shared" si="14"/>
        <v>1</v>
      </c>
      <c r="S129" s="179">
        <f>(P128+P129+P130)/(P128+P129+P130+Q128+Q129+Q130)</f>
        <v>0.91578947368421049</v>
      </c>
    </row>
    <row r="130" spans="1:22" s="83" customFormat="1">
      <c r="A130" s="80">
        <v>42891</v>
      </c>
      <c r="B130" s="81">
        <v>20</v>
      </c>
      <c r="C130" s="81"/>
      <c r="D130" s="83" t="s">
        <v>46</v>
      </c>
      <c r="E130" s="83">
        <v>6</v>
      </c>
      <c r="F130" s="90">
        <v>100</v>
      </c>
      <c r="G130" s="83">
        <v>0.5</v>
      </c>
      <c r="H130" s="83">
        <v>300</v>
      </c>
      <c r="I130" s="83">
        <v>4</v>
      </c>
      <c r="J130" s="83">
        <v>1</v>
      </c>
      <c r="K130" s="83">
        <v>5</v>
      </c>
      <c r="L130" s="83">
        <v>0</v>
      </c>
      <c r="M130" s="83">
        <v>0</v>
      </c>
      <c r="N130" s="83">
        <v>0</v>
      </c>
      <c r="P130" s="127">
        <f>(AVERAGE(I130,K130,M130)/G130)*H130</f>
        <v>1800</v>
      </c>
      <c r="Q130" s="127">
        <f t="shared" si="13"/>
        <v>200</v>
      </c>
      <c r="R130" s="166">
        <f t="shared" si="14"/>
        <v>0.9</v>
      </c>
      <c r="S130" s="179"/>
    </row>
    <row r="131" spans="1:22" s="83" customFormat="1">
      <c r="A131" s="80">
        <v>42891</v>
      </c>
      <c r="B131" s="81">
        <v>22</v>
      </c>
      <c r="C131" s="81"/>
      <c r="D131" s="83" t="s">
        <v>17</v>
      </c>
      <c r="E131" s="83">
        <v>7</v>
      </c>
      <c r="F131" s="90">
        <v>224</v>
      </c>
      <c r="G131" s="83">
        <v>3</v>
      </c>
      <c r="H131" s="83">
        <v>450</v>
      </c>
      <c r="I131" s="83">
        <v>1</v>
      </c>
      <c r="J131" s="83">
        <v>0</v>
      </c>
      <c r="K131" s="83">
        <v>2</v>
      </c>
      <c r="L131" s="83">
        <v>0</v>
      </c>
      <c r="M131" s="83">
        <v>1</v>
      </c>
      <c r="N131" s="83">
        <v>0</v>
      </c>
      <c r="P131" s="127">
        <f t="shared" si="12"/>
        <v>200</v>
      </c>
      <c r="Q131" s="127">
        <f t="shared" si="13"/>
        <v>0</v>
      </c>
      <c r="R131" s="166">
        <f t="shared" si="14"/>
        <v>1</v>
      </c>
      <c r="S131" s="179" t="str">
        <f>D131</f>
        <v>K-10 Ambient</v>
      </c>
    </row>
    <row r="132" spans="1:22" s="83" customFormat="1">
      <c r="A132" s="80">
        <v>42891</v>
      </c>
      <c r="B132" s="81">
        <v>22</v>
      </c>
      <c r="C132" s="81"/>
      <c r="D132" s="83" t="s">
        <v>17</v>
      </c>
      <c r="E132" s="83">
        <v>7</v>
      </c>
      <c r="F132" s="90">
        <v>180</v>
      </c>
      <c r="G132" s="83">
        <v>1</v>
      </c>
      <c r="H132" s="83">
        <v>500</v>
      </c>
      <c r="I132" s="83">
        <v>47</v>
      </c>
      <c r="J132" s="83">
        <v>10</v>
      </c>
      <c r="K132" s="83">
        <v>34</v>
      </c>
      <c r="L132" s="83">
        <v>6</v>
      </c>
      <c r="M132" s="83">
        <v>26</v>
      </c>
      <c r="N132" s="83">
        <v>6</v>
      </c>
      <c r="P132" s="127">
        <f t="shared" si="12"/>
        <v>17833.333333333332</v>
      </c>
      <c r="Q132" s="127">
        <f t="shared" si="13"/>
        <v>3666.6666666666665</v>
      </c>
      <c r="R132" s="166">
        <f t="shared" si="14"/>
        <v>0.82945736434108519</v>
      </c>
      <c r="S132" s="179">
        <f>(P131+P132+P133)/(P131+P132+P133+Q131+Q132+Q133)</f>
        <v>0.762990335417851</v>
      </c>
    </row>
    <row r="133" spans="1:22" s="162" customFormat="1">
      <c r="A133" s="160">
        <v>42891</v>
      </c>
      <c r="B133" s="161">
        <v>22</v>
      </c>
      <c r="C133" s="161"/>
      <c r="D133" s="162" t="s">
        <v>17</v>
      </c>
      <c r="E133" s="162">
        <v>7</v>
      </c>
      <c r="F133" s="163">
        <v>100</v>
      </c>
      <c r="G133" s="162">
        <v>0.5</v>
      </c>
      <c r="H133" s="162">
        <v>470</v>
      </c>
      <c r="I133" s="162">
        <v>74</v>
      </c>
      <c r="J133" s="162">
        <v>20</v>
      </c>
      <c r="K133" s="162">
        <v>70</v>
      </c>
      <c r="L133" s="162">
        <v>34</v>
      </c>
      <c r="M133" s="162">
        <v>84</v>
      </c>
      <c r="N133" s="162">
        <v>23</v>
      </c>
      <c r="P133" s="127">
        <f>(AVERAGE(I133,K133,M133)/G133)*H133</f>
        <v>71440</v>
      </c>
      <c r="Q133" s="164">
        <f t="shared" si="13"/>
        <v>24126.666666666668</v>
      </c>
      <c r="R133" s="167">
        <f t="shared" si="14"/>
        <v>0.7475409836065573</v>
      </c>
      <c r="S133" s="179"/>
    </row>
    <row r="134" spans="1:22" s="88" customFormat="1" ht="16" thickBot="1">
      <c r="A134" s="85">
        <v>42891</v>
      </c>
      <c r="B134" s="86">
        <v>2</v>
      </c>
      <c r="C134" s="86" t="s">
        <v>220</v>
      </c>
      <c r="D134" s="88" t="s">
        <v>87</v>
      </c>
      <c r="F134" s="143">
        <v>100</v>
      </c>
      <c r="G134" s="88">
        <v>0.5</v>
      </c>
      <c r="H134" s="88">
        <v>520</v>
      </c>
      <c r="I134" s="88">
        <v>34</v>
      </c>
      <c r="J134" s="88">
        <v>0</v>
      </c>
      <c r="K134" s="88">
        <v>45</v>
      </c>
      <c r="L134" s="88">
        <v>0</v>
      </c>
      <c r="M134" s="88">
        <v>38</v>
      </c>
      <c r="N134" s="88">
        <v>0</v>
      </c>
      <c r="P134" s="144">
        <f>(AVERAGE(I134,K134,M134)/G134)*H134</f>
        <v>40560</v>
      </c>
      <c r="Q134" s="144">
        <f t="shared" si="13"/>
        <v>0</v>
      </c>
      <c r="R134" s="169">
        <f t="shared" si="14"/>
        <v>1</v>
      </c>
      <c r="S134" s="180"/>
    </row>
    <row r="135" spans="1:22" s="140" customFormat="1">
      <c r="A135" s="137">
        <v>42895</v>
      </c>
      <c r="B135" s="138"/>
      <c r="C135" s="138"/>
      <c r="D135" s="139" t="s">
        <v>78</v>
      </c>
      <c r="E135" s="140">
        <v>1</v>
      </c>
      <c r="F135" s="158">
        <v>224</v>
      </c>
      <c r="G135" s="141">
        <v>1</v>
      </c>
      <c r="H135" s="141">
        <v>375</v>
      </c>
      <c r="I135" s="141">
        <v>1</v>
      </c>
      <c r="J135" s="141">
        <v>0</v>
      </c>
      <c r="K135" s="141">
        <v>2</v>
      </c>
      <c r="L135" s="141">
        <v>0</v>
      </c>
      <c r="M135" s="141">
        <v>1</v>
      </c>
      <c r="N135" s="141">
        <v>0</v>
      </c>
      <c r="O135" s="141"/>
      <c r="P135" s="142">
        <f>(AVERAGE(I135,K135,M135)/G135)*H135</f>
        <v>500</v>
      </c>
      <c r="Q135" s="142">
        <f t="shared" si="13"/>
        <v>0</v>
      </c>
      <c r="R135" s="168">
        <f t="shared" si="14"/>
        <v>1</v>
      </c>
      <c r="S135" s="185" t="str">
        <f>D135</f>
        <v>SN-6 Low</v>
      </c>
    </row>
    <row r="136" spans="1:22" s="65" customFormat="1">
      <c r="A136" s="137">
        <v>42895</v>
      </c>
      <c r="B136" s="63"/>
      <c r="C136" s="63"/>
      <c r="D136" s="139" t="s">
        <v>78</v>
      </c>
      <c r="E136" s="140">
        <v>1</v>
      </c>
      <c r="F136" s="92">
        <v>180</v>
      </c>
      <c r="G136" s="67">
        <v>0.5</v>
      </c>
      <c r="H136" s="67">
        <v>800</v>
      </c>
      <c r="I136" s="67">
        <v>13</v>
      </c>
      <c r="J136" s="67">
        <v>0</v>
      </c>
      <c r="K136" s="67">
        <v>14</v>
      </c>
      <c r="L136" s="67">
        <v>1</v>
      </c>
      <c r="M136" s="67">
        <v>16</v>
      </c>
      <c r="N136" s="67">
        <v>0</v>
      </c>
      <c r="O136" s="67"/>
      <c r="P136" s="142">
        <f t="shared" ref="P136:P192" si="16">(AVERAGE(I136,K136,M136)/G136)*H136</f>
        <v>22933.333333333336</v>
      </c>
      <c r="Q136" s="142">
        <f t="shared" si="13"/>
        <v>533.33333333333326</v>
      </c>
      <c r="R136" s="168">
        <f t="shared" si="14"/>
        <v>0.97727272727272729</v>
      </c>
      <c r="S136" s="186">
        <f>(SUM(P135:P138)/(SUM(P135:Q138)))</f>
        <v>0.43924592973436166</v>
      </c>
      <c r="U136" s="68"/>
      <c r="V136" s="68"/>
    </row>
    <row r="137" spans="1:22" s="65" customFormat="1">
      <c r="A137" s="137">
        <v>42895</v>
      </c>
      <c r="B137" s="63"/>
      <c r="C137" s="63"/>
      <c r="D137" s="139" t="s">
        <v>78</v>
      </c>
      <c r="E137" s="140">
        <v>1</v>
      </c>
      <c r="F137" s="92">
        <v>100</v>
      </c>
      <c r="G137" s="67">
        <v>0.5</v>
      </c>
      <c r="H137" s="67">
        <v>325</v>
      </c>
      <c r="I137" s="67">
        <v>35</v>
      </c>
      <c r="J137" s="67">
        <v>0</v>
      </c>
      <c r="K137" s="67">
        <v>28</v>
      </c>
      <c r="L137" s="67">
        <v>0</v>
      </c>
      <c r="M137" s="67">
        <v>26</v>
      </c>
      <c r="N137" s="67">
        <v>0</v>
      </c>
      <c r="O137" s="67"/>
      <c r="P137" s="142">
        <f t="shared" si="16"/>
        <v>19283.333333333336</v>
      </c>
      <c r="Q137" s="142">
        <f t="shared" si="13"/>
        <v>0</v>
      </c>
      <c r="R137" s="168">
        <f t="shared" si="14"/>
        <v>1</v>
      </c>
      <c r="S137" s="184"/>
      <c r="U137" s="68"/>
      <c r="V137" s="68"/>
    </row>
    <row r="138" spans="1:22" s="65" customFormat="1">
      <c r="A138" s="137">
        <v>42895</v>
      </c>
      <c r="B138" s="63"/>
      <c r="C138" s="63"/>
      <c r="D138" s="139" t="s">
        <v>78</v>
      </c>
      <c r="E138" s="140">
        <v>1</v>
      </c>
      <c r="F138" s="92" t="s">
        <v>210</v>
      </c>
      <c r="G138" s="67">
        <v>0.5</v>
      </c>
      <c r="H138" s="67">
        <v>500</v>
      </c>
      <c r="I138" s="67">
        <v>0</v>
      </c>
      <c r="J138" s="67">
        <v>52</v>
      </c>
      <c r="K138" s="67">
        <v>0</v>
      </c>
      <c r="L138" s="67">
        <v>80</v>
      </c>
      <c r="M138" s="67">
        <v>0</v>
      </c>
      <c r="N138" s="67">
        <v>30</v>
      </c>
      <c r="O138" s="67"/>
      <c r="P138" s="142">
        <f t="shared" si="16"/>
        <v>0</v>
      </c>
      <c r="Q138" s="142">
        <f t="shared" si="13"/>
        <v>54000</v>
      </c>
      <c r="R138" s="168">
        <f t="shared" si="14"/>
        <v>0</v>
      </c>
      <c r="S138" s="187"/>
      <c r="U138" s="68"/>
      <c r="V138" s="68"/>
    </row>
    <row r="139" spans="1:22" s="65" customFormat="1">
      <c r="A139" s="137">
        <v>42895</v>
      </c>
      <c r="B139" s="63"/>
      <c r="C139" s="63"/>
      <c r="D139" s="65" t="s">
        <v>106</v>
      </c>
      <c r="E139" s="140">
        <v>1</v>
      </c>
      <c r="F139" s="92">
        <v>224</v>
      </c>
      <c r="G139" s="67">
        <v>2</v>
      </c>
      <c r="H139" s="67">
        <v>525</v>
      </c>
      <c r="I139" s="67">
        <v>0</v>
      </c>
      <c r="J139" s="67">
        <v>0</v>
      </c>
      <c r="K139" s="67">
        <v>0</v>
      </c>
      <c r="L139" s="67">
        <v>0</v>
      </c>
      <c r="M139" s="67">
        <v>0</v>
      </c>
      <c r="N139" s="67">
        <v>0</v>
      </c>
      <c r="O139" s="67"/>
      <c r="P139" s="142">
        <f t="shared" si="16"/>
        <v>0</v>
      </c>
      <c r="Q139" s="142">
        <f t="shared" si="13"/>
        <v>0</v>
      </c>
      <c r="R139" s="168" t="e">
        <f t="shared" si="14"/>
        <v>#DIV/0!</v>
      </c>
      <c r="S139" s="188" t="str">
        <f>D139</f>
        <v>NF-6 Low</v>
      </c>
      <c r="U139" s="68"/>
      <c r="V139" s="68"/>
    </row>
    <row r="140" spans="1:22" s="65" customFormat="1">
      <c r="A140" s="137">
        <v>42895</v>
      </c>
      <c r="B140" s="63"/>
      <c r="C140" s="63"/>
      <c r="D140" s="65" t="s">
        <v>106</v>
      </c>
      <c r="E140" s="140">
        <v>1</v>
      </c>
      <c r="F140" s="92">
        <v>180</v>
      </c>
      <c r="G140" s="67">
        <v>0.5</v>
      </c>
      <c r="H140" s="67">
        <v>525</v>
      </c>
      <c r="I140" s="67">
        <v>3</v>
      </c>
      <c r="J140" s="67">
        <v>1</v>
      </c>
      <c r="K140" s="67">
        <v>1</v>
      </c>
      <c r="L140" s="67">
        <v>1</v>
      </c>
      <c r="M140" s="67">
        <v>1</v>
      </c>
      <c r="N140" s="67">
        <v>0</v>
      </c>
      <c r="O140" s="67"/>
      <c r="P140" s="142">
        <f t="shared" si="16"/>
        <v>1750</v>
      </c>
      <c r="Q140" s="142">
        <f t="shared" si="13"/>
        <v>700</v>
      </c>
      <c r="R140" s="168">
        <f t="shared" si="14"/>
        <v>0.7142857142857143</v>
      </c>
      <c r="S140" s="186">
        <f>(SUM(P139:P142)/(SUM(P139:Q142)))</f>
        <v>0.37013089418072853</v>
      </c>
      <c r="U140" s="68"/>
      <c r="V140" s="68"/>
    </row>
    <row r="141" spans="1:22" s="65" customFormat="1">
      <c r="A141" s="137">
        <v>42895</v>
      </c>
      <c r="B141" s="63"/>
      <c r="C141" s="63"/>
      <c r="D141" s="65" t="s">
        <v>106</v>
      </c>
      <c r="E141" s="140">
        <v>1</v>
      </c>
      <c r="F141" s="92">
        <v>100</v>
      </c>
      <c r="G141" s="67">
        <v>0.5</v>
      </c>
      <c r="H141" s="67">
        <v>750</v>
      </c>
      <c r="I141" s="67">
        <v>26</v>
      </c>
      <c r="J141" s="67">
        <v>25</v>
      </c>
      <c r="K141" s="67">
        <v>25</v>
      </c>
      <c r="L141" s="67">
        <v>11</v>
      </c>
      <c r="M141" s="67">
        <v>23</v>
      </c>
      <c r="N141" s="67">
        <v>7</v>
      </c>
      <c r="O141" s="67"/>
      <c r="P141" s="142">
        <f t="shared" si="16"/>
        <v>37000</v>
      </c>
      <c r="Q141" s="142">
        <f t="shared" si="13"/>
        <v>21500</v>
      </c>
      <c r="R141" s="168">
        <f t="shared" si="14"/>
        <v>0.63247863247863245</v>
      </c>
      <c r="S141" s="187"/>
      <c r="U141" s="68"/>
      <c r="V141" s="68"/>
    </row>
    <row r="142" spans="1:22" s="65" customFormat="1">
      <c r="A142" s="137">
        <v>42895</v>
      </c>
      <c r="B142" s="63"/>
      <c r="C142" s="63"/>
      <c r="D142" s="65" t="s">
        <v>106</v>
      </c>
      <c r="E142" s="140">
        <v>1</v>
      </c>
      <c r="F142" s="92" t="s">
        <v>210</v>
      </c>
      <c r="G142" s="67">
        <v>0.5</v>
      </c>
      <c r="H142" s="67">
        <v>550</v>
      </c>
      <c r="I142" s="67">
        <v>0</v>
      </c>
      <c r="J142" s="67">
        <v>45</v>
      </c>
      <c r="K142" s="67">
        <v>1</v>
      </c>
      <c r="L142" s="67">
        <v>34</v>
      </c>
      <c r="M142" s="67">
        <v>0</v>
      </c>
      <c r="N142" s="67">
        <v>42</v>
      </c>
      <c r="O142" s="67"/>
      <c r="P142" s="142">
        <f t="shared" si="16"/>
        <v>366.66666666666663</v>
      </c>
      <c r="Q142" s="142">
        <f t="shared" si="13"/>
        <v>44366.666666666672</v>
      </c>
      <c r="R142" s="168">
        <f t="shared" si="14"/>
        <v>8.1967213114754085E-3</v>
      </c>
      <c r="S142" s="187"/>
      <c r="U142" s="68"/>
      <c r="V142" s="68"/>
    </row>
    <row r="143" spans="1:22" s="65" customFormat="1">
      <c r="A143" s="137">
        <v>42895</v>
      </c>
      <c r="B143" s="63"/>
      <c r="C143" s="63"/>
      <c r="D143" s="65" t="s">
        <v>87</v>
      </c>
      <c r="E143" s="65">
        <v>2</v>
      </c>
      <c r="F143" s="92">
        <v>224</v>
      </c>
      <c r="G143" s="67">
        <v>1</v>
      </c>
      <c r="H143" s="67">
        <v>450</v>
      </c>
      <c r="I143" s="67">
        <v>1</v>
      </c>
      <c r="J143" s="67">
        <v>0</v>
      </c>
      <c r="K143" s="67">
        <v>0</v>
      </c>
      <c r="L143" s="67">
        <v>0</v>
      </c>
      <c r="M143" s="67">
        <v>0</v>
      </c>
      <c r="N143" s="67">
        <v>0</v>
      </c>
      <c r="O143" s="67"/>
      <c r="P143" s="142">
        <f t="shared" si="16"/>
        <v>150</v>
      </c>
      <c r="Q143" s="142">
        <f t="shared" si="13"/>
        <v>0</v>
      </c>
      <c r="R143" s="168">
        <f t="shared" si="14"/>
        <v>1</v>
      </c>
      <c r="S143" s="188" t="str">
        <f>D143</f>
        <v>SN-10 Ambient</v>
      </c>
      <c r="U143" s="68"/>
      <c r="V143" s="68"/>
    </row>
    <row r="144" spans="1:22" s="65" customFormat="1">
      <c r="A144" s="137">
        <v>42895</v>
      </c>
      <c r="B144" s="63"/>
      <c r="C144" s="63"/>
      <c r="D144" s="65" t="s">
        <v>87</v>
      </c>
      <c r="E144" s="65">
        <v>2</v>
      </c>
      <c r="F144" s="92">
        <v>180</v>
      </c>
      <c r="G144" s="67">
        <v>0.5</v>
      </c>
      <c r="H144" s="67">
        <v>810</v>
      </c>
      <c r="I144" s="67">
        <v>51</v>
      </c>
      <c r="J144" s="67">
        <v>2</v>
      </c>
      <c r="K144" s="67">
        <v>57</v>
      </c>
      <c r="L144" s="67">
        <v>1</v>
      </c>
      <c r="M144" s="67">
        <v>67</v>
      </c>
      <c r="N144" s="67">
        <v>0</v>
      </c>
      <c r="O144" s="67"/>
      <c r="P144" s="142">
        <f t="shared" si="16"/>
        <v>94500</v>
      </c>
      <c r="Q144" s="142">
        <f t="shared" si="13"/>
        <v>1620</v>
      </c>
      <c r="R144" s="168">
        <f t="shared" si="14"/>
        <v>0.9831460674157303</v>
      </c>
      <c r="S144" s="186">
        <f>(SUM(P143:P146)/(SUM(P143:Q146)))</f>
        <v>0.62550352645192298</v>
      </c>
      <c r="U144" s="68"/>
      <c r="V144" s="68"/>
    </row>
    <row r="145" spans="1:22" s="65" customFormat="1">
      <c r="A145" s="137">
        <v>42895</v>
      </c>
      <c r="B145" s="63"/>
      <c r="C145" s="63"/>
      <c r="D145" s="65" t="s">
        <v>87</v>
      </c>
      <c r="E145" s="65">
        <v>2</v>
      </c>
      <c r="F145" s="92">
        <v>100</v>
      </c>
      <c r="G145" s="67">
        <v>0.5</v>
      </c>
      <c r="H145" s="67">
        <v>625</v>
      </c>
      <c r="I145" s="67">
        <v>46</v>
      </c>
      <c r="J145" s="67">
        <v>2</v>
      </c>
      <c r="K145" s="67">
        <v>51</v>
      </c>
      <c r="L145" s="67">
        <v>5</v>
      </c>
      <c r="M145" s="67">
        <v>27</v>
      </c>
      <c r="N145" s="67">
        <v>11</v>
      </c>
      <c r="O145" s="67"/>
      <c r="P145" s="142">
        <f t="shared" si="16"/>
        <v>51666.666666666672</v>
      </c>
      <c r="Q145" s="142">
        <f t="shared" si="13"/>
        <v>7500</v>
      </c>
      <c r="R145" s="168">
        <f t="shared" si="14"/>
        <v>0.87323943661971837</v>
      </c>
      <c r="S145" s="187"/>
      <c r="U145" s="68"/>
      <c r="V145" s="68"/>
    </row>
    <row r="146" spans="1:22" s="65" customFormat="1">
      <c r="A146" s="137">
        <v>42895</v>
      </c>
      <c r="B146" s="63"/>
      <c r="C146" s="63"/>
      <c r="D146" s="65" t="s">
        <v>87</v>
      </c>
      <c r="E146" s="65">
        <v>2</v>
      </c>
      <c r="F146" s="92" t="s">
        <v>210</v>
      </c>
      <c r="G146" s="67">
        <v>0.5</v>
      </c>
      <c r="H146" s="67">
        <v>600</v>
      </c>
      <c r="I146" s="67">
        <v>0</v>
      </c>
      <c r="J146" s="67">
        <v>62</v>
      </c>
      <c r="K146" s="67">
        <v>2</v>
      </c>
      <c r="L146" s="67">
        <v>63</v>
      </c>
      <c r="M146" s="67">
        <v>1</v>
      </c>
      <c r="N146" s="67">
        <v>73</v>
      </c>
      <c r="O146" s="67"/>
      <c r="P146" s="142">
        <f t="shared" si="16"/>
        <v>1200</v>
      </c>
      <c r="Q146" s="142">
        <f t="shared" si="13"/>
        <v>79200</v>
      </c>
      <c r="R146" s="168">
        <f t="shared" si="14"/>
        <v>1.4925373134328358E-2</v>
      </c>
      <c r="S146" s="187"/>
      <c r="U146" s="68"/>
      <c r="V146" s="68"/>
    </row>
    <row r="147" spans="1:22" s="65" customFormat="1">
      <c r="A147" s="137">
        <v>42895</v>
      </c>
      <c r="B147" s="63"/>
      <c r="C147" s="63"/>
      <c r="D147" s="64" t="s">
        <v>86</v>
      </c>
      <c r="E147" s="65">
        <v>2</v>
      </c>
      <c r="F147" s="92">
        <v>224</v>
      </c>
      <c r="G147" s="67">
        <v>1</v>
      </c>
      <c r="H147" s="67">
        <v>460</v>
      </c>
      <c r="I147" s="67">
        <v>2</v>
      </c>
      <c r="J147" s="67">
        <v>0</v>
      </c>
      <c r="K147" s="67">
        <v>1</v>
      </c>
      <c r="L147" s="67">
        <v>0</v>
      </c>
      <c r="M147" s="67">
        <v>1</v>
      </c>
      <c r="N147" s="67">
        <v>0</v>
      </c>
      <c r="O147" s="67"/>
      <c r="P147" s="142">
        <f t="shared" si="16"/>
        <v>613.33333333333326</v>
      </c>
      <c r="Q147" s="142">
        <f t="shared" si="13"/>
        <v>0</v>
      </c>
      <c r="R147" s="168">
        <f t="shared" si="14"/>
        <v>1</v>
      </c>
      <c r="S147" s="188" t="str">
        <f>D147</f>
        <v>NF-6 Ambient</v>
      </c>
      <c r="U147" s="68"/>
      <c r="V147" s="68"/>
    </row>
    <row r="148" spans="1:22" s="65" customFormat="1">
      <c r="A148" s="137">
        <v>42895</v>
      </c>
      <c r="B148" s="63"/>
      <c r="C148" s="63"/>
      <c r="D148" s="64" t="s">
        <v>86</v>
      </c>
      <c r="E148" s="65">
        <v>2</v>
      </c>
      <c r="F148" s="92">
        <v>180</v>
      </c>
      <c r="G148" s="67">
        <v>0.5</v>
      </c>
      <c r="H148" s="67">
        <v>850</v>
      </c>
      <c r="I148" s="67">
        <v>24</v>
      </c>
      <c r="J148" s="67">
        <v>0</v>
      </c>
      <c r="K148" s="67">
        <v>14</v>
      </c>
      <c r="L148" s="67">
        <v>1</v>
      </c>
      <c r="M148" s="67">
        <v>17</v>
      </c>
      <c r="N148" s="67">
        <v>0</v>
      </c>
      <c r="O148" s="67"/>
      <c r="P148" s="142">
        <f t="shared" si="16"/>
        <v>31166.666666666664</v>
      </c>
      <c r="Q148" s="142">
        <f t="shared" si="13"/>
        <v>566.66666666666663</v>
      </c>
      <c r="R148" s="168">
        <f t="shared" si="14"/>
        <v>0.9821428571428571</v>
      </c>
      <c r="S148" s="186">
        <f>(SUM(P147:P150)/(SUM(P147:Q150)))</f>
        <v>0.71986596457635232</v>
      </c>
      <c r="U148" s="68"/>
      <c r="V148" s="68"/>
    </row>
    <row r="149" spans="1:22" s="65" customFormat="1">
      <c r="A149" s="137">
        <v>42895</v>
      </c>
      <c r="B149" s="63"/>
      <c r="C149" s="63"/>
      <c r="D149" s="64" t="s">
        <v>86</v>
      </c>
      <c r="E149" s="65">
        <v>2</v>
      </c>
      <c r="F149" s="92">
        <v>100</v>
      </c>
      <c r="G149" s="67">
        <v>0.5</v>
      </c>
      <c r="H149" s="67">
        <v>640</v>
      </c>
      <c r="I149" s="67">
        <v>18</v>
      </c>
      <c r="J149" s="67">
        <v>1</v>
      </c>
      <c r="K149" s="67">
        <v>16</v>
      </c>
      <c r="L149" s="67">
        <v>2</v>
      </c>
      <c r="M149" s="67">
        <v>9</v>
      </c>
      <c r="N149" s="67">
        <v>1</v>
      </c>
      <c r="O149" s="67"/>
      <c r="P149" s="142">
        <f t="shared" si="16"/>
        <v>18346.666666666668</v>
      </c>
      <c r="Q149" s="142">
        <f t="shared" si="13"/>
        <v>1706.6666666666665</v>
      </c>
      <c r="R149" s="168">
        <f t="shared" si="14"/>
        <v>0.91489361702127658</v>
      </c>
      <c r="S149" s="187"/>
      <c r="U149" s="68"/>
      <c r="V149" s="68"/>
    </row>
    <row r="150" spans="1:22" s="65" customFormat="1">
      <c r="A150" s="137">
        <v>42895</v>
      </c>
      <c r="B150" s="63"/>
      <c r="C150" s="63"/>
      <c r="D150" s="64" t="s">
        <v>86</v>
      </c>
      <c r="E150" s="65">
        <v>2</v>
      </c>
      <c r="F150" s="92" t="s">
        <v>210</v>
      </c>
      <c r="G150" s="67">
        <v>0.5</v>
      </c>
      <c r="H150" s="67">
        <v>550</v>
      </c>
      <c r="I150" s="67">
        <v>0</v>
      </c>
      <c r="J150" s="67">
        <v>17</v>
      </c>
      <c r="K150" s="67">
        <v>0</v>
      </c>
      <c r="L150" s="67">
        <v>13</v>
      </c>
      <c r="M150" s="67">
        <v>0</v>
      </c>
      <c r="N150" s="67">
        <v>17</v>
      </c>
      <c r="O150" s="67"/>
      <c r="P150" s="142">
        <f t="shared" si="16"/>
        <v>0</v>
      </c>
      <c r="Q150" s="142">
        <f t="shared" si="13"/>
        <v>17233.333333333332</v>
      </c>
      <c r="R150" s="168">
        <f t="shared" si="14"/>
        <v>0</v>
      </c>
      <c r="S150" s="187"/>
      <c r="U150" s="68"/>
      <c r="V150" s="68"/>
    </row>
    <row r="151" spans="1:22" s="65" customFormat="1">
      <c r="A151" s="137">
        <v>42895</v>
      </c>
      <c r="B151" s="63"/>
      <c r="C151" s="63"/>
      <c r="D151" s="65" t="s">
        <v>140</v>
      </c>
      <c r="E151" s="65">
        <v>3</v>
      </c>
      <c r="F151" s="92">
        <v>224</v>
      </c>
      <c r="G151" s="67">
        <v>1</v>
      </c>
      <c r="H151" s="67">
        <v>490</v>
      </c>
      <c r="I151" s="67">
        <v>1</v>
      </c>
      <c r="J151" s="67">
        <v>0</v>
      </c>
      <c r="K151" s="67">
        <v>1</v>
      </c>
      <c r="L151" s="67">
        <v>0</v>
      </c>
      <c r="M151" s="67">
        <v>0</v>
      </c>
      <c r="N151" s="67">
        <v>0</v>
      </c>
      <c r="O151" s="67"/>
      <c r="P151" s="142">
        <f t="shared" si="16"/>
        <v>326.66666666666663</v>
      </c>
      <c r="Q151" s="142">
        <f t="shared" si="13"/>
        <v>0</v>
      </c>
      <c r="R151" s="168">
        <f t="shared" si="14"/>
        <v>1</v>
      </c>
      <c r="S151" s="188" t="str">
        <f>D151</f>
        <v xml:space="preserve">SN-10 Low </v>
      </c>
      <c r="U151" s="68"/>
      <c r="V151" s="68"/>
    </row>
    <row r="152" spans="1:22" s="65" customFormat="1">
      <c r="A152" s="137">
        <v>42895</v>
      </c>
      <c r="B152" s="63"/>
      <c r="C152" s="63"/>
      <c r="D152" s="65" t="s">
        <v>140</v>
      </c>
      <c r="E152" s="65">
        <v>3</v>
      </c>
      <c r="F152" s="92">
        <v>180</v>
      </c>
      <c r="G152" s="67">
        <v>0.5</v>
      </c>
      <c r="H152" s="67">
        <v>850</v>
      </c>
      <c r="I152" s="67">
        <v>21</v>
      </c>
      <c r="J152" s="67">
        <v>0</v>
      </c>
      <c r="K152" s="67">
        <v>23</v>
      </c>
      <c r="L152" s="67">
        <v>0</v>
      </c>
      <c r="M152" s="67">
        <v>16</v>
      </c>
      <c r="N152" s="67">
        <v>0</v>
      </c>
      <c r="O152" s="67"/>
      <c r="P152" s="142">
        <f t="shared" si="16"/>
        <v>34000</v>
      </c>
      <c r="Q152" s="142">
        <f t="shared" si="13"/>
        <v>0</v>
      </c>
      <c r="R152" s="168">
        <f t="shared" si="14"/>
        <v>1</v>
      </c>
      <c r="S152" s="186">
        <f>(SUM(P151:P154)/(SUM(P151:Q154)))</f>
        <v>0.6721273756384889</v>
      </c>
    </row>
    <row r="153" spans="1:22" s="65" customFormat="1">
      <c r="A153" s="137">
        <v>42895</v>
      </c>
      <c r="B153" s="63"/>
      <c r="C153" s="63"/>
      <c r="D153" s="65" t="s">
        <v>140</v>
      </c>
      <c r="E153" s="65">
        <v>3</v>
      </c>
      <c r="F153" s="92">
        <v>100</v>
      </c>
      <c r="G153" s="67">
        <v>0.5</v>
      </c>
      <c r="H153" s="67">
        <v>525</v>
      </c>
      <c r="I153" s="67">
        <v>14</v>
      </c>
      <c r="J153" s="67">
        <v>1</v>
      </c>
      <c r="K153" s="67">
        <v>10</v>
      </c>
      <c r="L153" s="67">
        <v>0</v>
      </c>
      <c r="M153" s="67">
        <v>16</v>
      </c>
      <c r="N153" s="67">
        <v>0</v>
      </c>
      <c r="O153" s="67"/>
      <c r="P153" s="142">
        <f t="shared" si="16"/>
        <v>14000</v>
      </c>
      <c r="Q153" s="142">
        <f t="shared" si="13"/>
        <v>350</v>
      </c>
      <c r="R153" s="168">
        <f t="shared" si="14"/>
        <v>0.97560975609756095</v>
      </c>
      <c r="S153" s="187"/>
    </row>
    <row r="154" spans="1:22" s="65" customFormat="1">
      <c r="A154" s="137">
        <v>42895</v>
      </c>
      <c r="B154" s="63"/>
      <c r="C154" s="63"/>
      <c r="D154" s="65" t="s">
        <v>140</v>
      </c>
      <c r="E154" s="65">
        <v>3</v>
      </c>
      <c r="F154" s="92" t="s">
        <v>210</v>
      </c>
      <c r="G154" s="67">
        <v>1</v>
      </c>
      <c r="H154" s="67">
        <v>540</v>
      </c>
      <c r="I154" s="67">
        <v>1</v>
      </c>
      <c r="J154" s="67">
        <v>47</v>
      </c>
      <c r="K154" s="67">
        <v>1</v>
      </c>
      <c r="L154" s="67">
        <v>33</v>
      </c>
      <c r="M154" s="67">
        <v>0</v>
      </c>
      <c r="N154" s="67">
        <v>50</v>
      </c>
      <c r="O154" s="67"/>
      <c r="P154" s="142">
        <f t="shared" si="16"/>
        <v>360</v>
      </c>
      <c r="Q154" s="142">
        <f t="shared" si="13"/>
        <v>23400</v>
      </c>
      <c r="R154" s="168">
        <f t="shared" si="14"/>
        <v>1.5151515151515152E-2</v>
      </c>
      <c r="S154" s="187"/>
    </row>
    <row r="155" spans="1:22" s="65" customFormat="1">
      <c r="A155" s="137">
        <v>42895</v>
      </c>
      <c r="B155" s="63"/>
      <c r="C155" s="63"/>
      <c r="D155" s="65" t="s">
        <v>77</v>
      </c>
      <c r="E155" s="65">
        <v>3</v>
      </c>
      <c r="F155" s="92">
        <v>224</v>
      </c>
      <c r="G155" s="67">
        <v>2</v>
      </c>
      <c r="H155" s="67">
        <v>430</v>
      </c>
      <c r="I155" s="67">
        <v>0</v>
      </c>
      <c r="J155" s="67">
        <v>0</v>
      </c>
      <c r="K155" s="67">
        <v>2</v>
      </c>
      <c r="L155" s="67">
        <v>0</v>
      </c>
      <c r="M155" s="67">
        <v>0</v>
      </c>
      <c r="N155" s="67">
        <v>0</v>
      </c>
      <c r="O155" s="67"/>
      <c r="P155" s="142">
        <f t="shared" si="16"/>
        <v>143.33333333333331</v>
      </c>
      <c r="Q155" s="142">
        <f t="shared" si="13"/>
        <v>0</v>
      </c>
      <c r="R155" s="168">
        <f t="shared" si="14"/>
        <v>1</v>
      </c>
      <c r="S155" s="188" t="str">
        <f>D155</f>
        <v xml:space="preserve">NF-10 Low </v>
      </c>
    </row>
    <row r="156" spans="1:22" s="65" customFormat="1">
      <c r="A156" s="137">
        <v>42895</v>
      </c>
      <c r="B156" s="63"/>
      <c r="C156" s="63"/>
      <c r="D156" s="65" t="s">
        <v>77</v>
      </c>
      <c r="E156" s="65">
        <v>3</v>
      </c>
      <c r="F156" s="92">
        <v>180</v>
      </c>
      <c r="G156" s="67">
        <v>0.5</v>
      </c>
      <c r="H156" s="67">
        <v>700</v>
      </c>
      <c r="I156" s="67">
        <v>30</v>
      </c>
      <c r="J156" s="67">
        <v>0</v>
      </c>
      <c r="K156" s="67">
        <v>25</v>
      </c>
      <c r="L156" s="67">
        <v>0</v>
      </c>
      <c r="M156" s="67">
        <v>31</v>
      </c>
      <c r="N156" s="67">
        <v>0</v>
      </c>
      <c r="O156" s="67"/>
      <c r="P156" s="142">
        <f t="shared" si="16"/>
        <v>40133.333333333336</v>
      </c>
      <c r="Q156" s="142">
        <f t="shared" si="13"/>
        <v>0</v>
      </c>
      <c r="R156" s="168">
        <f t="shared" si="14"/>
        <v>1</v>
      </c>
      <c r="S156" s="186">
        <f>(SUM(P155:P158)/(SUM(P155:Q158)))</f>
        <v>0.84220869481857819</v>
      </c>
    </row>
    <row r="157" spans="1:22" s="65" customFormat="1">
      <c r="A157" s="137">
        <v>42895</v>
      </c>
      <c r="B157" s="63"/>
      <c r="C157" s="63"/>
      <c r="D157" s="65" t="s">
        <v>77</v>
      </c>
      <c r="E157" s="65">
        <v>3</v>
      </c>
      <c r="F157" s="92">
        <v>100</v>
      </c>
      <c r="G157" s="67">
        <v>0.5</v>
      </c>
      <c r="H157" s="67">
        <v>560</v>
      </c>
      <c r="I157" s="67">
        <v>14</v>
      </c>
      <c r="J157" s="67">
        <v>1</v>
      </c>
      <c r="K157" s="67">
        <v>20</v>
      </c>
      <c r="L157" s="67">
        <v>0</v>
      </c>
      <c r="M157" s="67">
        <v>15</v>
      </c>
      <c r="N157" s="67">
        <v>0</v>
      </c>
      <c r="O157" s="67"/>
      <c r="P157" s="142">
        <f t="shared" si="16"/>
        <v>18293.333333333332</v>
      </c>
      <c r="Q157" s="142">
        <f t="shared" si="13"/>
        <v>373.33333333333331</v>
      </c>
      <c r="R157" s="168">
        <f t="shared" si="14"/>
        <v>0.98000000000000009</v>
      </c>
      <c r="S157" s="187"/>
    </row>
    <row r="158" spans="1:22" s="65" customFormat="1">
      <c r="A158" s="62">
        <v>42895</v>
      </c>
      <c r="B158" s="63"/>
      <c r="C158" s="63"/>
      <c r="D158" s="65" t="s">
        <v>77</v>
      </c>
      <c r="E158" s="65">
        <v>3</v>
      </c>
      <c r="F158" s="66" t="s">
        <v>210</v>
      </c>
      <c r="G158" s="67">
        <v>1</v>
      </c>
      <c r="H158" s="67">
        <v>600</v>
      </c>
      <c r="I158" s="67">
        <v>0</v>
      </c>
      <c r="J158" s="67">
        <v>18</v>
      </c>
      <c r="K158" s="67">
        <v>0</v>
      </c>
      <c r="L158" s="67">
        <v>12</v>
      </c>
      <c r="M158" s="67">
        <v>0</v>
      </c>
      <c r="N158" s="67">
        <v>23</v>
      </c>
      <c r="O158" s="67"/>
      <c r="P158" s="142">
        <f t="shared" si="16"/>
        <v>0</v>
      </c>
      <c r="Q158" s="142">
        <f t="shared" si="13"/>
        <v>10600</v>
      </c>
      <c r="R158" s="168">
        <f t="shared" si="14"/>
        <v>0</v>
      </c>
      <c r="S158" s="187"/>
    </row>
    <row r="159" spans="1:22" s="65" customFormat="1">
      <c r="A159" s="137">
        <v>42895</v>
      </c>
      <c r="B159" s="63"/>
      <c r="C159" s="63"/>
      <c r="D159" s="139" t="s">
        <v>21</v>
      </c>
      <c r="E159" s="65">
        <v>4</v>
      </c>
      <c r="F159" s="92">
        <v>180</v>
      </c>
      <c r="G159" s="67">
        <v>2</v>
      </c>
      <c r="H159" s="67"/>
      <c r="I159" s="67">
        <v>0</v>
      </c>
      <c r="J159" s="67">
        <v>0</v>
      </c>
      <c r="K159" s="67">
        <v>0</v>
      </c>
      <c r="L159" s="67">
        <v>0</v>
      </c>
      <c r="M159" s="67">
        <v>0</v>
      </c>
      <c r="N159" s="67">
        <v>1</v>
      </c>
      <c r="O159" s="67"/>
      <c r="P159" s="142">
        <f t="shared" si="16"/>
        <v>0</v>
      </c>
      <c r="Q159" s="142">
        <f t="shared" si="13"/>
        <v>0</v>
      </c>
      <c r="R159" s="168" t="e">
        <f t="shared" si="14"/>
        <v>#DIV/0!</v>
      </c>
      <c r="S159" s="189" t="str">
        <f>D159</f>
        <v>HL-6 Low</v>
      </c>
      <c r="U159" s="68"/>
      <c r="V159" s="68"/>
    </row>
    <row r="160" spans="1:22" s="65" customFormat="1">
      <c r="A160" s="137">
        <v>42895</v>
      </c>
      <c r="B160" s="63"/>
      <c r="C160" s="63"/>
      <c r="D160" s="139" t="s">
        <v>21</v>
      </c>
      <c r="E160" s="65">
        <v>4</v>
      </c>
      <c r="F160" s="92">
        <v>100</v>
      </c>
      <c r="G160" s="67">
        <v>0.5</v>
      </c>
      <c r="H160" s="67">
        <v>800</v>
      </c>
      <c r="I160" s="67">
        <v>39</v>
      </c>
      <c r="J160" s="67">
        <v>0</v>
      </c>
      <c r="K160" s="67">
        <v>35</v>
      </c>
      <c r="L160" s="67">
        <v>0</v>
      </c>
      <c r="M160" s="67">
        <v>47</v>
      </c>
      <c r="N160" s="67">
        <v>0</v>
      </c>
      <c r="O160" s="67"/>
      <c r="P160" s="142">
        <f t="shared" si="16"/>
        <v>64533.333333333336</v>
      </c>
      <c r="Q160" s="142">
        <f t="shared" si="13"/>
        <v>0</v>
      </c>
      <c r="R160" s="168">
        <f t="shared" si="14"/>
        <v>1</v>
      </c>
      <c r="S160" s="187">
        <f>SUM(P159:P160)/(SUM(P159:Q160))</f>
        <v>1</v>
      </c>
      <c r="U160" s="68"/>
      <c r="V160" s="68"/>
    </row>
    <row r="161" spans="1:22" s="65" customFormat="1">
      <c r="A161" s="137">
        <v>42895</v>
      </c>
      <c r="B161" s="63"/>
      <c r="C161" s="63"/>
      <c r="D161" s="65" t="s">
        <v>85</v>
      </c>
      <c r="E161" s="65">
        <v>4</v>
      </c>
      <c r="F161" s="92">
        <v>224</v>
      </c>
      <c r="G161" s="67">
        <v>1</v>
      </c>
      <c r="H161" s="67">
        <v>470</v>
      </c>
      <c r="I161" s="67">
        <v>0</v>
      </c>
      <c r="J161" s="67">
        <v>0</v>
      </c>
      <c r="K161" s="67">
        <v>0</v>
      </c>
      <c r="L161" s="67">
        <v>0</v>
      </c>
      <c r="M161" s="67">
        <v>1</v>
      </c>
      <c r="N161" s="67">
        <v>0</v>
      </c>
      <c r="O161" s="67"/>
      <c r="P161" s="142">
        <f t="shared" si="16"/>
        <v>156.66666666666666</v>
      </c>
      <c r="Q161" s="142">
        <f t="shared" si="13"/>
        <v>0</v>
      </c>
      <c r="R161" s="168">
        <f t="shared" si="14"/>
        <v>1</v>
      </c>
      <c r="S161" s="188" t="str">
        <f>D161</f>
        <v>NF-10 Ambient</v>
      </c>
      <c r="U161" s="68"/>
      <c r="V161" s="68"/>
    </row>
    <row r="162" spans="1:22" s="65" customFormat="1">
      <c r="A162" s="137">
        <v>42895</v>
      </c>
      <c r="B162" s="63"/>
      <c r="C162" s="63"/>
      <c r="D162" s="65" t="s">
        <v>85</v>
      </c>
      <c r="E162" s="65">
        <v>4</v>
      </c>
      <c r="F162" s="92">
        <v>180</v>
      </c>
      <c r="G162" s="67">
        <v>0.5</v>
      </c>
      <c r="H162" s="67">
        <v>440</v>
      </c>
      <c r="I162" s="67">
        <v>12</v>
      </c>
      <c r="J162" s="67">
        <v>2</v>
      </c>
      <c r="K162" s="67">
        <v>8</v>
      </c>
      <c r="L162" s="67">
        <v>0</v>
      </c>
      <c r="M162" s="67">
        <v>8</v>
      </c>
      <c r="N162" s="67">
        <v>0</v>
      </c>
      <c r="O162" s="67"/>
      <c r="P162" s="142">
        <f t="shared" si="16"/>
        <v>8213.3333333333339</v>
      </c>
      <c r="Q162" s="142">
        <f t="shared" si="13"/>
        <v>586.66666666666663</v>
      </c>
      <c r="R162" s="168">
        <f t="shared" si="14"/>
        <v>0.93333333333333335</v>
      </c>
      <c r="S162" s="186">
        <f>(SUM(P161:P164)/(SUM(P161:Q164)))</f>
        <v>0.78777032514211809</v>
      </c>
      <c r="U162" s="68"/>
      <c r="V162" s="68"/>
    </row>
    <row r="163" spans="1:22" s="65" customFormat="1">
      <c r="A163" s="137">
        <v>42895</v>
      </c>
      <c r="B163" s="63"/>
      <c r="C163" s="63"/>
      <c r="D163" s="65" t="s">
        <v>85</v>
      </c>
      <c r="E163" s="65">
        <v>4</v>
      </c>
      <c r="F163" s="92">
        <v>100</v>
      </c>
      <c r="G163" s="67">
        <v>0.5</v>
      </c>
      <c r="H163" s="67">
        <v>800</v>
      </c>
      <c r="I163" s="67">
        <v>54</v>
      </c>
      <c r="J163" s="67">
        <v>3</v>
      </c>
      <c r="K163" s="67">
        <v>47</v>
      </c>
      <c r="L163" s="67">
        <v>1</v>
      </c>
      <c r="M163" s="67">
        <v>47</v>
      </c>
      <c r="N163" s="67">
        <v>3</v>
      </c>
      <c r="O163" s="67"/>
      <c r="P163" s="142">
        <f t="shared" si="16"/>
        <v>78933.333333333343</v>
      </c>
      <c r="Q163" s="142">
        <f t="shared" si="13"/>
        <v>3733.3333333333335</v>
      </c>
      <c r="R163" s="168">
        <f t="shared" si="14"/>
        <v>0.95483870967741946</v>
      </c>
      <c r="S163" s="187"/>
      <c r="U163" s="68"/>
      <c r="V163" s="68"/>
    </row>
    <row r="164" spans="1:22" s="65" customFormat="1">
      <c r="A164" s="137">
        <v>42895</v>
      </c>
      <c r="B164" s="63"/>
      <c r="C164" s="63"/>
      <c r="D164" s="65" t="s">
        <v>85</v>
      </c>
      <c r="E164" s="65">
        <v>4</v>
      </c>
      <c r="F164" s="92" t="s">
        <v>210</v>
      </c>
      <c r="G164" s="67">
        <v>1</v>
      </c>
      <c r="H164" s="67">
        <v>600</v>
      </c>
      <c r="I164" s="67">
        <v>0</v>
      </c>
      <c r="J164" s="67">
        <v>29</v>
      </c>
      <c r="K164" s="67">
        <v>0</v>
      </c>
      <c r="L164" s="67">
        <v>23</v>
      </c>
      <c r="M164" s="67">
        <v>0</v>
      </c>
      <c r="N164" s="67">
        <v>44</v>
      </c>
      <c r="O164" s="67"/>
      <c r="P164" s="142">
        <f t="shared" si="16"/>
        <v>0</v>
      </c>
      <c r="Q164" s="142">
        <f t="shared" ref="Q164:Q227" si="17">(AVERAGE(J164,L164,N164)/G164)*H164</f>
        <v>19200</v>
      </c>
      <c r="R164" s="168">
        <f t="shared" ref="R164:R227" si="18">P164/(P164+Q164)</f>
        <v>0</v>
      </c>
      <c r="S164" s="187"/>
      <c r="U164" s="68"/>
      <c r="V164" s="68"/>
    </row>
    <row r="165" spans="1:22" s="65" customFormat="1">
      <c r="A165" s="137">
        <v>42895</v>
      </c>
      <c r="B165" s="63"/>
      <c r="C165" s="63"/>
      <c r="D165" s="65" t="s">
        <v>88</v>
      </c>
      <c r="E165" s="65">
        <v>5</v>
      </c>
      <c r="F165" s="92">
        <v>224</v>
      </c>
      <c r="G165" s="67">
        <v>1</v>
      </c>
      <c r="H165" s="67">
        <v>375</v>
      </c>
      <c r="I165" s="67">
        <v>0</v>
      </c>
      <c r="J165" s="67">
        <v>0</v>
      </c>
      <c r="K165" s="67">
        <v>0</v>
      </c>
      <c r="L165" s="67">
        <v>0</v>
      </c>
      <c r="M165" s="67">
        <v>0</v>
      </c>
      <c r="N165" s="67">
        <v>0</v>
      </c>
      <c r="O165" s="67"/>
      <c r="P165" s="142">
        <f t="shared" si="16"/>
        <v>0</v>
      </c>
      <c r="Q165" s="142">
        <f t="shared" si="17"/>
        <v>0</v>
      </c>
      <c r="R165" s="168" t="e">
        <f t="shared" si="18"/>
        <v>#DIV/0!</v>
      </c>
      <c r="S165" s="188" t="str">
        <f>D165</f>
        <v>SN-6 Ambient</v>
      </c>
      <c r="U165" s="68"/>
      <c r="V165" s="68"/>
    </row>
    <row r="166" spans="1:22" s="65" customFormat="1">
      <c r="A166" s="137">
        <v>42895</v>
      </c>
      <c r="B166" s="63"/>
      <c r="C166" s="63"/>
      <c r="D166" s="65" t="s">
        <v>88</v>
      </c>
      <c r="E166" s="65">
        <v>5</v>
      </c>
      <c r="F166" s="92">
        <v>180</v>
      </c>
      <c r="G166" s="67">
        <v>1</v>
      </c>
      <c r="H166" s="67">
        <v>400</v>
      </c>
      <c r="I166" s="67">
        <v>2</v>
      </c>
      <c r="J166" s="67">
        <v>0</v>
      </c>
      <c r="K166" s="67">
        <v>1</v>
      </c>
      <c r="L166" s="67">
        <v>0</v>
      </c>
      <c r="M166" s="67">
        <v>2</v>
      </c>
      <c r="N166" s="67">
        <v>0</v>
      </c>
      <c r="O166" s="67"/>
      <c r="P166" s="142">
        <f t="shared" si="16"/>
        <v>666.66666666666674</v>
      </c>
      <c r="Q166" s="142">
        <f t="shared" si="17"/>
        <v>0</v>
      </c>
      <c r="R166" s="168">
        <f t="shared" si="18"/>
        <v>1</v>
      </c>
      <c r="S166" s="186">
        <f>(SUM(P165:P168)/(SUM(P165:Q168)))</f>
        <v>0.21549354618818303</v>
      </c>
      <c r="U166" s="68"/>
      <c r="V166" s="68"/>
    </row>
    <row r="167" spans="1:22" s="65" customFormat="1">
      <c r="A167" s="137">
        <v>42895</v>
      </c>
      <c r="B167" s="63"/>
      <c r="C167" s="63"/>
      <c r="D167" s="65" t="s">
        <v>88</v>
      </c>
      <c r="E167" s="65">
        <v>5</v>
      </c>
      <c r="F167" s="92">
        <v>100</v>
      </c>
      <c r="G167" s="67">
        <v>0.5</v>
      </c>
      <c r="H167" s="67">
        <v>640</v>
      </c>
      <c r="I167" s="67">
        <v>26</v>
      </c>
      <c r="J167" s="67">
        <v>2</v>
      </c>
      <c r="K167" s="67">
        <v>26</v>
      </c>
      <c r="L167" s="67">
        <v>1</v>
      </c>
      <c r="M167" s="67">
        <v>23</v>
      </c>
      <c r="N167" s="67">
        <v>1</v>
      </c>
      <c r="O167" s="67"/>
      <c r="P167" s="142">
        <f t="shared" si="16"/>
        <v>32000</v>
      </c>
      <c r="Q167" s="142">
        <f t="shared" si="17"/>
        <v>1706.6666666666665</v>
      </c>
      <c r="R167" s="168">
        <f t="shared" si="18"/>
        <v>0.949367088607595</v>
      </c>
      <c r="S167" s="187"/>
      <c r="U167" s="68"/>
      <c r="V167" s="68"/>
    </row>
    <row r="168" spans="1:22" s="65" customFormat="1">
      <c r="A168" s="137">
        <v>42895</v>
      </c>
      <c r="B168" s="63"/>
      <c r="C168" s="63"/>
      <c r="D168" s="65" t="s">
        <v>88</v>
      </c>
      <c r="E168" s="65">
        <v>5</v>
      </c>
      <c r="F168" s="92" t="s">
        <v>210</v>
      </c>
      <c r="G168" s="67">
        <v>1</v>
      </c>
      <c r="H168" s="67">
        <v>650</v>
      </c>
      <c r="I168" s="67">
        <v>0</v>
      </c>
      <c r="J168" s="67">
        <v>156</v>
      </c>
      <c r="K168" s="67">
        <v>0</v>
      </c>
      <c r="L168" s="67">
        <v>200</v>
      </c>
      <c r="M168" s="67">
        <v>0</v>
      </c>
      <c r="N168" s="67">
        <v>185</v>
      </c>
      <c r="O168" s="67"/>
      <c r="P168" s="142">
        <f t="shared" si="16"/>
        <v>0</v>
      </c>
      <c r="Q168" s="142">
        <f t="shared" si="17"/>
        <v>117216.66666666667</v>
      </c>
      <c r="R168" s="168">
        <f t="shared" si="18"/>
        <v>0</v>
      </c>
      <c r="S168" s="187"/>
      <c r="U168" s="68"/>
      <c r="V168" s="68"/>
    </row>
    <row r="169" spans="1:22" s="65" customFormat="1">
      <c r="A169" s="137">
        <v>42895</v>
      </c>
      <c r="B169" s="63"/>
      <c r="C169" s="63"/>
      <c r="D169" s="64" t="s">
        <v>37</v>
      </c>
      <c r="E169" s="65">
        <v>5</v>
      </c>
      <c r="F169" s="92">
        <v>224</v>
      </c>
      <c r="G169" s="67">
        <v>1</v>
      </c>
      <c r="H169" s="67">
        <v>350</v>
      </c>
      <c r="I169" s="67">
        <v>4</v>
      </c>
      <c r="J169" s="67">
        <v>0</v>
      </c>
      <c r="K169" s="67">
        <v>6</v>
      </c>
      <c r="L169" s="67">
        <v>0</v>
      </c>
      <c r="M169" s="67">
        <v>2</v>
      </c>
      <c r="N169" s="67">
        <v>2</v>
      </c>
      <c r="O169" s="67"/>
      <c r="P169" s="142">
        <f t="shared" si="16"/>
        <v>1400</v>
      </c>
      <c r="Q169" s="142">
        <f t="shared" si="17"/>
        <v>233.33333333333331</v>
      </c>
      <c r="R169" s="168">
        <f t="shared" si="18"/>
        <v>0.85714285714285721</v>
      </c>
      <c r="S169" s="188" t="str">
        <f>D169</f>
        <v xml:space="preserve">K-10 Low </v>
      </c>
      <c r="U169" s="68"/>
      <c r="V169" s="68"/>
    </row>
    <row r="170" spans="1:22" s="65" customFormat="1">
      <c r="A170" s="137">
        <v>42895</v>
      </c>
      <c r="B170" s="63"/>
      <c r="C170" s="63"/>
      <c r="D170" s="64" t="s">
        <v>37</v>
      </c>
      <c r="E170" s="65">
        <v>5</v>
      </c>
      <c r="F170" s="92">
        <v>180</v>
      </c>
      <c r="G170" s="67">
        <v>0.5</v>
      </c>
      <c r="H170" s="67">
        <v>500</v>
      </c>
      <c r="I170" s="67">
        <v>9</v>
      </c>
      <c r="J170" s="67">
        <v>2</v>
      </c>
      <c r="K170" s="67">
        <v>8</v>
      </c>
      <c r="L170" s="67">
        <v>3</v>
      </c>
      <c r="M170" s="67">
        <v>16</v>
      </c>
      <c r="N170" s="67">
        <v>5</v>
      </c>
      <c r="O170" s="67"/>
      <c r="P170" s="142">
        <f t="shared" si="16"/>
        <v>11000</v>
      </c>
      <c r="Q170" s="142">
        <f t="shared" si="17"/>
        <v>3333.3333333333335</v>
      </c>
      <c r="R170" s="168">
        <f t="shared" si="18"/>
        <v>0.7674418604651162</v>
      </c>
      <c r="S170" s="186">
        <f>(SUM(P169:P172)/(SUM(P169:Q172)))</f>
        <v>0.29072532699167652</v>
      </c>
      <c r="U170" s="68"/>
      <c r="V170" s="68"/>
    </row>
    <row r="171" spans="1:22" s="65" customFormat="1">
      <c r="A171" s="137">
        <v>42895</v>
      </c>
      <c r="B171" s="63"/>
      <c r="C171" s="63"/>
      <c r="D171" s="64" t="s">
        <v>37</v>
      </c>
      <c r="E171" s="65">
        <v>5</v>
      </c>
      <c r="F171" s="92">
        <v>100</v>
      </c>
      <c r="G171" s="67">
        <v>0.5</v>
      </c>
      <c r="H171" s="67">
        <v>70</v>
      </c>
      <c r="I171" s="67">
        <v>35</v>
      </c>
      <c r="J171" s="67">
        <v>2</v>
      </c>
      <c r="K171" s="67">
        <v>27</v>
      </c>
      <c r="L171" s="67">
        <v>3</v>
      </c>
      <c r="M171" s="67">
        <v>32</v>
      </c>
      <c r="N171" s="67">
        <v>4</v>
      </c>
      <c r="O171" s="67"/>
      <c r="P171" s="142">
        <f t="shared" si="16"/>
        <v>4386.6666666666661</v>
      </c>
      <c r="Q171" s="142">
        <f t="shared" si="17"/>
        <v>420</v>
      </c>
      <c r="R171" s="168">
        <f t="shared" si="18"/>
        <v>0.91262135922330101</v>
      </c>
      <c r="S171" s="187"/>
      <c r="U171" s="68"/>
      <c r="V171" s="68"/>
    </row>
    <row r="172" spans="1:22" s="65" customFormat="1">
      <c r="A172" s="137">
        <v>42895</v>
      </c>
      <c r="B172" s="63"/>
      <c r="C172" s="63"/>
      <c r="D172" s="64" t="s">
        <v>37</v>
      </c>
      <c r="E172" s="65">
        <v>5</v>
      </c>
      <c r="F172" s="92" t="s">
        <v>210</v>
      </c>
      <c r="G172" s="67">
        <v>1</v>
      </c>
      <c r="H172" s="67">
        <v>640</v>
      </c>
      <c r="I172" s="67">
        <v>5</v>
      </c>
      <c r="J172" s="67">
        <v>79</v>
      </c>
      <c r="K172" s="67">
        <v>4</v>
      </c>
      <c r="L172" s="67">
        <v>64</v>
      </c>
      <c r="M172" s="67">
        <v>4</v>
      </c>
      <c r="N172" s="67">
        <v>62</v>
      </c>
      <c r="O172" s="67"/>
      <c r="P172" s="142">
        <f t="shared" si="16"/>
        <v>2773.333333333333</v>
      </c>
      <c r="Q172" s="142">
        <f t="shared" si="17"/>
        <v>43733.333333333328</v>
      </c>
      <c r="R172" s="168">
        <f t="shared" si="18"/>
        <v>5.9633027522935776E-2</v>
      </c>
      <c r="S172" s="187"/>
      <c r="U172" s="68"/>
      <c r="V172" s="68"/>
    </row>
    <row r="173" spans="1:22" s="65" customFormat="1">
      <c r="A173" s="137">
        <v>42895</v>
      </c>
      <c r="B173" s="63"/>
      <c r="C173" s="63"/>
      <c r="D173" s="65" t="s">
        <v>89</v>
      </c>
      <c r="E173" s="65">
        <v>6</v>
      </c>
      <c r="F173" s="92">
        <v>224</v>
      </c>
      <c r="G173" s="67">
        <v>3</v>
      </c>
      <c r="H173" s="67">
        <v>275</v>
      </c>
      <c r="I173" s="67">
        <v>0</v>
      </c>
      <c r="J173" s="67">
        <v>0</v>
      </c>
      <c r="K173" s="67">
        <v>1</v>
      </c>
      <c r="L173" s="67">
        <v>0</v>
      </c>
      <c r="M173" s="67">
        <v>0</v>
      </c>
      <c r="N173" s="67">
        <v>0</v>
      </c>
      <c r="O173" s="67"/>
      <c r="P173" s="142">
        <f t="shared" si="16"/>
        <v>30.555555555555554</v>
      </c>
      <c r="Q173" s="142">
        <f t="shared" si="17"/>
        <v>0</v>
      </c>
      <c r="R173" s="168">
        <f t="shared" si="18"/>
        <v>1</v>
      </c>
      <c r="S173" s="188" t="str">
        <f>D173</f>
        <v>HL-10 Ambient</v>
      </c>
      <c r="U173" s="68"/>
      <c r="V173" s="68"/>
    </row>
    <row r="174" spans="1:22" s="65" customFormat="1">
      <c r="A174" s="137">
        <v>42895</v>
      </c>
      <c r="B174" s="63"/>
      <c r="C174" s="63"/>
      <c r="D174" s="65" t="s">
        <v>89</v>
      </c>
      <c r="E174" s="65">
        <v>6</v>
      </c>
      <c r="F174" s="92">
        <v>180</v>
      </c>
      <c r="G174" s="67">
        <v>0.5</v>
      </c>
      <c r="H174" s="67">
        <v>800</v>
      </c>
      <c r="I174" s="67">
        <v>35</v>
      </c>
      <c r="J174" s="67">
        <v>0</v>
      </c>
      <c r="K174" s="67">
        <v>32</v>
      </c>
      <c r="L174" s="67">
        <v>0</v>
      </c>
      <c r="M174" s="67">
        <v>25</v>
      </c>
      <c r="N174" s="67">
        <v>0</v>
      </c>
      <c r="O174" s="67"/>
      <c r="P174" s="142">
        <f t="shared" si="16"/>
        <v>49066.666666666672</v>
      </c>
      <c r="Q174" s="142">
        <f t="shared" si="17"/>
        <v>0</v>
      </c>
      <c r="R174" s="168">
        <f t="shared" si="18"/>
        <v>1</v>
      </c>
      <c r="S174" s="186">
        <f>(SUM(P173:P176)/(SUM(P173:Q176)))</f>
        <v>0.89880529579209911</v>
      </c>
      <c r="U174" s="68"/>
      <c r="V174" s="68"/>
    </row>
    <row r="175" spans="1:22" s="65" customFormat="1">
      <c r="A175" s="137">
        <v>42895</v>
      </c>
      <c r="B175" s="63"/>
      <c r="C175" s="63"/>
      <c r="D175" s="65" t="s">
        <v>89</v>
      </c>
      <c r="E175" s="65">
        <v>6</v>
      </c>
      <c r="F175" s="92">
        <v>100</v>
      </c>
      <c r="G175" s="67">
        <v>0.5</v>
      </c>
      <c r="H175" s="67">
        <v>740</v>
      </c>
      <c r="I175" s="67">
        <v>36</v>
      </c>
      <c r="J175" s="67">
        <v>1</v>
      </c>
      <c r="K175" s="67">
        <v>29</v>
      </c>
      <c r="L175" s="67">
        <v>0</v>
      </c>
      <c r="M175" s="67">
        <v>25</v>
      </c>
      <c r="N175" s="67">
        <v>0</v>
      </c>
      <c r="O175" s="67"/>
      <c r="P175" s="142">
        <f t="shared" si="16"/>
        <v>44400</v>
      </c>
      <c r="Q175" s="142">
        <f t="shared" si="17"/>
        <v>493.33333333333331</v>
      </c>
      <c r="R175" s="168">
        <f t="shared" si="18"/>
        <v>0.98901098901098894</v>
      </c>
      <c r="S175" s="187"/>
      <c r="U175" s="68"/>
      <c r="V175" s="68"/>
    </row>
    <row r="176" spans="1:22" s="65" customFormat="1">
      <c r="A176" s="137">
        <v>42895</v>
      </c>
      <c r="B176" s="63"/>
      <c r="C176" s="63"/>
      <c r="D176" s="65" t="s">
        <v>89</v>
      </c>
      <c r="E176" s="65">
        <v>6</v>
      </c>
      <c r="F176" s="92" t="s">
        <v>210</v>
      </c>
      <c r="G176" s="67">
        <v>1</v>
      </c>
      <c r="H176" s="67">
        <v>700</v>
      </c>
      <c r="I176" s="67">
        <v>0</v>
      </c>
      <c r="J176" s="67">
        <v>21</v>
      </c>
      <c r="K176" s="67">
        <v>0</v>
      </c>
      <c r="L176" s="67">
        <v>10</v>
      </c>
      <c r="M176" s="67">
        <v>0</v>
      </c>
      <c r="N176" s="67">
        <v>12</v>
      </c>
      <c r="O176" s="67"/>
      <c r="P176" s="142">
        <f t="shared" si="16"/>
        <v>0</v>
      </c>
      <c r="Q176" s="142">
        <f t="shared" si="17"/>
        <v>10033.333333333334</v>
      </c>
      <c r="R176" s="168">
        <f t="shared" si="18"/>
        <v>0</v>
      </c>
      <c r="S176" s="187"/>
      <c r="U176" s="68"/>
      <c r="V176" s="68"/>
    </row>
    <row r="177" spans="1:22" s="65" customFormat="1">
      <c r="A177" s="137">
        <v>42895</v>
      </c>
      <c r="B177" s="63"/>
      <c r="C177" s="63"/>
      <c r="D177" s="65" t="s">
        <v>139</v>
      </c>
      <c r="E177" s="65">
        <v>6</v>
      </c>
      <c r="F177" s="92">
        <v>224</v>
      </c>
      <c r="G177" s="67">
        <v>2</v>
      </c>
      <c r="H177" s="67">
        <v>525</v>
      </c>
      <c r="I177" s="67">
        <v>0</v>
      </c>
      <c r="J177" s="67">
        <v>0</v>
      </c>
      <c r="K177" s="67">
        <v>1</v>
      </c>
      <c r="L177" s="67">
        <v>0</v>
      </c>
      <c r="M177" s="67">
        <v>0</v>
      </c>
      <c r="N177" s="67">
        <v>0</v>
      </c>
      <c r="O177" s="67"/>
      <c r="P177" s="142">
        <f t="shared" si="16"/>
        <v>87.5</v>
      </c>
      <c r="Q177" s="142">
        <f t="shared" si="17"/>
        <v>0</v>
      </c>
      <c r="R177" s="168">
        <f t="shared" si="18"/>
        <v>1</v>
      </c>
      <c r="S177" s="188" t="str">
        <f>D177</f>
        <v xml:space="preserve">HL-10 Low </v>
      </c>
      <c r="U177" s="68"/>
      <c r="V177" s="68"/>
    </row>
    <row r="178" spans="1:22" s="65" customFormat="1">
      <c r="A178" s="137">
        <v>42895</v>
      </c>
      <c r="B178" s="63"/>
      <c r="C178" s="63"/>
      <c r="D178" s="65" t="s">
        <v>139</v>
      </c>
      <c r="E178" s="65">
        <v>6</v>
      </c>
      <c r="F178" s="92">
        <v>180</v>
      </c>
      <c r="G178" s="67">
        <v>0.5</v>
      </c>
      <c r="H178" s="67">
        <v>790</v>
      </c>
      <c r="I178" s="67">
        <v>25</v>
      </c>
      <c r="J178" s="67">
        <v>0</v>
      </c>
      <c r="K178" s="67">
        <v>30</v>
      </c>
      <c r="L178" s="67">
        <v>0</v>
      </c>
      <c r="M178" s="67">
        <v>23</v>
      </c>
      <c r="N178" s="67">
        <v>0</v>
      </c>
      <c r="O178" s="67"/>
      <c r="P178" s="142">
        <f t="shared" si="16"/>
        <v>41080</v>
      </c>
      <c r="Q178" s="142">
        <f t="shared" si="17"/>
        <v>0</v>
      </c>
      <c r="R178" s="168">
        <f t="shared" si="18"/>
        <v>1</v>
      </c>
      <c r="S178" s="186">
        <f>(SUM(P177:P180)/(SUM(P177:Q180)))</f>
        <v>0.85446251937349593</v>
      </c>
      <c r="U178" s="68"/>
      <c r="V178" s="68"/>
    </row>
    <row r="179" spans="1:22" s="65" customFormat="1">
      <c r="A179" s="137">
        <v>42895</v>
      </c>
      <c r="B179" s="63"/>
      <c r="C179" s="63"/>
      <c r="D179" s="65" t="s">
        <v>139</v>
      </c>
      <c r="E179" s="65">
        <v>6</v>
      </c>
      <c r="F179" s="92">
        <v>100</v>
      </c>
      <c r="G179" s="67">
        <v>0.5</v>
      </c>
      <c r="H179" s="67">
        <v>650</v>
      </c>
      <c r="I179" s="67">
        <v>10</v>
      </c>
      <c r="J179" s="67">
        <v>0</v>
      </c>
      <c r="K179" s="67">
        <v>12</v>
      </c>
      <c r="L179" s="67">
        <v>0</v>
      </c>
      <c r="M179" s="67">
        <v>13</v>
      </c>
      <c r="N179" s="67">
        <v>0</v>
      </c>
      <c r="O179" s="67"/>
      <c r="P179" s="142">
        <f t="shared" si="16"/>
        <v>15166.666666666666</v>
      </c>
      <c r="Q179" s="142">
        <f t="shared" si="17"/>
        <v>0</v>
      </c>
      <c r="R179" s="168">
        <f t="shared" si="18"/>
        <v>1</v>
      </c>
      <c r="S179" s="187"/>
      <c r="U179" s="68"/>
      <c r="V179" s="68"/>
    </row>
    <row r="180" spans="1:22" s="65" customFormat="1">
      <c r="A180" s="137">
        <v>42895</v>
      </c>
      <c r="B180" s="63"/>
      <c r="C180" s="63"/>
      <c r="D180" s="65" t="s">
        <v>139</v>
      </c>
      <c r="E180" s="65">
        <v>6</v>
      </c>
      <c r="F180" s="66" t="s">
        <v>210</v>
      </c>
      <c r="G180" s="67">
        <v>1</v>
      </c>
      <c r="H180" s="67">
        <v>525</v>
      </c>
      <c r="I180" s="67">
        <v>1</v>
      </c>
      <c r="J180" s="67">
        <v>13</v>
      </c>
      <c r="K180" s="67">
        <v>0</v>
      </c>
      <c r="L180" s="67">
        <v>18</v>
      </c>
      <c r="M180" s="67">
        <v>0</v>
      </c>
      <c r="N180" s="67">
        <v>24</v>
      </c>
      <c r="O180" s="67"/>
      <c r="P180" s="142">
        <f t="shared" si="16"/>
        <v>175</v>
      </c>
      <c r="Q180" s="142">
        <f t="shared" si="17"/>
        <v>9625</v>
      </c>
      <c r="R180" s="168">
        <f t="shared" si="18"/>
        <v>1.7857142857142856E-2</v>
      </c>
      <c r="S180" s="187"/>
      <c r="U180" s="68"/>
      <c r="V180" s="68"/>
    </row>
    <row r="181" spans="1:22" s="65" customFormat="1">
      <c r="A181" s="137">
        <v>42895</v>
      </c>
      <c r="B181" s="63"/>
      <c r="C181" s="63"/>
      <c r="D181" s="65" t="s">
        <v>17</v>
      </c>
      <c r="E181" s="65">
        <v>7</v>
      </c>
      <c r="F181" s="92">
        <v>224</v>
      </c>
      <c r="G181" s="67">
        <v>1</v>
      </c>
      <c r="H181" s="67">
        <v>300</v>
      </c>
      <c r="I181" s="67">
        <v>10</v>
      </c>
      <c r="J181" s="67">
        <v>0</v>
      </c>
      <c r="K181" s="67">
        <v>9</v>
      </c>
      <c r="L181" s="67">
        <v>0</v>
      </c>
      <c r="M181" s="67">
        <v>7</v>
      </c>
      <c r="N181" s="67">
        <v>0</v>
      </c>
      <c r="O181" s="67"/>
      <c r="P181" s="142">
        <f t="shared" si="16"/>
        <v>2600</v>
      </c>
      <c r="Q181" s="142">
        <f t="shared" si="17"/>
        <v>0</v>
      </c>
      <c r="R181" s="168">
        <f t="shared" si="18"/>
        <v>1</v>
      </c>
      <c r="S181" s="188" t="str">
        <f>D181</f>
        <v>K-10 Ambient</v>
      </c>
      <c r="U181" s="68"/>
      <c r="V181" s="68"/>
    </row>
    <row r="182" spans="1:22" s="65" customFormat="1">
      <c r="A182" s="137">
        <v>42895</v>
      </c>
      <c r="B182" s="63"/>
      <c r="C182" s="63"/>
      <c r="D182" s="65" t="s">
        <v>17</v>
      </c>
      <c r="E182" s="65">
        <v>7</v>
      </c>
      <c r="F182" s="92">
        <v>180</v>
      </c>
      <c r="G182" s="67">
        <v>0.5</v>
      </c>
      <c r="H182" s="67">
        <v>625</v>
      </c>
      <c r="I182" s="67">
        <v>27</v>
      </c>
      <c r="J182" s="67">
        <v>0</v>
      </c>
      <c r="K182" s="67">
        <v>22</v>
      </c>
      <c r="L182" s="67">
        <v>0</v>
      </c>
      <c r="M182" s="67">
        <v>21</v>
      </c>
      <c r="N182" s="67">
        <v>0</v>
      </c>
      <c r="O182" s="67"/>
      <c r="P182" s="142">
        <f t="shared" si="16"/>
        <v>29166.666666666664</v>
      </c>
      <c r="Q182" s="142">
        <f t="shared" si="17"/>
        <v>0</v>
      </c>
      <c r="R182" s="168">
        <f t="shared" si="18"/>
        <v>1</v>
      </c>
      <c r="S182" s="186">
        <f>(SUM(P181:P184)/(SUM(P181:Q184)))</f>
        <v>0.53214003164556967</v>
      </c>
      <c r="U182" s="68"/>
      <c r="V182" s="68"/>
    </row>
    <row r="183" spans="1:22" s="65" customFormat="1">
      <c r="A183" s="137">
        <v>42895</v>
      </c>
      <c r="B183" s="63"/>
      <c r="C183" s="63"/>
      <c r="D183" s="65" t="s">
        <v>17</v>
      </c>
      <c r="E183" s="65">
        <v>7</v>
      </c>
      <c r="F183" s="92">
        <v>100</v>
      </c>
      <c r="G183" s="67">
        <v>0.5</v>
      </c>
      <c r="H183" s="67">
        <v>650</v>
      </c>
      <c r="I183" s="67">
        <v>40</v>
      </c>
      <c r="J183" s="67">
        <v>2</v>
      </c>
      <c r="K183" s="67">
        <v>47</v>
      </c>
      <c r="L183" s="67">
        <v>1</v>
      </c>
      <c r="M183" s="67">
        <v>38</v>
      </c>
      <c r="N183" s="67">
        <v>3</v>
      </c>
      <c r="O183" s="67"/>
      <c r="P183" s="142">
        <f t="shared" si="16"/>
        <v>54166.666666666664</v>
      </c>
      <c r="Q183" s="142">
        <f t="shared" si="17"/>
        <v>2600</v>
      </c>
      <c r="R183" s="168">
        <f t="shared" si="18"/>
        <v>0.95419847328244278</v>
      </c>
      <c r="S183" s="187"/>
      <c r="U183" s="68"/>
      <c r="V183" s="68"/>
    </row>
    <row r="184" spans="1:22" s="65" customFormat="1">
      <c r="A184" s="137">
        <v>42895</v>
      </c>
      <c r="B184" s="63"/>
      <c r="C184" s="63"/>
      <c r="D184" s="65" t="s">
        <v>17</v>
      </c>
      <c r="E184" s="65">
        <v>7</v>
      </c>
      <c r="F184" s="92" t="s">
        <v>210</v>
      </c>
      <c r="G184" s="67">
        <v>0.5</v>
      </c>
      <c r="H184" s="67">
        <v>625</v>
      </c>
      <c r="I184" s="67">
        <v>2</v>
      </c>
      <c r="J184" s="67">
        <v>48</v>
      </c>
      <c r="K184" s="67">
        <v>6</v>
      </c>
      <c r="L184" s="67">
        <v>89</v>
      </c>
      <c r="M184" s="67">
        <v>1</v>
      </c>
      <c r="N184" s="67">
        <v>46</v>
      </c>
      <c r="O184" s="67"/>
      <c r="P184" s="142">
        <f t="shared" si="16"/>
        <v>3750</v>
      </c>
      <c r="Q184" s="142">
        <f t="shared" si="17"/>
        <v>76250</v>
      </c>
      <c r="R184" s="168">
        <f t="shared" si="18"/>
        <v>4.6875E-2</v>
      </c>
      <c r="S184" s="187"/>
      <c r="U184" s="68"/>
      <c r="V184" s="68"/>
    </row>
    <row r="185" spans="1:22" s="65" customFormat="1">
      <c r="A185" s="137">
        <v>42895</v>
      </c>
      <c r="B185" s="63"/>
      <c r="C185" s="63"/>
      <c r="D185" s="64" t="s">
        <v>38</v>
      </c>
      <c r="E185" s="65">
        <v>7</v>
      </c>
      <c r="F185" s="92">
        <v>224</v>
      </c>
      <c r="G185" s="65">
        <v>1</v>
      </c>
      <c r="H185" s="67">
        <v>350</v>
      </c>
      <c r="I185" s="67">
        <v>4</v>
      </c>
      <c r="J185" s="67">
        <v>0</v>
      </c>
      <c r="K185" s="67">
        <v>3</v>
      </c>
      <c r="L185" s="67">
        <v>0</v>
      </c>
      <c r="M185" s="67">
        <v>2</v>
      </c>
      <c r="N185" s="67">
        <v>0</v>
      </c>
      <c r="O185" s="67"/>
      <c r="P185" s="142">
        <f t="shared" si="16"/>
        <v>1050</v>
      </c>
      <c r="Q185" s="142">
        <f t="shared" si="17"/>
        <v>0</v>
      </c>
      <c r="R185" s="168">
        <f t="shared" si="18"/>
        <v>1</v>
      </c>
      <c r="S185" s="188" t="str">
        <f>D185</f>
        <v>K-6 Ambient</v>
      </c>
      <c r="U185" s="68"/>
      <c r="V185" s="68"/>
    </row>
    <row r="186" spans="1:22" s="65" customFormat="1">
      <c r="A186" s="137">
        <v>42895</v>
      </c>
      <c r="B186" s="63"/>
      <c r="C186" s="63"/>
      <c r="D186" s="64" t="s">
        <v>38</v>
      </c>
      <c r="E186" s="65">
        <v>7</v>
      </c>
      <c r="F186" s="92">
        <v>180</v>
      </c>
      <c r="G186" s="65">
        <v>5</v>
      </c>
      <c r="H186" s="67">
        <v>625</v>
      </c>
      <c r="I186" s="67">
        <v>17</v>
      </c>
      <c r="J186" s="67">
        <v>0</v>
      </c>
      <c r="K186" s="67">
        <v>15</v>
      </c>
      <c r="L186" s="67">
        <v>0</v>
      </c>
      <c r="M186" s="67">
        <v>20</v>
      </c>
      <c r="N186" s="67">
        <v>0</v>
      </c>
      <c r="O186" s="67"/>
      <c r="P186" s="142">
        <f t="shared" si="16"/>
        <v>2166.6666666666665</v>
      </c>
      <c r="Q186" s="142">
        <f t="shared" si="17"/>
        <v>0</v>
      </c>
      <c r="R186" s="168">
        <f t="shared" si="18"/>
        <v>1</v>
      </c>
      <c r="S186" s="186">
        <f>(SUM(P185:P188)/(SUM(P185:Q188)))</f>
        <v>0.64942345380793953</v>
      </c>
    </row>
    <row r="187" spans="1:22" s="65" customFormat="1">
      <c r="A187" s="137">
        <v>42895</v>
      </c>
      <c r="B187" s="63"/>
      <c r="C187" s="63"/>
      <c r="D187" s="64" t="s">
        <v>38</v>
      </c>
      <c r="E187" s="65">
        <v>7</v>
      </c>
      <c r="F187" s="92">
        <v>100</v>
      </c>
      <c r="G187" s="67">
        <v>0.5</v>
      </c>
      <c r="H187" s="67">
        <v>540</v>
      </c>
      <c r="I187" s="67">
        <v>43</v>
      </c>
      <c r="J187" s="67">
        <v>0</v>
      </c>
      <c r="K187" s="67">
        <v>40</v>
      </c>
      <c r="L187" s="67">
        <v>2</v>
      </c>
      <c r="M187" s="67">
        <v>40</v>
      </c>
      <c r="N187" s="67">
        <v>2</v>
      </c>
      <c r="O187" s="67"/>
      <c r="P187" s="142">
        <f t="shared" si="16"/>
        <v>44280</v>
      </c>
      <c r="Q187" s="142">
        <f t="shared" si="17"/>
        <v>1440</v>
      </c>
      <c r="R187" s="168">
        <f t="shared" si="18"/>
        <v>0.96850393700787396</v>
      </c>
      <c r="S187" s="187"/>
    </row>
    <row r="188" spans="1:22" s="65" customFormat="1">
      <c r="A188" s="137">
        <v>42895</v>
      </c>
      <c r="B188" s="63"/>
      <c r="C188" s="63"/>
      <c r="D188" s="64" t="s">
        <v>38</v>
      </c>
      <c r="E188" s="65">
        <v>7</v>
      </c>
      <c r="F188" s="92" t="s">
        <v>210</v>
      </c>
      <c r="G188" s="67">
        <v>0.5</v>
      </c>
      <c r="H188" s="67">
        <v>550</v>
      </c>
      <c r="I188" s="67">
        <v>0</v>
      </c>
      <c r="J188" s="67">
        <v>24</v>
      </c>
      <c r="K188" s="67">
        <v>0</v>
      </c>
      <c r="L188" s="67">
        <v>21</v>
      </c>
      <c r="M188" s="67">
        <v>0</v>
      </c>
      <c r="N188" s="67">
        <v>21</v>
      </c>
      <c r="O188" s="67"/>
      <c r="P188" s="142">
        <f t="shared" si="16"/>
        <v>0</v>
      </c>
      <c r="Q188" s="142">
        <f t="shared" si="17"/>
        <v>24200</v>
      </c>
      <c r="R188" s="168">
        <f t="shared" si="18"/>
        <v>0</v>
      </c>
      <c r="S188" s="187"/>
    </row>
    <row r="189" spans="1:22" s="65" customFormat="1">
      <c r="A189" s="137">
        <v>42895</v>
      </c>
      <c r="B189" s="63"/>
      <c r="C189" s="63"/>
      <c r="D189" s="65" t="s">
        <v>46</v>
      </c>
      <c r="E189" s="65">
        <v>8</v>
      </c>
      <c r="F189" s="92">
        <v>224</v>
      </c>
      <c r="G189" s="67">
        <v>1</v>
      </c>
      <c r="H189" s="67">
        <v>275</v>
      </c>
      <c r="I189" s="67">
        <v>2</v>
      </c>
      <c r="J189" s="67">
        <v>0</v>
      </c>
      <c r="K189" s="67">
        <v>0</v>
      </c>
      <c r="L189" s="67">
        <v>0</v>
      </c>
      <c r="M189" s="67">
        <v>0</v>
      </c>
      <c r="N189" s="67">
        <v>0</v>
      </c>
      <c r="O189" s="67"/>
      <c r="P189" s="142">
        <f t="shared" si="16"/>
        <v>183.33333333333331</v>
      </c>
      <c r="Q189" s="142">
        <f t="shared" si="17"/>
        <v>0</v>
      </c>
      <c r="R189" s="168">
        <f t="shared" si="18"/>
        <v>1</v>
      </c>
      <c r="S189" s="188" t="str">
        <f>D189</f>
        <v>K-6 Low</v>
      </c>
    </row>
    <row r="190" spans="1:22" s="65" customFormat="1">
      <c r="A190" s="137">
        <v>42895</v>
      </c>
      <c r="B190" s="63"/>
      <c r="C190" s="63"/>
      <c r="D190" s="65" t="s">
        <v>46</v>
      </c>
      <c r="E190" s="65">
        <v>8</v>
      </c>
      <c r="F190" s="92">
        <v>180</v>
      </c>
      <c r="G190" s="67">
        <v>1</v>
      </c>
      <c r="H190" s="67">
        <v>450</v>
      </c>
      <c r="I190" s="67">
        <v>6</v>
      </c>
      <c r="J190" s="67">
        <v>0</v>
      </c>
      <c r="K190" s="67">
        <v>0</v>
      </c>
      <c r="L190" s="67">
        <v>0</v>
      </c>
      <c r="M190" s="67">
        <v>4</v>
      </c>
      <c r="N190" s="67">
        <v>0</v>
      </c>
      <c r="O190" s="67"/>
      <c r="P190" s="142">
        <f t="shared" si="16"/>
        <v>1500</v>
      </c>
      <c r="Q190" s="142">
        <f t="shared" si="17"/>
        <v>0</v>
      </c>
      <c r="R190" s="168">
        <f t="shared" si="18"/>
        <v>1</v>
      </c>
      <c r="S190" s="186">
        <f>(SUM(P189:P192)/(SUM(P189:Q192)))</f>
        <v>0.9923641703377386</v>
      </c>
    </row>
    <row r="191" spans="1:22" s="65" customFormat="1">
      <c r="A191" s="137">
        <v>42895</v>
      </c>
      <c r="B191" s="63"/>
      <c r="C191" s="63"/>
      <c r="D191" s="65" t="s">
        <v>46</v>
      </c>
      <c r="E191" s="65">
        <v>8</v>
      </c>
      <c r="F191" s="92">
        <v>100</v>
      </c>
      <c r="G191" s="67">
        <v>0.5</v>
      </c>
      <c r="H191" s="67">
        <v>525</v>
      </c>
      <c r="I191" s="67">
        <v>53</v>
      </c>
      <c r="J191" s="67">
        <v>0</v>
      </c>
      <c r="K191" s="67">
        <v>49</v>
      </c>
      <c r="L191" s="67">
        <v>0</v>
      </c>
      <c r="M191" s="67">
        <v>51</v>
      </c>
      <c r="N191" s="67">
        <v>0</v>
      </c>
      <c r="O191" s="67"/>
      <c r="P191" s="142">
        <f t="shared" si="16"/>
        <v>53550</v>
      </c>
      <c r="Q191" s="142">
        <f t="shared" si="17"/>
        <v>0</v>
      </c>
      <c r="R191" s="168">
        <f t="shared" si="18"/>
        <v>1</v>
      </c>
      <c r="S191" s="187"/>
    </row>
    <row r="192" spans="1:22" s="72" customFormat="1" ht="16" thickBot="1">
      <c r="A192" s="69">
        <v>42895</v>
      </c>
      <c r="B192" s="70"/>
      <c r="C192" s="70"/>
      <c r="D192" s="72" t="s">
        <v>46</v>
      </c>
      <c r="E192" s="72">
        <v>8</v>
      </c>
      <c r="F192" s="73" t="s">
        <v>210</v>
      </c>
      <c r="G192" s="74">
        <v>1</v>
      </c>
      <c r="H192" s="74">
        <v>650</v>
      </c>
      <c r="I192" s="74">
        <v>5</v>
      </c>
      <c r="J192" s="74">
        <v>0</v>
      </c>
      <c r="K192" s="74">
        <v>0</v>
      </c>
      <c r="L192" s="74">
        <v>1</v>
      </c>
      <c r="M192" s="74">
        <v>0</v>
      </c>
      <c r="N192" s="74">
        <v>1</v>
      </c>
      <c r="O192" s="74"/>
      <c r="P192" s="126">
        <f t="shared" si="16"/>
        <v>1083.3333333333335</v>
      </c>
      <c r="Q192" s="126">
        <f t="shared" si="17"/>
        <v>433.33333333333331</v>
      </c>
      <c r="R192" s="177">
        <f t="shared" si="18"/>
        <v>0.7142857142857143</v>
      </c>
      <c r="S192" s="201"/>
    </row>
    <row r="193" spans="1:22" s="150" customFormat="1">
      <c r="A193" s="195">
        <v>42898</v>
      </c>
      <c r="B193" s="196"/>
      <c r="C193" s="196"/>
      <c r="D193" s="151" t="s">
        <v>78</v>
      </c>
      <c r="E193" s="150">
        <v>1</v>
      </c>
      <c r="F193" s="197">
        <v>224</v>
      </c>
      <c r="G193" s="197">
        <v>1</v>
      </c>
      <c r="H193" s="150">
        <v>260</v>
      </c>
      <c r="I193" s="150">
        <v>2</v>
      </c>
      <c r="J193" s="150">
        <v>0</v>
      </c>
      <c r="K193" s="150">
        <v>0</v>
      </c>
      <c r="L193" s="150">
        <v>0</v>
      </c>
      <c r="M193" s="150">
        <v>1</v>
      </c>
      <c r="N193" s="150">
        <v>0</v>
      </c>
      <c r="O193" s="150">
        <f t="shared" ref="O193" si="19">(AVERAGE(I193,K193,M193)/((AVERAGE(I193,K193,M193)+AVERAGE(J193,L193,N193))))</f>
        <v>1</v>
      </c>
      <c r="P193" s="198">
        <f>(AVERAGE(I193,K193,M193)/G193)*H193</f>
        <v>260</v>
      </c>
      <c r="Q193" s="198">
        <f t="shared" si="17"/>
        <v>0</v>
      </c>
      <c r="R193" s="199">
        <f t="shared" si="18"/>
        <v>1</v>
      </c>
      <c r="S193" s="191" t="str">
        <f>D193</f>
        <v>SN-6 Low</v>
      </c>
      <c r="T193" s="200"/>
      <c r="U193" s="200"/>
      <c r="V193" s="200"/>
    </row>
    <row r="194" spans="1:22" s="83" customFormat="1">
      <c r="A194" s="80">
        <v>42898</v>
      </c>
      <c r="B194" s="81"/>
      <c r="C194" s="81"/>
      <c r="D194" s="82" t="s">
        <v>78</v>
      </c>
      <c r="E194" s="83">
        <v>1</v>
      </c>
      <c r="F194" s="90">
        <v>180</v>
      </c>
      <c r="G194" s="90">
        <v>0.5</v>
      </c>
      <c r="H194" s="83">
        <v>790</v>
      </c>
      <c r="I194" s="83">
        <v>18</v>
      </c>
      <c r="J194" s="83">
        <v>0</v>
      </c>
      <c r="K194" s="83">
        <v>16</v>
      </c>
      <c r="L194" s="83">
        <v>0</v>
      </c>
      <c r="M194" s="83">
        <v>9</v>
      </c>
      <c r="N194" s="83">
        <v>0</v>
      </c>
      <c r="P194" s="127">
        <f t="shared" ref="P194:P252" si="20">(AVERAGE(I194,K194,M194)/G194)*H194</f>
        <v>22646.666666666668</v>
      </c>
      <c r="Q194" s="127">
        <f t="shared" si="17"/>
        <v>0</v>
      </c>
      <c r="R194" s="166">
        <f t="shared" si="18"/>
        <v>1</v>
      </c>
      <c r="S194" s="192">
        <f>(SUM(P193:P196)/(SUM(P193:Q196)))</f>
        <v>0.9168858789947949</v>
      </c>
      <c r="T194" s="84"/>
      <c r="U194" s="84"/>
      <c r="V194" s="84"/>
    </row>
    <row r="195" spans="1:22" s="83" customFormat="1">
      <c r="A195" s="80">
        <v>42898</v>
      </c>
      <c r="B195" s="81"/>
      <c r="C195" s="81"/>
      <c r="D195" s="82" t="s">
        <v>78</v>
      </c>
      <c r="E195" s="83">
        <v>1</v>
      </c>
      <c r="F195" s="90">
        <v>100</v>
      </c>
      <c r="G195" s="90">
        <v>0.5</v>
      </c>
      <c r="H195" s="83">
        <v>840</v>
      </c>
      <c r="I195" s="83">
        <v>19</v>
      </c>
      <c r="J195" s="83">
        <v>0</v>
      </c>
      <c r="K195" s="83">
        <v>20</v>
      </c>
      <c r="L195" s="83">
        <v>0</v>
      </c>
      <c r="M195" s="83">
        <v>16</v>
      </c>
      <c r="N195" s="83">
        <v>0</v>
      </c>
      <c r="P195" s="127">
        <f t="shared" si="20"/>
        <v>30799.999999999996</v>
      </c>
      <c r="Q195" s="127">
        <f t="shared" si="17"/>
        <v>0</v>
      </c>
      <c r="R195" s="166">
        <f t="shared" si="18"/>
        <v>1</v>
      </c>
      <c r="S195" s="190"/>
      <c r="T195" s="84"/>
      <c r="U195" s="84"/>
      <c r="V195" s="84"/>
    </row>
    <row r="196" spans="1:22" s="83" customFormat="1">
      <c r="A196" s="80">
        <v>42898</v>
      </c>
      <c r="B196" s="81"/>
      <c r="C196" s="81"/>
      <c r="D196" s="82" t="s">
        <v>78</v>
      </c>
      <c r="E196" s="83">
        <v>1</v>
      </c>
      <c r="F196" s="90" t="s">
        <v>210</v>
      </c>
      <c r="G196" s="90">
        <v>1</v>
      </c>
      <c r="H196" s="83">
        <v>450</v>
      </c>
      <c r="I196" s="83">
        <v>0</v>
      </c>
      <c r="J196" s="83">
        <v>11</v>
      </c>
      <c r="K196" s="83">
        <v>0</v>
      </c>
      <c r="L196" s="83">
        <v>9</v>
      </c>
      <c r="M196" s="83">
        <v>6</v>
      </c>
      <c r="N196" s="83">
        <v>13</v>
      </c>
      <c r="P196" s="127">
        <f t="shared" si="20"/>
        <v>900</v>
      </c>
      <c r="Q196" s="127">
        <f t="shared" si="17"/>
        <v>4950</v>
      </c>
      <c r="R196" s="166">
        <f t="shared" si="18"/>
        <v>0.15384615384615385</v>
      </c>
      <c r="S196" s="193"/>
      <c r="T196" s="84"/>
      <c r="U196" s="84"/>
      <c r="V196" s="84"/>
    </row>
    <row r="197" spans="1:22" s="83" customFormat="1">
      <c r="A197" s="80">
        <v>42898</v>
      </c>
      <c r="B197" s="81"/>
      <c r="C197" s="81"/>
      <c r="D197" s="83" t="s">
        <v>106</v>
      </c>
      <c r="E197" s="83">
        <v>1</v>
      </c>
      <c r="F197" s="90">
        <v>224</v>
      </c>
      <c r="G197" s="90">
        <v>2</v>
      </c>
      <c r="H197" s="83">
        <v>300</v>
      </c>
      <c r="I197" s="83">
        <v>0</v>
      </c>
      <c r="J197" s="83">
        <v>0</v>
      </c>
      <c r="K197" s="83">
        <v>2</v>
      </c>
      <c r="L197" s="83">
        <v>0</v>
      </c>
      <c r="M197" s="83">
        <v>1</v>
      </c>
      <c r="N197" s="83">
        <v>0</v>
      </c>
      <c r="P197" s="127">
        <f t="shared" si="20"/>
        <v>150</v>
      </c>
      <c r="Q197" s="127">
        <f t="shared" si="17"/>
        <v>0</v>
      </c>
      <c r="R197" s="166">
        <f t="shared" si="18"/>
        <v>1</v>
      </c>
      <c r="S197" s="194" t="str">
        <f>D197</f>
        <v>NF-6 Low</v>
      </c>
      <c r="T197" s="84"/>
      <c r="U197" s="84"/>
      <c r="V197" s="84"/>
    </row>
    <row r="198" spans="1:22" s="83" customFormat="1">
      <c r="A198" s="80">
        <v>42898</v>
      </c>
      <c r="B198" s="81"/>
      <c r="C198" s="81"/>
      <c r="D198" s="83" t="s">
        <v>106</v>
      </c>
      <c r="E198" s="83">
        <v>1</v>
      </c>
      <c r="F198" s="90">
        <v>180</v>
      </c>
      <c r="G198" s="90">
        <v>1.5</v>
      </c>
      <c r="H198" s="83">
        <v>625</v>
      </c>
      <c r="I198" s="83">
        <v>4</v>
      </c>
      <c r="J198" s="83">
        <v>1</v>
      </c>
      <c r="K198" s="83">
        <v>7</v>
      </c>
      <c r="L198" s="83">
        <v>1</v>
      </c>
      <c r="M198" s="83">
        <v>3</v>
      </c>
      <c r="N198" s="83">
        <v>1</v>
      </c>
      <c r="P198" s="127">
        <f t="shared" si="20"/>
        <v>1944.4444444444446</v>
      </c>
      <c r="Q198" s="127">
        <f t="shared" si="17"/>
        <v>416.66666666666663</v>
      </c>
      <c r="R198" s="166">
        <f t="shared" si="18"/>
        <v>0.82352941176470584</v>
      </c>
      <c r="S198" s="192">
        <f>(SUM(P197:P200)/(SUM(P197:Q200)))</f>
        <v>0.67031914893617017</v>
      </c>
      <c r="T198" s="84"/>
      <c r="U198" s="84"/>
      <c r="V198" s="84"/>
    </row>
    <row r="199" spans="1:22" s="83" customFormat="1">
      <c r="A199" s="80">
        <v>42898</v>
      </c>
      <c r="B199" s="81"/>
      <c r="C199" s="81"/>
      <c r="D199" s="83" t="s">
        <v>106</v>
      </c>
      <c r="E199" s="83">
        <v>1</v>
      </c>
      <c r="F199" s="90">
        <v>100</v>
      </c>
      <c r="G199" s="90">
        <v>0.5</v>
      </c>
      <c r="H199" s="83">
        <v>800</v>
      </c>
      <c r="I199" s="83">
        <v>49</v>
      </c>
      <c r="J199" s="83">
        <v>0</v>
      </c>
      <c r="K199" s="83">
        <v>42</v>
      </c>
      <c r="L199" s="83">
        <v>2</v>
      </c>
      <c r="M199" s="83">
        <v>36</v>
      </c>
      <c r="N199" s="83">
        <v>3</v>
      </c>
      <c r="P199" s="127">
        <f t="shared" si="20"/>
        <v>67733.333333333343</v>
      </c>
      <c r="Q199" s="127">
        <f t="shared" si="17"/>
        <v>2666.666666666667</v>
      </c>
      <c r="R199" s="166">
        <f t="shared" si="18"/>
        <v>0.96212121212121204</v>
      </c>
      <c r="S199" s="193"/>
      <c r="T199" s="84"/>
      <c r="U199" s="84"/>
      <c r="V199" s="84"/>
    </row>
    <row r="200" spans="1:22" s="83" customFormat="1">
      <c r="A200" s="80">
        <v>42898</v>
      </c>
      <c r="B200" s="81"/>
      <c r="C200" s="81"/>
      <c r="D200" s="83" t="s">
        <v>106</v>
      </c>
      <c r="E200" s="83">
        <v>1</v>
      </c>
      <c r="F200" s="90" t="s">
        <v>210</v>
      </c>
      <c r="G200" s="90">
        <v>1</v>
      </c>
      <c r="H200" s="83">
        <v>550</v>
      </c>
      <c r="I200" s="83">
        <v>0</v>
      </c>
      <c r="J200" s="83">
        <v>49</v>
      </c>
      <c r="K200" s="83">
        <v>1</v>
      </c>
      <c r="L200" s="83">
        <v>61</v>
      </c>
      <c r="M200" s="83">
        <v>0</v>
      </c>
      <c r="N200" s="83">
        <v>61</v>
      </c>
      <c r="P200" s="127">
        <f t="shared" si="20"/>
        <v>183.33333333333331</v>
      </c>
      <c r="Q200" s="127">
        <f t="shared" si="17"/>
        <v>31350</v>
      </c>
      <c r="R200" s="166">
        <f t="shared" si="18"/>
        <v>5.8139534883720929E-3</v>
      </c>
      <c r="S200" s="193"/>
      <c r="T200" s="84"/>
      <c r="U200" s="84"/>
      <c r="V200" s="84"/>
    </row>
    <row r="201" spans="1:22" s="83" customFormat="1">
      <c r="A201" s="80">
        <v>42898</v>
      </c>
      <c r="B201" s="81"/>
      <c r="C201" s="81"/>
      <c r="D201" s="83" t="s">
        <v>87</v>
      </c>
      <c r="E201" s="83">
        <v>2</v>
      </c>
      <c r="F201" s="90">
        <v>224</v>
      </c>
      <c r="G201" s="90">
        <v>1</v>
      </c>
      <c r="H201" s="83">
        <v>425</v>
      </c>
      <c r="I201" s="83">
        <v>1</v>
      </c>
      <c r="J201" s="83">
        <v>0</v>
      </c>
      <c r="K201" s="83">
        <v>3</v>
      </c>
      <c r="L201" s="83">
        <v>0</v>
      </c>
      <c r="M201" s="83">
        <v>3</v>
      </c>
      <c r="N201" s="83">
        <v>0</v>
      </c>
      <c r="P201" s="127">
        <f t="shared" si="20"/>
        <v>991.66666666666674</v>
      </c>
      <c r="Q201" s="127">
        <f t="shared" si="17"/>
        <v>0</v>
      </c>
      <c r="R201" s="166">
        <f t="shared" si="18"/>
        <v>1</v>
      </c>
      <c r="S201" s="194" t="str">
        <f>D201</f>
        <v>SN-10 Ambient</v>
      </c>
      <c r="T201" s="84"/>
      <c r="U201" s="84"/>
      <c r="V201" s="84"/>
    </row>
    <row r="202" spans="1:22" s="83" customFormat="1">
      <c r="A202" s="80">
        <v>42898</v>
      </c>
      <c r="B202" s="81"/>
      <c r="C202" s="81"/>
      <c r="D202" s="83" t="s">
        <v>87</v>
      </c>
      <c r="E202" s="83">
        <v>2</v>
      </c>
      <c r="F202" s="90">
        <v>180</v>
      </c>
      <c r="G202" s="90">
        <v>0.5</v>
      </c>
      <c r="H202" s="83">
        <v>900</v>
      </c>
      <c r="I202" s="83">
        <v>62</v>
      </c>
      <c r="J202" s="83">
        <v>1</v>
      </c>
      <c r="K202" s="83">
        <v>54</v>
      </c>
      <c r="L202" s="83">
        <v>0</v>
      </c>
      <c r="M202" s="83">
        <v>51</v>
      </c>
      <c r="N202" s="83">
        <v>1</v>
      </c>
      <c r="P202" s="127">
        <f t="shared" si="20"/>
        <v>100200</v>
      </c>
      <c r="Q202" s="127">
        <f t="shared" si="17"/>
        <v>1200</v>
      </c>
      <c r="R202" s="166">
        <f t="shared" si="18"/>
        <v>0.98816568047337283</v>
      </c>
      <c r="S202" s="192">
        <f>(SUM(P201:P204)/(SUM(P201:Q204)))</f>
        <v>0.8342754208335923</v>
      </c>
      <c r="T202" s="84"/>
      <c r="U202" s="84"/>
      <c r="V202" s="84"/>
    </row>
    <row r="203" spans="1:22" s="83" customFormat="1">
      <c r="A203" s="80">
        <v>42898</v>
      </c>
      <c r="B203" s="81"/>
      <c r="C203" s="81"/>
      <c r="D203" s="83" t="s">
        <v>87</v>
      </c>
      <c r="E203" s="83">
        <v>2</v>
      </c>
      <c r="F203" s="90">
        <v>100</v>
      </c>
      <c r="G203" s="90">
        <v>1</v>
      </c>
      <c r="H203" s="83">
        <v>725</v>
      </c>
      <c r="I203" s="83">
        <v>13</v>
      </c>
      <c r="J203" s="83">
        <v>10</v>
      </c>
      <c r="K203" s="83">
        <v>11</v>
      </c>
      <c r="L203" s="83">
        <v>10</v>
      </c>
      <c r="M203" s="83">
        <v>8</v>
      </c>
      <c r="N203" s="83">
        <v>6</v>
      </c>
      <c r="P203" s="127">
        <f t="shared" si="20"/>
        <v>7733.333333333333</v>
      </c>
      <c r="Q203" s="127">
        <f t="shared" si="17"/>
        <v>6283.333333333333</v>
      </c>
      <c r="R203" s="166">
        <f t="shared" si="18"/>
        <v>0.55172413793103448</v>
      </c>
      <c r="S203" s="193"/>
      <c r="T203" s="84"/>
      <c r="U203" s="84"/>
      <c r="V203" s="84"/>
    </row>
    <row r="204" spans="1:22" s="83" customFormat="1">
      <c r="A204" s="80">
        <v>42898</v>
      </c>
      <c r="B204" s="81"/>
      <c r="C204" s="81"/>
      <c r="D204" s="83" t="s">
        <v>87</v>
      </c>
      <c r="E204" s="83">
        <v>2</v>
      </c>
      <c r="F204" s="90" t="s">
        <v>210</v>
      </c>
      <c r="G204" s="90">
        <v>1</v>
      </c>
      <c r="H204" s="83">
        <v>750</v>
      </c>
      <c r="I204" s="83">
        <v>4</v>
      </c>
      <c r="J204" s="83">
        <v>22</v>
      </c>
      <c r="K204" s="83">
        <v>3</v>
      </c>
      <c r="L204" s="83">
        <v>28</v>
      </c>
      <c r="M204" s="83">
        <v>5</v>
      </c>
      <c r="N204" s="83">
        <v>9</v>
      </c>
      <c r="P204" s="127">
        <f t="shared" si="20"/>
        <v>3000</v>
      </c>
      <c r="Q204" s="127">
        <f t="shared" si="17"/>
        <v>14750</v>
      </c>
      <c r="R204" s="166">
        <f t="shared" si="18"/>
        <v>0.16901408450704225</v>
      </c>
      <c r="S204" s="193"/>
      <c r="T204" s="84"/>
      <c r="U204" s="84"/>
      <c r="V204" s="84"/>
    </row>
    <row r="205" spans="1:22" s="83" customFormat="1">
      <c r="A205" s="80">
        <v>42898</v>
      </c>
      <c r="B205" s="81"/>
      <c r="C205" s="81"/>
      <c r="D205" s="83" t="s">
        <v>86</v>
      </c>
      <c r="E205" s="83">
        <v>2</v>
      </c>
      <c r="F205" s="90">
        <v>224</v>
      </c>
      <c r="G205" s="90">
        <v>1</v>
      </c>
      <c r="H205" s="83">
        <v>670</v>
      </c>
      <c r="I205" s="83">
        <v>4</v>
      </c>
      <c r="J205" s="83">
        <v>0</v>
      </c>
      <c r="K205" s="83">
        <v>1</v>
      </c>
      <c r="L205" s="83">
        <v>0</v>
      </c>
      <c r="M205" s="83">
        <v>4</v>
      </c>
      <c r="N205" s="83">
        <v>0</v>
      </c>
      <c r="P205" s="127">
        <f t="shared" si="20"/>
        <v>2010</v>
      </c>
      <c r="Q205" s="127">
        <f t="shared" si="17"/>
        <v>0</v>
      </c>
      <c r="R205" s="166">
        <f t="shared" si="18"/>
        <v>1</v>
      </c>
      <c r="S205" s="194" t="str">
        <f>D205</f>
        <v>NF-6 Ambient</v>
      </c>
      <c r="T205" s="84"/>
      <c r="U205" s="84"/>
      <c r="V205" s="84"/>
    </row>
    <row r="206" spans="1:22" s="83" customFormat="1">
      <c r="A206" s="80">
        <v>42898</v>
      </c>
      <c r="B206" s="81"/>
      <c r="C206" s="81"/>
      <c r="D206" s="83" t="s">
        <v>86</v>
      </c>
      <c r="E206" s="83">
        <v>2</v>
      </c>
      <c r="F206" s="90">
        <v>180</v>
      </c>
      <c r="G206" s="90">
        <v>0.5</v>
      </c>
      <c r="H206" s="83">
        <v>900</v>
      </c>
      <c r="I206" s="83">
        <v>18</v>
      </c>
      <c r="J206" s="83">
        <v>0</v>
      </c>
      <c r="K206" s="83">
        <v>16</v>
      </c>
      <c r="L206" s="83">
        <v>0</v>
      </c>
      <c r="M206" s="83">
        <v>25</v>
      </c>
      <c r="N206" s="83">
        <v>2</v>
      </c>
      <c r="P206" s="127">
        <f t="shared" si="20"/>
        <v>35400</v>
      </c>
      <c r="Q206" s="127">
        <f t="shared" si="17"/>
        <v>1200</v>
      </c>
      <c r="R206" s="166">
        <f t="shared" si="18"/>
        <v>0.96721311475409832</v>
      </c>
      <c r="S206" s="192">
        <f>(SUM(P205:P208)/(SUM(P205:Q208)))</f>
        <v>0.88979670612454964</v>
      </c>
      <c r="T206" s="84"/>
      <c r="U206" s="84"/>
      <c r="V206" s="84"/>
    </row>
    <row r="207" spans="1:22" s="83" customFormat="1">
      <c r="A207" s="80">
        <v>42898</v>
      </c>
      <c r="B207" s="81"/>
      <c r="C207" s="81"/>
      <c r="D207" s="83" t="s">
        <v>86</v>
      </c>
      <c r="E207" s="83">
        <v>2</v>
      </c>
      <c r="F207" s="90">
        <v>100</v>
      </c>
      <c r="G207" s="90">
        <v>1</v>
      </c>
      <c r="H207" s="83">
        <v>580</v>
      </c>
      <c r="I207" s="83">
        <v>14</v>
      </c>
      <c r="J207" s="83">
        <v>2</v>
      </c>
      <c r="K207" s="83">
        <v>14</v>
      </c>
      <c r="L207" s="83">
        <v>1</v>
      </c>
      <c r="M207" s="83">
        <v>15</v>
      </c>
      <c r="N207" s="83">
        <v>1</v>
      </c>
      <c r="P207" s="127">
        <f t="shared" si="20"/>
        <v>8313.3333333333339</v>
      </c>
      <c r="Q207" s="127">
        <f t="shared" si="17"/>
        <v>773.33333333333326</v>
      </c>
      <c r="R207" s="166">
        <f t="shared" si="18"/>
        <v>0.91489361702127658</v>
      </c>
      <c r="S207" s="193"/>
      <c r="T207" s="84"/>
      <c r="U207" s="84"/>
      <c r="V207" s="84"/>
    </row>
    <row r="208" spans="1:22" s="83" customFormat="1">
      <c r="A208" s="80">
        <v>42898</v>
      </c>
      <c r="B208" s="81"/>
      <c r="C208" s="81"/>
      <c r="D208" s="83" t="s">
        <v>86</v>
      </c>
      <c r="E208" s="83">
        <v>2</v>
      </c>
      <c r="F208" s="90" t="s">
        <v>210</v>
      </c>
      <c r="G208" s="90">
        <v>1</v>
      </c>
      <c r="H208" s="83">
        <v>190</v>
      </c>
      <c r="I208" s="83">
        <v>4</v>
      </c>
      <c r="J208" s="83">
        <v>30</v>
      </c>
      <c r="K208" s="83">
        <v>2</v>
      </c>
      <c r="L208" s="83">
        <v>15</v>
      </c>
      <c r="M208" s="83">
        <v>0</v>
      </c>
      <c r="N208" s="83">
        <v>14</v>
      </c>
      <c r="P208" s="127">
        <f t="shared" si="20"/>
        <v>380</v>
      </c>
      <c r="Q208" s="127">
        <f t="shared" si="17"/>
        <v>3736.666666666667</v>
      </c>
      <c r="R208" s="166">
        <f t="shared" si="18"/>
        <v>9.2307692307692299E-2</v>
      </c>
      <c r="S208" s="193"/>
      <c r="T208" s="84"/>
      <c r="U208" s="84"/>
      <c r="V208" s="84"/>
    </row>
    <row r="209" spans="1:23" s="83" customFormat="1">
      <c r="A209" s="80">
        <v>42898</v>
      </c>
      <c r="B209" s="81"/>
      <c r="C209" s="81"/>
      <c r="D209" s="82" t="s">
        <v>140</v>
      </c>
      <c r="E209" s="83">
        <v>3</v>
      </c>
      <c r="F209" s="90">
        <v>224</v>
      </c>
      <c r="G209" s="90">
        <v>1</v>
      </c>
      <c r="H209" s="83">
        <v>450</v>
      </c>
      <c r="I209" s="83">
        <v>7</v>
      </c>
      <c r="J209" s="83">
        <v>0</v>
      </c>
      <c r="K209" s="83">
        <v>9</v>
      </c>
      <c r="L209" s="83">
        <v>0</v>
      </c>
      <c r="M209" s="83">
        <v>9</v>
      </c>
      <c r="N209" s="83">
        <v>0</v>
      </c>
      <c r="P209" s="127">
        <f t="shared" si="20"/>
        <v>3750.0000000000005</v>
      </c>
      <c r="Q209" s="127">
        <f t="shared" si="17"/>
        <v>0</v>
      </c>
      <c r="R209" s="166">
        <f t="shared" si="18"/>
        <v>1</v>
      </c>
      <c r="S209" s="194" t="str">
        <f>D209</f>
        <v xml:space="preserve">SN-10 Low </v>
      </c>
      <c r="T209" s="84"/>
      <c r="U209" s="84"/>
      <c r="V209" s="84"/>
    </row>
    <row r="210" spans="1:23" s="83" customFormat="1">
      <c r="A210" s="80">
        <v>42898</v>
      </c>
      <c r="B210" s="81"/>
      <c r="C210" s="81"/>
      <c r="D210" s="82" t="s">
        <v>140</v>
      </c>
      <c r="E210" s="83">
        <v>3</v>
      </c>
      <c r="F210" s="90">
        <v>180</v>
      </c>
      <c r="G210" s="90">
        <v>0.5</v>
      </c>
      <c r="H210" s="83">
        <v>720</v>
      </c>
      <c r="I210" s="83">
        <v>15</v>
      </c>
      <c r="J210" s="83">
        <v>1</v>
      </c>
      <c r="K210" s="83">
        <v>26</v>
      </c>
      <c r="L210" s="83">
        <v>1</v>
      </c>
      <c r="M210" s="83">
        <v>28</v>
      </c>
      <c r="N210" s="83">
        <v>0</v>
      </c>
      <c r="P210" s="127">
        <f t="shared" si="20"/>
        <v>33120</v>
      </c>
      <c r="Q210" s="127">
        <f t="shared" si="17"/>
        <v>960</v>
      </c>
      <c r="R210" s="166">
        <f t="shared" si="18"/>
        <v>0.971830985915493</v>
      </c>
      <c r="S210" s="192">
        <f>(SUM(P209:P212)/(SUM(P209:Q212)))</f>
        <v>0.90220416760701116</v>
      </c>
      <c r="T210" s="84"/>
      <c r="U210" s="84"/>
      <c r="V210" s="84"/>
    </row>
    <row r="211" spans="1:23" s="83" customFormat="1">
      <c r="A211" s="80">
        <v>42898</v>
      </c>
      <c r="B211" s="81"/>
      <c r="C211" s="81"/>
      <c r="D211" s="82" t="s">
        <v>140</v>
      </c>
      <c r="E211" s="83">
        <v>3</v>
      </c>
      <c r="F211" s="90">
        <v>100</v>
      </c>
      <c r="G211" s="90">
        <v>1</v>
      </c>
      <c r="H211" s="83">
        <v>520</v>
      </c>
      <c r="I211" s="83">
        <v>5</v>
      </c>
      <c r="J211" s="83">
        <v>0</v>
      </c>
      <c r="K211" s="83">
        <v>4</v>
      </c>
      <c r="L211" s="83">
        <v>3</v>
      </c>
      <c r="M211" s="83">
        <v>7</v>
      </c>
      <c r="N211" s="83">
        <v>3</v>
      </c>
      <c r="P211" s="127">
        <f t="shared" si="20"/>
        <v>2773.333333333333</v>
      </c>
      <c r="Q211" s="127">
        <f t="shared" si="17"/>
        <v>1040</v>
      </c>
      <c r="R211" s="166">
        <f t="shared" si="18"/>
        <v>0.72727272727272729</v>
      </c>
      <c r="S211" s="193"/>
      <c r="T211" s="84"/>
      <c r="U211" s="84"/>
      <c r="V211" s="84"/>
    </row>
    <row r="212" spans="1:23" s="83" customFormat="1">
      <c r="A212" s="80">
        <v>42898</v>
      </c>
      <c r="B212" s="81"/>
      <c r="C212" s="81"/>
      <c r="D212" s="82" t="s">
        <v>140</v>
      </c>
      <c r="E212" s="83">
        <v>3</v>
      </c>
      <c r="F212" s="90" t="s">
        <v>210</v>
      </c>
      <c r="G212" s="90">
        <v>1</v>
      </c>
      <c r="H212" s="83">
        <v>500</v>
      </c>
      <c r="I212" s="83">
        <v>1</v>
      </c>
      <c r="J212" s="83">
        <v>6</v>
      </c>
      <c r="K212" s="83">
        <v>0</v>
      </c>
      <c r="L212" s="83">
        <v>4</v>
      </c>
      <c r="M212" s="83">
        <v>1</v>
      </c>
      <c r="N212" s="83">
        <v>4</v>
      </c>
      <c r="P212" s="127">
        <f t="shared" si="20"/>
        <v>333.33333333333331</v>
      </c>
      <c r="Q212" s="127">
        <f t="shared" si="17"/>
        <v>2333.3333333333335</v>
      </c>
      <c r="R212" s="166">
        <f t="shared" si="18"/>
        <v>0.12499999999999997</v>
      </c>
      <c r="S212" s="193"/>
      <c r="T212" s="84"/>
      <c r="U212" s="84"/>
      <c r="V212" s="84"/>
    </row>
    <row r="213" spans="1:23" s="83" customFormat="1">
      <c r="A213" s="80">
        <v>42898</v>
      </c>
      <c r="B213" s="81"/>
      <c r="C213" s="81"/>
      <c r="D213" s="83" t="s">
        <v>77</v>
      </c>
      <c r="E213" s="83">
        <v>3</v>
      </c>
      <c r="F213" s="90">
        <v>224</v>
      </c>
      <c r="G213" s="90">
        <v>2</v>
      </c>
      <c r="H213" s="83">
        <v>300</v>
      </c>
      <c r="I213" s="83">
        <v>0</v>
      </c>
      <c r="J213" s="83">
        <v>0</v>
      </c>
      <c r="K213" s="83">
        <v>3</v>
      </c>
      <c r="L213" s="83">
        <v>0</v>
      </c>
      <c r="M213" s="83">
        <v>3</v>
      </c>
      <c r="N213" s="83">
        <v>0</v>
      </c>
      <c r="P213" s="127">
        <f t="shared" si="20"/>
        <v>300</v>
      </c>
      <c r="Q213" s="127">
        <f t="shared" si="17"/>
        <v>0</v>
      </c>
      <c r="R213" s="166">
        <f t="shared" si="18"/>
        <v>1</v>
      </c>
      <c r="S213" s="194" t="str">
        <f>D213</f>
        <v xml:space="preserve">NF-10 Low </v>
      </c>
      <c r="T213" s="84"/>
      <c r="U213" s="84"/>
      <c r="V213" s="84"/>
    </row>
    <row r="214" spans="1:23" s="83" customFormat="1">
      <c r="A214" s="80">
        <v>42898</v>
      </c>
      <c r="B214" s="81"/>
      <c r="C214" s="81"/>
      <c r="D214" s="83" t="s">
        <v>77</v>
      </c>
      <c r="E214" s="83">
        <v>3</v>
      </c>
      <c r="F214" s="90">
        <v>180</v>
      </c>
      <c r="G214" s="90">
        <v>0.5</v>
      </c>
      <c r="H214" s="83">
        <v>820</v>
      </c>
      <c r="I214" s="83">
        <v>23</v>
      </c>
      <c r="J214" s="83">
        <v>0</v>
      </c>
      <c r="K214" s="83">
        <v>34</v>
      </c>
      <c r="L214" s="83">
        <v>0</v>
      </c>
      <c r="M214" s="83">
        <v>24</v>
      </c>
      <c r="N214" s="83">
        <v>0</v>
      </c>
      <c r="P214" s="127">
        <f t="shared" si="20"/>
        <v>44280</v>
      </c>
      <c r="Q214" s="127">
        <f t="shared" si="17"/>
        <v>0</v>
      </c>
      <c r="R214" s="166">
        <f t="shared" si="18"/>
        <v>1</v>
      </c>
      <c r="S214" s="192">
        <f>(SUM(P213:P216)/(SUM(P213:Q216)))</f>
        <v>0.96783803913602817</v>
      </c>
      <c r="T214" s="84"/>
    </row>
    <row r="215" spans="1:23" s="83" customFormat="1">
      <c r="A215" s="80">
        <v>42898</v>
      </c>
      <c r="B215" s="81"/>
      <c r="C215" s="81"/>
      <c r="D215" s="83" t="s">
        <v>77</v>
      </c>
      <c r="E215" s="83">
        <v>3</v>
      </c>
      <c r="F215" s="90">
        <v>100</v>
      </c>
      <c r="G215" s="90">
        <v>1</v>
      </c>
      <c r="H215" s="83">
        <v>500</v>
      </c>
      <c r="I215" s="83">
        <v>6</v>
      </c>
      <c r="J215" s="83">
        <v>1</v>
      </c>
      <c r="K215" s="83">
        <v>6</v>
      </c>
      <c r="L215" s="83">
        <v>4</v>
      </c>
      <c r="M215" s="83">
        <v>5</v>
      </c>
      <c r="N215" s="83">
        <v>1</v>
      </c>
      <c r="P215" s="127">
        <f t="shared" si="20"/>
        <v>2833.3333333333335</v>
      </c>
      <c r="Q215" s="127">
        <f t="shared" si="17"/>
        <v>1000</v>
      </c>
      <c r="R215" s="166">
        <f t="shared" si="18"/>
        <v>0.73913043478260876</v>
      </c>
      <c r="S215" s="193"/>
      <c r="T215" s="84"/>
    </row>
    <row r="216" spans="1:23" s="83" customFormat="1">
      <c r="A216" s="80">
        <v>42898</v>
      </c>
      <c r="B216" s="81"/>
      <c r="C216" s="81"/>
      <c r="D216" s="83" t="s">
        <v>77</v>
      </c>
      <c r="E216" s="83">
        <v>3</v>
      </c>
      <c r="F216" s="90" t="s">
        <v>210</v>
      </c>
      <c r="G216" s="90">
        <v>1</v>
      </c>
      <c r="H216" s="83">
        <v>350</v>
      </c>
      <c r="I216" s="83">
        <v>0</v>
      </c>
      <c r="J216" s="83">
        <v>2</v>
      </c>
      <c r="K216" s="83">
        <v>1</v>
      </c>
      <c r="L216" s="83">
        <v>3</v>
      </c>
      <c r="M216" s="83">
        <v>1</v>
      </c>
      <c r="N216" s="83">
        <v>0</v>
      </c>
      <c r="P216" s="127">
        <f t="shared" si="20"/>
        <v>233.33333333333331</v>
      </c>
      <c r="Q216" s="127">
        <f t="shared" si="17"/>
        <v>583.33333333333337</v>
      </c>
      <c r="R216" s="166">
        <f t="shared" si="18"/>
        <v>0.28571428571428564</v>
      </c>
      <c r="S216" s="193"/>
      <c r="T216" s="84"/>
    </row>
    <row r="217" spans="1:23" s="83" customFormat="1">
      <c r="A217" s="80">
        <v>42898</v>
      </c>
      <c r="B217" s="81"/>
      <c r="C217" s="81"/>
      <c r="D217" s="82" t="s">
        <v>21</v>
      </c>
      <c r="E217" s="83">
        <v>4</v>
      </c>
      <c r="F217" s="90">
        <v>224</v>
      </c>
      <c r="G217" s="90">
        <v>1</v>
      </c>
      <c r="H217" s="83">
        <v>300</v>
      </c>
      <c r="I217" s="83">
        <v>0</v>
      </c>
      <c r="J217" s="83">
        <v>0</v>
      </c>
      <c r="K217" s="83">
        <v>0</v>
      </c>
      <c r="L217" s="83">
        <v>0</v>
      </c>
      <c r="M217" s="83">
        <v>0</v>
      </c>
      <c r="N217" s="83">
        <v>0</v>
      </c>
      <c r="P217" s="127">
        <f t="shared" si="20"/>
        <v>0</v>
      </c>
      <c r="Q217" s="127">
        <f t="shared" si="17"/>
        <v>0</v>
      </c>
      <c r="R217" s="166" t="e">
        <f t="shared" si="18"/>
        <v>#DIV/0!</v>
      </c>
      <c r="S217" s="191" t="str">
        <f>D217</f>
        <v>HL-6 Low</v>
      </c>
      <c r="T217" s="84"/>
      <c r="W217" s="83" t="s">
        <v>194</v>
      </c>
    </row>
    <row r="218" spans="1:23" s="83" customFormat="1">
      <c r="A218" s="80">
        <v>42898</v>
      </c>
      <c r="B218" s="81"/>
      <c r="C218" s="81"/>
      <c r="D218" s="82" t="s">
        <v>21</v>
      </c>
      <c r="E218" s="83">
        <v>4</v>
      </c>
      <c r="F218" s="90">
        <v>180</v>
      </c>
      <c r="G218" s="90">
        <v>1</v>
      </c>
      <c r="H218" s="83">
        <v>300</v>
      </c>
      <c r="I218" s="83">
        <v>0</v>
      </c>
      <c r="J218" s="83">
        <v>0</v>
      </c>
      <c r="K218" s="83">
        <v>0</v>
      </c>
      <c r="L218" s="83">
        <v>0</v>
      </c>
      <c r="M218" s="83">
        <v>0</v>
      </c>
      <c r="N218" s="83">
        <v>0</v>
      </c>
      <c r="P218" s="127">
        <f t="shared" si="20"/>
        <v>0</v>
      </c>
      <c r="Q218" s="127">
        <f t="shared" si="17"/>
        <v>0</v>
      </c>
      <c r="R218" s="166" t="e">
        <f t="shared" si="18"/>
        <v>#DIV/0!</v>
      </c>
      <c r="S218" s="192">
        <f>(SUM(P217:P220)/(SUM(P217:Q220)))</f>
        <v>0.97478646142602654</v>
      </c>
      <c r="T218" s="84"/>
    </row>
    <row r="219" spans="1:23" s="83" customFormat="1">
      <c r="A219" s="80">
        <v>42898</v>
      </c>
      <c r="B219" s="81"/>
      <c r="C219" s="81"/>
      <c r="D219" s="82" t="s">
        <v>21</v>
      </c>
      <c r="E219" s="83">
        <v>4</v>
      </c>
      <c r="F219" s="90">
        <v>100</v>
      </c>
      <c r="G219" s="90">
        <v>0.5</v>
      </c>
      <c r="H219" s="83">
        <v>550</v>
      </c>
      <c r="I219" s="83">
        <v>65</v>
      </c>
      <c r="J219" s="83">
        <v>0</v>
      </c>
      <c r="K219" s="83">
        <v>70</v>
      </c>
      <c r="L219" s="83">
        <v>0</v>
      </c>
      <c r="M219" s="83">
        <v>58</v>
      </c>
      <c r="N219" s="83">
        <v>3</v>
      </c>
      <c r="P219" s="127">
        <f t="shared" si="20"/>
        <v>70766.666666666657</v>
      </c>
      <c r="Q219" s="127">
        <f t="shared" si="17"/>
        <v>1100</v>
      </c>
      <c r="R219" s="166">
        <f t="shared" si="18"/>
        <v>0.98469387755102045</v>
      </c>
      <c r="S219" s="190"/>
      <c r="T219" s="84"/>
    </row>
    <row r="220" spans="1:23" s="83" customFormat="1">
      <c r="A220" s="80">
        <v>42898</v>
      </c>
      <c r="B220" s="81"/>
      <c r="C220" s="81"/>
      <c r="D220" s="82" t="s">
        <v>21</v>
      </c>
      <c r="E220" s="83">
        <v>4</v>
      </c>
      <c r="F220" s="90" t="s">
        <v>210</v>
      </c>
      <c r="G220" s="90">
        <v>1</v>
      </c>
      <c r="H220" s="83">
        <v>370</v>
      </c>
      <c r="I220" s="83">
        <v>0</v>
      </c>
      <c r="J220" s="83">
        <v>2</v>
      </c>
      <c r="K220" s="83">
        <v>1</v>
      </c>
      <c r="L220" s="83">
        <v>4</v>
      </c>
      <c r="M220" s="83">
        <v>2</v>
      </c>
      <c r="N220" s="83">
        <v>0</v>
      </c>
      <c r="P220" s="127">
        <f t="shared" si="20"/>
        <v>370</v>
      </c>
      <c r="Q220" s="127">
        <f t="shared" si="17"/>
        <v>740</v>
      </c>
      <c r="R220" s="166">
        <f t="shared" si="18"/>
        <v>0.33333333333333331</v>
      </c>
      <c r="S220" s="193"/>
      <c r="T220" s="84"/>
    </row>
    <row r="221" spans="1:23" s="83" customFormat="1">
      <c r="A221" s="80">
        <v>42898</v>
      </c>
      <c r="B221" s="81"/>
      <c r="C221" s="81"/>
      <c r="D221" s="83" t="s">
        <v>85</v>
      </c>
      <c r="E221" s="83">
        <v>4</v>
      </c>
      <c r="F221" s="90">
        <v>224</v>
      </c>
      <c r="G221" s="83">
        <v>1</v>
      </c>
      <c r="H221" s="83">
        <v>300</v>
      </c>
      <c r="I221" s="83">
        <v>3</v>
      </c>
      <c r="J221" s="83">
        <v>0</v>
      </c>
      <c r="K221" s="83">
        <v>3</v>
      </c>
      <c r="L221" s="83">
        <v>0</v>
      </c>
      <c r="M221" s="83">
        <v>0</v>
      </c>
      <c r="N221" s="83">
        <v>0</v>
      </c>
      <c r="P221" s="127">
        <f t="shared" si="20"/>
        <v>600</v>
      </c>
      <c r="Q221" s="127">
        <f t="shared" si="17"/>
        <v>0</v>
      </c>
      <c r="R221" s="166">
        <f t="shared" si="18"/>
        <v>1</v>
      </c>
      <c r="S221" s="194" t="str">
        <f>D221</f>
        <v>NF-10 Ambient</v>
      </c>
    </row>
    <row r="222" spans="1:23" s="83" customFormat="1">
      <c r="A222" s="80">
        <v>42898</v>
      </c>
      <c r="B222" s="81"/>
      <c r="C222" s="81"/>
      <c r="D222" s="83" t="s">
        <v>85</v>
      </c>
      <c r="E222" s="83">
        <v>4</v>
      </c>
      <c r="F222" s="90">
        <v>180</v>
      </c>
      <c r="G222" s="83">
        <v>1</v>
      </c>
      <c r="H222" s="83">
        <v>500</v>
      </c>
      <c r="I222" s="83">
        <v>23</v>
      </c>
      <c r="J222" s="83">
        <v>0</v>
      </c>
      <c r="K222" s="83">
        <v>21</v>
      </c>
      <c r="L222" s="83">
        <v>0</v>
      </c>
      <c r="M222" s="83">
        <v>17</v>
      </c>
      <c r="N222" s="83">
        <v>0</v>
      </c>
      <c r="P222" s="127">
        <f t="shared" si="20"/>
        <v>10166.666666666666</v>
      </c>
      <c r="Q222" s="127">
        <f t="shared" si="17"/>
        <v>0</v>
      </c>
      <c r="R222" s="166">
        <f t="shared" si="18"/>
        <v>1</v>
      </c>
      <c r="S222" s="192">
        <f>(SUM(P221:P224)/(SUM(P221:Q224)))</f>
        <v>0.8967977878868969</v>
      </c>
    </row>
    <row r="223" spans="1:23" s="83" customFormat="1">
      <c r="A223" s="80">
        <v>42898</v>
      </c>
      <c r="B223" s="81"/>
      <c r="C223" s="81"/>
      <c r="D223" s="83" t="s">
        <v>85</v>
      </c>
      <c r="E223" s="83">
        <v>4</v>
      </c>
      <c r="F223" s="90">
        <v>100</v>
      </c>
      <c r="G223" s="83">
        <v>0.5</v>
      </c>
      <c r="H223" s="83">
        <v>650</v>
      </c>
      <c r="I223" s="83">
        <v>57</v>
      </c>
      <c r="J223" s="83">
        <v>0</v>
      </c>
      <c r="K223" s="83">
        <v>66</v>
      </c>
      <c r="L223" s="83">
        <v>0</v>
      </c>
      <c r="M223" s="83">
        <v>44</v>
      </c>
      <c r="N223" s="83">
        <v>1</v>
      </c>
      <c r="P223" s="127">
        <f t="shared" si="20"/>
        <v>72366.666666666657</v>
      </c>
      <c r="Q223" s="127">
        <f t="shared" si="17"/>
        <v>433.33333333333331</v>
      </c>
      <c r="R223" s="166">
        <f t="shared" si="18"/>
        <v>0.99404761904761907</v>
      </c>
      <c r="S223" s="193"/>
    </row>
    <row r="224" spans="1:23" s="83" customFormat="1">
      <c r="A224" s="80">
        <v>42898</v>
      </c>
      <c r="B224" s="81"/>
      <c r="C224" s="81"/>
      <c r="D224" s="83" t="s">
        <v>85</v>
      </c>
      <c r="E224" s="83">
        <v>4</v>
      </c>
      <c r="F224" s="90" t="s">
        <v>210</v>
      </c>
      <c r="G224" s="83">
        <v>1</v>
      </c>
      <c r="H224" s="83">
        <v>325</v>
      </c>
      <c r="I224" s="83">
        <v>3</v>
      </c>
      <c r="J224" s="83">
        <v>27</v>
      </c>
      <c r="K224" s="83">
        <v>1</v>
      </c>
      <c r="L224" s="83">
        <v>31</v>
      </c>
      <c r="M224" s="83">
        <v>2</v>
      </c>
      <c r="N224" s="83">
        <v>27</v>
      </c>
      <c r="P224" s="127">
        <f t="shared" si="20"/>
        <v>650</v>
      </c>
      <c r="Q224" s="127">
        <f t="shared" si="17"/>
        <v>9208.3333333333321</v>
      </c>
      <c r="R224" s="166">
        <f t="shared" si="18"/>
        <v>6.5934065934065936E-2</v>
      </c>
      <c r="S224" s="193"/>
    </row>
    <row r="225" spans="1:23" s="83" customFormat="1">
      <c r="A225" s="80">
        <v>42898</v>
      </c>
      <c r="B225" s="81"/>
      <c r="C225" s="81"/>
      <c r="D225" s="82" t="s">
        <v>88</v>
      </c>
      <c r="E225" s="83">
        <v>5</v>
      </c>
      <c r="F225" s="90">
        <v>224</v>
      </c>
      <c r="G225" s="90">
        <v>1</v>
      </c>
      <c r="H225" s="83">
        <v>340</v>
      </c>
      <c r="I225" s="83">
        <v>0</v>
      </c>
      <c r="J225" s="83">
        <v>0</v>
      </c>
      <c r="K225" s="83">
        <v>0</v>
      </c>
      <c r="L225" s="83">
        <v>0</v>
      </c>
      <c r="M225" s="83">
        <v>0</v>
      </c>
      <c r="N225" s="83">
        <v>0</v>
      </c>
      <c r="P225" s="127">
        <f t="shared" si="20"/>
        <v>0</v>
      </c>
      <c r="Q225" s="127">
        <f t="shared" si="17"/>
        <v>0</v>
      </c>
      <c r="R225" s="166" t="e">
        <f t="shared" si="18"/>
        <v>#DIV/0!</v>
      </c>
      <c r="S225" s="194" t="str">
        <f>D225</f>
        <v>SN-6 Ambient</v>
      </c>
      <c r="T225" s="84"/>
      <c r="U225" s="84"/>
      <c r="V225" s="84"/>
      <c r="W225" s="83" t="s">
        <v>177</v>
      </c>
    </row>
    <row r="226" spans="1:23" s="83" customFormat="1">
      <c r="A226" s="80">
        <v>42898</v>
      </c>
      <c r="B226" s="81"/>
      <c r="C226" s="81"/>
      <c r="D226" s="82" t="s">
        <v>88</v>
      </c>
      <c r="E226" s="83">
        <v>5</v>
      </c>
      <c r="F226" s="90">
        <v>180</v>
      </c>
      <c r="G226" s="90">
        <v>1</v>
      </c>
      <c r="H226" s="83">
        <v>500</v>
      </c>
      <c r="I226" s="83">
        <v>32</v>
      </c>
      <c r="J226" s="83">
        <v>0</v>
      </c>
      <c r="K226" s="83">
        <v>38</v>
      </c>
      <c r="L226" s="83">
        <v>0</v>
      </c>
      <c r="M226" s="83">
        <v>32</v>
      </c>
      <c r="N226" s="83">
        <v>0</v>
      </c>
      <c r="P226" s="127">
        <f t="shared" si="20"/>
        <v>17000</v>
      </c>
      <c r="Q226" s="127">
        <f t="shared" si="17"/>
        <v>0</v>
      </c>
      <c r="R226" s="166">
        <f t="shared" si="18"/>
        <v>1</v>
      </c>
      <c r="S226" s="192">
        <f>(SUM(P225:P228)/(SUM(P225:Q228)))</f>
        <v>0.93749999999999989</v>
      </c>
      <c r="T226" s="84"/>
      <c r="U226" s="84"/>
      <c r="V226" s="84"/>
    </row>
    <row r="227" spans="1:23" s="83" customFormat="1">
      <c r="A227" s="80">
        <v>42898</v>
      </c>
      <c r="B227" s="81"/>
      <c r="C227" s="81"/>
      <c r="D227" s="82" t="s">
        <v>88</v>
      </c>
      <c r="E227" s="83">
        <v>5</v>
      </c>
      <c r="F227" s="90">
        <v>100</v>
      </c>
      <c r="G227" s="90">
        <v>1</v>
      </c>
      <c r="H227" s="83">
        <v>500</v>
      </c>
      <c r="I227" s="83">
        <v>43</v>
      </c>
      <c r="J227" s="83">
        <v>2</v>
      </c>
      <c r="K227" s="83">
        <v>36</v>
      </c>
      <c r="L227" s="83">
        <v>0</v>
      </c>
      <c r="M227" s="83">
        <v>44</v>
      </c>
      <c r="N227" s="83">
        <v>0</v>
      </c>
      <c r="P227" s="127">
        <f t="shared" si="20"/>
        <v>20500</v>
      </c>
      <c r="Q227" s="127">
        <f t="shared" si="17"/>
        <v>333.33333333333331</v>
      </c>
      <c r="R227" s="166">
        <f t="shared" si="18"/>
        <v>0.9840000000000001</v>
      </c>
      <c r="S227" s="193"/>
      <c r="T227" s="84"/>
      <c r="U227" s="84"/>
      <c r="V227" s="84"/>
    </row>
    <row r="228" spans="1:23" s="83" customFormat="1">
      <c r="A228" s="80">
        <v>42898</v>
      </c>
      <c r="B228" s="81"/>
      <c r="C228" s="81"/>
      <c r="D228" s="82" t="s">
        <v>88</v>
      </c>
      <c r="E228" s="83">
        <v>5</v>
      </c>
      <c r="F228" s="90" t="s">
        <v>210</v>
      </c>
      <c r="G228" s="90">
        <v>1</v>
      </c>
      <c r="H228" s="83">
        <v>390</v>
      </c>
      <c r="I228" s="83">
        <v>2</v>
      </c>
      <c r="J228" s="83">
        <v>3</v>
      </c>
      <c r="K228" s="83">
        <v>2</v>
      </c>
      <c r="L228" s="83">
        <v>7</v>
      </c>
      <c r="M228" s="83">
        <v>1</v>
      </c>
      <c r="N228" s="83">
        <v>7</v>
      </c>
      <c r="P228" s="127">
        <f t="shared" si="20"/>
        <v>650</v>
      </c>
      <c r="Q228" s="127">
        <f t="shared" ref="Q228:Q291" si="21">(AVERAGE(J228,L228,N228)/G228)*H228</f>
        <v>2210</v>
      </c>
      <c r="R228" s="166">
        <f t="shared" ref="R228:R291" si="22">P228/(P228+Q228)</f>
        <v>0.22727272727272727</v>
      </c>
      <c r="S228" s="193"/>
      <c r="T228" s="84"/>
      <c r="U228" s="84"/>
      <c r="V228" s="84"/>
    </row>
    <row r="229" spans="1:23" s="83" customFormat="1">
      <c r="A229" s="80">
        <v>42898</v>
      </c>
      <c r="B229" s="81"/>
      <c r="C229" s="81"/>
      <c r="D229" s="83" t="s">
        <v>37</v>
      </c>
      <c r="E229" s="83">
        <v>5</v>
      </c>
      <c r="F229" s="90">
        <v>224</v>
      </c>
      <c r="G229" s="90">
        <v>2</v>
      </c>
      <c r="H229" s="83">
        <v>330</v>
      </c>
      <c r="I229" s="83">
        <v>0</v>
      </c>
      <c r="J229" s="83">
        <v>0</v>
      </c>
      <c r="K229" s="83">
        <v>0</v>
      </c>
      <c r="L229" s="83">
        <v>0</v>
      </c>
      <c r="M229" s="83">
        <v>0</v>
      </c>
      <c r="N229" s="83">
        <v>0</v>
      </c>
      <c r="P229" s="127">
        <f t="shared" si="20"/>
        <v>0</v>
      </c>
      <c r="Q229" s="127">
        <f t="shared" si="21"/>
        <v>0</v>
      </c>
      <c r="R229" s="166" t="e">
        <f t="shared" si="22"/>
        <v>#DIV/0!</v>
      </c>
      <c r="S229" s="194" t="str">
        <f>D229</f>
        <v xml:space="preserve">K-10 Low </v>
      </c>
      <c r="T229" s="84"/>
      <c r="U229" s="84"/>
      <c r="V229" s="84"/>
    </row>
    <row r="230" spans="1:23" s="83" customFormat="1">
      <c r="A230" s="80">
        <v>42898</v>
      </c>
      <c r="B230" s="81"/>
      <c r="C230" s="81"/>
      <c r="D230" s="83" t="s">
        <v>37</v>
      </c>
      <c r="E230" s="83">
        <v>5</v>
      </c>
      <c r="F230" s="90">
        <v>180</v>
      </c>
      <c r="G230" s="90">
        <v>1</v>
      </c>
      <c r="H230" s="83">
        <v>360</v>
      </c>
      <c r="I230" s="83">
        <v>8</v>
      </c>
      <c r="J230" s="83">
        <v>0</v>
      </c>
      <c r="K230" s="83">
        <v>10</v>
      </c>
      <c r="L230" s="83">
        <v>0</v>
      </c>
      <c r="M230" s="83">
        <v>8</v>
      </c>
      <c r="N230" s="83">
        <v>0</v>
      </c>
      <c r="P230" s="127">
        <f t="shared" si="20"/>
        <v>3120</v>
      </c>
      <c r="Q230" s="127">
        <f t="shared" si="21"/>
        <v>0</v>
      </c>
      <c r="R230" s="166">
        <f t="shared" si="22"/>
        <v>1</v>
      </c>
      <c r="S230" s="192">
        <f>(SUM(P229:P232)/(SUM(P229:Q232)))</f>
        <v>0.42235952436465379</v>
      </c>
      <c r="T230" s="84"/>
      <c r="U230" s="84"/>
      <c r="V230" s="84"/>
    </row>
    <row r="231" spans="1:23" s="83" customFormat="1">
      <c r="A231" s="80">
        <v>42898</v>
      </c>
      <c r="B231" s="81"/>
      <c r="C231" s="81"/>
      <c r="D231" s="145" t="s">
        <v>37</v>
      </c>
      <c r="E231" s="83">
        <v>5</v>
      </c>
      <c r="F231" s="90">
        <v>100</v>
      </c>
      <c r="G231" s="90">
        <v>1</v>
      </c>
      <c r="H231" s="83">
        <v>350</v>
      </c>
      <c r="I231" s="83">
        <v>56</v>
      </c>
      <c r="J231" s="83">
        <v>0</v>
      </c>
      <c r="K231" s="83">
        <v>50</v>
      </c>
      <c r="L231" s="83">
        <v>0</v>
      </c>
      <c r="M231" s="83">
        <v>72</v>
      </c>
      <c r="N231" s="83">
        <v>2</v>
      </c>
      <c r="P231" s="127">
        <f t="shared" si="20"/>
        <v>20766.666666666668</v>
      </c>
      <c r="Q231" s="127">
        <f t="shared" si="21"/>
        <v>233.33333333333331</v>
      </c>
      <c r="R231" s="166">
        <f t="shared" si="22"/>
        <v>0.98888888888888893</v>
      </c>
      <c r="S231" s="193"/>
      <c r="T231" s="84"/>
      <c r="U231" s="84"/>
      <c r="V231" s="84"/>
    </row>
    <row r="232" spans="1:23" s="83" customFormat="1">
      <c r="A232" s="80">
        <v>42898</v>
      </c>
      <c r="B232" s="81"/>
      <c r="C232" s="81"/>
      <c r="D232" s="145" t="s">
        <v>37</v>
      </c>
      <c r="E232" s="83">
        <v>5</v>
      </c>
      <c r="F232" s="90" t="s">
        <v>210</v>
      </c>
      <c r="G232" s="90">
        <v>1</v>
      </c>
      <c r="H232" s="83">
        <v>400</v>
      </c>
      <c r="I232" s="83">
        <v>1</v>
      </c>
      <c r="J232" s="83">
        <v>93</v>
      </c>
      <c r="K232" s="83">
        <v>1</v>
      </c>
      <c r="L232" s="83">
        <v>76</v>
      </c>
      <c r="M232" s="83">
        <v>0</v>
      </c>
      <c r="N232" s="83">
        <v>77</v>
      </c>
      <c r="P232" s="127">
        <f t="shared" si="20"/>
        <v>266.66666666666663</v>
      </c>
      <c r="Q232" s="127">
        <f t="shared" si="21"/>
        <v>32800</v>
      </c>
      <c r="R232" s="166">
        <f t="shared" si="22"/>
        <v>8.0645161290322578E-3</v>
      </c>
      <c r="S232" s="193"/>
      <c r="T232" s="84"/>
      <c r="U232" s="84"/>
      <c r="V232" s="84"/>
    </row>
    <row r="233" spans="1:23" s="83" customFormat="1">
      <c r="A233" s="80">
        <v>42898</v>
      </c>
      <c r="B233" s="81"/>
      <c r="C233" s="81"/>
      <c r="D233" s="83" t="s">
        <v>89</v>
      </c>
      <c r="E233" s="83">
        <v>6</v>
      </c>
      <c r="F233" s="90">
        <v>224</v>
      </c>
      <c r="G233" s="90">
        <v>1</v>
      </c>
      <c r="H233" s="83">
        <v>450</v>
      </c>
      <c r="I233" s="83">
        <v>5</v>
      </c>
      <c r="J233" s="83">
        <v>0</v>
      </c>
      <c r="K233" s="83">
        <v>1</v>
      </c>
      <c r="L233" s="83">
        <v>0</v>
      </c>
      <c r="M233" s="83">
        <v>5</v>
      </c>
      <c r="N233" s="83">
        <v>0</v>
      </c>
      <c r="P233" s="127">
        <f t="shared" si="20"/>
        <v>1650</v>
      </c>
      <c r="Q233" s="127">
        <f t="shared" si="21"/>
        <v>0</v>
      </c>
      <c r="R233" s="166">
        <f t="shared" si="22"/>
        <v>1</v>
      </c>
      <c r="S233" s="194" t="str">
        <f>D233</f>
        <v>HL-10 Ambient</v>
      </c>
      <c r="T233" s="84"/>
      <c r="U233" s="84"/>
      <c r="V233" s="84"/>
      <c r="W233" s="83" t="s">
        <v>179</v>
      </c>
    </row>
    <row r="234" spans="1:23" s="83" customFormat="1">
      <c r="A234" s="80">
        <v>42898</v>
      </c>
      <c r="B234" s="81"/>
      <c r="C234" s="81"/>
      <c r="D234" s="83" t="s">
        <v>89</v>
      </c>
      <c r="E234" s="83">
        <v>6</v>
      </c>
      <c r="F234" s="90">
        <v>180</v>
      </c>
      <c r="G234" s="90">
        <v>0.5</v>
      </c>
      <c r="H234" s="83">
        <v>725</v>
      </c>
      <c r="I234" s="83">
        <v>37</v>
      </c>
      <c r="J234" s="83">
        <v>0</v>
      </c>
      <c r="K234" s="83">
        <v>35</v>
      </c>
      <c r="L234" s="83">
        <v>0</v>
      </c>
      <c r="M234" s="83">
        <v>29</v>
      </c>
      <c r="N234" s="83">
        <v>0</v>
      </c>
      <c r="P234" s="127">
        <f t="shared" si="20"/>
        <v>48816.666666666664</v>
      </c>
      <c r="Q234" s="127">
        <f t="shared" si="21"/>
        <v>0</v>
      </c>
      <c r="R234" s="166">
        <f t="shared" si="22"/>
        <v>1</v>
      </c>
      <c r="S234" s="192">
        <f>(SUM(P233:P236)/(SUM(P233:Q236)))</f>
        <v>0.93576241778638591</v>
      </c>
      <c r="T234" s="84"/>
      <c r="U234" s="84"/>
      <c r="V234" s="84"/>
    </row>
    <row r="235" spans="1:23" s="83" customFormat="1">
      <c r="A235" s="80">
        <v>42898</v>
      </c>
      <c r="B235" s="81"/>
      <c r="C235" s="81"/>
      <c r="D235" s="83" t="s">
        <v>89</v>
      </c>
      <c r="E235" s="83">
        <v>6</v>
      </c>
      <c r="F235" s="90">
        <v>100</v>
      </c>
      <c r="G235" s="90">
        <v>1</v>
      </c>
      <c r="H235" s="83">
        <v>520</v>
      </c>
      <c r="I235" s="83">
        <v>40</v>
      </c>
      <c r="J235" s="83">
        <v>1</v>
      </c>
      <c r="K235" s="83">
        <v>52</v>
      </c>
      <c r="L235" s="83">
        <v>0</v>
      </c>
      <c r="M235" s="83">
        <v>46</v>
      </c>
      <c r="N235" s="83">
        <v>0</v>
      </c>
      <c r="P235" s="127">
        <f t="shared" si="20"/>
        <v>23920</v>
      </c>
      <c r="Q235" s="127">
        <f t="shared" si="21"/>
        <v>173.33333333333331</v>
      </c>
      <c r="R235" s="166">
        <f t="shared" si="22"/>
        <v>0.9928057553956835</v>
      </c>
      <c r="S235" s="193"/>
      <c r="T235" s="84"/>
      <c r="U235" s="84"/>
      <c r="V235" s="84"/>
    </row>
    <row r="236" spans="1:23" s="83" customFormat="1">
      <c r="A236" s="80">
        <v>42898</v>
      </c>
      <c r="B236" s="81"/>
      <c r="C236" s="81"/>
      <c r="D236" s="83" t="s">
        <v>89</v>
      </c>
      <c r="E236" s="83">
        <v>6</v>
      </c>
      <c r="F236" s="90" t="s">
        <v>210</v>
      </c>
      <c r="G236" s="90">
        <v>1</v>
      </c>
      <c r="H236" s="83">
        <v>350</v>
      </c>
      <c r="I236" s="83">
        <v>12</v>
      </c>
      <c r="J236" s="83">
        <v>14</v>
      </c>
      <c r="K236" s="83">
        <v>6</v>
      </c>
      <c r="L236" s="83">
        <v>13</v>
      </c>
      <c r="M236" s="83">
        <v>7</v>
      </c>
      <c r="N236" s="83">
        <v>17</v>
      </c>
      <c r="P236" s="127">
        <f t="shared" si="20"/>
        <v>2916.666666666667</v>
      </c>
      <c r="Q236" s="127">
        <f t="shared" si="21"/>
        <v>5133.333333333333</v>
      </c>
      <c r="R236" s="166">
        <f t="shared" si="22"/>
        <v>0.3623188405797102</v>
      </c>
      <c r="S236" s="193"/>
      <c r="T236" s="84"/>
      <c r="U236" s="84"/>
      <c r="V236" s="84"/>
    </row>
    <row r="237" spans="1:23" s="83" customFormat="1">
      <c r="A237" s="80">
        <v>42898</v>
      </c>
      <c r="B237" s="81"/>
      <c r="C237" s="81"/>
      <c r="D237" s="83" t="s">
        <v>139</v>
      </c>
      <c r="E237" s="83">
        <v>6</v>
      </c>
      <c r="F237" s="90">
        <v>224</v>
      </c>
      <c r="G237" s="90">
        <v>1</v>
      </c>
      <c r="H237" s="83">
        <v>330</v>
      </c>
      <c r="I237" s="83">
        <v>11</v>
      </c>
      <c r="J237" s="83">
        <v>0</v>
      </c>
      <c r="K237" s="83">
        <v>11</v>
      </c>
      <c r="L237" s="83">
        <v>0</v>
      </c>
      <c r="M237" s="83">
        <v>9</v>
      </c>
      <c r="N237" s="83">
        <v>0</v>
      </c>
      <c r="P237" s="127">
        <f t="shared" si="20"/>
        <v>3410</v>
      </c>
      <c r="Q237" s="127">
        <f t="shared" si="21"/>
        <v>0</v>
      </c>
      <c r="R237" s="166">
        <f t="shared" si="22"/>
        <v>1</v>
      </c>
      <c r="S237" s="194" t="str">
        <f>D237</f>
        <v xml:space="preserve">HL-10 Low </v>
      </c>
      <c r="T237" s="84"/>
      <c r="U237" s="84"/>
      <c r="V237" s="84"/>
    </row>
    <row r="238" spans="1:23" s="83" customFormat="1">
      <c r="A238" s="80">
        <v>42898</v>
      </c>
      <c r="B238" s="81"/>
      <c r="C238" s="81"/>
      <c r="D238" s="83" t="s">
        <v>139</v>
      </c>
      <c r="E238" s="83">
        <v>6</v>
      </c>
      <c r="F238" s="90">
        <v>180</v>
      </c>
      <c r="G238" s="90">
        <v>0.5</v>
      </c>
      <c r="H238" s="83">
        <v>625</v>
      </c>
      <c r="I238" s="83">
        <v>45</v>
      </c>
      <c r="J238" s="83">
        <v>0</v>
      </c>
      <c r="K238" s="83">
        <v>35</v>
      </c>
      <c r="L238" s="83">
        <v>0</v>
      </c>
      <c r="M238" s="83">
        <v>32</v>
      </c>
      <c r="N238" s="83">
        <v>0</v>
      </c>
      <c r="P238" s="127">
        <f t="shared" si="20"/>
        <v>46666.666666666672</v>
      </c>
      <c r="Q238" s="127">
        <f t="shared" si="21"/>
        <v>0</v>
      </c>
      <c r="R238" s="166">
        <f t="shared" si="22"/>
        <v>1</v>
      </c>
      <c r="S238" s="192">
        <f>(SUM(P237:P240)/(SUM(P237:Q240)))</f>
        <v>0.80832463262221255</v>
      </c>
      <c r="T238" s="84"/>
      <c r="U238" s="84"/>
      <c r="V238" s="84"/>
    </row>
    <row r="239" spans="1:23" s="83" customFormat="1">
      <c r="A239" s="80">
        <v>42898</v>
      </c>
      <c r="B239" s="81"/>
      <c r="C239" s="81"/>
      <c r="D239" s="83" t="s">
        <v>139</v>
      </c>
      <c r="E239" s="83">
        <v>6</v>
      </c>
      <c r="F239" s="90">
        <v>100</v>
      </c>
      <c r="G239" s="90">
        <v>1</v>
      </c>
      <c r="H239" s="83">
        <v>450</v>
      </c>
      <c r="I239" s="83">
        <v>94</v>
      </c>
      <c r="J239" s="83">
        <v>0</v>
      </c>
      <c r="K239" s="83">
        <v>74</v>
      </c>
      <c r="L239" s="83">
        <v>0</v>
      </c>
      <c r="M239" s="83">
        <v>72</v>
      </c>
      <c r="N239" s="83">
        <v>0</v>
      </c>
      <c r="P239" s="127">
        <f t="shared" si="20"/>
        <v>36000</v>
      </c>
      <c r="Q239" s="127">
        <f t="shared" si="21"/>
        <v>0</v>
      </c>
      <c r="R239" s="166">
        <f t="shared" si="22"/>
        <v>1</v>
      </c>
      <c r="S239" s="193"/>
      <c r="T239" s="84"/>
      <c r="U239" s="84"/>
      <c r="V239" s="84"/>
    </row>
    <row r="240" spans="1:23" s="83" customFormat="1">
      <c r="A240" s="80">
        <v>42898</v>
      </c>
      <c r="B240" s="81"/>
      <c r="C240" s="81"/>
      <c r="D240" s="83" t="s">
        <v>139</v>
      </c>
      <c r="E240" s="83">
        <v>6</v>
      </c>
      <c r="F240" s="90" t="s">
        <v>210</v>
      </c>
      <c r="G240" s="90">
        <v>1</v>
      </c>
      <c r="H240" s="83">
        <v>375</v>
      </c>
      <c r="I240" s="83">
        <v>1</v>
      </c>
      <c r="J240" s="83">
        <v>57</v>
      </c>
      <c r="K240" s="83">
        <v>1</v>
      </c>
      <c r="L240" s="83">
        <v>68</v>
      </c>
      <c r="M240" s="83">
        <v>1</v>
      </c>
      <c r="N240" s="83">
        <v>39</v>
      </c>
      <c r="P240" s="127">
        <f t="shared" si="20"/>
        <v>375</v>
      </c>
      <c r="Q240" s="127">
        <f t="shared" si="21"/>
        <v>20500</v>
      </c>
      <c r="R240" s="166">
        <f t="shared" si="22"/>
        <v>1.7964071856287425E-2</v>
      </c>
      <c r="S240" s="193"/>
      <c r="T240" s="84"/>
      <c r="U240" s="84"/>
      <c r="V240" s="84"/>
    </row>
    <row r="241" spans="1:23" s="83" customFormat="1">
      <c r="A241" s="80">
        <v>42898</v>
      </c>
      <c r="B241" s="81"/>
      <c r="C241" s="81"/>
      <c r="D241" s="83" t="s">
        <v>17</v>
      </c>
      <c r="E241" s="83">
        <v>7</v>
      </c>
      <c r="F241" s="90">
        <v>224</v>
      </c>
      <c r="G241" s="90">
        <v>1</v>
      </c>
      <c r="H241" s="83">
        <v>350</v>
      </c>
      <c r="I241" s="83">
        <v>15</v>
      </c>
      <c r="J241" s="83">
        <v>1</v>
      </c>
      <c r="K241" s="83">
        <v>7</v>
      </c>
      <c r="L241" s="83">
        <v>0</v>
      </c>
      <c r="M241" s="83">
        <v>9</v>
      </c>
      <c r="N241" s="83">
        <v>0</v>
      </c>
      <c r="P241" s="127">
        <f t="shared" si="20"/>
        <v>3616.666666666667</v>
      </c>
      <c r="Q241" s="127">
        <f t="shared" si="21"/>
        <v>116.66666666666666</v>
      </c>
      <c r="R241" s="166">
        <f t="shared" si="22"/>
        <v>0.96875</v>
      </c>
      <c r="S241" s="194" t="str">
        <f>D241</f>
        <v>K-10 Ambient</v>
      </c>
      <c r="T241" s="84"/>
      <c r="U241" s="84"/>
      <c r="V241" s="84"/>
    </row>
    <row r="242" spans="1:23" s="83" customFormat="1">
      <c r="A242" s="80">
        <v>42898</v>
      </c>
      <c r="B242" s="81"/>
      <c r="C242" s="81"/>
      <c r="D242" s="83" t="s">
        <v>17</v>
      </c>
      <c r="E242" s="83">
        <v>7</v>
      </c>
      <c r="F242" s="90">
        <v>180</v>
      </c>
      <c r="G242" s="90">
        <v>1</v>
      </c>
      <c r="H242" s="83">
        <v>500</v>
      </c>
      <c r="I242" s="83">
        <v>67</v>
      </c>
      <c r="J242" s="83">
        <v>0</v>
      </c>
      <c r="K242" s="83">
        <v>55</v>
      </c>
      <c r="L242" s="83">
        <v>0</v>
      </c>
      <c r="M242" s="83">
        <v>56</v>
      </c>
      <c r="N242" s="83">
        <v>0</v>
      </c>
      <c r="P242" s="127">
        <f t="shared" si="20"/>
        <v>29666.666666666668</v>
      </c>
      <c r="Q242" s="127">
        <f t="shared" si="21"/>
        <v>0</v>
      </c>
      <c r="R242" s="166">
        <f t="shared" si="22"/>
        <v>1</v>
      </c>
      <c r="S242" s="192">
        <f>(SUM(P241:P244)/(SUM(P241:Q244)))</f>
        <v>0.84646710609177567</v>
      </c>
      <c r="T242" s="84"/>
      <c r="U242" s="84"/>
      <c r="V242" s="84"/>
    </row>
    <row r="243" spans="1:23" s="83" customFormat="1">
      <c r="A243" s="80">
        <v>42898</v>
      </c>
      <c r="B243" s="81"/>
      <c r="C243" s="81"/>
      <c r="D243" s="83" t="s">
        <v>17</v>
      </c>
      <c r="E243" s="83">
        <v>7</v>
      </c>
      <c r="F243" s="90">
        <v>100</v>
      </c>
      <c r="G243" s="90">
        <v>1</v>
      </c>
      <c r="H243" s="83">
        <v>520</v>
      </c>
      <c r="I243" s="83">
        <v>64</v>
      </c>
      <c r="J243" s="83">
        <v>0</v>
      </c>
      <c r="K243" s="83">
        <v>67</v>
      </c>
      <c r="L243" s="83">
        <v>0</v>
      </c>
      <c r="M243" s="83">
        <v>60</v>
      </c>
      <c r="N243" s="83">
        <v>1</v>
      </c>
      <c r="P243" s="127">
        <f t="shared" si="20"/>
        <v>33106.666666666664</v>
      </c>
      <c r="Q243" s="127">
        <f t="shared" si="21"/>
        <v>173.33333333333331</v>
      </c>
      <c r="R243" s="166">
        <f t="shared" si="22"/>
        <v>0.99479166666666663</v>
      </c>
      <c r="S243" s="193"/>
      <c r="T243" s="84"/>
      <c r="U243" s="84"/>
      <c r="V243" s="84"/>
    </row>
    <row r="244" spans="1:23" s="83" customFormat="1">
      <c r="A244" s="80">
        <v>42898</v>
      </c>
      <c r="B244" s="81"/>
      <c r="C244" s="81"/>
      <c r="D244" s="83" t="s">
        <v>17</v>
      </c>
      <c r="E244" s="83">
        <v>7</v>
      </c>
      <c r="F244" s="90" t="s">
        <v>210</v>
      </c>
      <c r="G244" s="90">
        <v>1</v>
      </c>
      <c r="H244" s="83">
        <v>350</v>
      </c>
      <c r="I244" s="83">
        <v>2</v>
      </c>
      <c r="J244" s="83">
        <v>21</v>
      </c>
      <c r="K244" s="83">
        <v>2</v>
      </c>
      <c r="L244" s="83">
        <v>18</v>
      </c>
      <c r="M244" s="83">
        <v>3</v>
      </c>
      <c r="N244" s="83">
        <v>63</v>
      </c>
      <c r="P244" s="127">
        <f t="shared" si="20"/>
        <v>816.66666666666674</v>
      </c>
      <c r="Q244" s="127">
        <f t="shared" si="21"/>
        <v>11900</v>
      </c>
      <c r="R244" s="166">
        <f t="shared" si="22"/>
        <v>6.4220183486238536E-2</v>
      </c>
      <c r="S244" s="193"/>
      <c r="T244" s="84"/>
      <c r="U244" s="84"/>
      <c r="V244" s="84"/>
    </row>
    <row r="245" spans="1:23" s="83" customFormat="1">
      <c r="A245" s="80">
        <v>42898</v>
      </c>
      <c r="B245" s="81"/>
      <c r="C245" s="81"/>
      <c r="D245" s="83" t="s">
        <v>38</v>
      </c>
      <c r="E245" s="83">
        <v>7</v>
      </c>
      <c r="F245" s="90">
        <v>224</v>
      </c>
      <c r="G245" s="90">
        <v>1</v>
      </c>
      <c r="H245" s="83">
        <v>400</v>
      </c>
      <c r="I245" s="83">
        <v>7</v>
      </c>
      <c r="J245" s="83">
        <v>0</v>
      </c>
      <c r="K245" s="83">
        <v>5</v>
      </c>
      <c r="L245" s="83">
        <v>0</v>
      </c>
      <c r="M245" s="83">
        <v>4</v>
      </c>
      <c r="N245" s="83">
        <v>0</v>
      </c>
      <c r="P245" s="127">
        <f t="shared" si="20"/>
        <v>2133.333333333333</v>
      </c>
      <c r="Q245" s="127">
        <f t="shared" si="21"/>
        <v>0</v>
      </c>
      <c r="R245" s="166">
        <f t="shared" si="22"/>
        <v>1</v>
      </c>
      <c r="S245" s="194" t="str">
        <f>D245</f>
        <v>K-6 Ambient</v>
      </c>
      <c r="T245" s="84"/>
      <c r="U245" s="84"/>
      <c r="V245" s="84"/>
    </row>
    <row r="246" spans="1:23" s="83" customFormat="1">
      <c r="A246" s="80">
        <v>42898</v>
      </c>
      <c r="B246" s="81"/>
      <c r="C246" s="81"/>
      <c r="D246" s="83" t="s">
        <v>38</v>
      </c>
      <c r="E246" s="83">
        <v>7</v>
      </c>
      <c r="F246" s="90">
        <v>180</v>
      </c>
      <c r="G246" s="90">
        <v>1</v>
      </c>
      <c r="H246" s="83">
        <v>600</v>
      </c>
      <c r="I246" s="83">
        <v>69</v>
      </c>
      <c r="J246" s="83">
        <v>0</v>
      </c>
      <c r="K246" s="83">
        <v>74</v>
      </c>
      <c r="L246" s="83">
        <v>0</v>
      </c>
      <c r="M246" s="83">
        <v>60</v>
      </c>
      <c r="N246" s="83">
        <v>1</v>
      </c>
      <c r="P246" s="127">
        <f t="shared" si="20"/>
        <v>40600</v>
      </c>
      <c r="Q246" s="127">
        <f t="shared" si="21"/>
        <v>200</v>
      </c>
      <c r="R246" s="166">
        <f t="shared" si="22"/>
        <v>0.99509803921568629</v>
      </c>
      <c r="S246" s="192">
        <f>(SUM(P245:P248)/(SUM(P245:Q248)))</f>
        <v>0.99785207990262759</v>
      </c>
      <c r="T246" s="84"/>
    </row>
    <row r="247" spans="1:23" s="83" customFormat="1">
      <c r="A247" s="80">
        <v>42898</v>
      </c>
      <c r="B247" s="81"/>
      <c r="C247" s="81"/>
      <c r="D247" s="83" t="s">
        <v>38</v>
      </c>
      <c r="E247" s="83">
        <v>7</v>
      </c>
      <c r="F247" s="90">
        <v>100</v>
      </c>
      <c r="G247" s="90">
        <v>1</v>
      </c>
      <c r="H247" s="83">
        <v>540</v>
      </c>
      <c r="I247" s="83">
        <v>91</v>
      </c>
      <c r="J247" s="83">
        <v>0</v>
      </c>
      <c r="K247" s="83">
        <v>96</v>
      </c>
      <c r="L247" s="83">
        <v>0</v>
      </c>
      <c r="M247" s="83">
        <v>89</v>
      </c>
      <c r="N247" s="83">
        <v>0</v>
      </c>
      <c r="P247" s="127">
        <f t="shared" si="20"/>
        <v>49680</v>
      </c>
      <c r="Q247" s="127">
        <f t="shared" si="21"/>
        <v>0</v>
      </c>
      <c r="R247" s="166">
        <f t="shared" si="22"/>
        <v>1</v>
      </c>
      <c r="S247" s="193"/>
      <c r="T247" s="84"/>
    </row>
    <row r="248" spans="1:23" s="83" customFormat="1">
      <c r="A248" s="80">
        <v>42898</v>
      </c>
      <c r="B248" s="81"/>
      <c r="C248" s="81"/>
      <c r="D248" s="83" t="s">
        <v>38</v>
      </c>
      <c r="E248" s="83">
        <v>7</v>
      </c>
      <c r="F248" s="90" t="s">
        <v>210</v>
      </c>
      <c r="G248" s="90">
        <v>1</v>
      </c>
      <c r="H248" s="83">
        <v>500</v>
      </c>
      <c r="I248" s="83">
        <v>0</v>
      </c>
      <c r="J248" s="83">
        <v>0</v>
      </c>
      <c r="K248" s="83">
        <v>1</v>
      </c>
      <c r="L248" s="83">
        <v>0</v>
      </c>
      <c r="M248" s="83">
        <v>2</v>
      </c>
      <c r="N248" s="83">
        <v>0</v>
      </c>
      <c r="P248" s="127">
        <f t="shared" si="20"/>
        <v>500</v>
      </c>
      <c r="Q248" s="127">
        <f t="shared" si="21"/>
        <v>0</v>
      </c>
      <c r="R248" s="166">
        <f t="shared" si="22"/>
        <v>1</v>
      </c>
      <c r="S248" s="193"/>
      <c r="T248" s="84"/>
    </row>
    <row r="249" spans="1:23" s="83" customFormat="1">
      <c r="A249" s="80">
        <v>42898</v>
      </c>
      <c r="B249" s="81"/>
      <c r="C249" s="81"/>
      <c r="D249" s="82" t="s">
        <v>46</v>
      </c>
      <c r="E249" s="83">
        <v>8</v>
      </c>
      <c r="F249" s="90">
        <v>224</v>
      </c>
      <c r="G249" s="90">
        <v>2</v>
      </c>
      <c r="H249" s="83">
        <v>375</v>
      </c>
      <c r="I249" s="83">
        <v>1</v>
      </c>
      <c r="J249" s="83">
        <v>0</v>
      </c>
      <c r="K249" s="83">
        <v>5</v>
      </c>
      <c r="L249" s="83">
        <v>0</v>
      </c>
      <c r="M249" s="83">
        <v>7</v>
      </c>
      <c r="N249" s="83">
        <v>0</v>
      </c>
      <c r="P249" s="127">
        <f t="shared" si="20"/>
        <v>812.5</v>
      </c>
      <c r="Q249" s="127">
        <f t="shared" si="21"/>
        <v>0</v>
      </c>
      <c r="R249" s="166">
        <f t="shared" si="22"/>
        <v>1</v>
      </c>
      <c r="S249" s="194" t="str">
        <f>D249</f>
        <v>K-6 Low</v>
      </c>
      <c r="T249" s="84"/>
    </row>
    <row r="250" spans="1:23" s="83" customFormat="1">
      <c r="A250" s="80">
        <v>42898</v>
      </c>
      <c r="B250" s="81"/>
      <c r="C250" s="81"/>
      <c r="D250" s="82" t="s">
        <v>46</v>
      </c>
      <c r="E250" s="83">
        <v>8</v>
      </c>
      <c r="F250" s="90">
        <v>180</v>
      </c>
      <c r="G250" s="90">
        <v>2</v>
      </c>
      <c r="H250" s="83">
        <v>400</v>
      </c>
      <c r="I250" s="83">
        <v>1</v>
      </c>
      <c r="J250" s="83">
        <v>0</v>
      </c>
      <c r="K250" s="83">
        <v>5</v>
      </c>
      <c r="L250" s="83">
        <v>0</v>
      </c>
      <c r="M250" s="83">
        <v>7</v>
      </c>
      <c r="N250" s="83">
        <v>0</v>
      </c>
      <c r="P250" s="127">
        <f t="shared" si="20"/>
        <v>866.66666666666663</v>
      </c>
      <c r="Q250" s="127">
        <f t="shared" si="21"/>
        <v>0</v>
      </c>
      <c r="R250" s="166">
        <f t="shared" si="22"/>
        <v>1</v>
      </c>
      <c r="S250" s="192">
        <f>(SUM(P249:P252)/(SUM(P249:Q252)))</f>
        <v>0.96843152282029121</v>
      </c>
      <c r="T250" s="84"/>
    </row>
    <row r="251" spans="1:23" s="83" customFormat="1">
      <c r="A251" s="80">
        <v>42898</v>
      </c>
      <c r="B251" s="81"/>
      <c r="C251" s="81"/>
      <c r="D251" s="82" t="s">
        <v>46</v>
      </c>
      <c r="E251" s="83">
        <v>8</v>
      </c>
      <c r="F251" s="90">
        <v>100</v>
      </c>
      <c r="G251" s="90">
        <v>1</v>
      </c>
      <c r="H251" s="83">
        <v>525</v>
      </c>
      <c r="I251" s="83">
        <v>99</v>
      </c>
      <c r="J251" s="83">
        <v>0</v>
      </c>
      <c r="K251" s="83">
        <v>86</v>
      </c>
      <c r="L251" s="83">
        <v>0</v>
      </c>
      <c r="M251" s="83">
        <v>79</v>
      </c>
      <c r="N251" s="83">
        <v>0</v>
      </c>
      <c r="P251" s="127">
        <f t="shared" si="20"/>
        <v>46200</v>
      </c>
      <c r="Q251" s="127">
        <f t="shared" si="21"/>
        <v>0</v>
      </c>
      <c r="R251" s="166">
        <f t="shared" si="22"/>
        <v>1</v>
      </c>
      <c r="S251" s="193"/>
      <c r="T251" s="84"/>
    </row>
    <row r="252" spans="1:23" s="88" customFormat="1" ht="16" thickBot="1">
      <c r="A252" s="85">
        <v>42898</v>
      </c>
      <c r="B252" s="86"/>
      <c r="C252" s="86"/>
      <c r="D252" s="87" t="s">
        <v>46</v>
      </c>
      <c r="E252" s="88">
        <v>8</v>
      </c>
      <c r="F252" s="143" t="s">
        <v>210</v>
      </c>
      <c r="G252" s="88">
        <v>1</v>
      </c>
      <c r="H252" s="88">
        <v>440</v>
      </c>
      <c r="I252" s="88">
        <v>3</v>
      </c>
      <c r="J252" s="88">
        <v>4</v>
      </c>
      <c r="K252" s="88">
        <v>4</v>
      </c>
      <c r="L252" s="88">
        <v>3</v>
      </c>
      <c r="M252" s="88">
        <v>4</v>
      </c>
      <c r="N252" s="88">
        <v>4</v>
      </c>
      <c r="P252" s="144">
        <f t="shared" si="20"/>
        <v>1613.3333333333333</v>
      </c>
      <c r="Q252" s="144">
        <f t="shared" si="21"/>
        <v>1613.3333333333333</v>
      </c>
      <c r="R252" s="169">
        <f t="shared" si="22"/>
        <v>0.5</v>
      </c>
      <c r="S252" s="204"/>
    </row>
    <row r="253" spans="1:23" s="140" customFormat="1">
      <c r="A253" s="137">
        <v>42901</v>
      </c>
      <c r="B253" s="138"/>
      <c r="C253" s="138"/>
      <c r="D253" s="202" t="s">
        <v>78</v>
      </c>
      <c r="E253" s="140">
        <v>1</v>
      </c>
      <c r="F253" s="158">
        <v>224</v>
      </c>
      <c r="G253" s="158">
        <v>1</v>
      </c>
      <c r="H253" s="140">
        <v>400</v>
      </c>
      <c r="I253" s="140">
        <v>4</v>
      </c>
      <c r="J253" s="140">
        <v>0</v>
      </c>
      <c r="K253" s="140">
        <v>5</v>
      </c>
      <c r="L253" s="140">
        <v>1</v>
      </c>
      <c r="M253" s="140">
        <v>6</v>
      </c>
      <c r="N253" s="140">
        <v>0</v>
      </c>
      <c r="O253" s="140">
        <f t="shared" ref="O253" si="23">(AVERAGE(I253,K253,M253)/((AVERAGE(I253,K253,M253)+AVERAGE(J253,L253,N253))))</f>
        <v>0.9375</v>
      </c>
      <c r="P253" s="203">
        <f>(AVERAGE(I253,K253,M253)/G253)*H253</f>
        <v>2000</v>
      </c>
      <c r="Q253" s="203">
        <f t="shared" si="21"/>
        <v>133.33333333333331</v>
      </c>
      <c r="R253" s="176">
        <f t="shared" si="22"/>
        <v>0.93749999999999989</v>
      </c>
      <c r="S253" s="185" t="str">
        <f>D253</f>
        <v>SN-6 Low</v>
      </c>
      <c r="T253" s="175"/>
      <c r="U253" s="175"/>
      <c r="V253" s="175"/>
    </row>
    <row r="254" spans="1:23" s="65" customFormat="1">
      <c r="A254" s="62">
        <v>42901</v>
      </c>
      <c r="B254" s="63"/>
      <c r="C254" s="63"/>
      <c r="D254" s="64" t="s">
        <v>78</v>
      </c>
      <c r="E254" s="65">
        <v>1</v>
      </c>
      <c r="F254" s="92">
        <v>180</v>
      </c>
      <c r="G254" s="92">
        <v>1</v>
      </c>
      <c r="H254" s="65">
        <v>600</v>
      </c>
      <c r="I254" s="65">
        <v>57</v>
      </c>
      <c r="J254" s="65">
        <v>2</v>
      </c>
      <c r="K254" s="65">
        <v>54</v>
      </c>
      <c r="L254" s="65">
        <v>4</v>
      </c>
      <c r="M254" s="92" t="s">
        <v>214</v>
      </c>
      <c r="N254" s="65">
        <v>5</v>
      </c>
      <c r="P254" s="123">
        <f t="shared" ref="P254:P319" si="24">(AVERAGE(I254,K254,M254)/G254)*H254</f>
        <v>33300</v>
      </c>
      <c r="Q254" s="123">
        <f t="shared" si="21"/>
        <v>2200</v>
      </c>
      <c r="R254" s="109">
        <f t="shared" si="22"/>
        <v>0.93802816901408448</v>
      </c>
      <c r="S254" s="186">
        <f>(SUM(P253:P256)/(SUM(P253:Q256)))</f>
        <v>0.6144172001950795</v>
      </c>
      <c r="T254" s="68"/>
      <c r="U254" s="68"/>
      <c r="V254" s="68"/>
      <c r="W254" s="65" t="s">
        <v>215</v>
      </c>
    </row>
    <row r="255" spans="1:23" s="65" customFormat="1">
      <c r="A255" s="62">
        <v>42901</v>
      </c>
      <c r="B255" s="63"/>
      <c r="C255" s="63"/>
      <c r="D255" s="64" t="s">
        <v>78</v>
      </c>
      <c r="E255" s="65">
        <v>1</v>
      </c>
      <c r="F255" s="92">
        <v>100</v>
      </c>
      <c r="G255" s="92">
        <v>1</v>
      </c>
      <c r="H255" s="65">
        <v>625</v>
      </c>
      <c r="I255" s="65">
        <v>83</v>
      </c>
      <c r="J255" s="65">
        <v>4</v>
      </c>
      <c r="K255" s="65">
        <v>70</v>
      </c>
      <c r="L255" s="65">
        <v>1</v>
      </c>
      <c r="M255" s="65">
        <v>83</v>
      </c>
      <c r="N255" s="65">
        <v>2</v>
      </c>
      <c r="P255" s="123">
        <f t="shared" si="24"/>
        <v>49166.666666666672</v>
      </c>
      <c r="Q255" s="123">
        <f t="shared" si="21"/>
        <v>1458.3333333333335</v>
      </c>
      <c r="R255" s="109">
        <f t="shared" si="22"/>
        <v>0.97119341563785999</v>
      </c>
      <c r="S255" s="184"/>
      <c r="T255" s="68"/>
      <c r="U255" s="68"/>
      <c r="V255" s="68"/>
    </row>
    <row r="256" spans="1:23" s="65" customFormat="1">
      <c r="A256" s="62">
        <v>42901</v>
      </c>
      <c r="B256" s="63"/>
      <c r="C256" s="63"/>
      <c r="D256" s="64" t="s">
        <v>78</v>
      </c>
      <c r="E256" s="65">
        <v>1</v>
      </c>
      <c r="F256" s="92" t="s">
        <v>210</v>
      </c>
      <c r="G256" s="92">
        <v>1</v>
      </c>
      <c r="H256" s="65">
        <v>540</v>
      </c>
      <c r="I256" s="65">
        <v>24</v>
      </c>
      <c r="J256" s="65">
        <v>118</v>
      </c>
      <c r="K256" s="65">
        <v>35</v>
      </c>
      <c r="L256" s="65">
        <v>109</v>
      </c>
      <c r="M256" s="65">
        <v>20</v>
      </c>
      <c r="N256" s="65">
        <v>96</v>
      </c>
      <c r="P256" s="123">
        <f t="shared" si="24"/>
        <v>14220</v>
      </c>
      <c r="Q256" s="123">
        <f t="shared" si="21"/>
        <v>58140</v>
      </c>
      <c r="R256" s="109">
        <f t="shared" si="22"/>
        <v>0.19651741293532338</v>
      </c>
      <c r="S256" s="187"/>
      <c r="T256" s="68"/>
      <c r="U256" s="68"/>
      <c r="V256" s="68"/>
    </row>
    <row r="257" spans="1:23" s="65" customFormat="1">
      <c r="A257" s="62">
        <v>42901</v>
      </c>
      <c r="B257" s="63"/>
      <c r="C257" s="63"/>
      <c r="D257" s="65" t="s">
        <v>106</v>
      </c>
      <c r="E257" s="65">
        <v>1</v>
      </c>
      <c r="F257" s="92">
        <v>224</v>
      </c>
      <c r="G257" s="92">
        <v>2</v>
      </c>
      <c r="H257" s="65">
        <v>500</v>
      </c>
      <c r="I257" s="65">
        <v>0</v>
      </c>
      <c r="J257" s="65">
        <v>0</v>
      </c>
      <c r="K257" s="65">
        <v>2</v>
      </c>
      <c r="L257" s="65">
        <v>0</v>
      </c>
      <c r="M257" s="65">
        <v>2</v>
      </c>
      <c r="N257" s="65">
        <v>0</v>
      </c>
      <c r="P257" s="123">
        <f t="shared" si="24"/>
        <v>333.33333333333331</v>
      </c>
      <c r="Q257" s="123">
        <f t="shared" si="21"/>
        <v>0</v>
      </c>
      <c r="R257" s="109">
        <f t="shared" si="22"/>
        <v>1</v>
      </c>
      <c r="S257" s="188" t="str">
        <f>D257</f>
        <v>NF-6 Low</v>
      </c>
      <c r="T257" s="68"/>
      <c r="U257" s="68"/>
      <c r="V257" s="68"/>
    </row>
    <row r="258" spans="1:23" s="65" customFormat="1">
      <c r="A258" s="62">
        <v>42901</v>
      </c>
      <c r="B258" s="63"/>
      <c r="C258" s="63"/>
      <c r="D258" s="65" t="s">
        <v>106</v>
      </c>
      <c r="E258" s="65">
        <v>1</v>
      </c>
      <c r="F258" s="92">
        <v>180</v>
      </c>
      <c r="G258" s="92">
        <v>1</v>
      </c>
      <c r="H258" s="65">
        <v>600</v>
      </c>
      <c r="I258" s="65">
        <v>6</v>
      </c>
      <c r="J258" s="65">
        <v>1</v>
      </c>
      <c r="K258" s="65">
        <v>10</v>
      </c>
      <c r="L258" s="65">
        <v>0</v>
      </c>
      <c r="M258" s="65">
        <v>6</v>
      </c>
      <c r="N258" s="65">
        <v>2</v>
      </c>
      <c r="P258" s="123">
        <f t="shared" si="24"/>
        <v>4400</v>
      </c>
      <c r="Q258" s="123">
        <f t="shared" si="21"/>
        <v>600</v>
      </c>
      <c r="R258" s="109">
        <f t="shared" si="22"/>
        <v>0.88</v>
      </c>
      <c r="S258" s="186">
        <f>(SUM(P257:P260)/(SUM(P257:Q260)))</f>
        <v>0.8087020307312176</v>
      </c>
      <c r="T258" s="68"/>
      <c r="U258" s="68"/>
      <c r="V258" s="68"/>
    </row>
    <row r="259" spans="1:23" s="65" customFormat="1">
      <c r="A259" s="62">
        <v>42901</v>
      </c>
      <c r="B259" s="63"/>
      <c r="C259" s="63"/>
      <c r="D259" s="65" t="s">
        <v>106</v>
      </c>
      <c r="E259" s="65">
        <v>1</v>
      </c>
      <c r="F259" s="92">
        <v>100</v>
      </c>
      <c r="G259" s="92">
        <v>1</v>
      </c>
      <c r="H259" s="65">
        <v>690</v>
      </c>
      <c r="I259" s="65">
        <v>91</v>
      </c>
      <c r="J259" s="65">
        <v>0</v>
      </c>
      <c r="K259" s="65">
        <v>96</v>
      </c>
      <c r="L259" s="65">
        <v>4</v>
      </c>
      <c r="M259" s="65">
        <v>96</v>
      </c>
      <c r="N259" s="65">
        <v>2</v>
      </c>
      <c r="P259" s="123">
        <f t="shared" si="24"/>
        <v>65090</v>
      </c>
      <c r="Q259" s="123">
        <f t="shared" si="21"/>
        <v>1380</v>
      </c>
      <c r="R259" s="109">
        <f t="shared" si="22"/>
        <v>0.97923875432525953</v>
      </c>
      <c r="S259" s="187"/>
      <c r="T259" s="68"/>
      <c r="U259" s="68"/>
      <c r="V259" s="68"/>
    </row>
    <row r="260" spans="1:23" s="65" customFormat="1">
      <c r="A260" s="62">
        <v>42901</v>
      </c>
      <c r="B260" s="63"/>
      <c r="C260" s="63"/>
      <c r="D260" s="65" t="s">
        <v>106</v>
      </c>
      <c r="E260" s="65">
        <v>1</v>
      </c>
      <c r="F260" s="92" t="s">
        <v>210</v>
      </c>
      <c r="G260" s="92">
        <v>1</v>
      </c>
      <c r="H260" s="65">
        <v>490</v>
      </c>
      <c r="I260" s="65">
        <v>0</v>
      </c>
      <c r="J260" s="65">
        <v>21</v>
      </c>
      <c r="K260" s="65">
        <v>0</v>
      </c>
      <c r="L260" s="65">
        <v>47</v>
      </c>
      <c r="M260" s="65">
        <v>0</v>
      </c>
      <c r="N260" s="65">
        <v>21</v>
      </c>
      <c r="P260" s="123">
        <f t="shared" si="24"/>
        <v>0</v>
      </c>
      <c r="Q260" s="123">
        <f t="shared" si="21"/>
        <v>14536.666666666668</v>
      </c>
      <c r="R260" s="109">
        <f t="shared" si="22"/>
        <v>0</v>
      </c>
      <c r="S260" s="187"/>
      <c r="T260" s="68"/>
      <c r="U260" s="68"/>
      <c r="V260" s="68"/>
    </row>
    <row r="261" spans="1:23" s="65" customFormat="1">
      <c r="A261" s="62">
        <v>42901</v>
      </c>
      <c r="B261" s="63"/>
      <c r="C261" s="63"/>
      <c r="D261" s="65" t="s">
        <v>87</v>
      </c>
      <c r="E261" s="65">
        <v>2</v>
      </c>
      <c r="F261" s="92">
        <v>224</v>
      </c>
      <c r="G261" s="92">
        <v>1</v>
      </c>
      <c r="H261" s="65">
        <v>650</v>
      </c>
      <c r="I261" s="65">
        <v>39</v>
      </c>
      <c r="J261" s="65">
        <v>0</v>
      </c>
      <c r="K261" s="65">
        <v>47</v>
      </c>
      <c r="L261" s="65">
        <v>0</v>
      </c>
      <c r="M261" s="65">
        <v>54</v>
      </c>
      <c r="N261" s="65">
        <v>0</v>
      </c>
      <c r="P261" s="123">
        <f t="shared" si="24"/>
        <v>30333.333333333332</v>
      </c>
      <c r="Q261" s="123">
        <f t="shared" si="21"/>
        <v>0</v>
      </c>
      <c r="R261" s="109">
        <f t="shared" si="22"/>
        <v>1</v>
      </c>
      <c r="S261" s="188" t="str">
        <f>D261</f>
        <v>SN-10 Ambient</v>
      </c>
      <c r="T261" s="68"/>
      <c r="U261" s="68"/>
      <c r="V261" s="68"/>
      <c r="W261" s="65" t="s">
        <v>216</v>
      </c>
    </row>
    <row r="262" spans="1:23" s="65" customFormat="1">
      <c r="A262" s="62">
        <v>42901</v>
      </c>
      <c r="B262" s="63"/>
      <c r="C262" s="63"/>
      <c r="D262" s="65" t="s">
        <v>87</v>
      </c>
      <c r="E262" s="65">
        <v>2</v>
      </c>
      <c r="F262" s="92">
        <v>180</v>
      </c>
      <c r="G262" s="92">
        <v>1</v>
      </c>
      <c r="H262" s="65">
        <v>700</v>
      </c>
      <c r="I262" s="65">
        <v>92</v>
      </c>
      <c r="J262" s="65">
        <v>13</v>
      </c>
      <c r="K262" s="65">
        <v>84</v>
      </c>
      <c r="L262" s="65">
        <v>7</v>
      </c>
      <c r="M262" s="65">
        <v>87</v>
      </c>
      <c r="N262" s="65">
        <v>8</v>
      </c>
      <c r="P262" s="123">
        <f t="shared" si="24"/>
        <v>61366.666666666672</v>
      </c>
      <c r="Q262" s="123">
        <f t="shared" si="21"/>
        <v>6533.3333333333339</v>
      </c>
      <c r="R262" s="109">
        <f t="shared" si="22"/>
        <v>0.90378006872852246</v>
      </c>
      <c r="S262" s="186">
        <f>(SUM(P261:P264)/(SUM(P261:Q264)))</f>
        <v>0.89498461397143259</v>
      </c>
      <c r="T262" s="68"/>
      <c r="U262" s="68"/>
      <c r="V262" s="68"/>
    </row>
    <row r="263" spans="1:23" s="65" customFormat="1">
      <c r="A263" s="62">
        <v>42901</v>
      </c>
      <c r="B263" s="63"/>
      <c r="C263" s="63"/>
      <c r="D263" s="65" t="s">
        <v>87</v>
      </c>
      <c r="E263" s="65">
        <v>2</v>
      </c>
      <c r="F263" s="92">
        <v>100</v>
      </c>
      <c r="G263" s="92">
        <v>1</v>
      </c>
      <c r="H263" s="65">
        <v>450</v>
      </c>
      <c r="I263" s="65">
        <v>77</v>
      </c>
      <c r="J263" s="65">
        <v>1</v>
      </c>
      <c r="K263" s="65">
        <v>67</v>
      </c>
      <c r="L263" s="65">
        <v>0</v>
      </c>
      <c r="M263" s="65">
        <v>74</v>
      </c>
      <c r="N263" s="65">
        <v>1</v>
      </c>
      <c r="P263" s="123">
        <f t="shared" si="24"/>
        <v>32700.000000000004</v>
      </c>
      <c r="Q263" s="123">
        <f t="shared" si="21"/>
        <v>300</v>
      </c>
      <c r="R263" s="109">
        <f t="shared" si="22"/>
        <v>0.99090909090909107</v>
      </c>
      <c r="S263" s="187"/>
      <c r="T263" s="68"/>
      <c r="U263" s="68"/>
      <c r="V263" s="68"/>
    </row>
    <row r="264" spans="1:23" s="65" customFormat="1">
      <c r="A264" s="62">
        <v>42901</v>
      </c>
      <c r="B264" s="63"/>
      <c r="C264" s="63"/>
      <c r="D264" s="65" t="s">
        <v>87</v>
      </c>
      <c r="E264" s="65">
        <v>2</v>
      </c>
      <c r="F264" s="92" t="s">
        <v>210</v>
      </c>
      <c r="G264" s="92">
        <v>1</v>
      </c>
      <c r="H264" s="65">
        <v>435</v>
      </c>
      <c r="I264" s="65">
        <v>17</v>
      </c>
      <c r="J264" s="65">
        <v>11</v>
      </c>
      <c r="K264" s="65">
        <v>5</v>
      </c>
      <c r="L264" s="65">
        <v>13</v>
      </c>
      <c r="M264" s="65">
        <v>16</v>
      </c>
      <c r="N264" s="65">
        <v>34</v>
      </c>
      <c r="P264" s="123">
        <f>(AVERAGE(I264,K264,M264)/G264)*H264</f>
        <v>5510</v>
      </c>
      <c r="Q264" s="123">
        <f t="shared" si="21"/>
        <v>8410</v>
      </c>
      <c r="R264" s="109">
        <f t="shared" si="22"/>
        <v>0.39583333333333331</v>
      </c>
      <c r="S264" s="187"/>
      <c r="T264" s="68"/>
      <c r="U264" s="68"/>
      <c r="V264" s="68"/>
    </row>
    <row r="265" spans="1:23" s="65" customFormat="1">
      <c r="A265" s="62">
        <v>42901</v>
      </c>
      <c r="B265" s="63"/>
      <c r="C265" s="63"/>
      <c r="D265" s="64" t="s">
        <v>140</v>
      </c>
      <c r="E265" s="65">
        <v>2</v>
      </c>
      <c r="F265" s="92">
        <v>224</v>
      </c>
      <c r="G265" s="92">
        <v>1</v>
      </c>
      <c r="H265" s="156">
        <v>400</v>
      </c>
      <c r="I265" s="65">
        <v>1</v>
      </c>
      <c r="J265" s="65">
        <v>3</v>
      </c>
      <c r="K265" s="65">
        <v>3</v>
      </c>
      <c r="L265" s="65">
        <v>6</v>
      </c>
      <c r="M265" s="65">
        <v>8</v>
      </c>
      <c r="N265" s="65">
        <v>0</v>
      </c>
      <c r="P265" s="123">
        <f>(AVERAGE(I265,K265,M265)/G265)*H265</f>
        <v>1600</v>
      </c>
      <c r="Q265" s="123">
        <f t="shared" si="21"/>
        <v>1200</v>
      </c>
      <c r="R265" s="109">
        <f t="shared" si="22"/>
        <v>0.5714285714285714</v>
      </c>
      <c r="S265" s="188" t="str">
        <f>D265</f>
        <v xml:space="preserve">SN-10 Low </v>
      </c>
      <c r="T265" s="68"/>
      <c r="U265" s="68"/>
      <c r="V265" s="68"/>
      <c r="W265" s="65" t="s">
        <v>213</v>
      </c>
    </row>
    <row r="266" spans="1:23" s="65" customFormat="1">
      <c r="A266" s="62">
        <v>42901</v>
      </c>
      <c r="B266" s="63"/>
      <c r="C266" s="63"/>
      <c r="D266" s="64" t="s">
        <v>140</v>
      </c>
      <c r="E266" s="65">
        <v>2</v>
      </c>
      <c r="F266" s="92">
        <v>180</v>
      </c>
      <c r="G266" s="92">
        <v>1</v>
      </c>
      <c r="H266" s="156">
        <v>600</v>
      </c>
      <c r="I266" s="65">
        <v>36</v>
      </c>
      <c r="J266" s="65">
        <v>15</v>
      </c>
      <c r="K266" s="65">
        <v>26</v>
      </c>
      <c r="L266" s="65">
        <v>9</v>
      </c>
      <c r="M266" s="65">
        <v>22</v>
      </c>
      <c r="N266" s="65">
        <v>14</v>
      </c>
      <c r="P266" s="123">
        <f t="shared" si="24"/>
        <v>16800</v>
      </c>
      <c r="Q266" s="123">
        <f t="shared" si="21"/>
        <v>7600</v>
      </c>
      <c r="R266" s="109">
        <f t="shared" si="22"/>
        <v>0.68852459016393441</v>
      </c>
      <c r="S266" s="186">
        <f>(SUM(P265:P268)/(SUM(P265:Q268)))</f>
        <v>0.8653601425299059</v>
      </c>
      <c r="T266" s="68"/>
      <c r="U266" s="68"/>
      <c r="V266" s="68"/>
      <c r="W266" s="65" t="s">
        <v>213</v>
      </c>
    </row>
    <row r="267" spans="1:23" s="65" customFormat="1">
      <c r="A267" s="62">
        <v>42901</v>
      </c>
      <c r="B267" s="63"/>
      <c r="C267" s="63"/>
      <c r="D267" s="64" t="s">
        <v>140</v>
      </c>
      <c r="E267" s="65">
        <v>2</v>
      </c>
      <c r="F267" s="92">
        <v>100</v>
      </c>
      <c r="G267" s="92">
        <v>1</v>
      </c>
      <c r="H267" s="156">
        <v>700</v>
      </c>
      <c r="I267" s="65">
        <v>122</v>
      </c>
      <c r="J267" s="65">
        <v>1</v>
      </c>
      <c r="K267" s="65">
        <v>135</v>
      </c>
      <c r="L267" s="65">
        <v>0</v>
      </c>
      <c r="M267" s="65">
        <v>128</v>
      </c>
      <c r="N267" s="65">
        <v>0</v>
      </c>
      <c r="P267" s="123">
        <f t="shared" si="24"/>
        <v>89833.333333333343</v>
      </c>
      <c r="Q267" s="123">
        <f t="shared" si="21"/>
        <v>233.33333333333331</v>
      </c>
      <c r="R267" s="109">
        <f t="shared" si="22"/>
        <v>0.99740932642487057</v>
      </c>
      <c r="S267" s="187"/>
      <c r="T267" s="68"/>
      <c r="U267" s="68"/>
      <c r="V267" s="68"/>
      <c r="W267" s="65" t="s">
        <v>213</v>
      </c>
    </row>
    <row r="268" spans="1:23" s="65" customFormat="1">
      <c r="A268" s="62">
        <v>42901</v>
      </c>
      <c r="B268" s="63"/>
      <c r="C268" s="63"/>
      <c r="D268" s="64" t="s">
        <v>140</v>
      </c>
      <c r="E268" s="65">
        <v>2</v>
      </c>
      <c r="F268" s="92" t="s">
        <v>210</v>
      </c>
      <c r="G268" s="92">
        <v>1</v>
      </c>
      <c r="H268" s="156">
        <v>300</v>
      </c>
      <c r="I268" s="65">
        <v>16</v>
      </c>
      <c r="J268" s="65">
        <v>29</v>
      </c>
      <c r="K268" s="65">
        <v>7</v>
      </c>
      <c r="L268" s="65">
        <v>33</v>
      </c>
      <c r="M268" s="65">
        <v>28</v>
      </c>
      <c r="N268" s="65">
        <v>24</v>
      </c>
      <c r="P268" s="123">
        <f t="shared" si="24"/>
        <v>5100</v>
      </c>
      <c r="Q268" s="123">
        <f t="shared" si="21"/>
        <v>8600</v>
      </c>
      <c r="R268" s="109">
        <f t="shared" si="22"/>
        <v>0.37226277372262773</v>
      </c>
      <c r="S268" s="187"/>
      <c r="T268" s="68"/>
      <c r="U268" s="68"/>
      <c r="V268" s="68"/>
      <c r="W268" s="65" t="s">
        <v>213</v>
      </c>
    </row>
    <row r="269" spans="1:23" s="65" customFormat="1">
      <c r="A269" s="62">
        <v>42901</v>
      </c>
      <c r="B269" s="63"/>
      <c r="C269" s="63"/>
      <c r="D269" s="65" t="s">
        <v>86</v>
      </c>
      <c r="E269" s="65">
        <v>3</v>
      </c>
      <c r="F269" s="92">
        <v>224</v>
      </c>
      <c r="G269" s="92">
        <v>1</v>
      </c>
      <c r="H269" s="65">
        <v>150</v>
      </c>
      <c r="I269" s="65">
        <v>11</v>
      </c>
      <c r="J269" s="65">
        <v>4</v>
      </c>
      <c r="K269" s="65">
        <v>8</v>
      </c>
      <c r="L269" s="65">
        <v>0</v>
      </c>
      <c r="M269" s="65">
        <v>5</v>
      </c>
      <c r="N269" s="65">
        <v>0</v>
      </c>
      <c r="P269" s="123">
        <f t="shared" si="24"/>
        <v>1200</v>
      </c>
      <c r="Q269" s="123">
        <f t="shared" si="21"/>
        <v>200</v>
      </c>
      <c r="R269" s="109">
        <f t="shared" si="22"/>
        <v>0.8571428571428571</v>
      </c>
      <c r="S269" s="188" t="str">
        <f>D269</f>
        <v>NF-6 Ambient</v>
      </c>
      <c r="T269" s="68"/>
      <c r="U269" s="68"/>
      <c r="V269" s="68"/>
    </row>
    <row r="270" spans="1:23" s="65" customFormat="1">
      <c r="A270" s="62">
        <v>42901</v>
      </c>
      <c r="B270" s="63"/>
      <c r="C270" s="63"/>
      <c r="D270" s="65" t="s">
        <v>86</v>
      </c>
      <c r="E270" s="65">
        <v>3</v>
      </c>
      <c r="F270" s="92">
        <v>180</v>
      </c>
      <c r="G270" s="92">
        <v>1</v>
      </c>
      <c r="H270" s="65">
        <v>700</v>
      </c>
      <c r="I270" s="65">
        <v>28</v>
      </c>
      <c r="J270" s="65">
        <v>7</v>
      </c>
      <c r="K270" s="65">
        <v>35</v>
      </c>
      <c r="L270" s="65">
        <v>4</v>
      </c>
      <c r="M270" s="65">
        <v>28</v>
      </c>
      <c r="N270" s="65">
        <v>2</v>
      </c>
      <c r="P270" s="123">
        <f t="shared" si="24"/>
        <v>21233.333333333332</v>
      </c>
      <c r="Q270" s="123">
        <f t="shared" si="21"/>
        <v>3033.333333333333</v>
      </c>
      <c r="R270" s="109">
        <f t="shared" si="22"/>
        <v>0.875</v>
      </c>
      <c r="S270" s="186">
        <f>(SUM(P269:P272)/(SUM(P269:Q272)))</f>
        <v>0.83241272646928866</v>
      </c>
      <c r="T270" s="68"/>
      <c r="U270" s="68"/>
      <c r="V270" s="68"/>
    </row>
    <row r="271" spans="1:23" s="65" customFormat="1">
      <c r="A271" s="62">
        <v>42901</v>
      </c>
      <c r="B271" s="63"/>
      <c r="C271" s="63"/>
      <c r="D271" s="65" t="s">
        <v>86</v>
      </c>
      <c r="E271" s="65">
        <v>3</v>
      </c>
      <c r="F271" s="92">
        <v>100</v>
      </c>
      <c r="G271" s="92">
        <v>1</v>
      </c>
      <c r="H271" s="65">
        <v>350</v>
      </c>
      <c r="I271" s="65">
        <v>8</v>
      </c>
      <c r="J271" s="65">
        <v>1</v>
      </c>
      <c r="K271" s="65">
        <v>9</v>
      </c>
      <c r="L271" s="65">
        <v>0</v>
      </c>
      <c r="M271" s="65">
        <v>6</v>
      </c>
      <c r="N271" s="65">
        <v>2</v>
      </c>
      <c r="P271" s="123">
        <f t="shared" si="24"/>
        <v>2683.3333333333335</v>
      </c>
      <c r="Q271" s="123">
        <f t="shared" si="21"/>
        <v>350</v>
      </c>
      <c r="R271" s="109">
        <f t="shared" si="22"/>
        <v>0.88461538461538458</v>
      </c>
      <c r="S271" s="187"/>
      <c r="T271" s="68"/>
      <c r="U271" s="68"/>
      <c r="V271" s="68"/>
    </row>
    <row r="272" spans="1:23" s="65" customFormat="1">
      <c r="A272" s="62">
        <v>42901</v>
      </c>
      <c r="B272" s="63"/>
      <c r="C272" s="63"/>
      <c r="D272" s="65" t="s">
        <v>86</v>
      </c>
      <c r="E272" s="65">
        <v>3</v>
      </c>
      <c r="F272" s="92" t="s">
        <v>210</v>
      </c>
      <c r="G272" s="92">
        <v>1</v>
      </c>
      <c r="H272" s="65">
        <v>340</v>
      </c>
      <c r="I272" s="65">
        <v>0</v>
      </c>
      <c r="J272" s="65">
        <v>5</v>
      </c>
      <c r="K272" s="65">
        <v>0</v>
      </c>
      <c r="L272" s="65">
        <v>2</v>
      </c>
      <c r="M272" s="65">
        <v>0</v>
      </c>
      <c r="N272" s="65">
        <v>6</v>
      </c>
      <c r="P272" s="123">
        <f t="shared" si="24"/>
        <v>0</v>
      </c>
      <c r="Q272" s="123">
        <f t="shared" si="21"/>
        <v>1473.3333333333333</v>
      </c>
      <c r="R272" s="109">
        <f t="shared" si="22"/>
        <v>0</v>
      </c>
      <c r="S272" s="187"/>
      <c r="T272" s="68"/>
      <c r="U272" s="68"/>
      <c r="V272" s="68"/>
    </row>
    <row r="273" spans="1:23" s="65" customFormat="1">
      <c r="A273" s="62">
        <v>42901</v>
      </c>
      <c r="B273" s="63"/>
      <c r="C273" s="63"/>
      <c r="D273" s="65" t="s">
        <v>77</v>
      </c>
      <c r="E273" s="65">
        <v>3</v>
      </c>
      <c r="F273" s="92">
        <v>224</v>
      </c>
      <c r="G273" s="92">
        <v>1</v>
      </c>
      <c r="H273" s="65">
        <v>400</v>
      </c>
      <c r="I273" s="65">
        <v>6</v>
      </c>
      <c r="J273" s="65">
        <v>3</v>
      </c>
      <c r="K273" s="65">
        <v>6</v>
      </c>
      <c r="L273" s="65">
        <v>3</v>
      </c>
      <c r="M273" s="65">
        <v>2</v>
      </c>
      <c r="N273" s="65">
        <v>2</v>
      </c>
      <c r="P273" s="123">
        <f t="shared" si="24"/>
        <v>1866.6666666666667</v>
      </c>
      <c r="Q273" s="123">
        <f t="shared" si="21"/>
        <v>1066.6666666666665</v>
      </c>
      <c r="R273" s="109">
        <f t="shared" si="22"/>
        <v>0.63636363636363646</v>
      </c>
      <c r="S273" s="188" t="str">
        <f>D273</f>
        <v xml:space="preserve">NF-10 Low </v>
      </c>
      <c r="T273" s="68"/>
      <c r="U273" s="68"/>
      <c r="V273" s="68"/>
    </row>
    <row r="274" spans="1:23" s="65" customFormat="1">
      <c r="A274" s="62">
        <v>42901</v>
      </c>
      <c r="B274" s="63"/>
      <c r="C274" s="63"/>
      <c r="D274" s="65" t="s">
        <v>77</v>
      </c>
      <c r="E274" s="65">
        <v>3</v>
      </c>
      <c r="F274" s="92">
        <v>180</v>
      </c>
      <c r="G274" s="92">
        <v>1</v>
      </c>
      <c r="H274" s="65">
        <v>575</v>
      </c>
      <c r="I274" s="65">
        <v>40</v>
      </c>
      <c r="J274" s="65">
        <v>13</v>
      </c>
      <c r="K274" s="65">
        <v>42</v>
      </c>
      <c r="L274" s="65">
        <v>10</v>
      </c>
      <c r="M274" s="65">
        <v>20</v>
      </c>
      <c r="N274" s="65">
        <v>9</v>
      </c>
      <c r="P274" s="123">
        <f t="shared" si="24"/>
        <v>19550</v>
      </c>
      <c r="Q274" s="123">
        <f t="shared" si="21"/>
        <v>6133.333333333333</v>
      </c>
      <c r="R274" s="109">
        <f t="shared" si="22"/>
        <v>0.76119402985074636</v>
      </c>
      <c r="S274" s="186">
        <f>(SUM(P273:P276)/(SUM(P273:Q276)))</f>
        <v>0.73128702207862151</v>
      </c>
      <c r="T274" s="68"/>
    </row>
    <row r="275" spans="1:23" s="65" customFormat="1">
      <c r="A275" s="62">
        <v>42901</v>
      </c>
      <c r="B275" s="63"/>
      <c r="C275" s="63"/>
      <c r="D275" s="65" t="s">
        <v>77</v>
      </c>
      <c r="E275" s="65">
        <v>3</v>
      </c>
      <c r="F275" s="92">
        <v>100</v>
      </c>
      <c r="G275" s="92">
        <v>1</v>
      </c>
      <c r="H275" s="65">
        <v>300</v>
      </c>
      <c r="I275" s="65">
        <v>5</v>
      </c>
      <c r="J275" s="65">
        <v>1</v>
      </c>
      <c r="K275" s="65">
        <v>5</v>
      </c>
      <c r="L275" s="65">
        <v>0</v>
      </c>
      <c r="M275" s="65">
        <v>1</v>
      </c>
      <c r="N275" s="65">
        <v>2</v>
      </c>
      <c r="P275" s="123">
        <f t="shared" si="24"/>
        <v>1100</v>
      </c>
      <c r="Q275" s="123">
        <f t="shared" si="21"/>
        <v>300</v>
      </c>
      <c r="R275" s="109">
        <f t="shared" si="22"/>
        <v>0.7857142857142857</v>
      </c>
      <c r="S275" s="187"/>
      <c r="T275" s="68"/>
    </row>
    <row r="276" spans="1:23" s="65" customFormat="1">
      <c r="A276" s="62">
        <v>42901</v>
      </c>
      <c r="B276" s="63"/>
      <c r="C276" s="63"/>
      <c r="D276" s="65" t="s">
        <v>77</v>
      </c>
      <c r="E276" s="65">
        <v>3</v>
      </c>
      <c r="F276" s="92" t="s">
        <v>210</v>
      </c>
      <c r="G276" s="92">
        <v>1</v>
      </c>
      <c r="H276" s="65">
        <v>350</v>
      </c>
      <c r="I276" s="65">
        <v>0</v>
      </c>
      <c r="J276" s="65">
        <v>1</v>
      </c>
      <c r="K276" s="65">
        <v>0</v>
      </c>
      <c r="L276" s="65">
        <v>4</v>
      </c>
      <c r="M276" s="65">
        <v>1</v>
      </c>
      <c r="N276" s="65">
        <v>2</v>
      </c>
      <c r="P276" s="123">
        <f t="shared" si="24"/>
        <v>116.66666666666666</v>
      </c>
      <c r="Q276" s="123">
        <f t="shared" si="21"/>
        <v>816.66666666666674</v>
      </c>
      <c r="R276" s="109">
        <f t="shared" si="22"/>
        <v>0.12499999999999999</v>
      </c>
      <c r="S276" s="187"/>
      <c r="T276" s="68"/>
    </row>
    <row r="277" spans="1:23" s="65" customFormat="1">
      <c r="A277" s="62">
        <v>42901</v>
      </c>
      <c r="B277" s="63"/>
      <c r="C277" s="63"/>
      <c r="D277" s="64" t="s">
        <v>21</v>
      </c>
      <c r="E277" s="65">
        <v>4</v>
      </c>
      <c r="F277" s="92">
        <v>224</v>
      </c>
      <c r="G277" s="92">
        <v>1</v>
      </c>
      <c r="H277" s="65">
        <v>0</v>
      </c>
      <c r="I277" s="65">
        <v>0</v>
      </c>
      <c r="J277" s="65">
        <v>0</v>
      </c>
      <c r="K277" s="65">
        <v>0</v>
      </c>
      <c r="L277" s="65">
        <v>0</v>
      </c>
      <c r="M277" s="65">
        <v>0</v>
      </c>
      <c r="N277" s="65">
        <v>0</v>
      </c>
      <c r="P277" s="123">
        <f t="shared" si="24"/>
        <v>0</v>
      </c>
      <c r="Q277" s="123">
        <f t="shared" si="21"/>
        <v>0</v>
      </c>
      <c r="R277" s="109" t="e">
        <f t="shared" si="22"/>
        <v>#DIV/0!</v>
      </c>
      <c r="S277" s="185" t="str">
        <f>D277</f>
        <v>HL-6 Low</v>
      </c>
      <c r="T277" s="68"/>
      <c r="W277" s="65" t="s">
        <v>194</v>
      </c>
    </row>
    <row r="278" spans="1:23" s="65" customFormat="1">
      <c r="A278" s="62">
        <v>42901</v>
      </c>
      <c r="B278" s="63"/>
      <c r="C278" s="63"/>
      <c r="D278" s="64" t="s">
        <v>21</v>
      </c>
      <c r="E278" s="65">
        <v>4</v>
      </c>
      <c r="F278" s="92">
        <v>180</v>
      </c>
      <c r="G278" s="92">
        <v>1</v>
      </c>
      <c r="H278" s="65">
        <v>0</v>
      </c>
      <c r="I278" s="65">
        <v>0</v>
      </c>
      <c r="J278" s="65">
        <v>0</v>
      </c>
      <c r="K278" s="65">
        <v>0</v>
      </c>
      <c r="L278" s="65">
        <v>0</v>
      </c>
      <c r="M278" s="65">
        <v>0</v>
      </c>
      <c r="N278" s="65">
        <v>0</v>
      </c>
      <c r="P278" s="123">
        <f t="shared" si="24"/>
        <v>0</v>
      </c>
      <c r="Q278" s="123">
        <f t="shared" si="21"/>
        <v>0</v>
      </c>
      <c r="R278" s="109" t="e">
        <f t="shared" si="22"/>
        <v>#DIV/0!</v>
      </c>
      <c r="S278" s="186">
        <f>(SUM(P277:P280)/(SUM(P277:Q280)))</f>
        <v>0.97701149425287348</v>
      </c>
      <c r="T278" s="68"/>
    </row>
    <row r="279" spans="1:23" s="65" customFormat="1">
      <c r="A279" s="62">
        <v>42901</v>
      </c>
      <c r="B279" s="63"/>
      <c r="C279" s="63"/>
      <c r="D279" s="64" t="s">
        <v>21</v>
      </c>
      <c r="E279" s="65">
        <v>4</v>
      </c>
      <c r="F279" s="92">
        <v>100</v>
      </c>
      <c r="G279" s="92">
        <v>1</v>
      </c>
      <c r="H279" s="155">
        <v>500</v>
      </c>
      <c r="I279" s="65">
        <v>40</v>
      </c>
      <c r="J279" s="65">
        <v>0</v>
      </c>
      <c r="K279" s="65">
        <v>53</v>
      </c>
      <c r="L279" s="65">
        <v>0</v>
      </c>
      <c r="M279" s="65">
        <v>77</v>
      </c>
      <c r="N279" s="65">
        <v>0</v>
      </c>
      <c r="P279" s="123">
        <f t="shared" si="24"/>
        <v>28333.333333333332</v>
      </c>
      <c r="Q279" s="123">
        <f t="shared" si="21"/>
        <v>0</v>
      </c>
      <c r="R279" s="109">
        <f t="shared" si="22"/>
        <v>1</v>
      </c>
      <c r="S279" s="184"/>
      <c r="T279" s="68"/>
    </row>
    <row r="280" spans="1:23" s="65" customFormat="1">
      <c r="A280" s="62">
        <v>42901</v>
      </c>
      <c r="B280" s="63"/>
      <c r="C280" s="63"/>
      <c r="D280" s="64" t="s">
        <v>21</v>
      </c>
      <c r="E280" s="65">
        <v>4</v>
      </c>
      <c r="F280" s="92" t="s">
        <v>210</v>
      </c>
      <c r="G280" s="92">
        <v>1</v>
      </c>
      <c r="H280" s="155">
        <v>400</v>
      </c>
      <c r="I280" s="65">
        <v>0</v>
      </c>
      <c r="J280" s="65">
        <v>1</v>
      </c>
      <c r="K280" s="65">
        <v>0</v>
      </c>
      <c r="L280" s="65">
        <v>1</v>
      </c>
      <c r="M280" s="65">
        <v>0</v>
      </c>
      <c r="N280" s="65">
        <v>3</v>
      </c>
      <c r="P280" s="123">
        <f>(AVERAGE(I280,K280,M280)/G280)*H280</f>
        <v>0</v>
      </c>
      <c r="Q280" s="123">
        <f t="shared" si="21"/>
        <v>666.66666666666674</v>
      </c>
      <c r="R280" s="109">
        <f t="shared" si="22"/>
        <v>0</v>
      </c>
      <c r="S280" s="187"/>
      <c r="T280" s="68"/>
    </row>
    <row r="281" spans="1:23" s="65" customFormat="1">
      <c r="A281" s="62">
        <v>42901</v>
      </c>
      <c r="B281" s="63"/>
      <c r="C281" s="63"/>
      <c r="D281" s="64" t="s">
        <v>120</v>
      </c>
      <c r="E281" s="65">
        <v>4</v>
      </c>
      <c r="F281" s="92">
        <v>224</v>
      </c>
      <c r="G281" s="92">
        <v>1</v>
      </c>
      <c r="H281" s="65">
        <v>0</v>
      </c>
      <c r="I281" s="65">
        <v>0</v>
      </c>
      <c r="J281" s="65">
        <v>0</v>
      </c>
      <c r="K281" s="65">
        <v>0</v>
      </c>
      <c r="L281" s="65">
        <v>0</v>
      </c>
      <c r="M281" s="65">
        <v>0</v>
      </c>
      <c r="N281" s="65">
        <v>0</v>
      </c>
      <c r="P281" s="123">
        <f t="shared" si="24"/>
        <v>0</v>
      </c>
      <c r="Q281" s="123">
        <f t="shared" si="21"/>
        <v>0</v>
      </c>
      <c r="R281" s="109" t="e">
        <f t="shared" si="22"/>
        <v>#DIV/0!</v>
      </c>
      <c r="S281" s="188" t="str">
        <f>D281</f>
        <v>HL-6 Ambient</v>
      </c>
      <c r="T281" s="68"/>
    </row>
    <row r="282" spans="1:23" s="65" customFormat="1">
      <c r="A282" s="62">
        <v>42901</v>
      </c>
      <c r="B282" s="63"/>
      <c r="C282" s="63"/>
      <c r="D282" s="64" t="s">
        <v>120</v>
      </c>
      <c r="E282" s="65">
        <v>4</v>
      </c>
      <c r="F282" s="92">
        <v>180</v>
      </c>
      <c r="G282" s="92">
        <v>1</v>
      </c>
      <c r="H282" s="65">
        <v>0</v>
      </c>
      <c r="I282" s="65">
        <v>0</v>
      </c>
      <c r="J282" s="65">
        <v>0</v>
      </c>
      <c r="K282" s="65">
        <v>0</v>
      </c>
      <c r="L282" s="65">
        <v>0</v>
      </c>
      <c r="M282" s="65">
        <v>0</v>
      </c>
      <c r="N282" s="65">
        <v>0</v>
      </c>
      <c r="P282" s="123">
        <f t="shared" si="24"/>
        <v>0</v>
      </c>
      <c r="Q282" s="123">
        <f t="shared" si="21"/>
        <v>0</v>
      </c>
      <c r="R282" s="109" t="e">
        <f t="shared" si="22"/>
        <v>#DIV/0!</v>
      </c>
      <c r="S282" s="186">
        <f>(SUM(P281:P284)/(SUM(P281:Q284)))</f>
        <v>0.97079556898288022</v>
      </c>
      <c r="T282" s="68"/>
    </row>
    <row r="283" spans="1:23" s="65" customFormat="1">
      <c r="A283" s="62">
        <v>42901</v>
      </c>
      <c r="B283" s="63"/>
      <c r="C283" s="63"/>
      <c r="D283" s="64" t="s">
        <v>120</v>
      </c>
      <c r="E283" s="65">
        <v>4</v>
      </c>
      <c r="F283" s="92">
        <v>100</v>
      </c>
      <c r="G283" s="92">
        <v>1</v>
      </c>
      <c r="H283" s="155">
        <v>500</v>
      </c>
      <c r="I283" s="65">
        <v>107</v>
      </c>
      <c r="J283" s="65">
        <v>0</v>
      </c>
      <c r="K283" s="65">
        <v>102</v>
      </c>
      <c r="L283" s="65">
        <v>1</v>
      </c>
      <c r="M283" s="65">
        <v>123</v>
      </c>
      <c r="N283" s="65">
        <v>1</v>
      </c>
      <c r="P283" s="123">
        <f t="shared" si="24"/>
        <v>55333.333333333336</v>
      </c>
      <c r="Q283" s="123">
        <f t="shared" si="21"/>
        <v>333.33333333333331</v>
      </c>
      <c r="R283" s="109">
        <f t="shared" si="22"/>
        <v>0.99401197604790414</v>
      </c>
      <c r="S283" s="187"/>
      <c r="T283" s="68"/>
    </row>
    <row r="284" spans="1:23" s="65" customFormat="1">
      <c r="A284" s="62">
        <v>42901</v>
      </c>
      <c r="B284" s="63"/>
      <c r="C284" s="63"/>
      <c r="D284" s="64" t="s">
        <v>120</v>
      </c>
      <c r="E284" s="65">
        <v>4</v>
      </c>
      <c r="F284" s="92" t="s">
        <v>210</v>
      </c>
      <c r="G284" s="92">
        <v>1</v>
      </c>
      <c r="H284" s="155">
        <v>400</v>
      </c>
      <c r="I284" s="65">
        <v>22</v>
      </c>
      <c r="J284" s="65">
        <v>6</v>
      </c>
      <c r="K284" s="65">
        <v>17</v>
      </c>
      <c r="L284" s="65">
        <v>4</v>
      </c>
      <c r="M284" s="65">
        <v>28</v>
      </c>
      <c r="N284" s="65">
        <v>2</v>
      </c>
      <c r="P284" s="123">
        <f t="shared" si="24"/>
        <v>8933.3333333333321</v>
      </c>
      <c r="Q284" s="123">
        <f t="shared" si="21"/>
        <v>1600</v>
      </c>
      <c r="R284" s="109">
        <f t="shared" si="22"/>
        <v>0.84810126582278478</v>
      </c>
      <c r="S284" s="187"/>
      <c r="T284" s="68"/>
    </row>
    <row r="285" spans="1:23" s="65" customFormat="1">
      <c r="A285" s="62">
        <v>42901</v>
      </c>
      <c r="B285" s="63"/>
      <c r="C285" s="63"/>
      <c r="D285" s="65" t="s">
        <v>85</v>
      </c>
      <c r="E285" s="65">
        <v>5</v>
      </c>
      <c r="F285" s="92">
        <v>224</v>
      </c>
      <c r="G285" s="65">
        <v>1</v>
      </c>
      <c r="H285" s="65">
        <v>350</v>
      </c>
      <c r="I285" s="65">
        <v>1</v>
      </c>
      <c r="J285" s="65">
        <v>0</v>
      </c>
      <c r="K285" s="65">
        <v>0</v>
      </c>
      <c r="L285" s="65">
        <v>1</v>
      </c>
      <c r="M285" s="65">
        <v>3</v>
      </c>
      <c r="N285" s="65">
        <v>0</v>
      </c>
      <c r="P285" s="123">
        <f t="shared" si="24"/>
        <v>466.66666666666663</v>
      </c>
      <c r="Q285" s="123">
        <f t="shared" si="21"/>
        <v>116.66666666666666</v>
      </c>
      <c r="R285" s="109">
        <f t="shared" si="22"/>
        <v>0.8</v>
      </c>
      <c r="S285" s="188" t="str">
        <f>D285</f>
        <v>NF-10 Ambient</v>
      </c>
    </row>
    <row r="286" spans="1:23" s="65" customFormat="1">
      <c r="A286" s="62">
        <v>42901</v>
      </c>
      <c r="B286" s="63"/>
      <c r="C286" s="63"/>
      <c r="D286" s="65" t="s">
        <v>85</v>
      </c>
      <c r="E286" s="65">
        <v>5</v>
      </c>
      <c r="F286" s="92">
        <v>180</v>
      </c>
      <c r="G286" s="65">
        <v>1</v>
      </c>
      <c r="H286" s="65">
        <v>550</v>
      </c>
      <c r="I286" s="65">
        <v>25</v>
      </c>
      <c r="J286" s="65">
        <v>0</v>
      </c>
      <c r="K286" s="65">
        <v>37</v>
      </c>
      <c r="L286" s="65">
        <v>7</v>
      </c>
      <c r="M286" s="65">
        <v>22</v>
      </c>
      <c r="N286" s="65">
        <v>1</v>
      </c>
      <c r="P286" s="123">
        <f t="shared" si="24"/>
        <v>15400</v>
      </c>
      <c r="Q286" s="123">
        <f t="shared" si="21"/>
        <v>1466.6666666666665</v>
      </c>
      <c r="R286" s="109">
        <f t="shared" si="22"/>
        <v>0.91304347826086951</v>
      </c>
      <c r="S286" s="186">
        <f>(SUM(P285:P288)/(SUM(P285:Q288)))</f>
        <v>0.77275211806504518</v>
      </c>
    </row>
    <row r="287" spans="1:23" s="65" customFormat="1">
      <c r="A287" s="62">
        <v>42901</v>
      </c>
      <c r="B287" s="63"/>
      <c r="C287" s="63"/>
      <c r="D287" s="65" t="s">
        <v>85</v>
      </c>
      <c r="E287" s="65">
        <v>5</v>
      </c>
      <c r="F287" s="92">
        <v>100</v>
      </c>
      <c r="G287" s="65">
        <v>1</v>
      </c>
      <c r="H287" s="65">
        <v>550</v>
      </c>
      <c r="I287" s="65">
        <v>121</v>
      </c>
      <c r="J287" s="65">
        <v>4</v>
      </c>
      <c r="K287" s="65">
        <v>141</v>
      </c>
      <c r="L287" s="65">
        <v>1</v>
      </c>
      <c r="M287" s="65">
        <v>151</v>
      </c>
      <c r="N287" s="65">
        <v>3</v>
      </c>
      <c r="P287" s="123">
        <f t="shared" si="24"/>
        <v>75716.666666666657</v>
      </c>
      <c r="Q287" s="123">
        <f t="shared" si="21"/>
        <v>1466.6666666666665</v>
      </c>
      <c r="R287" s="109">
        <f t="shared" si="22"/>
        <v>0.98099762470308782</v>
      </c>
      <c r="S287" s="187"/>
    </row>
    <row r="288" spans="1:23" s="65" customFormat="1">
      <c r="A288" s="62">
        <v>42901</v>
      </c>
      <c r="B288" s="63"/>
      <c r="C288" s="63"/>
      <c r="D288" s="65" t="s">
        <v>85</v>
      </c>
      <c r="E288" s="65">
        <v>5</v>
      </c>
      <c r="F288" s="92" t="s">
        <v>210</v>
      </c>
      <c r="G288" s="65">
        <v>1</v>
      </c>
      <c r="H288" s="65">
        <v>400</v>
      </c>
      <c r="I288" s="65">
        <v>9</v>
      </c>
      <c r="J288" s="65">
        <v>85</v>
      </c>
      <c r="K288" s="65">
        <v>8</v>
      </c>
      <c r="L288" s="65">
        <v>62</v>
      </c>
      <c r="M288" s="65">
        <v>3</v>
      </c>
      <c r="N288" s="65">
        <v>38</v>
      </c>
      <c r="P288" s="123">
        <f t="shared" si="24"/>
        <v>2666.666666666667</v>
      </c>
      <c r="Q288" s="123">
        <f t="shared" si="21"/>
        <v>24666.666666666664</v>
      </c>
      <c r="R288" s="109">
        <f t="shared" si="22"/>
        <v>9.7560975609756115E-2</v>
      </c>
      <c r="S288" s="187"/>
    </row>
    <row r="289" spans="1:23" s="65" customFormat="1">
      <c r="A289" s="62">
        <v>42901</v>
      </c>
      <c r="B289" s="63"/>
      <c r="C289" s="63"/>
      <c r="D289" s="65" t="s">
        <v>37</v>
      </c>
      <c r="E289" s="65">
        <v>5</v>
      </c>
      <c r="F289" s="92">
        <v>224</v>
      </c>
      <c r="G289" s="92">
        <v>2</v>
      </c>
      <c r="H289" s="65">
        <v>340</v>
      </c>
      <c r="I289" s="65">
        <v>0</v>
      </c>
      <c r="J289" s="65">
        <v>0</v>
      </c>
      <c r="K289" s="65">
        <v>0</v>
      </c>
      <c r="L289" s="65">
        <v>0</v>
      </c>
      <c r="M289" s="65">
        <v>0</v>
      </c>
      <c r="N289" s="65">
        <v>0</v>
      </c>
      <c r="P289" s="123">
        <f t="shared" si="24"/>
        <v>0</v>
      </c>
      <c r="Q289" s="123">
        <f t="shared" si="21"/>
        <v>0</v>
      </c>
      <c r="R289" s="109" t="e">
        <f t="shared" si="22"/>
        <v>#DIV/0!</v>
      </c>
      <c r="S289" s="188" t="str">
        <f>D289</f>
        <v xml:space="preserve">K-10 Low </v>
      </c>
      <c r="T289" s="68"/>
      <c r="U289" s="68"/>
      <c r="V289" s="68"/>
      <c r="W289" s="65" t="s">
        <v>177</v>
      </c>
    </row>
    <row r="290" spans="1:23" s="65" customFormat="1">
      <c r="A290" s="62">
        <v>42901</v>
      </c>
      <c r="B290" s="63"/>
      <c r="C290" s="63"/>
      <c r="D290" s="65" t="s">
        <v>37</v>
      </c>
      <c r="E290" s="65">
        <v>5</v>
      </c>
      <c r="F290" s="92">
        <v>180</v>
      </c>
      <c r="G290" s="92">
        <v>2</v>
      </c>
      <c r="H290" s="65">
        <v>350</v>
      </c>
      <c r="I290" s="65">
        <v>7</v>
      </c>
      <c r="J290" s="65">
        <v>0</v>
      </c>
      <c r="K290" s="65">
        <v>3</v>
      </c>
      <c r="L290" s="65">
        <v>0</v>
      </c>
      <c r="M290" s="65">
        <v>3</v>
      </c>
      <c r="N290" s="65">
        <v>1</v>
      </c>
      <c r="P290" s="123">
        <f t="shared" si="24"/>
        <v>758.33333333333326</v>
      </c>
      <c r="Q290" s="123">
        <f t="shared" si="21"/>
        <v>58.333333333333329</v>
      </c>
      <c r="R290" s="109">
        <f t="shared" si="22"/>
        <v>0.92857142857142849</v>
      </c>
      <c r="S290" s="186">
        <f>(SUM(P289:P292)/(SUM(P289:Q292)))</f>
        <v>0.16666666666666666</v>
      </c>
      <c r="T290" s="68"/>
      <c r="U290" s="68"/>
      <c r="V290" s="68"/>
    </row>
    <row r="291" spans="1:23" s="65" customFormat="1">
      <c r="A291" s="62">
        <v>42901</v>
      </c>
      <c r="B291" s="63"/>
      <c r="C291" s="63"/>
      <c r="D291" s="152" t="s">
        <v>37</v>
      </c>
      <c r="E291" s="65">
        <v>5</v>
      </c>
      <c r="F291" s="92">
        <v>100</v>
      </c>
      <c r="G291" s="92">
        <v>2</v>
      </c>
      <c r="H291" s="65">
        <v>350</v>
      </c>
      <c r="I291" s="65">
        <v>14</v>
      </c>
      <c r="J291" s="65">
        <v>5</v>
      </c>
      <c r="K291" s="65">
        <v>13</v>
      </c>
      <c r="L291" s="65">
        <v>1</v>
      </c>
      <c r="M291" s="65">
        <v>17</v>
      </c>
      <c r="N291" s="65">
        <v>6</v>
      </c>
      <c r="P291" s="123">
        <f t="shared" si="24"/>
        <v>2566.6666666666665</v>
      </c>
      <c r="Q291" s="123">
        <f t="shared" si="21"/>
        <v>700</v>
      </c>
      <c r="R291" s="109">
        <f t="shared" si="22"/>
        <v>0.7857142857142857</v>
      </c>
      <c r="S291" s="187"/>
      <c r="T291" s="68"/>
      <c r="U291" s="68"/>
      <c r="V291" s="68"/>
    </row>
    <row r="292" spans="1:23" s="65" customFormat="1">
      <c r="A292" s="62">
        <v>42901</v>
      </c>
      <c r="B292" s="63"/>
      <c r="C292" s="63"/>
      <c r="D292" s="152" t="s">
        <v>37</v>
      </c>
      <c r="E292" s="65">
        <v>5</v>
      </c>
      <c r="F292" s="92" t="s">
        <v>210</v>
      </c>
      <c r="G292" s="92">
        <v>1</v>
      </c>
      <c r="H292" s="65">
        <v>400</v>
      </c>
      <c r="I292" s="65">
        <v>0</v>
      </c>
      <c r="J292" s="65">
        <v>29</v>
      </c>
      <c r="K292" s="65">
        <v>1</v>
      </c>
      <c r="L292" s="65">
        <v>70</v>
      </c>
      <c r="M292" s="65">
        <v>3</v>
      </c>
      <c r="N292" s="65">
        <v>40</v>
      </c>
      <c r="P292" s="123">
        <f t="shared" si="24"/>
        <v>533.33333333333326</v>
      </c>
      <c r="Q292" s="123">
        <f t="shared" ref="Q292:Q355" si="25">(AVERAGE(J292,L292,N292)/G292)*H292</f>
        <v>18533.333333333336</v>
      </c>
      <c r="R292" s="109">
        <f t="shared" ref="R292:R355" si="26">P292/(P292+Q292)</f>
        <v>2.7972027972027965E-2</v>
      </c>
      <c r="S292" s="187"/>
      <c r="T292" s="68"/>
      <c r="U292" s="68"/>
      <c r="V292" s="68"/>
    </row>
    <row r="293" spans="1:23" s="65" customFormat="1">
      <c r="A293" s="62">
        <v>42901</v>
      </c>
      <c r="B293" s="63"/>
      <c r="C293" s="63"/>
      <c r="D293" s="65" t="s">
        <v>88</v>
      </c>
      <c r="E293" s="65">
        <v>6</v>
      </c>
      <c r="F293" s="92">
        <v>224</v>
      </c>
      <c r="G293" s="92">
        <v>1</v>
      </c>
      <c r="H293" s="65">
        <v>350</v>
      </c>
      <c r="I293" s="65">
        <v>1</v>
      </c>
      <c r="J293" s="65">
        <v>0</v>
      </c>
      <c r="K293" s="65">
        <v>1</v>
      </c>
      <c r="L293" s="65">
        <v>0</v>
      </c>
      <c r="M293" s="65">
        <v>1</v>
      </c>
      <c r="N293" s="65">
        <v>0</v>
      </c>
      <c r="P293" s="123">
        <f t="shared" si="24"/>
        <v>350</v>
      </c>
      <c r="Q293" s="123">
        <f t="shared" si="25"/>
        <v>0</v>
      </c>
      <c r="R293" s="109">
        <f t="shared" si="26"/>
        <v>1</v>
      </c>
      <c r="S293" s="188" t="str">
        <f>D293</f>
        <v>SN-6 Ambient</v>
      </c>
      <c r="T293" s="68"/>
      <c r="U293" s="68"/>
      <c r="V293" s="68"/>
    </row>
    <row r="294" spans="1:23" s="65" customFormat="1">
      <c r="A294" s="62">
        <v>42901</v>
      </c>
      <c r="B294" s="63"/>
      <c r="C294" s="63"/>
      <c r="D294" s="65" t="s">
        <v>88</v>
      </c>
      <c r="E294" s="65">
        <v>6</v>
      </c>
      <c r="F294" s="92">
        <v>180</v>
      </c>
      <c r="G294" s="92">
        <v>1</v>
      </c>
      <c r="H294" s="65">
        <v>510</v>
      </c>
      <c r="I294" s="65">
        <v>50</v>
      </c>
      <c r="J294" s="65">
        <v>0</v>
      </c>
      <c r="L294" s="65">
        <v>49</v>
      </c>
      <c r="M294" s="65">
        <v>0</v>
      </c>
      <c r="N294" s="65">
        <v>54</v>
      </c>
      <c r="P294" s="123">
        <f>(AVERAGE(I294,K294,M294)/G294)*H294</f>
        <v>12750</v>
      </c>
      <c r="Q294" s="123">
        <f t="shared" si="25"/>
        <v>17510</v>
      </c>
      <c r="R294" s="109">
        <f t="shared" si="26"/>
        <v>0.42134831460674155</v>
      </c>
      <c r="S294" s="186">
        <f>(SUM(P293:P296)/(SUM(P293:Q296)))</f>
        <v>0.53665833367484927</v>
      </c>
      <c r="T294" s="68"/>
      <c r="U294" s="68"/>
      <c r="V294" s="68"/>
    </row>
    <row r="295" spans="1:23" s="65" customFormat="1">
      <c r="A295" s="62">
        <v>42901</v>
      </c>
      <c r="B295" s="63"/>
      <c r="C295" s="63"/>
      <c r="D295" s="65" t="s">
        <v>88</v>
      </c>
      <c r="E295" s="65">
        <v>6</v>
      </c>
      <c r="F295" s="92">
        <v>100</v>
      </c>
      <c r="G295" s="92">
        <v>1</v>
      </c>
      <c r="H295" s="65">
        <v>425</v>
      </c>
      <c r="I295" s="65">
        <v>23</v>
      </c>
      <c r="J295" s="65">
        <v>1</v>
      </c>
      <c r="K295" s="65">
        <v>15</v>
      </c>
      <c r="L295" s="65">
        <v>1</v>
      </c>
      <c r="M295" s="65">
        <v>17</v>
      </c>
      <c r="N295" s="65">
        <v>0</v>
      </c>
      <c r="P295" s="123">
        <f t="shared" si="24"/>
        <v>7791.6666666666661</v>
      </c>
      <c r="Q295" s="123">
        <f t="shared" si="25"/>
        <v>283.33333333333331</v>
      </c>
      <c r="R295" s="109">
        <f t="shared" si="26"/>
        <v>0.96491228070175439</v>
      </c>
      <c r="S295" s="187"/>
      <c r="T295" s="68"/>
      <c r="U295" s="68"/>
      <c r="V295" s="68"/>
    </row>
    <row r="296" spans="1:23" s="65" customFormat="1">
      <c r="A296" s="62">
        <v>42901</v>
      </c>
      <c r="B296" s="63"/>
      <c r="C296" s="63"/>
      <c r="D296" s="65" t="s">
        <v>88</v>
      </c>
      <c r="E296" s="65">
        <v>6</v>
      </c>
      <c r="F296" s="92" t="s">
        <v>210</v>
      </c>
      <c r="G296" s="92">
        <v>1</v>
      </c>
      <c r="H296" s="65">
        <v>350</v>
      </c>
      <c r="I296" s="65">
        <v>3</v>
      </c>
      <c r="J296" s="65">
        <v>1</v>
      </c>
      <c r="K296" s="65">
        <v>1</v>
      </c>
      <c r="L296" s="65">
        <v>5</v>
      </c>
      <c r="M296" s="65">
        <v>4</v>
      </c>
      <c r="N296" s="65">
        <v>3</v>
      </c>
      <c r="P296" s="123">
        <f t="shared" si="24"/>
        <v>933.33333333333326</v>
      </c>
      <c r="Q296" s="123">
        <f t="shared" si="25"/>
        <v>1050</v>
      </c>
      <c r="R296" s="109">
        <f t="shared" si="26"/>
        <v>0.47058823529411764</v>
      </c>
      <c r="S296" s="187"/>
      <c r="T296" s="68"/>
      <c r="U296" s="68"/>
      <c r="V296" s="68"/>
    </row>
    <row r="297" spans="1:23" s="65" customFormat="1">
      <c r="A297" s="62">
        <v>42901</v>
      </c>
      <c r="B297" s="63"/>
      <c r="C297" s="63"/>
      <c r="D297" s="65" t="s">
        <v>89</v>
      </c>
      <c r="E297" s="65">
        <v>6</v>
      </c>
      <c r="F297" s="92">
        <v>224</v>
      </c>
      <c r="G297" s="92">
        <v>1</v>
      </c>
      <c r="H297" s="65">
        <v>325</v>
      </c>
      <c r="I297" s="65">
        <v>2</v>
      </c>
      <c r="J297" s="65">
        <v>0</v>
      </c>
      <c r="K297" s="65">
        <v>8</v>
      </c>
      <c r="L297" s="65">
        <v>0</v>
      </c>
      <c r="M297" s="65">
        <v>4</v>
      </c>
      <c r="N297" s="65">
        <v>0</v>
      </c>
      <c r="P297" s="123">
        <f t="shared" si="24"/>
        <v>1516.6666666666667</v>
      </c>
      <c r="Q297" s="123">
        <f t="shared" si="25"/>
        <v>0</v>
      </c>
      <c r="R297" s="109">
        <f t="shared" si="26"/>
        <v>1</v>
      </c>
      <c r="S297" s="188" t="str">
        <f>D297</f>
        <v>HL-10 Ambient</v>
      </c>
      <c r="T297" s="68"/>
      <c r="U297" s="68"/>
      <c r="V297" s="68"/>
      <c r="W297" s="65" t="s">
        <v>179</v>
      </c>
    </row>
    <row r="298" spans="1:23" s="65" customFormat="1">
      <c r="A298" s="62">
        <v>42901</v>
      </c>
      <c r="B298" s="63"/>
      <c r="C298" s="63"/>
      <c r="D298" s="65" t="s">
        <v>89</v>
      </c>
      <c r="E298" s="65">
        <v>6</v>
      </c>
      <c r="F298" s="92">
        <v>180</v>
      </c>
      <c r="G298" s="92">
        <v>1</v>
      </c>
      <c r="H298" s="65">
        <v>600</v>
      </c>
      <c r="I298" s="65">
        <v>58</v>
      </c>
      <c r="J298" s="65">
        <v>0</v>
      </c>
      <c r="K298" s="65">
        <v>70</v>
      </c>
      <c r="L298" s="65">
        <v>2</v>
      </c>
      <c r="M298" s="65">
        <v>66</v>
      </c>
      <c r="N298" s="65">
        <v>1</v>
      </c>
      <c r="P298" s="123">
        <f t="shared" si="24"/>
        <v>38800</v>
      </c>
      <c r="Q298" s="123">
        <f t="shared" si="25"/>
        <v>600</v>
      </c>
      <c r="R298" s="109">
        <f t="shared" si="26"/>
        <v>0.98477157360406087</v>
      </c>
      <c r="S298" s="186">
        <f>(SUM(P297:P300)/(SUM(P297:Q300)))</f>
        <v>0.65169710616295551</v>
      </c>
      <c r="T298" s="68"/>
      <c r="U298" s="68"/>
      <c r="V298" s="68"/>
    </row>
    <row r="299" spans="1:23" s="65" customFormat="1">
      <c r="A299" s="62">
        <v>42901</v>
      </c>
      <c r="B299" s="63"/>
      <c r="C299" s="63"/>
      <c r="D299" s="65" t="s">
        <v>89</v>
      </c>
      <c r="E299" s="65">
        <v>6</v>
      </c>
      <c r="F299" s="92">
        <v>100</v>
      </c>
      <c r="G299" s="92">
        <v>1</v>
      </c>
      <c r="H299" s="65">
        <v>420</v>
      </c>
      <c r="I299" s="65">
        <v>22</v>
      </c>
      <c r="J299" s="65">
        <v>1</v>
      </c>
      <c r="K299" s="65">
        <v>17</v>
      </c>
      <c r="L299" s="65">
        <v>0</v>
      </c>
      <c r="M299" s="65">
        <v>25</v>
      </c>
      <c r="N299" s="65">
        <v>0</v>
      </c>
      <c r="P299" s="123">
        <f t="shared" si="24"/>
        <v>8960</v>
      </c>
      <c r="Q299" s="123">
        <f t="shared" si="25"/>
        <v>140</v>
      </c>
      <c r="R299" s="109">
        <f t="shared" si="26"/>
        <v>0.98461538461538467</v>
      </c>
      <c r="S299" s="187"/>
      <c r="T299" s="68"/>
      <c r="U299" s="68"/>
      <c r="V299" s="68"/>
    </row>
    <row r="300" spans="1:23" s="65" customFormat="1">
      <c r="A300" s="62">
        <v>42901</v>
      </c>
      <c r="B300" s="63"/>
      <c r="C300" s="63"/>
      <c r="D300" s="65" t="s">
        <v>89</v>
      </c>
      <c r="E300" s="65">
        <v>6</v>
      </c>
      <c r="F300" s="92" t="s">
        <v>210</v>
      </c>
      <c r="G300" s="92">
        <v>1</v>
      </c>
      <c r="H300" s="65">
        <v>470</v>
      </c>
      <c r="I300" s="65">
        <v>4</v>
      </c>
      <c r="J300" s="65">
        <v>63</v>
      </c>
      <c r="K300" s="65">
        <v>8</v>
      </c>
      <c r="L300" s="65">
        <v>54</v>
      </c>
      <c r="M300" s="65">
        <v>6</v>
      </c>
      <c r="N300" s="65">
        <v>56</v>
      </c>
      <c r="P300" s="123">
        <f t="shared" si="24"/>
        <v>2820</v>
      </c>
      <c r="Q300" s="123">
        <f t="shared" si="25"/>
        <v>27103.333333333332</v>
      </c>
      <c r="R300" s="109">
        <f t="shared" si="26"/>
        <v>9.4240837696335081E-2</v>
      </c>
      <c r="S300" s="187"/>
      <c r="T300" s="68"/>
      <c r="U300" s="68"/>
      <c r="V300" s="68"/>
    </row>
    <row r="301" spans="1:23" s="65" customFormat="1">
      <c r="A301" s="62">
        <v>42901</v>
      </c>
      <c r="B301" s="63"/>
      <c r="C301" s="63"/>
      <c r="D301" s="65" t="s">
        <v>139</v>
      </c>
      <c r="E301" s="65">
        <v>7</v>
      </c>
      <c r="F301" s="92">
        <v>224</v>
      </c>
      <c r="G301" s="92">
        <v>1</v>
      </c>
      <c r="H301" s="65">
        <v>525</v>
      </c>
      <c r="I301" s="65">
        <v>9</v>
      </c>
      <c r="J301" s="65">
        <v>0</v>
      </c>
      <c r="K301" s="65">
        <v>12</v>
      </c>
      <c r="L301" s="65">
        <v>0</v>
      </c>
      <c r="M301" s="65">
        <v>11</v>
      </c>
      <c r="N301" s="65">
        <v>0</v>
      </c>
      <c r="P301" s="123">
        <f t="shared" si="24"/>
        <v>5600</v>
      </c>
      <c r="Q301" s="123">
        <f t="shared" si="25"/>
        <v>0</v>
      </c>
      <c r="R301" s="109">
        <f t="shared" si="26"/>
        <v>1</v>
      </c>
      <c r="S301" s="188" t="str">
        <f>D301</f>
        <v xml:space="preserve">HL-10 Low </v>
      </c>
      <c r="T301" s="68"/>
      <c r="U301" s="68"/>
      <c r="V301" s="68"/>
    </row>
    <row r="302" spans="1:23" s="65" customFormat="1">
      <c r="A302" s="62">
        <v>42901</v>
      </c>
      <c r="B302" s="63"/>
      <c r="C302" s="63"/>
      <c r="D302" s="65" t="s">
        <v>139</v>
      </c>
      <c r="E302" s="65">
        <v>7</v>
      </c>
      <c r="F302" s="92">
        <v>180</v>
      </c>
      <c r="G302" s="92">
        <v>1</v>
      </c>
      <c r="H302" s="65">
        <v>625</v>
      </c>
      <c r="I302" s="65">
        <v>73</v>
      </c>
      <c r="J302" s="65">
        <v>0</v>
      </c>
      <c r="K302" s="65">
        <v>82</v>
      </c>
      <c r="L302" s="65">
        <v>0</v>
      </c>
      <c r="M302" s="65">
        <v>72</v>
      </c>
      <c r="N302" s="65">
        <v>0</v>
      </c>
      <c r="P302" s="123">
        <f t="shared" si="24"/>
        <v>47291.666666666672</v>
      </c>
      <c r="Q302" s="123">
        <f t="shared" si="25"/>
        <v>0</v>
      </c>
      <c r="R302" s="109">
        <f t="shared" si="26"/>
        <v>1</v>
      </c>
      <c r="S302" s="186">
        <f>(SUM(P301:P304)/(SUM(P301:Q304)))</f>
        <v>0.85204273366618355</v>
      </c>
      <c r="T302" s="68"/>
      <c r="U302" s="68"/>
      <c r="V302" s="68"/>
    </row>
    <row r="303" spans="1:23" s="65" customFormat="1">
      <c r="A303" s="62">
        <v>42901</v>
      </c>
      <c r="B303" s="63"/>
      <c r="C303" s="63"/>
      <c r="D303" s="65" t="s">
        <v>139</v>
      </c>
      <c r="E303" s="65">
        <v>7</v>
      </c>
      <c r="F303" s="92">
        <v>100</v>
      </c>
      <c r="G303" s="92">
        <v>1</v>
      </c>
      <c r="H303" s="65">
        <v>500</v>
      </c>
      <c r="I303" s="65">
        <v>141</v>
      </c>
      <c r="J303" s="65">
        <v>3</v>
      </c>
      <c r="K303" s="65">
        <v>153</v>
      </c>
      <c r="L303" s="65">
        <v>3</v>
      </c>
      <c r="M303" s="65">
        <v>175</v>
      </c>
      <c r="N303" s="65">
        <v>4</v>
      </c>
      <c r="P303" s="123">
        <f t="shared" si="24"/>
        <v>78166.666666666672</v>
      </c>
      <c r="Q303" s="123">
        <f t="shared" si="25"/>
        <v>1666.6666666666667</v>
      </c>
      <c r="R303" s="109">
        <f t="shared" si="26"/>
        <v>0.97912317327766174</v>
      </c>
      <c r="S303" s="187"/>
      <c r="T303" s="68"/>
      <c r="U303" s="68"/>
      <c r="V303" s="68"/>
    </row>
    <row r="304" spans="1:23" s="65" customFormat="1">
      <c r="A304" s="62">
        <v>42901</v>
      </c>
      <c r="B304" s="63"/>
      <c r="C304" s="63"/>
      <c r="D304" s="65" t="s">
        <v>139</v>
      </c>
      <c r="E304" s="65">
        <v>7</v>
      </c>
      <c r="F304" s="92" t="s">
        <v>210</v>
      </c>
      <c r="G304" s="92">
        <v>1</v>
      </c>
      <c r="H304" s="65">
        <v>450</v>
      </c>
      <c r="I304" s="65">
        <v>3</v>
      </c>
      <c r="J304" s="65">
        <v>44</v>
      </c>
      <c r="K304" s="65">
        <v>1</v>
      </c>
      <c r="L304" s="65">
        <v>39</v>
      </c>
      <c r="M304" s="65">
        <v>4</v>
      </c>
      <c r="N304" s="65">
        <v>59</v>
      </c>
      <c r="P304" s="123">
        <f t="shared" si="24"/>
        <v>1200</v>
      </c>
      <c r="Q304" s="123">
        <f t="shared" si="25"/>
        <v>21300</v>
      </c>
      <c r="R304" s="109">
        <f t="shared" si="26"/>
        <v>5.3333333333333337E-2</v>
      </c>
      <c r="S304" s="187"/>
      <c r="T304" s="68"/>
      <c r="U304" s="68"/>
      <c r="V304" s="68"/>
    </row>
    <row r="305" spans="1:23" s="65" customFormat="1">
      <c r="A305" s="62">
        <v>42901</v>
      </c>
      <c r="B305" s="63"/>
      <c r="C305" s="63"/>
      <c r="D305" s="65" t="s">
        <v>17</v>
      </c>
      <c r="E305" s="65">
        <v>7</v>
      </c>
      <c r="F305" s="92">
        <v>224</v>
      </c>
      <c r="G305" s="92">
        <v>1</v>
      </c>
      <c r="H305" s="65">
        <v>450</v>
      </c>
      <c r="I305" s="65">
        <v>4</v>
      </c>
      <c r="J305" s="65">
        <v>0</v>
      </c>
      <c r="K305" s="65">
        <v>8</v>
      </c>
      <c r="L305" s="65">
        <v>0</v>
      </c>
      <c r="M305" s="65">
        <v>3</v>
      </c>
      <c r="N305" s="65">
        <v>0</v>
      </c>
      <c r="P305" s="123">
        <f t="shared" si="24"/>
        <v>2250</v>
      </c>
      <c r="Q305" s="123">
        <f t="shared" si="25"/>
        <v>0</v>
      </c>
      <c r="R305" s="109">
        <f t="shared" si="26"/>
        <v>1</v>
      </c>
      <c r="S305" s="188" t="str">
        <f>D305</f>
        <v>K-10 Ambient</v>
      </c>
      <c r="T305" s="68"/>
      <c r="U305" s="68"/>
      <c r="V305" s="68"/>
    </row>
    <row r="306" spans="1:23" s="65" customFormat="1">
      <c r="A306" s="62">
        <v>42901</v>
      </c>
      <c r="B306" s="63"/>
      <c r="C306" s="63"/>
      <c r="D306" s="65" t="s">
        <v>17</v>
      </c>
      <c r="E306" s="65">
        <v>7</v>
      </c>
      <c r="F306" s="92">
        <v>180</v>
      </c>
      <c r="G306" s="92">
        <v>1</v>
      </c>
      <c r="H306" s="65">
        <v>500</v>
      </c>
      <c r="I306" s="65">
        <v>63</v>
      </c>
      <c r="J306" s="65">
        <v>4</v>
      </c>
      <c r="K306" s="65">
        <v>39</v>
      </c>
      <c r="L306" s="65">
        <v>1</v>
      </c>
      <c r="M306" s="65">
        <v>50</v>
      </c>
      <c r="N306" s="65">
        <v>3</v>
      </c>
      <c r="P306" s="123">
        <f t="shared" si="24"/>
        <v>25333.333333333332</v>
      </c>
      <c r="Q306" s="123">
        <f t="shared" si="25"/>
        <v>1333.3333333333333</v>
      </c>
      <c r="R306" s="109">
        <f t="shared" si="26"/>
        <v>0.95000000000000007</v>
      </c>
      <c r="S306" s="186">
        <f>(SUM(P305:P308)/(SUM(P305:Q308)))</f>
        <v>0.76490570458006313</v>
      </c>
      <c r="T306" s="68"/>
      <c r="U306" s="68"/>
      <c r="V306" s="68"/>
    </row>
    <row r="307" spans="1:23" s="65" customFormat="1">
      <c r="A307" s="62">
        <v>42901</v>
      </c>
      <c r="B307" s="63"/>
      <c r="C307" s="63"/>
      <c r="D307" s="65" t="s">
        <v>17</v>
      </c>
      <c r="E307" s="65">
        <v>7</v>
      </c>
      <c r="F307" s="92">
        <v>100</v>
      </c>
      <c r="G307" s="92">
        <v>1</v>
      </c>
      <c r="H307" s="65">
        <v>500</v>
      </c>
      <c r="I307" s="65">
        <v>53</v>
      </c>
      <c r="J307" s="65">
        <v>3</v>
      </c>
      <c r="K307" s="65">
        <v>58</v>
      </c>
      <c r="L307" s="65">
        <v>5</v>
      </c>
      <c r="M307" s="65">
        <v>50</v>
      </c>
      <c r="N307" s="65">
        <v>7</v>
      </c>
      <c r="P307" s="123">
        <f t="shared" si="24"/>
        <v>26833.333333333332</v>
      </c>
      <c r="Q307" s="123">
        <f t="shared" si="25"/>
        <v>2500</v>
      </c>
      <c r="R307" s="109">
        <f t="shared" si="26"/>
        <v>0.91477272727272729</v>
      </c>
      <c r="S307" s="187"/>
      <c r="T307" s="68"/>
      <c r="U307" s="68"/>
      <c r="V307" s="68"/>
    </row>
    <row r="308" spans="1:23" s="65" customFormat="1">
      <c r="A308" s="62">
        <v>42901</v>
      </c>
      <c r="B308" s="63"/>
      <c r="C308" s="63"/>
      <c r="D308" s="65" t="s">
        <v>17</v>
      </c>
      <c r="E308" s="65">
        <v>7</v>
      </c>
      <c r="F308" s="92" t="s">
        <v>210</v>
      </c>
      <c r="G308" s="92">
        <v>1</v>
      </c>
      <c r="H308" s="65">
        <v>425</v>
      </c>
      <c r="I308" s="65">
        <v>0</v>
      </c>
      <c r="J308" s="65">
        <v>28</v>
      </c>
      <c r="K308" s="65">
        <v>0</v>
      </c>
      <c r="L308" s="65">
        <v>20</v>
      </c>
      <c r="M308" s="65">
        <v>0</v>
      </c>
      <c r="N308" s="65">
        <v>43</v>
      </c>
      <c r="P308" s="123">
        <f t="shared" si="24"/>
        <v>0</v>
      </c>
      <c r="Q308" s="123">
        <f t="shared" si="25"/>
        <v>12891.666666666666</v>
      </c>
      <c r="R308" s="109">
        <f t="shared" si="26"/>
        <v>0</v>
      </c>
      <c r="S308" s="187"/>
      <c r="T308" s="68"/>
      <c r="U308" s="68"/>
      <c r="V308" s="68"/>
    </row>
    <row r="309" spans="1:23" s="65" customFormat="1">
      <c r="A309" s="62">
        <v>42901</v>
      </c>
      <c r="B309" s="63"/>
      <c r="C309" s="63"/>
      <c r="D309" s="65" t="s">
        <v>38</v>
      </c>
      <c r="E309" s="65">
        <v>8</v>
      </c>
      <c r="F309" s="92">
        <v>224</v>
      </c>
      <c r="G309" s="92">
        <v>1</v>
      </c>
      <c r="H309" s="65">
        <v>525</v>
      </c>
      <c r="I309" s="65">
        <v>5</v>
      </c>
      <c r="J309" s="65">
        <v>0</v>
      </c>
      <c r="K309" s="65">
        <v>10</v>
      </c>
      <c r="L309" s="65">
        <v>0</v>
      </c>
      <c r="M309" s="65">
        <v>8</v>
      </c>
      <c r="N309" s="65">
        <v>0</v>
      </c>
      <c r="P309" s="123">
        <f t="shared" si="24"/>
        <v>4025</v>
      </c>
      <c r="Q309" s="123">
        <f t="shared" si="25"/>
        <v>0</v>
      </c>
      <c r="R309" s="109">
        <f t="shared" si="26"/>
        <v>1</v>
      </c>
      <c r="S309" s="188" t="str">
        <f>D309</f>
        <v>K-6 Ambient</v>
      </c>
      <c r="T309" s="68"/>
      <c r="U309" s="68"/>
      <c r="V309" s="68"/>
    </row>
    <row r="310" spans="1:23" s="65" customFormat="1">
      <c r="A310" s="62">
        <v>42901</v>
      </c>
      <c r="B310" s="63"/>
      <c r="C310" s="63"/>
      <c r="D310" s="65" t="s">
        <v>38</v>
      </c>
      <c r="E310" s="65">
        <v>8</v>
      </c>
      <c r="F310" s="92">
        <v>180</v>
      </c>
      <c r="G310" s="92">
        <v>1</v>
      </c>
      <c r="H310" s="65">
        <v>560</v>
      </c>
      <c r="I310" s="65">
        <v>53</v>
      </c>
      <c r="J310" s="65">
        <v>0</v>
      </c>
      <c r="K310" s="65">
        <v>61</v>
      </c>
      <c r="L310" s="65">
        <v>0</v>
      </c>
      <c r="M310" s="65">
        <v>45</v>
      </c>
      <c r="N310" s="65">
        <v>1</v>
      </c>
      <c r="P310" s="123">
        <f t="shared" si="24"/>
        <v>29680</v>
      </c>
      <c r="Q310" s="123">
        <f t="shared" si="25"/>
        <v>186.66666666666666</v>
      </c>
      <c r="R310" s="109">
        <f t="shared" si="26"/>
        <v>0.99374999999999991</v>
      </c>
      <c r="S310" s="186">
        <f>(SUM(P309:P312)/(SUM(P309:Q312)))</f>
        <v>0.72436865611043444</v>
      </c>
      <c r="T310" s="68"/>
    </row>
    <row r="311" spans="1:23" s="65" customFormat="1">
      <c r="A311" s="62">
        <v>42901</v>
      </c>
      <c r="B311" s="63"/>
      <c r="C311" s="63"/>
      <c r="D311" s="65" t="s">
        <v>38</v>
      </c>
      <c r="E311" s="65">
        <v>8</v>
      </c>
      <c r="F311" s="92">
        <v>100</v>
      </c>
      <c r="G311" s="92">
        <v>1</v>
      </c>
      <c r="H311" s="65">
        <v>500</v>
      </c>
      <c r="I311" s="65">
        <v>69</v>
      </c>
      <c r="J311" s="65">
        <v>6</v>
      </c>
      <c r="K311" s="65">
        <v>61</v>
      </c>
      <c r="L311" s="65">
        <v>3</v>
      </c>
      <c r="M311" s="65">
        <v>77</v>
      </c>
      <c r="N311" s="65">
        <v>2</v>
      </c>
      <c r="P311" s="123">
        <f t="shared" si="24"/>
        <v>34500</v>
      </c>
      <c r="Q311" s="123">
        <f t="shared" si="25"/>
        <v>1833.3333333333333</v>
      </c>
      <c r="R311" s="109">
        <f t="shared" si="26"/>
        <v>0.94954128440366969</v>
      </c>
      <c r="S311" s="187"/>
      <c r="T311" s="68"/>
    </row>
    <row r="312" spans="1:23" s="65" customFormat="1">
      <c r="A312" s="62">
        <v>42901</v>
      </c>
      <c r="B312" s="63"/>
      <c r="C312" s="63"/>
      <c r="D312" s="65" t="s">
        <v>38</v>
      </c>
      <c r="E312" s="65">
        <v>8</v>
      </c>
      <c r="F312" s="92" t="s">
        <v>210</v>
      </c>
      <c r="G312" s="92">
        <v>1</v>
      </c>
      <c r="H312" s="65">
        <v>400</v>
      </c>
      <c r="I312" s="65">
        <v>20</v>
      </c>
      <c r="J312" s="65">
        <v>57</v>
      </c>
      <c r="K312" s="65">
        <v>4</v>
      </c>
      <c r="L312" s="65">
        <v>95</v>
      </c>
      <c r="M312" s="65">
        <v>22</v>
      </c>
      <c r="N312" s="65">
        <v>45</v>
      </c>
      <c r="P312" s="123">
        <f t="shared" si="24"/>
        <v>6133.3333333333339</v>
      </c>
      <c r="Q312" s="123">
        <f t="shared" si="25"/>
        <v>26266.666666666668</v>
      </c>
      <c r="R312" s="109">
        <f t="shared" si="26"/>
        <v>0.18930041152263377</v>
      </c>
      <c r="S312" s="187"/>
      <c r="T312" s="68"/>
    </row>
    <row r="313" spans="1:23" s="65" customFormat="1">
      <c r="A313" s="62">
        <v>42901</v>
      </c>
      <c r="B313" s="63"/>
      <c r="C313" s="63"/>
      <c r="D313" s="64" t="s">
        <v>46</v>
      </c>
      <c r="E313" s="65">
        <v>8</v>
      </c>
      <c r="F313" s="92">
        <v>224</v>
      </c>
      <c r="G313" s="92">
        <v>1</v>
      </c>
      <c r="H313" s="65">
        <v>300</v>
      </c>
      <c r="I313" s="65">
        <v>2</v>
      </c>
      <c r="J313" s="65">
        <v>0</v>
      </c>
      <c r="K313" s="65">
        <v>0</v>
      </c>
      <c r="L313" s="65">
        <v>0</v>
      </c>
      <c r="M313" s="65">
        <v>2</v>
      </c>
      <c r="N313" s="65">
        <v>0</v>
      </c>
      <c r="P313" s="123">
        <f t="shared" si="24"/>
        <v>400</v>
      </c>
      <c r="Q313" s="123">
        <f t="shared" si="25"/>
        <v>0</v>
      </c>
      <c r="R313" s="109">
        <f t="shared" si="26"/>
        <v>1</v>
      </c>
      <c r="S313" s="188" t="str">
        <f>D313</f>
        <v>K-6 Low</v>
      </c>
      <c r="T313" s="68"/>
    </row>
    <row r="314" spans="1:23" s="65" customFormat="1">
      <c r="A314" s="62">
        <v>42901</v>
      </c>
      <c r="B314" s="63"/>
      <c r="C314" s="63"/>
      <c r="D314" s="64" t="s">
        <v>46</v>
      </c>
      <c r="E314" s="65">
        <v>8</v>
      </c>
      <c r="F314" s="92">
        <v>180</v>
      </c>
      <c r="G314" s="92">
        <v>1</v>
      </c>
      <c r="H314" s="65">
        <v>450</v>
      </c>
      <c r="I314" s="65">
        <v>18</v>
      </c>
      <c r="J314" s="65">
        <v>0</v>
      </c>
      <c r="K314" s="65">
        <v>17</v>
      </c>
      <c r="L314" s="65">
        <v>0</v>
      </c>
      <c r="M314" s="65">
        <v>14</v>
      </c>
      <c r="N314" s="65">
        <v>0</v>
      </c>
      <c r="P314" s="123">
        <f t="shared" si="24"/>
        <v>7349.9999999999991</v>
      </c>
      <c r="Q314" s="123">
        <f t="shared" si="25"/>
        <v>0</v>
      </c>
      <c r="R314" s="109">
        <f t="shared" si="26"/>
        <v>1</v>
      </c>
      <c r="S314" s="186">
        <f>(SUM(P313:P316)/(SUM(P313:Q316)))</f>
        <v>0.93671955684912223</v>
      </c>
      <c r="T314" s="68"/>
    </row>
    <row r="315" spans="1:23" s="65" customFormat="1">
      <c r="A315" s="62">
        <v>42901</v>
      </c>
      <c r="B315" s="63"/>
      <c r="C315" s="63"/>
      <c r="D315" s="64" t="s">
        <v>46</v>
      </c>
      <c r="E315" s="65">
        <v>8</v>
      </c>
      <c r="F315" s="92">
        <v>100</v>
      </c>
      <c r="G315" s="92">
        <v>1</v>
      </c>
      <c r="H315" s="65">
        <v>500</v>
      </c>
      <c r="I315" s="65">
        <v>46</v>
      </c>
      <c r="J315" s="65">
        <v>3</v>
      </c>
      <c r="K315" s="65">
        <v>50</v>
      </c>
      <c r="L315" s="65">
        <v>3</v>
      </c>
      <c r="M315" s="65">
        <v>52</v>
      </c>
      <c r="N315" s="65">
        <v>1</v>
      </c>
      <c r="P315" s="123">
        <f t="shared" si="24"/>
        <v>24666.666666666668</v>
      </c>
      <c r="Q315" s="123">
        <f t="shared" si="25"/>
        <v>1166.6666666666667</v>
      </c>
      <c r="R315" s="109">
        <f t="shared" si="26"/>
        <v>0.95483870967741935</v>
      </c>
      <c r="S315" s="187"/>
      <c r="T315" s="68"/>
    </row>
    <row r="316" spans="1:23" s="72" customFormat="1" ht="16" thickBot="1">
      <c r="A316" s="69">
        <v>42901</v>
      </c>
      <c r="B316" s="70"/>
      <c r="C316" s="70"/>
      <c r="D316" s="71" t="s">
        <v>46</v>
      </c>
      <c r="E316" s="72">
        <v>8</v>
      </c>
      <c r="F316" s="153" t="s">
        <v>210</v>
      </c>
      <c r="G316" s="153">
        <v>1</v>
      </c>
      <c r="H316" s="72">
        <v>360</v>
      </c>
      <c r="I316" s="72">
        <v>1</v>
      </c>
      <c r="J316" s="72">
        <v>7</v>
      </c>
      <c r="K316" s="72">
        <v>3</v>
      </c>
      <c r="L316" s="72">
        <v>2</v>
      </c>
      <c r="M316" s="72">
        <v>3</v>
      </c>
      <c r="N316" s="72">
        <v>0</v>
      </c>
      <c r="P316" s="154">
        <f t="shared" si="24"/>
        <v>840</v>
      </c>
      <c r="Q316" s="154">
        <f t="shared" si="25"/>
        <v>1080</v>
      </c>
      <c r="R316" s="170">
        <f t="shared" si="26"/>
        <v>0.4375</v>
      </c>
      <c r="S316" s="201"/>
    </row>
    <row r="317" spans="1:23" s="78" customFormat="1">
      <c r="A317" s="75">
        <v>42905</v>
      </c>
      <c r="B317" s="76"/>
      <c r="C317" s="76"/>
      <c r="D317" s="77" t="s">
        <v>106</v>
      </c>
      <c r="E317" s="78">
        <v>1</v>
      </c>
      <c r="F317" s="89">
        <v>224</v>
      </c>
      <c r="G317" s="89">
        <v>2</v>
      </c>
      <c r="H317" s="78">
        <v>360</v>
      </c>
      <c r="I317" s="78">
        <v>0</v>
      </c>
      <c r="J317" s="78">
        <v>0</v>
      </c>
      <c r="K317" s="78">
        <v>2</v>
      </c>
      <c r="L317" s="78">
        <v>0</v>
      </c>
      <c r="M317" s="78">
        <v>1</v>
      </c>
      <c r="N317" s="78">
        <v>0</v>
      </c>
      <c r="O317" s="78">
        <f t="shared" ref="O317" si="27">(AVERAGE(I317,K317,M317)/((AVERAGE(I317,K317,M317)+AVERAGE(J317,L317,N317))))</f>
        <v>1</v>
      </c>
      <c r="P317" s="125">
        <f>(AVERAGE(I317,K317,M317)/G317)*H317</f>
        <v>180</v>
      </c>
      <c r="Q317" s="125">
        <f t="shared" si="25"/>
        <v>0</v>
      </c>
      <c r="R317" s="165">
        <f t="shared" si="26"/>
        <v>1</v>
      </c>
      <c r="S317" s="178" t="str">
        <f>D317</f>
        <v>NF-6 Low</v>
      </c>
      <c r="T317" s="79"/>
      <c r="U317" s="79"/>
      <c r="V317" s="79"/>
    </row>
    <row r="318" spans="1:23" s="83" customFormat="1">
      <c r="A318" s="80">
        <v>42905</v>
      </c>
      <c r="B318" s="81"/>
      <c r="C318" s="81"/>
      <c r="D318" s="82" t="s">
        <v>106</v>
      </c>
      <c r="E318" s="83">
        <v>1</v>
      </c>
      <c r="F318" s="90">
        <v>180</v>
      </c>
      <c r="G318" s="90">
        <v>1</v>
      </c>
      <c r="H318" s="83">
        <v>500</v>
      </c>
      <c r="I318" s="83">
        <v>19</v>
      </c>
      <c r="J318" s="83">
        <v>1</v>
      </c>
      <c r="K318" s="83">
        <v>16</v>
      </c>
      <c r="L318" s="83">
        <v>0</v>
      </c>
      <c r="M318" s="90">
        <v>20</v>
      </c>
      <c r="N318" s="83">
        <v>1</v>
      </c>
      <c r="P318" s="127">
        <f t="shared" ref="P318:P380" si="28">(AVERAGE(I318,K318,M318)/G318)*H318</f>
        <v>9166.6666666666661</v>
      </c>
      <c r="Q318" s="127">
        <f t="shared" si="25"/>
        <v>333.33333333333331</v>
      </c>
      <c r="R318" s="166">
        <f t="shared" si="26"/>
        <v>0.96491228070175428</v>
      </c>
      <c r="S318" s="190">
        <f>(SUM(P317:P320)/(SUM(P317:Q320)))</f>
        <v>0.91562763663635505</v>
      </c>
      <c r="T318" s="84"/>
      <c r="U318" s="84"/>
      <c r="V318" s="84"/>
      <c r="W318" s="83" t="s">
        <v>215</v>
      </c>
    </row>
    <row r="319" spans="1:23" s="83" customFormat="1">
      <c r="A319" s="80">
        <v>42905</v>
      </c>
      <c r="B319" s="81"/>
      <c r="C319" s="81"/>
      <c r="D319" s="82" t="s">
        <v>106</v>
      </c>
      <c r="E319" s="83">
        <v>1</v>
      </c>
      <c r="F319" s="90">
        <v>100</v>
      </c>
      <c r="G319" s="90">
        <v>0.5</v>
      </c>
      <c r="H319" s="83">
        <v>800</v>
      </c>
      <c r="I319" s="83">
        <v>33</v>
      </c>
      <c r="J319" s="83">
        <v>0</v>
      </c>
      <c r="K319" s="83">
        <v>38</v>
      </c>
      <c r="L319" s="83">
        <v>0</v>
      </c>
      <c r="M319" s="83">
        <v>32</v>
      </c>
      <c r="N319" s="83">
        <v>0</v>
      </c>
      <c r="P319" s="127">
        <f t="shared" si="28"/>
        <v>54933.333333333336</v>
      </c>
      <c r="Q319" s="127">
        <f t="shared" si="25"/>
        <v>0</v>
      </c>
      <c r="R319" s="166">
        <f t="shared" si="26"/>
        <v>1</v>
      </c>
      <c r="S319" s="190"/>
      <c r="T319" s="84"/>
      <c r="U319" s="84"/>
      <c r="V319" s="84"/>
    </row>
    <row r="320" spans="1:23" s="83" customFormat="1">
      <c r="A320" s="80">
        <v>42905</v>
      </c>
      <c r="B320" s="81"/>
      <c r="C320" s="81"/>
      <c r="D320" s="82" t="s">
        <v>106</v>
      </c>
      <c r="E320" s="83">
        <v>1</v>
      </c>
      <c r="F320" s="90" t="s">
        <v>210</v>
      </c>
      <c r="G320" s="90">
        <v>1</v>
      </c>
      <c r="H320" s="83">
        <v>500</v>
      </c>
      <c r="I320" s="83">
        <v>1</v>
      </c>
      <c r="J320" s="83">
        <v>16</v>
      </c>
      <c r="K320" s="83">
        <v>2</v>
      </c>
      <c r="L320" s="83">
        <v>11</v>
      </c>
      <c r="M320" s="83">
        <v>2</v>
      </c>
      <c r="N320" s="83">
        <v>7</v>
      </c>
      <c r="P320" s="127">
        <f t="shared" si="28"/>
        <v>833.33333333333337</v>
      </c>
      <c r="Q320" s="127">
        <f t="shared" si="25"/>
        <v>5666.666666666667</v>
      </c>
      <c r="R320" s="166">
        <f t="shared" si="26"/>
        <v>0.12820512820512822</v>
      </c>
      <c r="S320" s="193"/>
      <c r="T320" s="84"/>
      <c r="U320" s="84"/>
      <c r="V320" s="84"/>
    </row>
    <row r="321" spans="1:23" s="83" customFormat="1">
      <c r="A321" s="195">
        <v>42905</v>
      </c>
      <c r="B321" s="81"/>
      <c r="C321" s="81"/>
      <c r="D321" s="83" t="s">
        <v>78</v>
      </c>
      <c r="E321" s="83">
        <v>1</v>
      </c>
      <c r="F321" s="90">
        <v>224</v>
      </c>
      <c r="G321" s="90">
        <v>1</v>
      </c>
      <c r="H321" s="83">
        <v>520</v>
      </c>
      <c r="I321" s="83">
        <v>4</v>
      </c>
      <c r="J321" s="83">
        <v>2</v>
      </c>
      <c r="K321" s="83">
        <v>3</v>
      </c>
      <c r="L321" s="83">
        <v>4</v>
      </c>
      <c r="M321" s="83">
        <v>6</v>
      </c>
      <c r="N321" s="83">
        <v>4</v>
      </c>
      <c r="P321" s="127">
        <f t="shared" si="28"/>
        <v>2253.333333333333</v>
      </c>
      <c r="Q321" s="127">
        <f t="shared" si="25"/>
        <v>1733.3333333333335</v>
      </c>
      <c r="R321" s="166">
        <f t="shared" si="26"/>
        <v>0.56521739130434778</v>
      </c>
      <c r="S321" s="194" t="str">
        <f>D321</f>
        <v>SN-6 Low</v>
      </c>
      <c r="T321" s="84"/>
      <c r="U321" s="84"/>
      <c r="V321" s="84"/>
    </row>
    <row r="322" spans="1:23" s="83" customFormat="1">
      <c r="A322" s="195">
        <v>42905</v>
      </c>
      <c r="B322" s="81"/>
      <c r="C322" s="81"/>
      <c r="D322" s="83" t="s">
        <v>78</v>
      </c>
      <c r="E322" s="83">
        <v>1</v>
      </c>
      <c r="F322" s="90">
        <v>180</v>
      </c>
      <c r="G322" s="90">
        <v>1</v>
      </c>
      <c r="H322" s="243">
        <v>830</v>
      </c>
      <c r="I322" s="83">
        <v>4</v>
      </c>
      <c r="J322" s="83">
        <v>25</v>
      </c>
      <c r="K322" s="83">
        <v>9</v>
      </c>
      <c r="L322" s="83">
        <v>15</v>
      </c>
      <c r="M322" s="83">
        <v>8</v>
      </c>
      <c r="N322" s="83">
        <v>22</v>
      </c>
      <c r="P322" s="127">
        <f t="shared" si="28"/>
        <v>5810</v>
      </c>
      <c r="Q322" s="127">
        <f t="shared" si="25"/>
        <v>17153.333333333336</v>
      </c>
      <c r="R322" s="166">
        <f t="shared" si="26"/>
        <v>0.25301204819277107</v>
      </c>
      <c r="S322" s="192">
        <f>(SUM(P321:P324)/(SUM(P321:Q324)))</f>
        <v>0.34762020990969006</v>
      </c>
      <c r="T322" s="84"/>
      <c r="U322" s="84"/>
      <c r="V322" s="84"/>
    </row>
    <row r="323" spans="1:23" s="83" customFormat="1">
      <c r="A323" s="195">
        <v>42905</v>
      </c>
      <c r="B323" s="81"/>
      <c r="C323" s="81"/>
      <c r="D323" s="83" t="s">
        <v>78</v>
      </c>
      <c r="E323" s="83">
        <v>1</v>
      </c>
      <c r="F323" s="90">
        <v>100</v>
      </c>
      <c r="G323" s="90">
        <v>1</v>
      </c>
      <c r="H323" s="243">
        <v>580</v>
      </c>
      <c r="I323" s="83">
        <v>78</v>
      </c>
      <c r="J323" s="83">
        <v>7</v>
      </c>
      <c r="K323" s="83">
        <v>63</v>
      </c>
      <c r="L323" s="83">
        <v>2</v>
      </c>
      <c r="M323" s="83">
        <v>62</v>
      </c>
      <c r="N323" s="83">
        <v>1</v>
      </c>
      <c r="P323" s="127">
        <f t="shared" si="28"/>
        <v>39246.666666666672</v>
      </c>
      <c r="Q323" s="127">
        <f t="shared" si="25"/>
        <v>1933.3333333333335</v>
      </c>
      <c r="R323" s="166">
        <f t="shared" si="26"/>
        <v>0.95305164319248825</v>
      </c>
      <c r="S323" s="193"/>
      <c r="T323" s="84"/>
      <c r="U323" s="84"/>
      <c r="V323" s="84"/>
    </row>
    <row r="324" spans="1:23" s="83" customFormat="1">
      <c r="A324" s="195">
        <v>42905</v>
      </c>
      <c r="B324" s="81"/>
      <c r="C324" s="81"/>
      <c r="D324" s="83" t="s">
        <v>78</v>
      </c>
      <c r="E324" s="83">
        <v>1</v>
      </c>
      <c r="F324" s="90" t="s">
        <v>210</v>
      </c>
      <c r="G324" s="90">
        <v>1</v>
      </c>
      <c r="H324" s="243">
        <v>490</v>
      </c>
      <c r="I324" s="83">
        <v>1</v>
      </c>
      <c r="J324" s="83">
        <v>126</v>
      </c>
      <c r="K324" s="83">
        <v>0</v>
      </c>
      <c r="L324" s="83">
        <v>144</v>
      </c>
      <c r="M324" s="83">
        <v>0</v>
      </c>
      <c r="N324" s="83">
        <v>148</v>
      </c>
      <c r="P324" s="127">
        <f t="shared" si="28"/>
        <v>163.33333333333331</v>
      </c>
      <c r="Q324" s="127">
        <f t="shared" si="25"/>
        <v>68273.333333333343</v>
      </c>
      <c r="R324" s="166">
        <f t="shared" si="26"/>
        <v>2.3866348448687348E-3</v>
      </c>
      <c r="S324" s="193"/>
      <c r="T324" s="84"/>
      <c r="U324" s="84"/>
      <c r="V324" s="84"/>
    </row>
    <row r="325" spans="1:23" s="83" customFormat="1">
      <c r="A325" s="195">
        <v>42905</v>
      </c>
      <c r="B325" s="81"/>
      <c r="C325" s="81"/>
      <c r="D325" s="83" t="s">
        <v>86</v>
      </c>
      <c r="E325" s="83">
        <v>2</v>
      </c>
      <c r="F325" s="90">
        <v>224</v>
      </c>
      <c r="G325" s="90">
        <v>1</v>
      </c>
      <c r="H325" s="243">
        <v>500</v>
      </c>
      <c r="I325" s="83">
        <v>4</v>
      </c>
      <c r="J325" s="83">
        <v>0</v>
      </c>
      <c r="K325" s="83">
        <v>5</v>
      </c>
      <c r="L325" s="83">
        <v>1</v>
      </c>
      <c r="M325" s="83">
        <v>4</v>
      </c>
      <c r="N325" s="83">
        <v>0</v>
      </c>
      <c r="P325" s="127">
        <f t="shared" si="28"/>
        <v>2166.6666666666665</v>
      </c>
      <c r="Q325" s="127">
        <f t="shared" si="25"/>
        <v>166.66666666666666</v>
      </c>
      <c r="R325" s="166">
        <f t="shared" si="26"/>
        <v>0.9285714285714286</v>
      </c>
      <c r="S325" s="194" t="str">
        <f>D325</f>
        <v>NF-6 Ambient</v>
      </c>
      <c r="T325" s="84"/>
      <c r="U325" s="84"/>
      <c r="V325" s="84"/>
      <c r="W325" s="83" t="s">
        <v>216</v>
      </c>
    </row>
    <row r="326" spans="1:23" s="83" customFormat="1">
      <c r="A326" s="195">
        <v>42905</v>
      </c>
      <c r="B326" s="81"/>
      <c r="C326" s="81"/>
      <c r="D326" s="83" t="s">
        <v>86</v>
      </c>
      <c r="E326" s="83">
        <v>2</v>
      </c>
      <c r="F326" s="90">
        <v>180</v>
      </c>
      <c r="G326" s="90">
        <v>1</v>
      </c>
      <c r="H326" s="243">
        <v>790</v>
      </c>
      <c r="I326" s="83">
        <v>23</v>
      </c>
      <c r="J326" s="83">
        <v>7</v>
      </c>
      <c r="K326" s="83">
        <v>23</v>
      </c>
      <c r="L326" s="83">
        <v>2</v>
      </c>
      <c r="M326" s="83">
        <v>20</v>
      </c>
      <c r="N326" s="83">
        <v>7</v>
      </c>
      <c r="P326" s="127">
        <f t="shared" si="28"/>
        <v>17380</v>
      </c>
      <c r="Q326" s="127">
        <f t="shared" si="25"/>
        <v>4213.333333333333</v>
      </c>
      <c r="R326" s="166">
        <f t="shared" si="26"/>
        <v>0.80487804878048785</v>
      </c>
      <c r="S326" s="192">
        <f>(SUM(P325:P328)/(SUM(P325:Q328)))</f>
        <v>0.76965725806451624</v>
      </c>
      <c r="T326" s="84"/>
      <c r="U326" s="84"/>
      <c r="V326" s="84"/>
    </row>
    <row r="327" spans="1:23" s="83" customFormat="1">
      <c r="A327" s="195">
        <v>42905</v>
      </c>
      <c r="B327" s="81"/>
      <c r="C327" s="81"/>
      <c r="D327" s="83" t="s">
        <v>86</v>
      </c>
      <c r="E327" s="83">
        <v>2</v>
      </c>
      <c r="F327" s="90">
        <v>100</v>
      </c>
      <c r="G327" s="90">
        <v>1</v>
      </c>
      <c r="H327" s="243">
        <v>475</v>
      </c>
      <c r="I327" s="83">
        <v>1</v>
      </c>
      <c r="J327" s="83">
        <v>2</v>
      </c>
      <c r="K327" s="83">
        <v>1</v>
      </c>
      <c r="L327" s="83">
        <v>0</v>
      </c>
      <c r="M327" s="83">
        <v>2</v>
      </c>
      <c r="N327" s="83">
        <v>2</v>
      </c>
      <c r="P327" s="127">
        <f t="shared" si="28"/>
        <v>633.33333333333326</v>
      </c>
      <c r="Q327" s="127">
        <f t="shared" si="25"/>
        <v>633.33333333333326</v>
      </c>
      <c r="R327" s="166">
        <f t="shared" si="26"/>
        <v>0.5</v>
      </c>
      <c r="S327" s="193"/>
      <c r="T327" s="84"/>
      <c r="U327" s="84"/>
      <c r="V327" s="84"/>
    </row>
    <row r="328" spans="1:23" s="83" customFormat="1">
      <c r="A328" s="195">
        <v>42905</v>
      </c>
      <c r="B328" s="81"/>
      <c r="C328" s="81"/>
      <c r="D328" s="83" t="s">
        <v>86</v>
      </c>
      <c r="E328" s="83">
        <v>2</v>
      </c>
      <c r="F328" s="90" t="s">
        <v>210</v>
      </c>
      <c r="G328" s="90">
        <v>1</v>
      </c>
      <c r="H328" s="243">
        <v>540</v>
      </c>
      <c r="I328" s="83">
        <v>0</v>
      </c>
      <c r="J328" s="83">
        <v>4</v>
      </c>
      <c r="K328" s="83">
        <v>0</v>
      </c>
      <c r="L328" s="83">
        <v>1</v>
      </c>
      <c r="M328" s="83">
        <v>1</v>
      </c>
      <c r="N328" s="83">
        <v>1</v>
      </c>
      <c r="P328" s="127">
        <f>(AVERAGE(I328,K328,M328)/G328)*H328</f>
        <v>180</v>
      </c>
      <c r="Q328" s="127">
        <f t="shared" si="25"/>
        <v>1080</v>
      </c>
      <c r="R328" s="166">
        <f t="shared" si="26"/>
        <v>0.14285714285714285</v>
      </c>
      <c r="S328" s="193"/>
      <c r="T328" s="84"/>
      <c r="U328" s="84"/>
      <c r="V328" s="84"/>
    </row>
    <row r="329" spans="1:23" s="83" customFormat="1">
      <c r="A329" s="195">
        <v>42905</v>
      </c>
      <c r="B329" s="81"/>
      <c r="C329" s="81"/>
      <c r="D329" s="82" t="s">
        <v>87</v>
      </c>
      <c r="E329" s="83">
        <v>2</v>
      </c>
      <c r="F329" s="90">
        <v>224</v>
      </c>
      <c r="G329" s="90">
        <v>1</v>
      </c>
      <c r="H329" s="243">
        <v>800</v>
      </c>
      <c r="I329" s="83">
        <v>32</v>
      </c>
      <c r="J329" s="83">
        <v>1</v>
      </c>
      <c r="K329" s="83">
        <v>22</v>
      </c>
      <c r="L329" s="83">
        <v>6</v>
      </c>
      <c r="M329" s="83">
        <v>19</v>
      </c>
      <c r="N329" s="83">
        <v>4</v>
      </c>
      <c r="P329" s="127">
        <f>(AVERAGE(I329,K329,M329)/G329)*H329</f>
        <v>19466.666666666664</v>
      </c>
      <c r="Q329" s="127">
        <f t="shared" si="25"/>
        <v>2933.333333333333</v>
      </c>
      <c r="R329" s="166">
        <f t="shared" si="26"/>
        <v>0.86904761904761907</v>
      </c>
      <c r="S329" s="194" t="str">
        <f>D329</f>
        <v>SN-10 Ambient</v>
      </c>
      <c r="T329" s="84"/>
      <c r="U329" s="84"/>
      <c r="V329" s="84"/>
      <c r="W329" s="83" t="s">
        <v>213</v>
      </c>
    </row>
    <row r="330" spans="1:23" s="83" customFormat="1">
      <c r="A330" s="195">
        <v>42905</v>
      </c>
      <c r="B330" s="81"/>
      <c r="C330" s="81"/>
      <c r="D330" s="82" t="s">
        <v>87</v>
      </c>
      <c r="E330" s="83">
        <v>2</v>
      </c>
      <c r="F330" s="90">
        <v>180</v>
      </c>
      <c r="G330" s="90">
        <v>1</v>
      </c>
      <c r="H330" s="243">
        <v>800</v>
      </c>
      <c r="I330" s="83">
        <v>27</v>
      </c>
      <c r="J330" s="83">
        <v>15</v>
      </c>
      <c r="K330" s="83">
        <v>40</v>
      </c>
      <c r="L330" s="83">
        <v>16</v>
      </c>
      <c r="M330" s="83">
        <v>40</v>
      </c>
      <c r="N330" s="83">
        <v>21</v>
      </c>
      <c r="P330" s="127">
        <f t="shared" ref="P330:P380" si="29">(AVERAGE(I330,K330,M330)/G330)*H330</f>
        <v>28533.333333333332</v>
      </c>
      <c r="Q330" s="127">
        <f t="shared" si="25"/>
        <v>13866.666666666666</v>
      </c>
      <c r="R330" s="166">
        <f t="shared" si="26"/>
        <v>0.67295597484276726</v>
      </c>
      <c r="S330" s="192">
        <f>(SUM(P329:P332)/(SUM(P329:Q332)))</f>
        <v>0.68926981300089052</v>
      </c>
      <c r="T330" s="84"/>
      <c r="U330" s="84"/>
      <c r="V330" s="84"/>
      <c r="W330" s="83" t="s">
        <v>213</v>
      </c>
    </row>
    <row r="331" spans="1:23" s="83" customFormat="1">
      <c r="A331" s="195">
        <v>42905</v>
      </c>
      <c r="B331" s="81"/>
      <c r="C331" s="81"/>
      <c r="D331" s="82" t="s">
        <v>87</v>
      </c>
      <c r="E331" s="83">
        <v>2</v>
      </c>
      <c r="F331" s="90">
        <v>100</v>
      </c>
      <c r="G331" s="90">
        <v>1</v>
      </c>
      <c r="H331" s="243">
        <v>490</v>
      </c>
      <c r="I331" s="83">
        <v>137</v>
      </c>
      <c r="J331" s="83">
        <v>1</v>
      </c>
      <c r="K331" s="83">
        <v>108</v>
      </c>
      <c r="L331" s="83">
        <v>1</v>
      </c>
      <c r="M331" s="83">
        <v>92</v>
      </c>
      <c r="N331" s="83">
        <v>3</v>
      </c>
      <c r="P331" s="127">
        <f t="shared" si="29"/>
        <v>55043.333333333328</v>
      </c>
      <c r="Q331" s="127">
        <f t="shared" si="25"/>
        <v>816.66666666666674</v>
      </c>
      <c r="R331" s="166">
        <f t="shared" si="26"/>
        <v>0.98538011695906436</v>
      </c>
      <c r="S331" s="193"/>
      <c r="T331" s="84"/>
      <c r="U331" s="84"/>
      <c r="V331" s="84"/>
      <c r="W331" s="83" t="s">
        <v>213</v>
      </c>
    </row>
    <row r="332" spans="1:23" s="83" customFormat="1">
      <c r="A332" s="195">
        <v>42905</v>
      </c>
      <c r="B332" s="81"/>
      <c r="C332" s="81"/>
      <c r="D332" s="82" t="s">
        <v>87</v>
      </c>
      <c r="E332" s="83">
        <v>2</v>
      </c>
      <c r="F332" s="90" t="s">
        <v>210</v>
      </c>
      <c r="G332" s="90">
        <v>1</v>
      </c>
      <c r="H332" s="243">
        <v>490</v>
      </c>
      <c r="I332" s="83">
        <v>0</v>
      </c>
      <c r="J332" s="83">
        <v>63</v>
      </c>
      <c r="K332" s="83">
        <v>1</v>
      </c>
      <c r="L332" s="83">
        <v>53</v>
      </c>
      <c r="M332" s="83">
        <v>0</v>
      </c>
      <c r="N332" s="83">
        <v>61</v>
      </c>
      <c r="P332" s="127">
        <f t="shared" si="29"/>
        <v>163.33333333333331</v>
      </c>
      <c r="Q332" s="127">
        <f t="shared" si="25"/>
        <v>28910</v>
      </c>
      <c r="R332" s="166">
        <f t="shared" si="26"/>
        <v>5.6179775280898875E-3</v>
      </c>
      <c r="S332" s="193"/>
      <c r="T332" s="84"/>
      <c r="U332" s="84"/>
      <c r="V332" s="84"/>
      <c r="W332" s="83" t="s">
        <v>213</v>
      </c>
    </row>
    <row r="333" spans="1:23" s="83" customFormat="1">
      <c r="A333" s="195">
        <v>42905</v>
      </c>
      <c r="B333" s="81"/>
      <c r="C333" s="81"/>
      <c r="D333" s="83" t="s">
        <v>140</v>
      </c>
      <c r="E333" s="83">
        <v>3</v>
      </c>
      <c r="F333" s="90">
        <v>224</v>
      </c>
      <c r="G333" s="90">
        <v>1</v>
      </c>
      <c r="H333" s="243">
        <v>500</v>
      </c>
      <c r="I333" s="83">
        <v>0</v>
      </c>
      <c r="J333" s="83">
        <v>8</v>
      </c>
      <c r="K333" s="83">
        <v>1</v>
      </c>
      <c r="L333" s="83">
        <v>10</v>
      </c>
      <c r="M333" s="83">
        <v>0</v>
      </c>
      <c r="N333" s="83">
        <v>14</v>
      </c>
      <c r="P333" s="127">
        <f t="shared" si="29"/>
        <v>166.66666666666666</v>
      </c>
      <c r="Q333" s="127">
        <f t="shared" si="25"/>
        <v>5333.333333333333</v>
      </c>
      <c r="R333" s="166">
        <f t="shared" si="26"/>
        <v>3.03030303030303E-2</v>
      </c>
      <c r="S333" s="194" t="str">
        <f>D333</f>
        <v xml:space="preserve">SN-10 Low </v>
      </c>
      <c r="T333" s="84"/>
      <c r="U333" s="84"/>
      <c r="V333" s="84"/>
    </row>
    <row r="334" spans="1:23" s="83" customFormat="1">
      <c r="A334" s="195">
        <v>42905</v>
      </c>
      <c r="B334" s="81"/>
      <c r="C334" s="81"/>
      <c r="D334" s="83" t="s">
        <v>140</v>
      </c>
      <c r="E334" s="83">
        <v>3</v>
      </c>
      <c r="F334" s="90">
        <v>180</v>
      </c>
      <c r="G334" s="90">
        <v>1</v>
      </c>
      <c r="H334" s="243">
        <v>500</v>
      </c>
      <c r="I334" s="83">
        <v>7</v>
      </c>
      <c r="J334" s="83">
        <v>30</v>
      </c>
      <c r="K334" s="83">
        <v>1</v>
      </c>
      <c r="L334" s="83">
        <v>32</v>
      </c>
      <c r="M334" s="83">
        <v>2</v>
      </c>
      <c r="N334" s="83">
        <v>38</v>
      </c>
      <c r="P334" s="127">
        <f t="shared" si="29"/>
        <v>1666.6666666666667</v>
      </c>
      <c r="Q334" s="127">
        <f t="shared" si="25"/>
        <v>16666.666666666668</v>
      </c>
      <c r="R334" s="166">
        <f t="shared" si="26"/>
        <v>9.0909090909090898E-2</v>
      </c>
      <c r="S334" s="192">
        <f>(SUM(P333:P336)/(SUM(P333:Q336)))</f>
        <v>0.52659053833605229</v>
      </c>
      <c r="T334" s="84"/>
      <c r="U334" s="84"/>
      <c r="V334" s="84"/>
    </row>
    <row r="335" spans="1:23" s="83" customFormat="1">
      <c r="A335" s="195">
        <v>42905</v>
      </c>
      <c r="B335" s="81"/>
      <c r="C335" s="81"/>
      <c r="D335" s="83" t="s">
        <v>140</v>
      </c>
      <c r="E335" s="83">
        <v>3</v>
      </c>
      <c r="F335" s="90">
        <v>100</v>
      </c>
      <c r="G335" s="90">
        <v>1</v>
      </c>
      <c r="H335" s="243">
        <v>800</v>
      </c>
      <c r="I335" s="83">
        <v>50</v>
      </c>
      <c r="J335" s="83">
        <v>6</v>
      </c>
      <c r="K335" s="83">
        <v>66</v>
      </c>
      <c r="L335" s="83">
        <v>4</v>
      </c>
      <c r="M335" s="83">
        <v>77</v>
      </c>
      <c r="N335" s="83">
        <v>7</v>
      </c>
      <c r="P335" s="127">
        <f t="shared" si="29"/>
        <v>51466.666666666664</v>
      </c>
      <c r="Q335" s="127">
        <f t="shared" si="25"/>
        <v>4533.3333333333339</v>
      </c>
      <c r="R335" s="166">
        <f t="shared" si="26"/>
        <v>0.919047619047619</v>
      </c>
      <c r="S335" s="193"/>
      <c r="T335" s="84"/>
      <c r="U335" s="84"/>
      <c r="V335" s="84"/>
    </row>
    <row r="336" spans="1:23" s="83" customFormat="1">
      <c r="A336" s="195">
        <v>42905</v>
      </c>
      <c r="B336" s="81"/>
      <c r="C336" s="81"/>
      <c r="D336" s="83" t="s">
        <v>140</v>
      </c>
      <c r="E336" s="83">
        <v>3</v>
      </c>
      <c r="F336" s="90" t="s">
        <v>210</v>
      </c>
      <c r="G336" s="90">
        <v>1</v>
      </c>
      <c r="H336" s="243">
        <v>500</v>
      </c>
      <c r="I336" s="83">
        <v>0</v>
      </c>
      <c r="J336" s="83">
        <v>35</v>
      </c>
      <c r="K336" s="83">
        <v>3</v>
      </c>
      <c r="L336" s="83">
        <v>48</v>
      </c>
      <c r="M336" s="83">
        <v>0</v>
      </c>
      <c r="N336" s="83">
        <v>48</v>
      </c>
      <c r="P336" s="127">
        <f t="shared" si="29"/>
        <v>500</v>
      </c>
      <c r="Q336" s="127">
        <f t="shared" si="25"/>
        <v>21833.333333333332</v>
      </c>
      <c r="R336" s="166">
        <f t="shared" si="26"/>
        <v>2.2388059701492539E-2</v>
      </c>
      <c r="S336" s="193"/>
      <c r="T336" s="84"/>
      <c r="U336" s="84"/>
      <c r="V336" s="84"/>
    </row>
    <row r="337" spans="1:23" s="83" customFormat="1">
      <c r="A337" s="195">
        <v>42905</v>
      </c>
      <c r="B337" s="81"/>
      <c r="C337" s="81"/>
      <c r="D337" s="83" t="s">
        <v>120</v>
      </c>
      <c r="E337" s="83">
        <v>3</v>
      </c>
      <c r="F337" s="90">
        <v>224</v>
      </c>
      <c r="G337" s="90">
        <v>1</v>
      </c>
      <c r="H337" s="243">
        <v>300</v>
      </c>
      <c r="I337" s="83">
        <v>0</v>
      </c>
      <c r="J337" s="83">
        <v>0</v>
      </c>
      <c r="K337" s="83">
        <v>0</v>
      </c>
      <c r="L337" s="83">
        <v>0</v>
      </c>
      <c r="M337" s="83">
        <v>0</v>
      </c>
      <c r="N337" s="83">
        <v>0</v>
      </c>
      <c r="P337" s="127">
        <f t="shared" si="29"/>
        <v>0</v>
      </c>
      <c r="Q337" s="127">
        <f t="shared" si="25"/>
        <v>0</v>
      </c>
      <c r="R337" s="166" t="e">
        <f t="shared" si="26"/>
        <v>#DIV/0!</v>
      </c>
      <c r="S337" s="194" t="str">
        <f>D337</f>
        <v>HL-6 Ambient</v>
      </c>
      <c r="T337" s="84"/>
      <c r="U337" s="84"/>
      <c r="V337" s="84"/>
    </row>
    <row r="338" spans="1:23" s="83" customFormat="1">
      <c r="A338" s="195">
        <v>42905</v>
      </c>
      <c r="B338" s="81"/>
      <c r="C338" s="81"/>
      <c r="D338" s="83" t="s">
        <v>120</v>
      </c>
      <c r="E338" s="83">
        <v>3</v>
      </c>
      <c r="F338" s="90">
        <v>180</v>
      </c>
      <c r="G338" s="90">
        <v>1</v>
      </c>
      <c r="H338" s="243">
        <v>320</v>
      </c>
      <c r="I338" s="83">
        <v>0</v>
      </c>
      <c r="J338" s="83">
        <v>0</v>
      </c>
      <c r="K338" s="83">
        <v>0</v>
      </c>
      <c r="L338" s="83">
        <v>0</v>
      </c>
      <c r="M338" s="83">
        <v>0</v>
      </c>
      <c r="N338" s="83">
        <v>0</v>
      </c>
      <c r="P338" s="127">
        <f t="shared" si="29"/>
        <v>0</v>
      </c>
      <c r="Q338" s="127">
        <f t="shared" si="25"/>
        <v>0</v>
      </c>
      <c r="R338" s="166" t="e">
        <f t="shared" si="26"/>
        <v>#DIV/0!</v>
      </c>
      <c r="S338" s="192">
        <f>(SUM(P337:P340)/(SUM(P337:Q340)))</f>
        <v>0.95266272189349099</v>
      </c>
      <c r="T338" s="84"/>
    </row>
    <row r="339" spans="1:23" s="83" customFormat="1">
      <c r="A339" s="195">
        <v>42905</v>
      </c>
      <c r="B339" s="81"/>
      <c r="C339" s="81"/>
      <c r="D339" s="83" t="s">
        <v>120</v>
      </c>
      <c r="E339" s="83">
        <v>3</v>
      </c>
      <c r="F339" s="90">
        <v>100</v>
      </c>
      <c r="G339" s="90">
        <v>1</v>
      </c>
      <c r="H339" s="243">
        <v>800</v>
      </c>
      <c r="I339" s="83">
        <v>42</v>
      </c>
      <c r="J339" s="83">
        <v>2</v>
      </c>
      <c r="K339" s="83">
        <v>46</v>
      </c>
      <c r="L339" s="83">
        <v>0</v>
      </c>
      <c r="M339" s="83">
        <v>51</v>
      </c>
      <c r="N339" s="83">
        <v>0</v>
      </c>
      <c r="P339" s="127">
        <f t="shared" si="29"/>
        <v>37066.666666666672</v>
      </c>
      <c r="Q339" s="127">
        <f t="shared" si="25"/>
        <v>533.33333333333326</v>
      </c>
      <c r="R339" s="166">
        <f t="shared" si="26"/>
        <v>0.98581560283687941</v>
      </c>
      <c r="S339" s="193"/>
      <c r="T339" s="84"/>
    </row>
    <row r="340" spans="1:23" s="83" customFormat="1">
      <c r="A340" s="195">
        <v>42905</v>
      </c>
      <c r="B340" s="81"/>
      <c r="C340" s="81"/>
      <c r="D340" s="83" t="s">
        <v>120</v>
      </c>
      <c r="E340" s="83">
        <v>3</v>
      </c>
      <c r="F340" s="90" t="s">
        <v>210</v>
      </c>
      <c r="G340" s="90">
        <v>1</v>
      </c>
      <c r="H340" s="243">
        <v>500</v>
      </c>
      <c r="I340" s="83">
        <v>0</v>
      </c>
      <c r="J340" s="83">
        <v>2</v>
      </c>
      <c r="K340" s="83">
        <v>0</v>
      </c>
      <c r="L340" s="83">
        <v>3</v>
      </c>
      <c r="M340" s="83">
        <v>3</v>
      </c>
      <c r="N340" s="83">
        <v>3</v>
      </c>
      <c r="P340" s="127">
        <f t="shared" si="29"/>
        <v>500</v>
      </c>
      <c r="Q340" s="127">
        <f t="shared" si="25"/>
        <v>1333.3333333333333</v>
      </c>
      <c r="R340" s="166">
        <f t="shared" si="26"/>
        <v>0.27272727272727276</v>
      </c>
      <c r="S340" s="193"/>
      <c r="T340" s="84"/>
    </row>
    <row r="341" spans="1:23" s="83" customFormat="1">
      <c r="A341" s="195">
        <v>42905</v>
      </c>
      <c r="B341" s="81"/>
      <c r="C341" s="81"/>
      <c r="D341" s="82" t="s">
        <v>21</v>
      </c>
      <c r="E341" s="83">
        <v>4</v>
      </c>
      <c r="F341" s="90">
        <v>224</v>
      </c>
      <c r="G341" s="90">
        <v>1</v>
      </c>
      <c r="H341" s="243">
        <v>280</v>
      </c>
      <c r="I341" s="83">
        <v>0</v>
      </c>
      <c r="J341" s="83">
        <v>0</v>
      </c>
      <c r="K341" s="83">
        <v>0</v>
      </c>
      <c r="L341" s="83">
        <v>0</v>
      </c>
      <c r="M341" s="83">
        <v>0</v>
      </c>
      <c r="N341" s="83">
        <v>0</v>
      </c>
      <c r="P341" s="127">
        <f t="shared" si="29"/>
        <v>0</v>
      </c>
      <c r="Q341" s="127">
        <f t="shared" si="25"/>
        <v>0</v>
      </c>
      <c r="R341" s="166" t="e">
        <f t="shared" si="26"/>
        <v>#DIV/0!</v>
      </c>
      <c r="S341" s="191" t="str">
        <f>D341</f>
        <v>HL-6 Low</v>
      </c>
      <c r="T341" s="84"/>
      <c r="W341" s="83" t="s">
        <v>194</v>
      </c>
    </row>
    <row r="342" spans="1:23" s="83" customFormat="1">
      <c r="A342" s="195">
        <v>42905</v>
      </c>
      <c r="B342" s="81"/>
      <c r="C342" s="81"/>
      <c r="D342" s="82" t="s">
        <v>21</v>
      </c>
      <c r="E342" s="83">
        <v>4</v>
      </c>
      <c r="F342" s="90">
        <v>180</v>
      </c>
      <c r="G342" s="90">
        <v>1</v>
      </c>
      <c r="H342" s="243">
        <v>330</v>
      </c>
      <c r="I342" s="83">
        <v>0</v>
      </c>
      <c r="J342" s="83">
        <v>0</v>
      </c>
      <c r="K342" s="83">
        <v>0</v>
      </c>
      <c r="L342" s="83">
        <v>0</v>
      </c>
      <c r="M342" s="83">
        <v>0</v>
      </c>
      <c r="N342" s="83">
        <v>0</v>
      </c>
      <c r="P342" s="127">
        <f t="shared" si="29"/>
        <v>0</v>
      </c>
      <c r="Q342" s="127">
        <f t="shared" si="25"/>
        <v>0</v>
      </c>
      <c r="R342" s="166" t="e">
        <f t="shared" si="26"/>
        <v>#DIV/0!</v>
      </c>
      <c r="S342" s="192">
        <f>(SUM(P341:P344)/(SUM(P341:Q344)))</f>
        <v>0.89680232558139539</v>
      </c>
      <c r="T342" s="84"/>
    </row>
    <row r="343" spans="1:23" s="83" customFormat="1">
      <c r="A343" s="195">
        <v>42905</v>
      </c>
      <c r="B343" s="81"/>
      <c r="C343" s="81"/>
      <c r="D343" s="82" t="s">
        <v>21</v>
      </c>
      <c r="E343" s="83">
        <v>4</v>
      </c>
      <c r="F343" s="90">
        <v>100</v>
      </c>
      <c r="G343" s="90">
        <v>1</v>
      </c>
      <c r="H343" s="243">
        <v>800</v>
      </c>
      <c r="I343" s="83">
        <v>111</v>
      </c>
      <c r="J343" s="83">
        <v>0</v>
      </c>
      <c r="K343" s="83">
        <v>79</v>
      </c>
      <c r="L343" s="83">
        <v>0</v>
      </c>
      <c r="M343" s="83">
        <v>100</v>
      </c>
      <c r="N343" s="83">
        <v>0</v>
      </c>
      <c r="P343" s="127">
        <f t="shared" si="29"/>
        <v>77333.333333333343</v>
      </c>
      <c r="Q343" s="127">
        <f t="shared" si="25"/>
        <v>0</v>
      </c>
      <c r="R343" s="166">
        <f t="shared" si="26"/>
        <v>1</v>
      </c>
      <c r="S343" s="190"/>
      <c r="T343" s="84"/>
    </row>
    <row r="344" spans="1:23" s="83" customFormat="1">
      <c r="A344" s="195">
        <v>42905</v>
      </c>
      <c r="B344" s="81"/>
      <c r="C344" s="81"/>
      <c r="D344" s="82" t="s">
        <v>21</v>
      </c>
      <c r="E344" s="83">
        <v>4</v>
      </c>
      <c r="F344" s="90" t="s">
        <v>210</v>
      </c>
      <c r="G344" s="90">
        <v>1</v>
      </c>
      <c r="H344" s="243">
        <v>500</v>
      </c>
      <c r="I344" s="83">
        <v>49</v>
      </c>
      <c r="J344" s="83">
        <v>26</v>
      </c>
      <c r="K344" s="83">
        <v>49</v>
      </c>
      <c r="L344" s="83">
        <v>20</v>
      </c>
      <c r="M344" s="83">
        <v>55</v>
      </c>
      <c r="N344" s="83">
        <v>25</v>
      </c>
      <c r="P344" s="127">
        <f>(AVERAGE(I344,K344,M344)/G344)*H344</f>
        <v>25500</v>
      </c>
      <c r="Q344" s="127">
        <f t="shared" si="25"/>
        <v>11833.333333333334</v>
      </c>
      <c r="R344" s="166">
        <f t="shared" si="26"/>
        <v>0.68303571428571419</v>
      </c>
      <c r="S344" s="193"/>
      <c r="T344" s="84"/>
    </row>
    <row r="345" spans="1:23" s="83" customFormat="1">
      <c r="A345" s="195">
        <v>42905</v>
      </c>
      <c r="B345" s="81"/>
      <c r="C345" s="81"/>
      <c r="D345" s="82" t="s">
        <v>77</v>
      </c>
      <c r="E345" s="83">
        <v>4</v>
      </c>
      <c r="F345" s="90">
        <v>224</v>
      </c>
      <c r="G345" s="90">
        <v>1</v>
      </c>
      <c r="H345" s="243">
        <v>510</v>
      </c>
      <c r="I345" s="83">
        <v>0</v>
      </c>
      <c r="J345" s="83">
        <v>4</v>
      </c>
      <c r="K345" s="83">
        <v>0</v>
      </c>
      <c r="L345" s="83">
        <v>20</v>
      </c>
      <c r="M345" s="83">
        <v>1</v>
      </c>
      <c r="N345" s="83">
        <v>13</v>
      </c>
      <c r="P345" s="127">
        <f t="shared" ref="P345:P380" si="30">(AVERAGE(I345,K345,M345)/G345)*H345</f>
        <v>170</v>
      </c>
      <c r="Q345" s="127">
        <f t="shared" si="25"/>
        <v>6290</v>
      </c>
      <c r="R345" s="166">
        <f t="shared" si="26"/>
        <v>2.6315789473684209E-2</v>
      </c>
      <c r="S345" s="194" t="str">
        <f>D345</f>
        <v xml:space="preserve">NF-10 Low </v>
      </c>
      <c r="T345" s="84"/>
    </row>
    <row r="346" spans="1:23" s="83" customFormat="1">
      <c r="A346" s="195">
        <v>42905</v>
      </c>
      <c r="B346" s="81"/>
      <c r="C346" s="81"/>
      <c r="D346" s="82" t="s">
        <v>77</v>
      </c>
      <c r="E346" s="83">
        <v>4</v>
      </c>
      <c r="F346" s="90">
        <v>180</v>
      </c>
      <c r="G346" s="90">
        <v>1</v>
      </c>
      <c r="H346" s="243">
        <v>520</v>
      </c>
      <c r="I346" s="83">
        <v>2</v>
      </c>
      <c r="J346" s="83">
        <v>53</v>
      </c>
      <c r="K346" s="83">
        <v>1</v>
      </c>
      <c r="L346" s="83">
        <v>52</v>
      </c>
      <c r="M346" s="83">
        <v>3</v>
      </c>
      <c r="N346" s="83">
        <v>48</v>
      </c>
      <c r="P346" s="127">
        <f t="shared" si="30"/>
        <v>1040</v>
      </c>
      <c r="Q346" s="127">
        <f t="shared" si="25"/>
        <v>26520</v>
      </c>
      <c r="R346" s="166">
        <f t="shared" si="26"/>
        <v>3.7735849056603772E-2</v>
      </c>
      <c r="S346" s="192">
        <f>(SUM(P345:P348)/(SUM(P345:Q348)))</f>
        <v>3.3925233644859817E-2</v>
      </c>
      <c r="T346" s="84"/>
    </row>
    <row r="347" spans="1:23" s="83" customFormat="1">
      <c r="A347" s="195">
        <v>42905</v>
      </c>
      <c r="B347" s="81"/>
      <c r="C347" s="81"/>
      <c r="D347" s="82" t="s">
        <v>77</v>
      </c>
      <c r="E347" s="83">
        <v>4</v>
      </c>
      <c r="F347" s="90">
        <v>100</v>
      </c>
      <c r="G347" s="90">
        <v>1</v>
      </c>
      <c r="H347" s="243">
        <v>330</v>
      </c>
      <c r="I347" s="83">
        <v>0</v>
      </c>
      <c r="J347" s="83">
        <v>4</v>
      </c>
      <c r="K347" s="83">
        <v>0</v>
      </c>
      <c r="L347" s="83">
        <v>0</v>
      </c>
      <c r="M347" s="83">
        <v>0</v>
      </c>
      <c r="N347" s="83">
        <v>4</v>
      </c>
      <c r="P347" s="127">
        <f t="shared" si="30"/>
        <v>0</v>
      </c>
      <c r="Q347" s="127">
        <f t="shared" si="25"/>
        <v>880</v>
      </c>
      <c r="R347" s="166">
        <f t="shared" si="26"/>
        <v>0</v>
      </c>
      <c r="S347" s="193"/>
      <c r="T347" s="84"/>
    </row>
    <row r="348" spans="1:23" s="83" customFormat="1">
      <c r="A348" s="195">
        <v>42905</v>
      </c>
      <c r="B348" s="81"/>
      <c r="C348" s="81"/>
      <c r="D348" s="82" t="s">
        <v>77</v>
      </c>
      <c r="E348" s="83">
        <v>4</v>
      </c>
      <c r="F348" s="90" t="s">
        <v>210</v>
      </c>
      <c r="G348" s="90">
        <v>1</v>
      </c>
      <c r="H348" s="243">
        <v>460</v>
      </c>
      <c r="I348" s="83">
        <v>0</v>
      </c>
      <c r="J348" s="83">
        <v>1</v>
      </c>
      <c r="K348" s="83">
        <v>0</v>
      </c>
      <c r="L348" s="83">
        <v>1</v>
      </c>
      <c r="M348" s="83">
        <v>0</v>
      </c>
      <c r="N348" s="83">
        <v>3</v>
      </c>
      <c r="P348" s="127">
        <f t="shared" si="30"/>
        <v>0</v>
      </c>
      <c r="Q348" s="127">
        <f t="shared" si="25"/>
        <v>766.66666666666674</v>
      </c>
      <c r="R348" s="166">
        <f t="shared" si="26"/>
        <v>0</v>
      </c>
      <c r="S348" s="193"/>
      <c r="T348" s="84"/>
    </row>
    <row r="349" spans="1:23" s="83" customFormat="1">
      <c r="A349" s="195">
        <v>42905</v>
      </c>
      <c r="B349" s="81"/>
      <c r="C349" s="81"/>
      <c r="D349" s="83" t="s">
        <v>88</v>
      </c>
      <c r="E349" s="83">
        <v>5</v>
      </c>
      <c r="F349" s="90">
        <v>224</v>
      </c>
      <c r="G349" s="90">
        <v>1</v>
      </c>
      <c r="H349" s="83">
        <v>500</v>
      </c>
      <c r="I349" s="83">
        <v>18</v>
      </c>
      <c r="J349" s="83">
        <v>0</v>
      </c>
      <c r="K349" s="83">
        <v>8</v>
      </c>
      <c r="L349" s="83">
        <v>0</v>
      </c>
      <c r="M349" s="83">
        <v>5</v>
      </c>
      <c r="N349" s="83">
        <v>0</v>
      </c>
      <c r="P349" s="127">
        <f t="shared" si="30"/>
        <v>5166.666666666667</v>
      </c>
      <c r="Q349" s="127">
        <f t="shared" si="25"/>
        <v>0</v>
      </c>
      <c r="R349" s="166">
        <f t="shared" si="26"/>
        <v>1</v>
      </c>
      <c r="S349" s="194" t="str">
        <f>D349</f>
        <v>SN-6 Ambient</v>
      </c>
    </row>
    <row r="350" spans="1:23" s="83" customFormat="1">
      <c r="A350" s="195">
        <v>42905</v>
      </c>
      <c r="B350" s="81"/>
      <c r="C350" s="81"/>
      <c r="D350" s="83" t="s">
        <v>88</v>
      </c>
      <c r="E350" s="83">
        <v>5</v>
      </c>
      <c r="F350" s="90">
        <v>180</v>
      </c>
      <c r="G350" s="90">
        <v>1</v>
      </c>
      <c r="H350" s="83">
        <v>800</v>
      </c>
      <c r="I350" s="83">
        <v>19</v>
      </c>
      <c r="J350" s="83">
        <v>1</v>
      </c>
      <c r="K350" s="83">
        <v>11</v>
      </c>
      <c r="L350" s="83">
        <v>1</v>
      </c>
      <c r="M350" s="83">
        <v>23</v>
      </c>
      <c r="N350" s="83">
        <v>0</v>
      </c>
      <c r="P350" s="127">
        <f t="shared" si="30"/>
        <v>14133.333333333334</v>
      </c>
      <c r="Q350" s="127">
        <f t="shared" si="25"/>
        <v>533.33333333333326</v>
      </c>
      <c r="R350" s="166">
        <f t="shared" si="26"/>
        <v>0.96363636363636362</v>
      </c>
      <c r="S350" s="192">
        <f>(SUM(P349:P352)/(SUM(P349:Q352)))</f>
        <v>0.41571549618701092</v>
      </c>
    </row>
    <row r="351" spans="1:23" s="83" customFormat="1">
      <c r="A351" s="195">
        <v>42905</v>
      </c>
      <c r="B351" s="81"/>
      <c r="C351" s="81"/>
      <c r="D351" s="83" t="s">
        <v>88</v>
      </c>
      <c r="E351" s="83">
        <v>5</v>
      </c>
      <c r="F351" s="90">
        <v>100</v>
      </c>
      <c r="G351" s="90">
        <v>1</v>
      </c>
      <c r="H351" s="83">
        <v>500</v>
      </c>
      <c r="I351" s="83">
        <v>66</v>
      </c>
      <c r="J351" s="83">
        <v>1</v>
      </c>
      <c r="K351" s="83">
        <v>81</v>
      </c>
      <c r="L351" s="83">
        <v>4</v>
      </c>
      <c r="M351" s="83">
        <v>62</v>
      </c>
      <c r="N351" s="83">
        <v>5</v>
      </c>
      <c r="P351" s="127">
        <f t="shared" si="30"/>
        <v>34833.333333333336</v>
      </c>
      <c r="Q351" s="127">
        <f t="shared" si="25"/>
        <v>1666.6666666666667</v>
      </c>
      <c r="R351" s="166">
        <f t="shared" si="26"/>
        <v>0.95433789954337911</v>
      </c>
      <c r="S351" s="193"/>
    </row>
    <row r="352" spans="1:23" s="83" customFormat="1">
      <c r="A352" s="195">
        <v>42905</v>
      </c>
      <c r="B352" s="81"/>
      <c r="C352" s="81"/>
      <c r="D352" s="83" t="s">
        <v>88</v>
      </c>
      <c r="E352" s="83">
        <v>5</v>
      </c>
      <c r="F352" s="90" t="s">
        <v>210</v>
      </c>
      <c r="G352" s="90">
        <v>1</v>
      </c>
      <c r="H352" s="83">
        <v>490</v>
      </c>
      <c r="I352" s="83">
        <v>5</v>
      </c>
      <c r="J352" s="83">
        <v>148</v>
      </c>
      <c r="K352" s="83">
        <v>2</v>
      </c>
      <c r="L352" s="83">
        <v>156</v>
      </c>
      <c r="M352" s="83">
        <v>2</v>
      </c>
      <c r="N352" s="83">
        <v>161</v>
      </c>
      <c r="P352" s="127">
        <f t="shared" si="30"/>
        <v>1470</v>
      </c>
      <c r="Q352" s="127">
        <f t="shared" si="25"/>
        <v>75950</v>
      </c>
      <c r="R352" s="166">
        <f t="shared" si="26"/>
        <v>1.8987341772151899E-2</v>
      </c>
      <c r="S352" s="193"/>
    </row>
    <row r="353" spans="1:23" s="83" customFormat="1">
      <c r="A353" s="195">
        <v>42905</v>
      </c>
      <c r="B353" s="81"/>
      <c r="C353" s="81"/>
      <c r="D353" s="83" t="s">
        <v>37</v>
      </c>
      <c r="E353" s="83">
        <v>5</v>
      </c>
      <c r="F353" s="90">
        <v>224</v>
      </c>
      <c r="G353" s="90">
        <v>1</v>
      </c>
      <c r="H353" s="83">
        <v>300</v>
      </c>
      <c r="I353" s="83">
        <v>1</v>
      </c>
      <c r="J353" s="83">
        <v>0</v>
      </c>
      <c r="K353" s="83">
        <v>0</v>
      </c>
      <c r="L353" s="83">
        <v>0</v>
      </c>
      <c r="M353" s="83">
        <v>0</v>
      </c>
      <c r="N353" s="83">
        <v>0</v>
      </c>
      <c r="P353" s="127">
        <f t="shared" si="30"/>
        <v>100</v>
      </c>
      <c r="Q353" s="127">
        <f t="shared" si="25"/>
        <v>0</v>
      </c>
      <c r="R353" s="166">
        <f t="shared" si="26"/>
        <v>1</v>
      </c>
      <c r="S353" s="194" t="str">
        <f>D353</f>
        <v xml:space="preserve">K-10 Low </v>
      </c>
      <c r="T353" s="84"/>
      <c r="U353" s="84"/>
      <c r="V353" s="84"/>
      <c r="W353" s="83" t="s">
        <v>177</v>
      </c>
    </row>
    <row r="354" spans="1:23" s="83" customFormat="1">
      <c r="A354" s="195">
        <v>42905</v>
      </c>
      <c r="B354" s="81"/>
      <c r="C354" s="81"/>
      <c r="D354" s="83" t="s">
        <v>37</v>
      </c>
      <c r="E354" s="83">
        <v>5</v>
      </c>
      <c r="F354" s="90">
        <v>180</v>
      </c>
      <c r="G354" s="90">
        <v>1</v>
      </c>
      <c r="H354" s="83">
        <v>500</v>
      </c>
      <c r="I354" s="83">
        <v>0</v>
      </c>
      <c r="J354" s="83">
        <v>2</v>
      </c>
      <c r="K354" s="83">
        <v>1</v>
      </c>
      <c r="L354" s="83">
        <v>0</v>
      </c>
      <c r="M354" s="83">
        <v>3</v>
      </c>
      <c r="N354" s="83">
        <v>0</v>
      </c>
      <c r="P354" s="127">
        <f t="shared" si="30"/>
        <v>666.66666666666663</v>
      </c>
      <c r="Q354" s="127">
        <f t="shared" si="25"/>
        <v>333.33333333333331</v>
      </c>
      <c r="R354" s="166">
        <f t="shared" si="26"/>
        <v>0.66666666666666663</v>
      </c>
      <c r="S354" s="192">
        <f>(SUM(P353:P356)/(SUM(P353:Q356)))</f>
        <v>0.32478632478632474</v>
      </c>
      <c r="T354" s="84"/>
      <c r="U354" s="84"/>
      <c r="V354" s="84"/>
    </row>
    <row r="355" spans="1:23" s="83" customFormat="1">
      <c r="A355" s="195">
        <v>42905</v>
      </c>
      <c r="B355" s="81"/>
      <c r="C355" s="81"/>
      <c r="D355" s="83" t="s">
        <v>37</v>
      </c>
      <c r="E355" s="83">
        <v>5</v>
      </c>
      <c r="F355" s="90">
        <v>100</v>
      </c>
      <c r="G355" s="90">
        <v>1</v>
      </c>
      <c r="H355" s="83">
        <v>300</v>
      </c>
      <c r="I355" s="83">
        <v>1</v>
      </c>
      <c r="J355" s="83">
        <v>0</v>
      </c>
      <c r="K355" s="83">
        <v>1</v>
      </c>
      <c r="L355" s="83">
        <v>2</v>
      </c>
      <c r="M355" s="83">
        <v>3</v>
      </c>
      <c r="N355" s="83">
        <v>0</v>
      </c>
      <c r="P355" s="127">
        <f t="shared" si="30"/>
        <v>500</v>
      </c>
      <c r="Q355" s="127">
        <f t="shared" si="25"/>
        <v>200</v>
      </c>
      <c r="R355" s="166">
        <f t="shared" si="26"/>
        <v>0.7142857142857143</v>
      </c>
      <c r="S355" s="193"/>
      <c r="T355" s="84"/>
      <c r="U355" s="84"/>
      <c r="V355" s="84"/>
    </row>
    <row r="356" spans="1:23" s="83" customFormat="1">
      <c r="A356" s="195">
        <v>42905</v>
      </c>
      <c r="B356" s="81"/>
      <c r="C356" s="81"/>
      <c r="D356" s="83" t="s">
        <v>37</v>
      </c>
      <c r="E356" s="83">
        <v>5</v>
      </c>
      <c r="F356" s="90" t="s">
        <v>210</v>
      </c>
      <c r="G356" s="90">
        <v>1</v>
      </c>
      <c r="H356" s="83">
        <v>300</v>
      </c>
      <c r="I356" s="83">
        <v>0</v>
      </c>
      <c r="J356" s="83">
        <v>1</v>
      </c>
      <c r="K356" s="83">
        <v>0</v>
      </c>
      <c r="L356" s="83">
        <v>6</v>
      </c>
      <c r="M356" s="83">
        <v>0</v>
      </c>
      <c r="N356" s="83">
        <v>14</v>
      </c>
      <c r="P356" s="127">
        <f t="shared" si="30"/>
        <v>0</v>
      </c>
      <c r="Q356" s="127">
        <f t="shared" ref="Q356:Q380" si="31">(AVERAGE(J356,L356,N356)/G356)*H356</f>
        <v>2100</v>
      </c>
      <c r="R356" s="166">
        <f t="shared" ref="R356:R380" si="32">P356/(P356+Q356)</f>
        <v>0</v>
      </c>
      <c r="S356" s="193"/>
      <c r="T356" s="84"/>
      <c r="U356" s="84"/>
      <c r="V356" s="84"/>
    </row>
    <row r="357" spans="1:23" s="83" customFormat="1">
      <c r="A357" s="195">
        <v>42905</v>
      </c>
      <c r="B357" s="81"/>
      <c r="C357" s="81"/>
      <c r="D357" s="83" t="s">
        <v>85</v>
      </c>
      <c r="E357" s="83">
        <v>6</v>
      </c>
      <c r="F357" s="90">
        <v>224</v>
      </c>
      <c r="G357" s="90">
        <v>2</v>
      </c>
      <c r="H357" s="83">
        <v>480</v>
      </c>
      <c r="I357" s="83">
        <v>4</v>
      </c>
      <c r="J357" s="83">
        <v>1</v>
      </c>
      <c r="K357" s="83">
        <v>2</v>
      </c>
      <c r="L357" s="83">
        <v>2</v>
      </c>
      <c r="M357" s="83">
        <v>5</v>
      </c>
      <c r="N357" s="83">
        <v>0</v>
      </c>
      <c r="P357" s="127">
        <f t="shared" si="30"/>
        <v>880</v>
      </c>
      <c r="Q357" s="127">
        <f t="shared" si="31"/>
        <v>240</v>
      </c>
      <c r="R357" s="166">
        <f t="shared" si="32"/>
        <v>0.7857142857142857</v>
      </c>
      <c r="S357" s="194" t="str">
        <f>D357</f>
        <v>NF-10 Ambient</v>
      </c>
      <c r="T357" s="84"/>
      <c r="U357" s="84"/>
      <c r="V357" s="84"/>
    </row>
    <row r="358" spans="1:23" s="83" customFormat="1">
      <c r="A358" s="195">
        <v>42905</v>
      </c>
      <c r="B358" s="81"/>
      <c r="C358" s="81"/>
      <c r="D358" s="83" t="s">
        <v>85</v>
      </c>
      <c r="E358" s="83">
        <v>6</v>
      </c>
      <c r="F358" s="90">
        <v>180</v>
      </c>
      <c r="G358" s="90">
        <v>1</v>
      </c>
      <c r="H358" s="83">
        <v>800</v>
      </c>
      <c r="I358" s="83">
        <v>13</v>
      </c>
      <c r="J358" s="83">
        <v>1</v>
      </c>
      <c r="K358" s="83">
        <v>13</v>
      </c>
      <c r="L358" s="83">
        <v>4</v>
      </c>
      <c r="M358" s="83">
        <v>17</v>
      </c>
      <c r="N358" s="83">
        <v>3</v>
      </c>
      <c r="P358" s="127">
        <f t="shared" si="30"/>
        <v>11466.666666666668</v>
      </c>
      <c r="Q358" s="127">
        <f>(AVERAGE(I358,K358,M358)/G358)*H358</f>
        <v>11466.666666666668</v>
      </c>
      <c r="R358" s="166">
        <f t="shared" si="32"/>
        <v>0.5</v>
      </c>
      <c r="S358" s="192">
        <f>(SUM(P357:P360)/(SUM(P357:Q360)))</f>
        <v>0.3535932721712538</v>
      </c>
      <c r="T358" s="84"/>
      <c r="U358" s="84"/>
      <c r="V358" s="84"/>
    </row>
    <row r="359" spans="1:23" s="83" customFormat="1">
      <c r="A359" s="195">
        <v>42905</v>
      </c>
      <c r="B359" s="81"/>
      <c r="C359" s="81"/>
      <c r="D359" s="83" t="s">
        <v>85</v>
      </c>
      <c r="E359" s="83">
        <v>6</v>
      </c>
      <c r="F359" s="90">
        <v>100</v>
      </c>
      <c r="G359" s="90">
        <v>1</v>
      </c>
      <c r="H359" s="83">
        <v>800</v>
      </c>
      <c r="I359" s="83">
        <v>78</v>
      </c>
      <c r="J359" s="83">
        <v>4</v>
      </c>
      <c r="K359" s="83">
        <v>56</v>
      </c>
      <c r="L359" s="83">
        <v>2</v>
      </c>
      <c r="M359" s="83">
        <v>78</v>
      </c>
      <c r="N359" s="83">
        <v>5</v>
      </c>
      <c r="P359" s="127">
        <f t="shared" si="30"/>
        <v>56533.333333333336</v>
      </c>
      <c r="Q359" s="127">
        <f>(AVERAGE(I359,K359,M359)/G359)*H359</f>
        <v>56533.333333333336</v>
      </c>
      <c r="R359" s="166">
        <f t="shared" si="32"/>
        <v>0.5</v>
      </c>
      <c r="S359" s="193"/>
      <c r="T359" s="84"/>
      <c r="U359" s="84"/>
      <c r="V359" s="84"/>
    </row>
    <row r="360" spans="1:23" s="83" customFormat="1">
      <c r="A360" s="195">
        <v>42905</v>
      </c>
      <c r="B360" s="81"/>
      <c r="C360" s="81"/>
      <c r="D360" s="83" t="s">
        <v>85</v>
      </c>
      <c r="E360" s="83">
        <v>6</v>
      </c>
      <c r="F360" s="90" t="s">
        <v>210</v>
      </c>
      <c r="G360" s="90">
        <v>1</v>
      </c>
      <c r="H360" s="83">
        <v>480</v>
      </c>
      <c r="I360" s="83">
        <v>7</v>
      </c>
      <c r="J360" s="83">
        <v>122</v>
      </c>
      <c r="K360" s="83">
        <v>11</v>
      </c>
      <c r="L360" s="83">
        <v>166</v>
      </c>
      <c r="M360" s="83">
        <v>14</v>
      </c>
      <c r="N360" s="83">
        <v>131</v>
      </c>
      <c r="P360" s="127">
        <f t="shared" si="30"/>
        <v>5120</v>
      </c>
      <c r="Q360" s="127">
        <f t="shared" si="31"/>
        <v>67040</v>
      </c>
      <c r="R360" s="166">
        <f t="shared" si="32"/>
        <v>7.0953436807095344E-2</v>
      </c>
      <c r="S360" s="193"/>
      <c r="T360" s="84"/>
      <c r="U360" s="84"/>
      <c r="V360" s="84"/>
    </row>
    <row r="361" spans="1:23" s="83" customFormat="1">
      <c r="A361" s="195">
        <v>42905</v>
      </c>
      <c r="B361" s="81"/>
      <c r="C361" s="81"/>
      <c r="D361" s="83" t="s">
        <v>139</v>
      </c>
      <c r="E361" s="83">
        <v>6</v>
      </c>
      <c r="F361" s="90">
        <v>224</v>
      </c>
      <c r="G361" s="90">
        <v>1</v>
      </c>
      <c r="H361" s="83">
        <v>500</v>
      </c>
      <c r="I361" s="83">
        <v>1</v>
      </c>
      <c r="J361" s="83">
        <v>0</v>
      </c>
      <c r="K361" s="83">
        <v>1</v>
      </c>
      <c r="L361" s="83">
        <v>0</v>
      </c>
      <c r="M361" s="83">
        <v>3</v>
      </c>
      <c r="N361" s="83">
        <v>0</v>
      </c>
      <c r="P361" s="127">
        <f t="shared" si="30"/>
        <v>833.33333333333337</v>
      </c>
      <c r="Q361" s="127">
        <f t="shared" si="31"/>
        <v>0</v>
      </c>
      <c r="R361" s="166">
        <f t="shared" si="32"/>
        <v>1</v>
      </c>
      <c r="S361" s="194" t="str">
        <f>D361</f>
        <v xml:space="preserve">HL-10 Low </v>
      </c>
      <c r="T361" s="84"/>
      <c r="U361" s="84"/>
      <c r="V361" s="84"/>
      <c r="W361" s="83" t="s">
        <v>179</v>
      </c>
    </row>
    <row r="362" spans="1:23" s="83" customFormat="1">
      <c r="A362" s="195">
        <v>42905</v>
      </c>
      <c r="B362" s="81"/>
      <c r="C362" s="81"/>
      <c r="D362" s="83" t="s">
        <v>139</v>
      </c>
      <c r="E362" s="83">
        <v>6</v>
      </c>
      <c r="F362" s="90">
        <v>180</v>
      </c>
      <c r="G362" s="90">
        <v>1</v>
      </c>
      <c r="H362" s="83">
        <v>800</v>
      </c>
      <c r="I362" s="83">
        <v>22</v>
      </c>
      <c r="J362" s="83">
        <v>0</v>
      </c>
      <c r="K362" s="83">
        <v>18</v>
      </c>
      <c r="L362" s="83">
        <v>1</v>
      </c>
      <c r="M362" s="83">
        <v>26</v>
      </c>
      <c r="N362" s="83">
        <v>0</v>
      </c>
      <c r="P362" s="127">
        <f t="shared" si="30"/>
        <v>17600</v>
      </c>
      <c r="Q362" s="127">
        <f t="shared" si="31"/>
        <v>266.66666666666663</v>
      </c>
      <c r="R362" s="166">
        <f t="shared" si="32"/>
        <v>0.9850746268656716</v>
      </c>
      <c r="S362" s="192">
        <f>(SUM(P361:P364)/(SUM(P361:Q364)))</f>
        <v>0.69109706004523008</v>
      </c>
      <c r="T362" s="84"/>
      <c r="U362" s="84"/>
      <c r="V362" s="84"/>
    </row>
    <row r="363" spans="1:23" s="83" customFormat="1">
      <c r="A363" s="195">
        <v>42905</v>
      </c>
      <c r="B363" s="81"/>
      <c r="C363" s="81"/>
      <c r="D363" s="83" t="s">
        <v>139</v>
      </c>
      <c r="E363" s="83">
        <v>6</v>
      </c>
      <c r="F363" s="90">
        <v>100</v>
      </c>
      <c r="G363" s="90">
        <v>1</v>
      </c>
      <c r="H363" s="83">
        <v>820</v>
      </c>
      <c r="I363" s="83">
        <v>81</v>
      </c>
      <c r="J363" s="83">
        <v>2</v>
      </c>
      <c r="K363" s="83">
        <v>105</v>
      </c>
      <c r="L363" s="83">
        <v>3</v>
      </c>
      <c r="M363" s="83">
        <v>88</v>
      </c>
      <c r="N363" s="83">
        <v>3</v>
      </c>
      <c r="P363" s="127">
        <f t="shared" si="30"/>
        <v>74893.333333333328</v>
      </c>
      <c r="Q363" s="127">
        <f t="shared" si="31"/>
        <v>2186.6666666666665</v>
      </c>
      <c r="R363" s="166">
        <f t="shared" si="32"/>
        <v>0.97163120567375882</v>
      </c>
      <c r="S363" s="193"/>
      <c r="T363" s="84"/>
      <c r="U363" s="84"/>
      <c r="V363" s="84"/>
    </row>
    <row r="364" spans="1:23" s="83" customFormat="1">
      <c r="A364" s="195">
        <v>42905</v>
      </c>
      <c r="B364" s="81"/>
      <c r="C364" s="81"/>
      <c r="D364" s="83" t="s">
        <v>139</v>
      </c>
      <c r="E364" s="83">
        <v>6</v>
      </c>
      <c r="F364" s="90" t="s">
        <v>210</v>
      </c>
      <c r="G364" s="90">
        <v>1</v>
      </c>
      <c r="H364" s="83">
        <v>500</v>
      </c>
      <c r="I364" s="83">
        <v>14</v>
      </c>
      <c r="J364" s="83">
        <v>84</v>
      </c>
      <c r="K364" s="83">
        <v>15</v>
      </c>
      <c r="L364" s="83">
        <v>89</v>
      </c>
      <c r="M364" s="83">
        <v>10</v>
      </c>
      <c r="N364" s="83">
        <v>80</v>
      </c>
      <c r="P364" s="127">
        <f t="shared" ref="P359:P380" si="33">(AVERAGE(I364,K364,M364)/G364)*H364</f>
        <v>6500</v>
      </c>
      <c r="Q364" s="127">
        <f t="shared" si="31"/>
        <v>42166.666666666664</v>
      </c>
      <c r="R364" s="166">
        <f t="shared" si="32"/>
        <v>0.13356164383561644</v>
      </c>
      <c r="S364" s="193"/>
      <c r="T364" s="84"/>
      <c r="U364" s="84"/>
      <c r="V364" s="84"/>
    </row>
    <row r="365" spans="1:23" s="83" customFormat="1">
      <c r="A365" s="195">
        <v>42905</v>
      </c>
      <c r="B365" s="81"/>
      <c r="C365" s="81"/>
      <c r="D365" s="83" t="s">
        <v>17</v>
      </c>
      <c r="E365" s="83">
        <v>7</v>
      </c>
      <c r="F365" s="90">
        <v>224</v>
      </c>
      <c r="G365" s="90">
        <v>1</v>
      </c>
      <c r="H365" s="83">
        <v>500</v>
      </c>
      <c r="I365" s="83">
        <v>6</v>
      </c>
      <c r="J365" s="83">
        <v>0</v>
      </c>
      <c r="K365" s="83">
        <v>4</v>
      </c>
      <c r="L365" s="83">
        <v>0</v>
      </c>
      <c r="M365" s="83">
        <v>3</v>
      </c>
      <c r="N365" s="83">
        <v>0</v>
      </c>
      <c r="P365" s="127">
        <f t="shared" si="33"/>
        <v>2166.6666666666665</v>
      </c>
      <c r="Q365" s="127">
        <f t="shared" si="31"/>
        <v>0</v>
      </c>
      <c r="R365" s="166">
        <f t="shared" si="32"/>
        <v>1</v>
      </c>
      <c r="S365" s="194" t="str">
        <f>D365</f>
        <v>K-10 Ambient</v>
      </c>
      <c r="T365" s="84"/>
      <c r="U365" s="84"/>
      <c r="V365" s="84"/>
    </row>
    <row r="366" spans="1:23" s="83" customFormat="1">
      <c r="A366" s="195">
        <v>42905</v>
      </c>
      <c r="B366" s="81"/>
      <c r="C366" s="81"/>
      <c r="D366" s="83" t="s">
        <v>17</v>
      </c>
      <c r="E366" s="83">
        <v>7</v>
      </c>
      <c r="F366" s="90">
        <v>180</v>
      </c>
      <c r="G366" s="90">
        <v>1</v>
      </c>
      <c r="H366" s="83">
        <v>500</v>
      </c>
      <c r="I366" s="83">
        <v>15</v>
      </c>
      <c r="J366" s="83">
        <v>1</v>
      </c>
      <c r="K366" s="83">
        <v>19</v>
      </c>
      <c r="L366" s="83">
        <v>0</v>
      </c>
      <c r="M366" s="83">
        <v>19</v>
      </c>
      <c r="N366" s="83">
        <v>1</v>
      </c>
      <c r="P366" s="127">
        <f t="shared" si="33"/>
        <v>8833.3333333333339</v>
      </c>
      <c r="Q366" s="127">
        <f t="shared" si="31"/>
        <v>333.33333333333331</v>
      </c>
      <c r="R366" s="166">
        <f t="shared" si="32"/>
        <v>0.96363636363636362</v>
      </c>
      <c r="S366" s="192">
        <f>(SUM(P365:P368)/(SUM(P365:Q368)))</f>
        <v>0.4787472035794183</v>
      </c>
      <c r="T366" s="84"/>
      <c r="U366" s="84"/>
      <c r="V366" s="84"/>
    </row>
    <row r="367" spans="1:23" s="83" customFormat="1">
      <c r="A367" s="195">
        <v>42905</v>
      </c>
      <c r="B367" s="81"/>
      <c r="C367" s="81"/>
      <c r="D367" s="83" t="s">
        <v>17</v>
      </c>
      <c r="E367" s="83">
        <v>7</v>
      </c>
      <c r="F367" s="90">
        <v>100</v>
      </c>
      <c r="G367" s="90">
        <v>1</v>
      </c>
      <c r="H367" s="83">
        <v>500</v>
      </c>
      <c r="I367" s="83">
        <v>51</v>
      </c>
      <c r="J367" s="83">
        <v>0</v>
      </c>
      <c r="K367" s="83">
        <v>34</v>
      </c>
      <c r="L367" s="83">
        <v>4</v>
      </c>
      <c r="M367" s="83">
        <v>41</v>
      </c>
      <c r="N367" s="83">
        <v>1</v>
      </c>
      <c r="P367" s="127">
        <f t="shared" si="33"/>
        <v>21000</v>
      </c>
      <c r="Q367" s="127">
        <f t="shared" si="31"/>
        <v>833.33333333333337</v>
      </c>
      <c r="R367" s="166">
        <f t="shared" si="32"/>
        <v>0.96183206106870234</v>
      </c>
      <c r="S367" s="193"/>
      <c r="T367" s="84"/>
      <c r="U367" s="84"/>
      <c r="V367" s="84"/>
    </row>
    <row r="368" spans="1:23" s="83" customFormat="1">
      <c r="A368" s="195">
        <v>42905</v>
      </c>
      <c r="B368" s="81"/>
      <c r="C368" s="81"/>
      <c r="D368" s="83" t="s">
        <v>17</v>
      </c>
      <c r="E368" s="83">
        <v>7</v>
      </c>
      <c r="F368" s="90" t="s">
        <v>210</v>
      </c>
      <c r="G368" s="90">
        <v>1</v>
      </c>
      <c r="H368" s="83">
        <v>500</v>
      </c>
      <c r="I368" s="83">
        <v>11</v>
      </c>
      <c r="J368" s="83">
        <v>75</v>
      </c>
      <c r="K368" s="83">
        <v>5</v>
      </c>
      <c r="L368" s="83">
        <v>66</v>
      </c>
      <c r="M368" s="83">
        <v>6</v>
      </c>
      <c r="N368" s="83">
        <v>85</v>
      </c>
      <c r="P368" s="127">
        <f t="shared" si="33"/>
        <v>3666.6666666666665</v>
      </c>
      <c r="Q368" s="127">
        <f t="shared" si="31"/>
        <v>37666.666666666664</v>
      </c>
      <c r="R368" s="166">
        <f t="shared" si="32"/>
        <v>8.8709677419354843E-2</v>
      </c>
      <c r="S368" s="193"/>
      <c r="T368" s="84"/>
      <c r="U368" s="84"/>
      <c r="V368" s="84"/>
    </row>
    <row r="369" spans="1:22" s="83" customFormat="1">
      <c r="A369" s="195">
        <v>42905</v>
      </c>
      <c r="B369" s="81"/>
      <c r="C369" s="81"/>
      <c r="D369" s="83" t="s">
        <v>89</v>
      </c>
      <c r="E369" s="83">
        <v>7</v>
      </c>
      <c r="F369" s="90">
        <v>224</v>
      </c>
      <c r="G369" s="90">
        <v>1</v>
      </c>
      <c r="H369" s="83">
        <v>500</v>
      </c>
      <c r="I369" s="83">
        <v>6</v>
      </c>
      <c r="J369" s="83">
        <v>0</v>
      </c>
      <c r="K369" s="83">
        <v>7</v>
      </c>
      <c r="L369" s="83">
        <v>0</v>
      </c>
      <c r="M369" s="83">
        <v>7</v>
      </c>
      <c r="N369" s="83">
        <v>0</v>
      </c>
      <c r="P369" s="127">
        <f t="shared" si="33"/>
        <v>3333.3333333333335</v>
      </c>
      <c r="Q369" s="127">
        <f t="shared" si="31"/>
        <v>0</v>
      </c>
      <c r="R369" s="166">
        <f t="shared" si="32"/>
        <v>1</v>
      </c>
      <c r="S369" s="194" t="str">
        <f>D369</f>
        <v>HL-10 Ambient</v>
      </c>
      <c r="T369" s="84"/>
      <c r="U369" s="84"/>
      <c r="V369" s="84"/>
    </row>
    <row r="370" spans="1:22" s="83" customFormat="1">
      <c r="A370" s="195">
        <v>42905</v>
      </c>
      <c r="B370" s="81"/>
      <c r="C370" s="81"/>
      <c r="D370" s="83" t="s">
        <v>89</v>
      </c>
      <c r="E370" s="83">
        <v>7</v>
      </c>
      <c r="F370" s="90">
        <v>180</v>
      </c>
      <c r="G370" s="90">
        <v>1</v>
      </c>
      <c r="H370" s="83">
        <v>800</v>
      </c>
      <c r="I370" s="83">
        <v>19</v>
      </c>
      <c r="J370" s="83">
        <v>0</v>
      </c>
      <c r="K370" s="83">
        <v>29</v>
      </c>
      <c r="L370" s="83">
        <v>0</v>
      </c>
      <c r="M370" s="83">
        <v>22</v>
      </c>
      <c r="N370" s="83">
        <v>0</v>
      </c>
      <c r="P370" s="127">
        <f t="shared" si="33"/>
        <v>18666.666666666664</v>
      </c>
      <c r="Q370" s="127">
        <f t="shared" si="31"/>
        <v>0</v>
      </c>
      <c r="R370" s="166">
        <f t="shared" si="32"/>
        <v>1</v>
      </c>
      <c r="S370" s="192">
        <f>(SUM(P369:P372)/(SUM(P369:Q372)))</f>
        <v>0.58110119047619035</v>
      </c>
      <c r="T370" s="84"/>
      <c r="U370" s="84"/>
      <c r="V370" s="84"/>
    </row>
    <row r="371" spans="1:22" s="83" customFormat="1">
      <c r="A371" s="195">
        <v>42905</v>
      </c>
      <c r="B371" s="81"/>
      <c r="C371" s="81"/>
      <c r="D371" s="83" t="s">
        <v>89</v>
      </c>
      <c r="E371" s="83">
        <v>7</v>
      </c>
      <c r="F371" s="90">
        <v>100</v>
      </c>
      <c r="G371" s="90">
        <v>1</v>
      </c>
      <c r="H371" s="83">
        <v>300</v>
      </c>
      <c r="I371" s="83">
        <v>9</v>
      </c>
      <c r="J371" s="83">
        <v>1</v>
      </c>
      <c r="K371" s="83">
        <v>4</v>
      </c>
      <c r="L371" s="83">
        <v>0</v>
      </c>
      <c r="M371" s="83">
        <v>4</v>
      </c>
      <c r="N371" s="83">
        <v>0</v>
      </c>
      <c r="P371" s="127">
        <f t="shared" si="33"/>
        <v>1700</v>
      </c>
      <c r="Q371" s="127">
        <f t="shared" si="31"/>
        <v>100</v>
      </c>
      <c r="R371" s="166">
        <f t="shared" si="32"/>
        <v>0.94444444444444442</v>
      </c>
      <c r="S371" s="193"/>
      <c r="T371" s="84"/>
      <c r="U371" s="84"/>
      <c r="V371" s="84"/>
    </row>
    <row r="372" spans="1:22" s="83" customFormat="1">
      <c r="A372" s="195">
        <v>42905</v>
      </c>
      <c r="B372" s="81"/>
      <c r="C372" s="81"/>
      <c r="D372" s="83" t="s">
        <v>89</v>
      </c>
      <c r="E372" s="83">
        <v>7</v>
      </c>
      <c r="F372" s="90" t="s">
        <v>210</v>
      </c>
      <c r="G372" s="90">
        <v>1</v>
      </c>
      <c r="H372" s="83">
        <v>500</v>
      </c>
      <c r="I372" s="83">
        <v>5</v>
      </c>
      <c r="J372" s="83">
        <v>40</v>
      </c>
      <c r="K372" s="83">
        <v>4</v>
      </c>
      <c r="L372" s="83">
        <v>36</v>
      </c>
      <c r="M372" s="83">
        <v>5</v>
      </c>
      <c r="N372" s="83">
        <v>36</v>
      </c>
      <c r="P372" s="127">
        <f t="shared" si="33"/>
        <v>2333.3333333333335</v>
      </c>
      <c r="Q372" s="127">
        <f t="shared" si="31"/>
        <v>18666.666666666668</v>
      </c>
      <c r="R372" s="166">
        <f t="shared" si="32"/>
        <v>0.11111111111111112</v>
      </c>
      <c r="S372" s="193"/>
      <c r="T372" s="84"/>
      <c r="U372" s="84"/>
      <c r="V372" s="84"/>
    </row>
    <row r="373" spans="1:22" s="83" customFormat="1">
      <c r="A373" s="195">
        <v>42905</v>
      </c>
      <c r="B373" s="81"/>
      <c r="C373" s="81"/>
      <c r="D373" s="83" t="s">
        <v>38</v>
      </c>
      <c r="E373" s="83">
        <v>8</v>
      </c>
      <c r="F373" s="90">
        <v>224</v>
      </c>
      <c r="G373" s="90">
        <v>1</v>
      </c>
      <c r="H373" s="83">
        <v>500</v>
      </c>
      <c r="I373" s="242">
        <v>3</v>
      </c>
      <c r="J373" s="83">
        <v>0</v>
      </c>
      <c r="K373" s="83">
        <v>14</v>
      </c>
      <c r="L373" s="83">
        <v>1</v>
      </c>
      <c r="M373" s="83">
        <v>11</v>
      </c>
      <c r="N373" s="83">
        <v>0</v>
      </c>
      <c r="P373" s="127">
        <f>(AVERAGE(K373,M373)/G373)*H373</f>
        <v>6250</v>
      </c>
      <c r="Q373" s="127">
        <f t="shared" si="31"/>
        <v>166.66666666666666</v>
      </c>
      <c r="R373" s="166">
        <f t="shared" si="32"/>
        <v>0.97402597402597402</v>
      </c>
      <c r="S373" s="194" t="str">
        <f>D373</f>
        <v>K-6 Ambient</v>
      </c>
      <c r="T373" s="84"/>
      <c r="U373" s="84"/>
      <c r="V373" s="84"/>
    </row>
    <row r="374" spans="1:22" s="83" customFormat="1">
      <c r="A374" s="195">
        <v>42905</v>
      </c>
      <c r="B374" s="81"/>
      <c r="C374" s="81"/>
      <c r="D374" s="83" t="s">
        <v>38</v>
      </c>
      <c r="E374" s="83">
        <v>8</v>
      </c>
      <c r="F374" s="90">
        <v>180</v>
      </c>
      <c r="G374" s="90">
        <v>1</v>
      </c>
      <c r="H374" s="83">
        <v>520</v>
      </c>
      <c r="I374" s="83">
        <v>23</v>
      </c>
      <c r="J374" s="83">
        <v>0</v>
      </c>
      <c r="K374" s="83">
        <v>32</v>
      </c>
      <c r="L374" s="83">
        <v>0</v>
      </c>
      <c r="M374" s="83">
        <v>23</v>
      </c>
      <c r="N374" s="83">
        <v>2</v>
      </c>
      <c r="P374" s="127">
        <f t="shared" si="33"/>
        <v>13520</v>
      </c>
      <c r="Q374" s="127">
        <f t="shared" si="31"/>
        <v>346.66666666666663</v>
      </c>
      <c r="R374" s="166">
        <f t="shared" si="32"/>
        <v>0.97500000000000009</v>
      </c>
      <c r="S374" s="192">
        <f>(SUM(P373:P376)/(SUM(P373:Q376)))</f>
        <v>0.63057523968320128</v>
      </c>
      <c r="T374" s="84"/>
    </row>
    <row r="375" spans="1:22" s="83" customFormat="1">
      <c r="A375" s="195">
        <v>42905</v>
      </c>
      <c r="B375" s="81"/>
      <c r="C375" s="81"/>
      <c r="D375" s="83" t="s">
        <v>38</v>
      </c>
      <c r="E375" s="83">
        <v>8</v>
      </c>
      <c r="F375" s="90">
        <v>100</v>
      </c>
      <c r="G375" s="90">
        <v>1</v>
      </c>
      <c r="H375" s="83">
        <v>510</v>
      </c>
      <c r="I375" s="83">
        <v>47</v>
      </c>
      <c r="J375" s="83">
        <v>0</v>
      </c>
      <c r="K375" s="83">
        <v>34</v>
      </c>
      <c r="L375" s="83">
        <v>2</v>
      </c>
      <c r="M375" s="83">
        <v>28</v>
      </c>
      <c r="N375" s="83">
        <v>5</v>
      </c>
      <c r="P375" s="127">
        <f t="shared" si="33"/>
        <v>18530</v>
      </c>
      <c r="Q375" s="127">
        <f t="shared" si="31"/>
        <v>1190</v>
      </c>
      <c r="R375" s="166">
        <f t="shared" si="32"/>
        <v>0.93965517241379315</v>
      </c>
      <c r="S375" s="193"/>
      <c r="T375" s="84"/>
    </row>
    <row r="376" spans="1:22" s="83" customFormat="1">
      <c r="A376" s="195">
        <v>42905</v>
      </c>
      <c r="B376" s="81"/>
      <c r="C376" s="81"/>
      <c r="D376" s="83" t="s">
        <v>38</v>
      </c>
      <c r="E376" s="83">
        <v>8</v>
      </c>
      <c r="F376" s="90" t="s">
        <v>210</v>
      </c>
      <c r="G376" s="90">
        <v>1</v>
      </c>
      <c r="H376" s="83">
        <v>510</v>
      </c>
      <c r="I376" s="83">
        <v>1</v>
      </c>
      <c r="J376" s="83">
        <v>42</v>
      </c>
      <c r="K376" s="83">
        <v>1</v>
      </c>
      <c r="L376" s="83">
        <v>29</v>
      </c>
      <c r="M376" s="83">
        <v>10</v>
      </c>
      <c r="N376" s="83">
        <v>58</v>
      </c>
      <c r="P376" s="127">
        <f t="shared" si="33"/>
        <v>2040</v>
      </c>
      <c r="Q376" s="127">
        <f t="shared" si="31"/>
        <v>21930</v>
      </c>
      <c r="R376" s="166">
        <f t="shared" si="32"/>
        <v>8.5106382978723402E-2</v>
      </c>
      <c r="S376" s="193"/>
      <c r="T376" s="84"/>
    </row>
    <row r="377" spans="1:22" s="83" customFormat="1">
      <c r="A377" s="195">
        <v>42905</v>
      </c>
      <c r="B377" s="81"/>
      <c r="C377" s="81"/>
      <c r="D377" s="82" t="s">
        <v>46</v>
      </c>
      <c r="E377" s="83">
        <v>8</v>
      </c>
      <c r="F377" s="90">
        <v>224</v>
      </c>
      <c r="G377" s="90">
        <v>1</v>
      </c>
      <c r="H377" s="83">
        <v>350</v>
      </c>
      <c r="I377" s="83">
        <v>0</v>
      </c>
      <c r="J377" s="83">
        <v>0</v>
      </c>
      <c r="K377" s="83">
        <v>0</v>
      </c>
      <c r="L377" s="83">
        <v>0</v>
      </c>
      <c r="M377" s="83">
        <v>0</v>
      </c>
      <c r="N377" s="83">
        <v>0</v>
      </c>
      <c r="P377" s="127">
        <f t="shared" si="33"/>
        <v>0</v>
      </c>
      <c r="Q377" s="127">
        <f t="shared" si="31"/>
        <v>0</v>
      </c>
      <c r="R377" s="166" t="e">
        <f t="shared" si="32"/>
        <v>#DIV/0!</v>
      </c>
      <c r="S377" s="194" t="str">
        <f>D377</f>
        <v>K-6 Low</v>
      </c>
      <c r="T377" s="84"/>
    </row>
    <row r="378" spans="1:22" s="83" customFormat="1">
      <c r="A378" s="195">
        <v>42905</v>
      </c>
      <c r="B378" s="81"/>
      <c r="C378" s="81"/>
      <c r="D378" s="82" t="s">
        <v>46</v>
      </c>
      <c r="E378" s="83">
        <v>8</v>
      </c>
      <c r="F378" s="90">
        <v>180</v>
      </c>
      <c r="G378" s="90">
        <v>1</v>
      </c>
      <c r="H378" s="83">
        <v>500</v>
      </c>
      <c r="I378" s="83">
        <v>46</v>
      </c>
      <c r="J378" s="83">
        <v>0</v>
      </c>
      <c r="K378" s="83">
        <v>50</v>
      </c>
      <c r="L378" s="83">
        <v>0</v>
      </c>
      <c r="M378" s="83">
        <v>61</v>
      </c>
      <c r="N378" s="83">
        <v>0</v>
      </c>
      <c r="P378" s="127">
        <f t="shared" si="33"/>
        <v>26166.666666666668</v>
      </c>
      <c r="Q378" s="127">
        <f t="shared" si="31"/>
        <v>0</v>
      </c>
      <c r="R378" s="166">
        <f t="shared" si="32"/>
        <v>1</v>
      </c>
      <c r="S378" s="192">
        <f>(SUM(P377:P380)/(SUM(P377:Q380)))</f>
        <v>0.97730836638686469</v>
      </c>
      <c r="T378" s="84"/>
    </row>
    <row r="379" spans="1:22" s="83" customFormat="1">
      <c r="A379" s="195">
        <v>42905</v>
      </c>
      <c r="B379" s="81"/>
      <c r="C379" s="81"/>
      <c r="D379" s="82" t="s">
        <v>46</v>
      </c>
      <c r="E379" s="83">
        <v>8</v>
      </c>
      <c r="F379" s="90">
        <v>100</v>
      </c>
      <c r="G379" s="90">
        <v>1</v>
      </c>
      <c r="H379" s="83">
        <v>500</v>
      </c>
      <c r="I379" s="83">
        <v>15</v>
      </c>
      <c r="J379" s="83">
        <v>1</v>
      </c>
      <c r="K379" s="83">
        <v>13</v>
      </c>
      <c r="L379" s="83">
        <v>0</v>
      </c>
      <c r="M379" s="83">
        <v>22</v>
      </c>
      <c r="N379" s="83">
        <v>0</v>
      </c>
      <c r="P379" s="127">
        <f t="shared" si="33"/>
        <v>8333.3333333333339</v>
      </c>
      <c r="Q379" s="127">
        <f t="shared" si="31"/>
        <v>166.66666666666666</v>
      </c>
      <c r="R379" s="166">
        <f t="shared" si="32"/>
        <v>0.98039215686274517</v>
      </c>
      <c r="S379" s="193"/>
      <c r="T379" s="84"/>
    </row>
    <row r="380" spans="1:22" s="88" customFormat="1" ht="16" thickBot="1">
      <c r="A380" s="85">
        <v>42905</v>
      </c>
      <c r="B380" s="86"/>
      <c r="C380" s="86"/>
      <c r="D380" s="87" t="s">
        <v>46</v>
      </c>
      <c r="E380" s="88">
        <v>8</v>
      </c>
      <c r="F380" s="143" t="s">
        <v>210</v>
      </c>
      <c r="G380" s="90">
        <v>1</v>
      </c>
      <c r="H380" s="88">
        <v>490</v>
      </c>
      <c r="I380" s="88">
        <v>2</v>
      </c>
      <c r="J380" s="88">
        <v>1</v>
      </c>
      <c r="K380" s="88">
        <v>3</v>
      </c>
      <c r="L380" s="88">
        <v>1</v>
      </c>
      <c r="M380" s="88">
        <v>0</v>
      </c>
      <c r="N380" s="88">
        <v>2</v>
      </c>
      <c r="P380" s="144">
        <f t="shared" si="33"/>
        <v>816.66666666666674</v>
      </c>
      <c r="Q380" s="144">
        <f t="shared" si="31"/>
        <v>653.33333333333326</v>
      </c>
      <c r="R380" s="169">
        <f t="shared" si="32"/>
        <v>0.55555555555555558</v>
      </c>
      <c r="S380" s="20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Resources!$A$2:$A$17</xm:f>
          </x14:formula1>
          <xm:sqref>D1:D1048576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4"/>
  <sheetViews>
    <sheetView showRuler="0" zoomScale="80" zoomScaleNormal="80" zoomScalePageLayoutView="80" workbookViewId="0">
      <selection activeCell="E28" sqref="E28"/>
    </sheetView>
  </sheetViews>
  <sheetFormatPr baseColWidth="10" defaultRowHeight="15" x14ac:dyDescent="0"/>
  <cols>
    <col min="1" max="1" width="17.5" style="98" bestFit="1" customWidth="1"/>
    <col min="2" max="2" width="15.33203125" style="33" bestFit="1" customWidth="1"/>
    <col min="3" max="3" width="10.6640625" style="33" customWidth="1"/>
    <col min="4" max="4" width="14.33203125" style="33" bestFit="1" customWidth="1"/>
    <col min="5" max="5" width="9.6640625" style="33" customWidth="1"/>
    <col min="6" max="6" width="11.83203125" style="33" customWidth="1"/>
    <col min="7" max="7" width="13.1640625" style="33" customWidth="1"/>
    <col min="8" max="8" width="10.6640625" style="33" customWidth="1"/>
    <col min="9" max="9" width="9.5" style="33" customWidth="1"/>
    <col min="10" max="10" width="10" style="33" customWidth="1"/>
    <col min="11" max="11" width="9.5" style="33" customWidth="1"/>
    <col min="12" max="12" width="11.5" style="33" bestFit="1" customWidth="1"/>
    <col min="13" max="13" width="10.83203125" style="33" customWidth="1"/>
    <col min="14" max="14" width="9.6640625" style="33" customWidth="1"/>
    <col min="15" max="15" width="12" style="33" customWidth="1"/>
    <col min="16" max="16" width="15.33203125" style="33" bestFit="1" customWidth="1"/>
    <col min="17" max="17" width="12.83203125" style="33" customWidth="1"/>
    <col min="18" max="18" width="11.6640625" style="33" customWidth="1"/>
    <col min="19" max="19" width="9.1640625" style="33" customWidth="1"/>
    <col min="20" max="20" width="12.33203125" style="33" customWidth="1"/>
    <col min="21" max="21" width="8.5" style="33" customWidth="1"/>
    <col min="22" max="22" width="10.1640625" style="33" customWidth="1"/>
    <col min="23" max="23" width="10.83203125" style="33" customWidth="1"/>
    <col min="24" max="24" width="9.1640625" style="33" customWidth="1"/>
    <col min="25" max="25" width="12.5" style="33" bestFit="1" customWidth="1"/>
    <col min="26" max="26" width="10.83203125" style="33"/>
    <col min="27" max="27" width="16.83203125" style="33" customWidth="1"/>
    <col min="28" max="28" width="14.33203125" style="33" customWidth="1"/>
    <col min="29" max="29" width="19.1640625" style="33" customWidth="1"/>
    <col min="30" max="30" width="17.33203125" style="33" customWidth="1"/>
    <col min="31" max="16384" width="10.83203125" style="33"/>
  </cols>
  <sheetData>
    <row r="1" spans="1:30" ht="31" customHeight="1">
      <c r="A1" s="98" t="s">
        <v>124</v>
      </c>
    </row>
    <row r="2" spans="1:30" s="34" customFormat="1" ht="47" customHeight="1">
      <c r="A2" s="99"/>
      <c r="B2" s="35">
        <v>1</v>
      </c>
      <c r="C2" s="36">
        <v>2</v>
      </c>
      <c r="D2" s="36">
        <v>3</v>
      </c>
      <c r="E2" s="36">
        <v>4</v>
      </c>
      <c r="F2" s="35">
        <v>5</v>
      </c>
      <c r="G2" s="35">
        <v>6</v>
      </c>
      <c r="H2" s="35">
        <v>7</v>
      </c>
      <c r="I2" s="35">
        <v>8</v>
      </c>
      <c r="J2" s="35">
        <v>9</v>
      </c>
      <c r="K2" s="35">
        <v>10</v>
      </c>
      <c r="L2" s="36">
        <v>11</v>
      </c>
      <c r="M2" s="35">
        <v>12</v>
      </c>
      <c r="N2" s="35">
        <v>13</v>
      </c>
      <c r="O2" s="36">
        <v>14</v>
      </c>
      <c r="P2" s="36">
        <v>15</v>
      </c>
      <c r="Q2" s="35">
        <v>16</v>
      </c>
      <c r="R2" s="36">
        <v>17</v>
      </c>
      <c r="S2" s="35">
        <v>18</v>
      </c>
      <c r="T2" s="36">
        <v>19</v>
      </c>
      <c r="U2" s="35">
        <v>20</v>
      </c>
      <c r="V2" s="35">
        <v>21</v>
      </c>
      <c r="W2" s="36">
        <v>22</v>
      </c>
      <c r="X2" s="35">
        <v>23</v>
      </c>
      <c r="Y2" s="36">
        <v>24</v>
      </c>
    </row>
    <row r="3" spans="1:30" s="34" customFormat="1" ht="37" customHeight="1">
      <c r="A3" s="99"/>
      <c r="B3" s="35"/>
      <c r="C3" s="36"/>
      <c r="D3" s="36" t="s">
        <v>85</v>
      </c>
      <c r="E3" s="36"/>
      <c r="F3" s="35" t="s">
        <v>87</v>
      </c>
      <c r="G3" s="35"/>
      <c r="H3" s="35" t="s">
        <v>75</v>
      </c>
      <c r="I3" s="35" t="s">
        <v>86</v>
      </c>
      <c r="J3" s="35" t="s">
        <v>84</v>
      </c>
      <c r="K3" s="35" t="s">
        <v>106</v>
      </c>
      <c r="L3" s="36" t="s">
        <v>87</v>
      </c>
      <c r="M3" s="35" t="s">
        <v>84</v>
      </c>
      <c r="N3" s="35" t="s">
        <v>78</v>
      </c>
      <c r="O3" s="36"/>
      <c r="P3" s="36"/>
      <c r="Q3" s="35" t="s">
        <v>88</v>
      </c>
      <c r="R3" s="36" t="s">
        <v>38</v>
      </c>
      <c r="S3" s="35" t="s">
        <v>20</v>
      </c>
      <c r="T3" s="36" t="s">
        <v>89</v>
      </c>
      <c r="U3" s="35" t="s">
        <v>46</v>
      </c>
      <c r="V3" s="35" t="s">
        <v>110</v>
      </c>
      <c r="W3" s="36" t="s">
        <v>17</v>
      </c>
      <c r="X3" s="35"/>
      <c r="Y3" s="36"/>
    </row>
    <row r="4" spans="1:30" s="34" customFormat="1" ht="37" customHeight="1">
      <c r="A4" s="99"/>
      <c r="B4" s="35"/>
      <c r="C4" s="36"/>
      <c r="D4" s="36"/>
      <c r="E4" s="36"/>
      <c r="F4" s="35"/>
      <c r="G4" s="35"/>
      <c r="H4" s="35"/>
      <c r="I4" s="35"/>
      <c r="J4" s="35"/>
      <c r="K4" s="35"/>
      <c r="L4" s="36"/>
      <c r="M4" s="35"/>
      <c r="N4" s="35"/>
      <c r="O4" s="36"/>
      <c r="P4" s="36"/>
      <c r="Q4" s="35"/>
      <c r="R4" s="36"/>
      <c r="S4" s="35"/>
      <c r="T4" s="36"/>
      <c r="U4" s="35"/>
      <c r="V4" s="35"/>
      <c r="W4" s="36"/>
      <c r="X4" s="35"/>
      <c r="Y4" s="36"/>
    </row>
    <row r="5" spans="1:30">
      <c r="A5" s="100">
        <v>42874</v>
      </c>
      <c r="B5" s="52">
        <f>SUMIFS(Collection!$J:$J, Collection!$A:$A, $A5, Collection!$B:$B, B$2)</f>
        <v>0</v>
      </c>
      <c r="C5" s="52">
        <f>SUMIFS(Collection!$J:$J, Collection!$A:$A, $A5, Collection!$B:$B, C$2)</f>
        <v>0</v>
      </c>
      <c r="D5" s="52">
        <f>SUMIFS(Collection!$J:$J, Collection!$A:$A, $A5, Collection!$B:$B, D$2)</f>
        <v>0</v>
      </c>
      <c r="E5" s="52">
        <f>SUMIFS(Collection!$J:$J, Collection!$A:$A, $A5, Collection!$B:$B, E$2)</f>
        <v>0</v>
      </c>
      <c r="F5" s="52">
        <f>SUMIFS(Collection!$J:$J, Collection!$A:$A, $A5, Collection!$B:$B, F$2)</f>
        <v>0</v>
      </c>
      <c r="G5" s="52">
        <f>SUMIFS(Collection!$J:$J, Collection!$A:$A, $A5, Collection!$B:$B, G$2)</f>
        <v>0</v>
      </c>
      <c r="H5" s="52">
        <f>SUMIFS(Collection!$J:$J, Collection!$A:$A, $A5, Collection!$B:$B, H$2)</f>
        <v>0</v>
      </c>
      <c r="I5" s="52">
        <f>SUMIFS(Collection!$J:$J, Collection!$A:$A, $A5, Collection!$B:$B, I$2)</f>
        <v>0</v>
      </c>
      <c r="J5" s="52">
        <f>SUMIFS(Collection!$J:$J, Collection!$A:$A, $A5, Collection!$B:$B, J$2)</f>
        <v>0</v>
      </c>
      <c r="K5" s="52">
        <f>SUMIFS(Collection!$J:$J, Collection!$A:$A, $A5, Collection!$B:$B, K$2)</f>
        <v>0</v>
      </c>
      <c r="L5" s="52">
        <f>SUMIFS(Collection!$J:$J, Collection!$A:$A, $A5, Collection!$B:$B, L$2)</f>
        <v>0</v>
      </c>
      <c r="M5" s="52">
        <f>SUMIFS(Collection!$J:$J, Collection!$A:$A, $A5, Collection!$B:$B, M$2)</f>
        <v>0</v>
      </c>
      <c r="N5" s="52">
        <f>SUMIFS(Collection!$J:$J, Collection!$A:$A, $A5, Collection!$B:$B, N$2)</f>
        <v>0</v>
      </c>
      <c r="O5" s="52">
        <f>SUMIFS(Collection!$J:$J, Collection!$A:$A, $A5, Collection!$B:$B, O$2)</f>
        <v>0</v>
      </c>
      <c r="P5" s="52">
        <f>SUMIFS(Collection!$J:$J, Collection!$A:$A, $A5, Collection!$B:$B, P$2)</f>
        <v>0</v>
      </c>
      <c r="Q5" s="52">
        <f>SUMIFS(Collection!$J:$J, Collection!$A:$A, $A5, Collection!$B:$B, Q$2)</f>
        <v>0</v>
      </c>
      <c r="R5" s="52">
        <f>SUMIFS(Collection!$J:$J, Collection!$A:$A, $A5, Collection!$B:$B, R$2)</f>
        <v>0</v>
      </c>
      <c r="S5" s="52">
        <f>SUMIFS(Collection!$J:$J, Collection!$A:$A, $A5, Collection!$B:$B, S$2)</f>
        <v>0</v>
      </c>
      <c r="T5" s="52">
        <f>SUMIFS(Collection!$J:$J, Collection!$A:$A, $A5, Collection!$B:$B, T$2)</f>
        <v>0</v>
      </c>
      <c r="U5" s="52">
        <f>SUMIFS(Collection!$J:$J, Collection!$A:$A, $A5, Collection!$B:$B, U$2)</f>
        <v>0</v>
      </c>
      <c r="V5" s="52">
        <f>SUMIFS(Collection!$J:$J, Collection!$A:$A, $A5, Collection!$B:$B, V$2)</f>
        <v>0</v>
      </c>
      <c r="W5" s="52">
        <f>SUMIFS(Collection!$J:$J, Collection!$A:$A, $A5, Collection!$B:$B, W$2)</f>
        <v>0</v>
      </c>
      <c r="X5" s="52">
        <f>SUMIFS(Collection!$J:$J, Collection!$A:$A, $A5, Collection!$B:$B, X$2)</f>
        <v>0</v>
      </c>
      <c r="Y5" s="52">
        <f>SUMIFS(Collection!$J:$J, Collection!$A:$A, $A5, Collection!$B:$B, Y$2)</f>
        <v>0</v>
      </c>
      <c r="AA5" t="s">
        <v>21</v>
      </c>
      <c r="AB5" s="33" t="s">
        <v>46</v>
      </c>
      <c r="AC5" t="s">
        <v>44</v>
      </c>
      <c r="AD5" t="s">
        <v>122</v>
      </c>
    </row>
    <row r="6" spans="1:30">
      <c r="A6" s="100">
        <f t="shared" ref="A6:A81" si="0">1+A5</f>
        <v>42875</v>
      </c>
      <c r="B6" s="52">
        <f>SUMIFS(Collection!$J:$J, Collection!$A:$A, $A6, Collection!$B:$B, B$2)</f>
        <v>0</v>
      </c>
      <c r="C6" s="52">
        <f>SUMIFS(Collection!$J:$J, Collection!$A:$A, $A6, Collection!$B:$B, C$2)</f>
        <v>0</v>
      </c>
      <c r="D6" s="52">
        <f>SUMIFS(Collection!$J:$J, Collection!$A:$A, $A6, Collection!$B:$B, D$2)</f>
        <v>0</v>
      </c>
      <c r="E6" s="52">
        <f>SUMIFS(Collection!$J:$J, Collection!$A:$A, $A6, Collection!$B:$B, E$2)</f>
        <v>0</v>
      </c>
      <c r="F6" s="52">
        <f>SUMIFS(Collection!$J:$J, Collection!$A:$A, $A6, Collection!$B:$B, F$2)</f>
        <v>0</v>
      </c>
      <c r="G6" s="52">
        <f>SUMIFS(Collection!$J:$J, Collection!$A:$A, $A6, Collection!$B:$B, G$2)</f>
        <v>0</v>
      </c>
      <c r="H6" s="52">
        <f>SUMIFS(Collection!$J:$J, Collection!$A:$A, $A6, Collection!$B:$B, H$2)</f>
        <v>0</v>
      </c>
      <c r="I6" s="52">
        <f>SUMIFS(Collection!$J:$J, Collection!$A:$A, $A6, Collection!$B:$B, I$2)</f>
        <v>0</v>
      </c>
      <c r="J6" s="52">
        <f>SUMIFS(Collection!$J:$J, Collection!$A:$A, $A6, Collection!$B:$B, J$2)</f>
        <v>0</v>
      </c>
      <c r="K6" s="52">
        <f>SUMIFS(Collection!$J:$J, Collection!$A:$A, $A6, Collection!$B:$B, K$2)</f>
        <v>0</v>
      </c>
      <c r="L6" s="52">
        <f>SUMIFS(Collection!$J:$J, Collection!$A:$A, $A6, Collection!$B:$B, L$2)</f>
        <v>0</v>
      </c>
      <c r="M6" s="52">
        <f>SUMIFS(Collection!$J:$J, Collection!$A:$A, $A6, Collection!$B:$B, M$2)</f>
        <v>0</v>
      </c>
      <c r="N6" s="52">
        <f>SUMIFS(Collection!$J:$J, Collection!$A:$A, $A6, Collection!$B:$B, N$2)</f>
        <v>0</v>
      </c>
      <c r="O6" s="52">
        <f>SUMIFS(Collection!$J:$J, Collection!$A:$A, $A6, Collection!$B:$B, O$2)</f>
        <v>0</v>
      </c>
      <c r="P6" s="52">
        <f>SUMIFS(Collection!$J:$J, Collection!$A:$A, $A6, Collection!$B:$B, P$2)</f>
        <v>0</v>
      </c>
      <c r="Q6" s="52">
        <f>SUMIFS(Collection!$J:$J, Collection!$A:$A, $A6, Collection!$B:$B, Q$2)</f>
        <v>0</v>
      </c>
      <c r="R6" s="52">
        <f>SUMIFS(Collection!$J:$J, Collection!$A:$A, $A6, Collection!$B:$B, R$2)</f>
        <v>0</v>
      </c>
      <c r="S6" s="52">
        <f>SUMIFS(Collection!$J:$J, Collection!$A:$A, $A6, Collection!$B:$B, S$2)</f>
        <v>0</v>
      </c>
      <c r="T6" s="52">
        <f>SUMIFS(Collection!$J:$J, Collection!$A:$A, $A6, Collection!$B:$B, T$2)</f>
        <v>0</v>
      </c>
      <c r="U6" s="52">
        <f>SUMIFS(Collection!$J:$J, Collection!$A:$A, $A6, Collection!$B:$B, U$2)</f>
        <v>0</v>
      </c>
      <c r="V6" s="52">
        <f>SUMIFS(Collection!$J:$J, Collection!$A:$A, $A6, Collection!$B:$B, V$2)</f>
        <v>0</v>
      </c>
      <c r="W6" s="52">
        <f>SUMIFS(Collection!$J:$J, Collection!$A:$A, $A6, Collection!$B:$B, W$2)</f>
        <v>0</v>
      </c>
      <c r="X6" s="52">
        <f>SUMIFS(Collection!$J:$J, Collection!$A:$A, $A6, Collection!$B:$B, X$2)</f>
        <v>0</v>
      </c>
      <c r="Y6" s="52">
        <f>SUMIFS(Collection!$J:$J, Collection!$A:$A, $A6, Collection!$B:$B, Y$2)</f>
        <v>0</v>
      </c>
      <c r="AA6" t="s">
        <v>120</v>
      </c>
      <c r="AB6" s="33" t="s">
        <v>38</v>
      </c>
      <c r="AC6" t="s">
        <v>48</v>
      </c>
      <c r="AD6" t="s">
        <v>98</v>
      </c>
    </row>
    <row r="7" spans="1:30">
      <c r="A7" s="100">
        <f t="shared" si="0"/>
        <v>42876</v>
      </c>
      <c r="B7" s="52">
        <f>SUMIFS(Collection!$J:$J, Collection!$A:$A, $A7, Collection!$B:$B, B$2)</f>
        <v>0</v>
      </c>
      <c r="C7" s="52">
        <f>SUMIFS(Collection!$J:$J, Collection!$A:$A, $A7, Collection!$B:$B, C$2)</f>
        <v>0</v>
      </c>
      <c r="D7" s="52">
        <f>SUMIFS(Collection!$J:$J, Collection!$A:$A, $A7, Collection!$B:$B, D$2)</f>
        <v>0</v>
      </c>
      <c r="E7" s="52">
        <f>SUMIFS(Collection!$J:$J, Collection!$A:$A, $A7, Collection!$B:$B, E$2)</f>
        <v>0</v>
      </c>
      <c r="F7" s="52">
        <f>SUMIFS(Collection!$J:$J, Collection!$A:$A, $A7, Collection!$B:$B, F$2)</f>
        <v>0</v>
      </c>
      <c r="G7" s="52">
        <f>SUMIFS(Collection!$J:$J, Collection!$A:$A, $A7, Collection!$B:$B, G$2)</f>
        <v>0</v>
      </c>
      <c r="H7" s="52">
        <f>SUMIFS(Collection!$J:$J, Collection!$A:$A, $A7, Collection!$B:$B, H$2)</f>
        <v>0</v>
      </c>
      <c r="I7" s="52">
        <f>SUMIFS(Collection!$J:$J, Collection!$A:$A, $A7, Collection!$B:$B, I$2)</f>
        <v>0</v>
      </c>
      <c r="J7" s="52">
        <f>SUMIFS(Collection!$J:$J, Collection!$A:$A, $A7, Collection!$B:$B, J$2)</f>
        <v>0</v>
      </c>
      <c r="K7" s="52">
        <f>SUMIFS(Collection!$J:$J, Collection!$A:$A, $A7, Collection!$B:$B, K$2)</f>
        <v>0</v>
      </c>
      <c r="L7" s="52">
        <f>SUMIFS(Collection!$J:$J, Collection!$A:$A, $A7, Collection!$B:$B, L$2)</f>
        <v>0</v>
      </c>
      <c r="M7" s="52">
        <f>SUMIFS(Collection!$J:$J, Collection!$A:$A, $A7, Collection!$B:$B, M$2)</f>
        <v>0</v>
      </c>
      <c r="N7" s="52">
        <f>SUMIFS(Collection!$J:$J, Collection!$A:$A, $A7, Collection!$B:$B, N$2)</f>
        <v>0</v>
      </c>
      <c r="O7" s="52">
        <f>SUMIFS(Collection!$J:$J, Collection!$A:$A, $A7, Collection!$B:$B, O$2)</f>
        <v>0</v>
      </c>
      <c r="P7" s="52">
        <f>SUMIFS(Collection!$J:$J, Collection!$A:$A, $A7, Collection!$B:$B, P$2)</f>
        <v>0</v>
      </c>
      <c r="Q7" s="52">
        <f>SUMIFS(Collection!$J:$J, Collection!$A:$A, $A7, Collection!$B:$B, Q$2)</f>
        <v>0</v>
      </c>
      <c r="R7" s="52">
        <f>SUMIFS(Collection!$J:$J, Collection!$A:$A, $A7, Collection!$B:$B, R$2)</f>
        <v>0</v>
      </c>
      <c r="S7" s="52">
        <f>SUMIFS(Collection!$J:$J, Collection!$A:$A, $A7, Collection!$B:$B, S$2)</f>
        <v>0</v>
      </c>
      <c r="T7" s="52">
        <f>SUMIFS(Collection!$J:$J, Collection!$A:$A, $A7, Collection!$B:$B, T$2)</f>
        <v>0</v>
      </c>
      <c r="U7" s="52">
        <f>SUMIFS(Collection!$J:$J, Collection!$A:$A, $A7, Collection!$B:$B, U$2)</f>
        <v>0</v>
      </c>
      <c r="V7" s="52">
        <f>SUMIFS(Collection!$J:$J, Collection!$A:$A, $A7, Collection!$B:$B, V$2)</f>
        <v>0</v>
      </c>
      <c r="W7" s="52">
        <f>SUMIFS(Collection!$J:$J, Collection!$A:$A, $A7, Collection!$B:$B, W$2)</f>
        <v>0</v>
      </c>
      <c r="X7" s="52">
        <f>SUMIFS(Collection!$J:$J, Collection!$A:$A, $A7, Collection!$B:$B, X$2)</f>
        <v>0</v>
      </c>
      <c r="Y7" s="52">
        <f>SUMIFS(Collection!$J:$J, Collection!$A:$A, $A7, Collection!$B:$B, Y$2)</f>
        <v>0</v>
      </c>
      <c r="AA7" t="s">
        <v>139</v>
      </c>
      <c r="AB7" s="33" t="s">
        <v>37</v>
      </c>
      <c r="AC7" t="s">
        <v>25</v>
      </c>
      <c r="AD7" t="s">
        <v>50</v>
      </c>
    </row>
    <row r="8" spans="1:30">
      <c r="A8" s="100">
        <f t="shared" si="0"/>
        <v>42877</v>
      </c>
      <c r="B8" s="52">
        <f>SUMIFS(Collection!$J:$J, Collection!$A:$A, $A8, Collection!$B:$B, B$2)</f>
        <v>0</v>
      </c>
      <c r="C8" s="52">
        <f>SUMIFS(Collection!$J:$J, Collection!$A:$A, $A8, Collection!$B:$B, C$2)</f>
        <v>0</v>
      </c>
      <c r="D8" s="52">
        <f>SUMIFS(Collection!$J:$J, Collection!$A:$A, $A8, Collection!$B:$B, D$2)</f>
        <v>0</v>
      </c>
      <c r="E8" s="52">
        <f>SUMIFS(Collection!$J:$J, Collection!$A:$A, $A8, Collection!$B:$B, E$2)</f>
        <v>0</v>
      </c>
      <c r="F8" s="52">
        <f>SUMIFS(Collection!$J:$J, Collection!$A:$A, $A8, Collection!$B:$B, F$2)</f>
        <v>0</v>
      </c>
      <c r="G8" s="52">
        <f>SUMIFS(Collection!$J:$J, Collection!$A:$A, $A8, Collection!$B:$B, G$2)</f>
        <v>0</v>
      </c>
      <c r="H8" s="52">
        <f>SUMIFS(Collection!$J:$J, Collection!$A:$A, $A8, Collection!$B:$B, H$2)</f>
        <v>0</v>
      </c>
      <c r="I8" s="52">
        <f>SUMIFS(Collection!$J:$J, Collection!$A:$A, $A8, Collection!$B:$B, I$2)</f>
        <v>0</v>
      </c>
      <c r="J8" s="52">
        <f>SUMIFS(Collection!$J:$J, Collection!$A:$A, $A8, Collection!$B:$B, J$2)</f>
        <v>0</v>
      </c>
      <c r="K8" s="52">
        <f>SUMIFS(Collection!$J:$J, Collection!$A:$A, $A8, Collection!$B:$B, K$2)</f>
        <v>0</v>
      </c>
      <c r="L8" s="52">
        <f>SUMIFS(Collection!$J:$J, Collection!$A:$A, $A8, Collection!$B:$B, L$2)</f>
        <v>0</v>
      </c>
      <c r="M8" s="52">
        <f>SUMIFS(Collection!$J:$J, Collection!$A:$A, $A8, Collection!$B:$B, M$2)</f>
        <v>0</v>
      </c>
      <c r="N8" s="52">
        <f>SUMIFS(Collection!$J:$J, Collection!$A:$A, $A8, Collection!$B:$B, N$2)</f>
        <v>0</v>
      </c>
      <c r="O8" s="52">
        <f>SUMIFS(Collection!$J:$J, Collection!$A:$A, $A8, Collection!$B:$B, O$2)</f>
        <v>0</v>
      </c>
      <c r="P8" s="52">
        <f>SUMIFS(Collection!$J:$J, Collection!$A:$A, $A8, Collection!$B:$B, P$2)</f>
        <v>0</v>
      </c>
      <c r="Q8" s="52">
        <f>SUMIFS(Collection!$J:$J, Collection!$A:$A, $A8, Collection!$B:$B, Q$2)</f>
        <v>0</v>
      </c>
      <c r="R8" s="52">
        <f>SUMIFS(Collection!$J:$J, Collection!$A:$A, $A8, Collection!$B:$B, R$2)</f>
        <v>0</v>
      </c>
      <c r="S8" s="52">
        <f>SUMIFS(Collection!$J:$J, Collection!$A:$A, $A8, Collection!$B:$B, S$2)</f>
        <v>0</v>
      </c>
      <c r="T8" s="52">
        <f>SUMIFS(Collection!$J:$J, Collection!$A:$A, $A8, Collection!$B:$B, T$2)</f>
        <v>0</v>
      </c>
      <c r="U8" s="52">
        <f>SUMIFS(Collection!$J:$J, Collection!$A:$A, $A8, Collection!$B:$B, U$2)</f>
        <v>0</v>
      </c>
      <c r="V8" s="52">
        <f>SUMIFS(Collection!$J:$J, Collection!$A:$A, $A8, Collection!$B:$B, V$2)</f>
        <v>0</v>
      </c>
      <c r="W8" s="52">
        <f>SUMIFS(Collection!$J:$J, Collection!$A:$A, $A8, Collection!$B:$B, W$2)</f>
        <v>0</v>
      </c>
      <c r="X8" s="52">
        <f>SUMIFS(Collection!$J:$J, Collection!$A:$A, $A8, Collection!$B:$B, X$2)</f>
        <v>0</v>
      </c>
      <c r="Y8" s="52">
        <f>SUMIFS(Collection!$J:$J, Collection!$A:$A, $A8, Collection!$B:$B, Y$2)</f>
        <v>0</v>
      </c>
      <c r="AA8" t="s">
        <v>89</v>
      </c>
      <c r="AB8" s="60" t="s">
        <v>17</v>
      </c>
      <c r="AC8" t="s">
        <v>36</v>
      </c>
      <c r="AD8" t="s">
        <v>39</v>
      </c>
    </row>
    <row r="9" spans="1:30" s="60" customFormat="1">
      <c r="A9" s="102" t="s">
        <v>69</v>
      </c>
      <c r="B9" s="95"/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AA9" s="26"/>
      <c r="AC9" t="s">
        <v>24</v>
      </c>
      <c r="AD9" t="s">
        <v>49</v>
      </c>
    </row>
    <row r="10" spans="1:30" s="60" customFormat="1">
      <c r="A10" s="102">
        <f>1+A8</f>
        <v>42878</v>
      </c>
      <c r="B10" s="95">
        <f>SUMIFS(Collection!$J:$J, Collection!$A:$A, $A10, Collection!$B:$B, B$2)</f>
        <v>0</v>
      </c>
      <c r="C10" s="95">
        <f>SUMIFS(Collection!$J:$J, Collection!$A:$A, $A10, Collection!$B:$B, C$2)</f>
        <v>0</v>
      </c>
      <c r="D10" s="95">
        <f>SUMIFS(Collection!$J:$J, Collection!$A:$A, $A10, Collection!$B:$B, D$2)</f>
        <v>0</v>
      </c>
      <c r="E10" s="95">
        <f>SUMIFS(Collection!$J:$J, Collection!$A:$A, $A10, Collection!$B:$B, E$2)</f>
        <v>0</v>
      </c>
      <c r="F10" s="95">
        <f>SUMIFS(Collection!$J:$J, Collection!$A:$A, $A10, Collection!$B:$B, F$2)</f>
        <v>0</v>
      </c>
      <c r="G10" s="95">
        <f>SUMIFS(Collection!$J:$J, Collection!$A:$A, $A10, Collection!$B:$B, G$2)</f>
        <v>0</v>
      </c>
      <c r="H10" s="95">
        <f>SUMIFS(Collection!$J:$J, Collection!$A:$A, $A10, Collection!$B:$B, H$2)</f>
        <v>0</v>
      </c>
      <c r="I10" s="95">
        <f>SUMIFS(Collection!$J:$J, Collection!$A:$A, $A10, Collection!$B:$B, I$2)</f>
        <v>0</v>
      </c>
      <c r="J10" s="95">
        <f>SUMIFS(Collection!$J:$J, Collection!$A:$A, $A10, Collection!$B:$B, J$2)</f>
        <v>0</v>
      </c>
      <c r="K10" s="95">
        <f>SUMIFS(Collection!$J:$J, Collection!$A:$A, $A10, Collection!$B:$B, K$2)</f>
        <v>0</v>
      </c>
      <c r="L10" s="95">
        <f>SUMIFS(Collection!$J:$J, Collection!$A:$A, $A10, Collection!$B:$B, L$2)</f>
        <v>0</v>
      </c>
      <c r="M10" s="95">
        <f>SUMIFS(Collection!$J:$J, Collection!$A:$A, $A10, Collection!$B:$B, M$2)</f>
        <v>0</v>
      </c>
      <c r="N10" s="95">
        <f>SUMIFS(Collection!$J:$J, Collection!$A:$A, $A10, Collection!$B:$B, N$2)</f>
        <v>0</v>
      </c>
      <c r="O10" s="95">
        <f>SUMIFS(Collection!$J:$J, Collection!$A:$A, $A10, Collection!$B:$B, O$2)</f>
        <v>0</v>
      </c>
      <c r="P10" s="95">
        <f>SUMIFS(Collection!$J:$J, Collection!$A:$A, $A10, Collection!$B:$B, P$2)</f>
        <v>0</v>
      </c>
      <c r="Q10" s="95">
        <f>SUMIFS(Collection!$J:$J, Collection!$A:$A, $A10, Collection!$B:$B, Q$2)</f>
        <v>0</v>
      </c>
      <c r="R10" s="95">
        <f>SUMIFS(Collection!$J:$J, Collection!$A:$A, $A10, Collection!$B:$B, R$2)</f>
        <v>0</v>
      </c>
      <c r="S10" s="95">
        <f>SUMIFS(Collection!$J:$J, Collection!$A:$A, $A10, Collection!$B:$B, S$2)</f>
        <v>0</v>
      </c>
      <c r="T10" s="95">
        <f>SUMIFS(Collection!$J:$J, Collection!$A:$A, $A10, Collection!$B:$B, T$2)</f>
        <v>0</v>
      </c>
      <c r="U10" s="95">
        <f>SUMIFS(Collection!$J:$J, Collection!$A:$A, $A10, Collection!$B:$B, U$2)</f>
        <v>0</v>
      </c>
      <c r="V10" s="95">
        <f>SUMIFS(Collection!$J:$J, Collection!$A:$A, $A10, Collection!$B:$B, V$2)</f>
        <v>0</v>
      </c>
      <c r="W10" s="95">
        <f>SUMIFS(Collection!$J:$J, Collection!$A:$A, $A10, Collection!$B:$B, W$2)</f>
        <v>0</v>
      </c>
      <c r="X10" s="95">
        <f>SUMIFS(Collection!$J:$J, Collection!$A:$A, $A10, Collection!$B:$B, X$2)</f>
        <v>0</v>
      </c>
      <c r="Y10" s="95">
        <f>SUMIFS(Collection!$J:$J, Collection!$A:$A, $A10, Collection!$B:$B, Y$2)</f>
        <v>0</v>
      </c>
      <c r="AA10" s="26"/>
      <c r="AC10" t="s">
        <v>34</v>
      </c>
      <c r="AD10" t="s">
        <v>143</v>
      </c>
    </row>
    <row r="11" spans="1:30" s="60" customFormat="1">
      <c r="A11" s="102">
        <f t="shared" si="0"/>
        <v>42879</v>
      </c>
      <c r="B11" s="95">
        <f>SUMIFS(Collection!$J:$J, Collection!$A:$A, $A11, Collection!$B:$B, B$2)</f>
        <v>0</v>
      </c>
      <c r="C11" s="95">
        <f>SUMIFS(Collection!$J:$J, Collection!$A:$A, $A11, Collection!$B:$B, C$2)</f>
        <v>0</v>
      </c>
      <c r="D11" s="95">
        <f>SUMIFS(Collection!$J:$J, Collection!$A:$A, $A11, Collection!$B:$B, D$2)</f>
        <v>0</v>
      </c>
      <c r="E11" s="95">
        <f>SUMIFS(Collection!$J:$J, Collection!$A:$A, $A11, Collection!$B:$B, E$2)</f>
        <v>0</v>
      </c>
      <c r="F11" s="95">
        <f>SUMIFS(Collection!$J:$J, Collection!$A:$A, $A11, Collection!$B:$B, F$2)</f>
        <v>0</v>
      </c>
      <c r="G11" s="95">
        <f>SUMIFS(Collection!$J:$J, Collection!$A:$A, $A11, Collection!$B:$B, G$2)</f>
        <v>0</v>
      </c>
      <c r="H11" s="95">
        <f>SUMIFS(Collection!$J:$J, Collection!$A:$A, $A11, Collection!$B:$B, H$2)</f>
        <v>0</v>
      </c>
      <c r="I11" s="95">
        <f>SUMIFS(Collection!$J:$J, Collection!$A:$A, $A11, Collection!$B:$B, I$2)</f>
        <v>0</v>
      </c>
      <c r="J11" s="95">
        <f>SUMIFS(Collection!$J:$J, Collection!$A:$A, $A11, Collection!$B:$B, J$2)</f>
        <v>0</v>
      </c>
      <c r="K11" s="95">
        <f>SUMIFS(Collection!$J:$J, Collection!$A:$A, $A11, Collection!$B:$B, K$2)</f>
        <v>0</v>
      </c>
      <c r="L11" s="95">
        <f>SUMIFS(Collection!$J:$J, Collection!$A:$A, $A11, Collection!$B:$B, L$2)</f>
        <v>0</v>
      </c>
      <c r="M11" s="95">
        <f>SUMIFS(Collection!$J:$J, Collection!$A:$A, $A11, Collection!$B:$B, M$2)</f>
        <v>0</v>
      </c>
      <c r="N11" s="95">
        <f>SUMIFS(Collection!$J:$J, Collection!$A:$A, $A11, Collection!$B:$B, N$2)</f>
        <v>0</v>
      </c>
      <c r="O11" s="95">
        <f>SUMIFS(Collection!$J:$J, Collection!$A:$A, $A11, Collection!$B:$B, O$2)</f>
        <v>0</v>
      </c>
      <c r="P11" s="95">
        <f>SUMIFS(Collection!$J:$J, Collection!$A:$A, $A11, Collection!$B:$B, P$2)</f>
        <v>0</v>
      </c>
      <c r="Q11" s="95">
        <f>SUMIFS(Collection!$J:$J, Collection!$A:$A, $A11, Collection!$B:$B, Q$2)</f>
        <v>0</v>
      </c>
      <c r="R11" s="95">
        <f>SUMIFS(Collection!$J:$J, Collection!$A:$A, $A11, Collection!$B:$B, R$2)</f>
        <v>0</v>
      </c>
      <c r="S11" s="95">
        <f>SUMIFS(Collection!$J:$J, Collection!$A:$A, $A11, Collection!$B:$B, S$2)</f>
        <v>0</v>
      </c>
      <c r="T11" s="95">
        <f>SUMIFS(Collection!$J:$J, Collection!$A:$A, $A11, Collection!$B:$B, T$2)</f>
        <v>0</v>
      </c>
      <c r="U11" s="95">
        <f>SUMIFS(Collection!$J:$J, Collection!$A:$A, $A11, Collection!$B:$B, U$2)</f>
        <v>0</v>
      </c>
      <c r="V11" s="95">
        <f>SUMIFS(Collection!$J:$J, Collection!$A:$A, $A11, Collection!$B:$B, V$2)</f>
        <v>0</v>
      </c>
      <c r="W11" s="95">
        <f>SUMIFS(Collection!$J:$J, Collection!$A:$A, $A11, Collection!$B:$B, W$2)</f>
        <v>0</v>
      </c>
      <c r="X11" s="95">
        <f>SUMIFS(Collection!$J:$J, Collection!$A:$A, $A11, Collection!$B:$B, X$2)</f>
        <v>0</v>
      </c>
      <c r="Y11" s="95">
        <f>SUMIFS(Collection!$J:$J, Collection!$A:$A, $A11, Collection!$B:$B, Y$2)</f>
        <v>0</v>
      </c>
      <c r="AA11" s="26"/>
      <c r="AC11" t="s">
        <v>27</v>
      </c>
      <c r="AD11" t="s">
        <v>99</v>
      </c>
    </row>
    <row r="12" spans="1:30" s="60" customFormat="1" ht="16" thickBot="1">
      <c r="A12" s="102">
        <f t="shared" si="0"/>
        <v>42880</v>
      </c>
      <c r="B12" s="95">
        <f>SUMIFS(Collection!$J:$J, Collection!$A:$A, $A12, Collection!$B:$B, B$2)</f>
        <v>0</v>
      </c>
      <c r="C12" s="95">
        <f>SUMIFS(Collection!$J:$J, Collection!$A:$A, $A12, Collection!$B:$B, C$2)</f>
        <v>0</v>
      </c>
      <c r="D12" s="95">
        <f>SUMIFS(Collection!$J:$J, Collection!$A:$A, $A12, Collection!$B:$B, D$2)</f>
        <v>0</v>
      </c>
      <c r="E12" s="95">
        <f>SUMIFS(Collection!$J:$J, Collection!$A:$A, $A12, Collection!$B:$B, E$2)</f>
        <v>0</v>
      </c>
      <c r="F12" s="95">
        <f>SUMIFS(Collection!$J:$J, Collection!$A:$A, $A12, Collection!$B:$B, F$2)</f>
        <v>0</v>
      </c>
      <c r="G12" s="95">
        <f>SUMIFS(Collection!$J:$J, Collection!$A:$A, $A12, Collection!$B:$B, G$2)</f>
        <v>0</v>
      </c>
      <c r="H12" s="95">
        <f>SUMIFS(Collection!$J:$J, Collection!$A:$A, $A12, Collection!$B:$B, H$2)</f>
        <v>0</v>
      </c>
      <c r="I12" s="95">
        <f>SUMIFS(Collection!$J:$J, Collection!$A:$A, $A12, Collection!$B:$B, I$2)</f>
        <v>0</v>
      </c>
      <c r="J12" s="95">
        <f>SUMIFS(Collection!$J:$J, Collection!$A:$A, $A12, Collection!$B:$B, J$2)</f>
        <v>0</v>
      </c>
      <c r="K12" s="95">
        <f>SUMIFS(Collection!$J:$J, Collection!$A:$A, $A12, Collection!$B:$B, K$2)</f>
        <v>0</v>
      </c>
      <c r="L12" s="95">
        <f>SUMIFS(Collection!$J:$J, Collection!$A:$A, $A12, Collection!$B:$B, L$2)</f>
        <v>0</v>
      </c>
      <c r="M12" s="95">
        <f>SUMIFS(Collection!$J:$J, Collection!$A:$A, $A12, Collection!$B:$B, M$2)</f>
        <v>0</v>
      </c>
      <c r="N12" s="95">
        <f>SUMIFS(Collection!$J:$J, Collection!$A:$A, $A12, Collection!$B:$B, N$2)</f>
        <v>0</v>
      </c>
      <c r="O12" s="95">
        <f>SUMIFS(Collection!$J:$J, Collection!$A:$A, $A12, Collection!$B:$B, O$2)</f>
        <v>0</v>
      </c>
      <c r="P12" s="95">
        <f>SUMIFS(Collection!$J:$J, Collection!$A:$A, $A12, Collection!$B:$B, P$2)</f>
        <v>0</v>
      </c>
      <c r="Q12" s="95">
        <f>SUMIFS(Collection!$J:$J, Collection!$A:$A, $A12, Collection!$B:$B, Q$2)</f>
        <v>0</v>
      </c>
      <c r="R12" s="95">
        <f>SUMIFS(Collection!$J:$J, Collection!$A:$A, $A12, Collection!$B:$B, R$2)</f>
        <v>0</v>
      </c>
      <c r="S12" s="95">
        <f>SUMIFS(Collection!$J:$J, Collection!$A:$A, $A12, Collection!$B:$B, S$2)</f>
        <v>0</v>
      </c>
      <c r="T12" s="95">
        <f>SUMIFS(Collection!$J:$J, Collection!$A:$A, $A12, Collection!$B:$B, T$2)</f>
        <v>0</v>
      </c>
      <c r="U12" s="95">
        <f>SUMIFS(Collection!$J:$J, Collection!$A:$A, $A12, Collection!$B:$B, U$2)</f>
        <v>0</v>
      </c>
      <c r="V12" s="95">
        <f>SUMIFS(Collection!$J:$J, Collection!$A:$A, $A12, Collection!$B:$B, V$2)</f>
        <v>0</v>
      </c>
      <c r="W12" s="95">
        <f>SUMIFS(Collection!$J:$J, Collection!$A:$A, $A12, Collection!$B:$B, W$2)</f>
        <v>0</v>
      </c>
      <c r="X12" s="95">
        <f>SUMIFS(Collection!$J:$J, Collection!$A:$A, $A12, Collection!$B:$B, X$2)</f>
        <v>0</v>
      </c>
      <c r="Y12" s="95">
        <f>SUMIFS(Collection!$J:$J, Collection!$A:$A, $A12, Collection!$B:$B, Y$2)</f>
        <v>0</v>
      </c>
      <c r="AA12" s="26"/>
      <c r="AC12" t="s">
        <v>23</v>
      </c>
      <c r="AD12" t="s">
        <v>31</v>
      </c>
    </row>
    <row r="13" spans="1:30" s="59" customFormat="1">
      <c r="A13" s="101" t="s">
        <v>69</v>
      </c>
      <c r="B13" s="94"/>
      <c r="C13" s="94"/>
      <c r="D13" s="106">
        <v>100</v>
      </c>
      <c r="E13" s="94"/>
      <c r="F13" s="106">
        <v>100</v>
      </c>
      <c r="G13" s="94"/>
      <c r="H13" s="106">
        <v>100</v>
      </c>
      <c r="I13" s="106">
        <v>100</v>
      </c>
      <c r="J13" s="106">
        <v>100</v>
      </c>
      <c r="K13" s="106">
        <v>100</v>
      </c>
      <c r="L13" s="106">
        <v>100</v>
      </c>
      <c r="M13" s="106">
        <v>100</v>
      </c>
      <c r="N13" s="106">
        <v>100</v>
      </c>
      <c r="O13" s="94"/>
      <c r="P13" s="94"/>
      <c r="Q13" s="106">
        <v>100</v>
      </c>
      <c r="R13" s="106">
        <v>100</v>
      </c>
      <c r="S13" s="106">
        <v>100</v>
      </c>
      <c r="T13" s="106">
        <v>100</v>
      </c>
      <c r="U13" s="106">
        <v>100</v>
      </c>
      <c r="V13" s="106">
        <v>100</v>
      </c>
      <c r="W13" s="106">
        <v>100</v>
      </c>
      <c r="X13" s="94"/>
      <c r="Y13" s="94"/>
      <c r="AA13" s="22"/>
    </row>
    <row r="14" spans="1:30" s="60" customFormat="1">
      <c r="A14" s="102">
        <f>1+A12</f>
        <v>42881</v>
      </c>
      <c r="B14" s="95">
        <f>SUMIFS(Collection!$J:$J, Collection!$A:$A, $A14, Collection!$B:$B, B$2)</f>
        <v>0</v>
      </c>
      <c r="C14" s="95">
        <f>SUMIFS(Collection!$J:$J, Collection!$A:$A, $A14, Collection!$B:$B, C$2)</f>
        <v>0</v>
      </c>
      <c r="D14" s="104">
        <f>'Bucket Counts'!U24</f>
        <v>69866.666666666657</v>
      </c>
      <c r="E14" s="95">
        <f>SUMIFS(Collection!$J:$J, Collection!$A:$A, $A14, Collection!$B:$B, E$2)</f>
        <v>0</v>
      </c>
      <c r="F14" s="104">
        <f>'Bucket Counts'!U25</f>
        <v>112000</v>
      </c>
      <c r="G14" s="95">
        <f>SUMIFS(Collection!$J:$J, Collection!$A:$A, $A14, Collection!$B:$B, G$2)</f>
        <v>0</v>
      </c>
      <c r="H14" s="104">
        <f>'Bucket Counts'!U27</f>
        <v>179400</v>
      </c>
      <c r="I14" s="104">
        <f>'Bucket Counts'!U21+Collection!O80</f>
        <v>66366.666666666672</v>
      </c>
      <c r="J14" s="104">
        <f>Collection!O85</f>
        <v>57866.666666666664</v>
      </c>
      <c r="K14" s="104">
        <f>'Bucket Counts'!U29+Collection!O79</f>
        <v>135800</v>
      </c>
      <c r="L14" s="104">
        <f>'Bucket Counts'!U20</f>
        <v>118400</v>
      </c>
      <c r="M14" s="104">
        <f>'Bucket Counts'!U26</f>
        <v>150666.66666666666</v>
      </c>
      <c r="N14" s="104">
        <f>'Bucket Counts'!U23</f>
        <v>97600</v>
      </c>
      <c r="O14" s="95">
        <f>SUMIFS(Collection!$J:$J, Collection!$A:$A, $A14, Collection!$B:$B, O$2)</f>
        <v>0</v>
      </c>
      <c r="P14" s="95">
        <f>SUMIFS(Collection!$J:$J, Collection!$A:$A, $A14, Collection!$B:$B, P$2)</f>
        <v>0</v>
      </c>
      <c r="Q14" s="104">
        <f>'Bucket Counts'!U22</f>
        <v>97600</v>
      </c>
      <c r="R14" s="104">
        <f>'Bucket Counts'!U30</f>
        <v>20666.666666666668</v>
      </c>
      <c r="S14" s="104">
        <f>'Bucket Counts'!U31+Collection!O82</f>
        <v>90000</v>
      </c>
      <c r="T14" s="104">
        <f>'Bucket Counts'!U32+Collection!O81</f>
        <v>74266.666666666657</v>
      </c>
      <c r="U14" s="104">
        <f>'Bucket Counts'!U33+Collection!O83</f>
        <v>75666.666666666672</v>
      </c>
      <c r="V14" s="104">
        <f>Collection!O84</f>
        <v>44200</v>
      </c>
      <c r="W14" s="104">
        <f>'Bucket Counts'!U34</f>
        <v>86933.333333333343</v>
      </c>
      <c r="X14" s="95">
        <f>SUMIFS(Collection!$J:$J, Collection!$A:$A, $A14, Collection!$B:$B, X$2)</f>
        <v>0</v>
      </c>
      <c r="Y14" s="95">
        <f>SUMIFS(Collection!$J:$J, Collection!$A:$A, $A14, Collection!$B:$B, Y$2)</f>
        <v>0</v>
      </c>
      <c r="AA14" s="26"/>
    </row>
    <row r="15" spans="1:30" s="60" customFormat="1">
      <c r="A15" s="102">
        <f t="shared" si="0"/>
        <v>42882</v>
      </c>
      <c r="B15" s="95">
        <f>SUMIFS(Collection!$J:$J, Collection!$A:$A, $A15, Collection!$B:$B, B$2)</f>
        <v>0</v>
      </c>
      <c r="C15" s="95">
        <f>SUMIFS(Collection!$J:$J, Collection!$A:$A, $A15, Collection!$B:$B, C$2)</f>
        <v>0</v>
      </c>
      <c r="D15" s="104">
        <f>Collection!O93</f>
        <v>4916.666666666667</v>
      </c>
      <c r="E15" s="95">
        <f>SUMIFS(Collection!$J:$J, Collection!$A:$A, $A15, Collection!$B:$B, E$2)</f>
        <v>0</v>
      </c>
      <c r="F15" s="104"/>
      <c r="G15" s="95">
        <f>SUMIFS(Collection!$J:$J, Collection!$A:$A, $A15, Collection!$B:$B, G$2)</f>
        <v>0</v>
      </c>
      <c r="H15" s="104">
        <f>SUMIFS(Collection!$J:$J, Collection!$A:$A, $A15, Collection!$B:$B, H$2)</f>
        <v>0</v>
      </c>
      <c r="I15" s="104">
        <f>Collection!O89+Collection!O94</f>
        <v>10625</v>
      </c>
      <c r="J15" s="104">
        <f>Collection!O87</f>
        <v>52250</v>
      </c>
      <c r="K15" s="104">
        <f>Collection!O88</f>
        <v>8016.666666666667</v>
      </c>
      <c r="L15" s="104">
        <f>SUMIFS(Collection!$J:$J, Collection!$A:$A, $A15, Collection!$B:$B, L$2)</f>
        <v>0</v>
      </c>
      <c r="M15" s="104">
        <f>Collection!O90+Collection!O91</f>
        <v>4958.333333333333</v>
      </c>
      <c r="N15" s="104">
        <f>Collection!O86+Collection!O97</f>
        <v>85866.666666666672</v>
      </c>
      <c r="O15" s="95">
        <f>SUMIFS(Collection!$J:$J, Collection!$A:$A, $A15, Collection!$B:$B, O$2)</f>
        <v>0</v>
      </c>
      <c r="P15" s="95">
        <f>SUMIFS(Collection!$J:$J, Collection!$A:$A, $A15, Collection!$B:$B, P$2)</f>
        <v>0</v>
      </c>
      <c r="Q15" s="104">
        <f>Collection!O92</f>
        <v>1400</v>
      </c>
      <c r="R15" s="104">
        <f>SUMIFS(Collection!$J:$J, Collection!$A:$A, $A15, Collection!$B:$B, R$2)</f>
        <v>0</v>
      </c>
      <c r="S15" s="104">
        <f>Collection!O95</f>
        <v>21600</v>
      </c>
      <c r="T15" s="104">
        <f>SUMIFS(Collection!$J:$J, Collection!$A:$A, $A15, Collection!$B:$B, T$2)</f>
        <v>0</v>
      </c>
      <c r="U15" s="104">
        <f>SUMIFS(Collection!$J:$J, Collection!$A:$A, $A15, Collection!$B:$B, U$2)</f>
        <v>0</v>
      </c>
      <c r="V15" s="104">
        <f>Collection!O96</f>
        <v>117866.66666666667</v>
      </c>
      <c r="W15" s="104">
        <f>SUMIFS(Collection!$J:$J, Collection!$A:$A, $A15, Collection!$B:$B, W$2)</f>
        <v>0</v>
      </c>
      <c r="X15" s="95">
        <f>SUMIFS(Collection!$J:$J, Collection!$A:$A, $A15, Collection!$B:$B, X$2)</f>
        <v>0</v>
      </c>
      <c r="Y15" s="95">
        <f>SUMIFS(Collection!$J:$J, Collection!$A:$A, $A15, Collection!$B:$B, Y$2)</f>
        <v>0</v>
      </c>
    </row>
    <row r="16" spans="1:30" s="60" customFormat="1">
      <c r="A16" s="102">
        <f t="shared" si="0"/>
        <v>42883</v>
      </c>
      <c r="B16" s="95">
        <f>SUMIFS(Collection!$J:$J, Collection!$A:$A, $A16, Collection!$B:$B, B$2)</f>
        <v>0</v>
      </c>
      <c r="C16" s="95">
        <f>SUMIFS(Collection!$J:$J, Collection!$A:$A, $A16, Collection!$B:$B, C$2)</f>
        <v>0</v>
      </c>
      <c r="D16" s="104">
        <f>SUMIFS(Collection!$J:$J, Collection!$A:$A, $A16, Collection!$B:$B, D$2)</f>
        <v>0</v>
      </c>
      <c r="E16" s="95">
        <f>SUMIFS(Collection!$J:$J, Collection!$A:$A, $A16, Collection!$B:$B, E$2)</f>
        <v>0</v>
      </c>
      <c r="F16" s="104"/>
      <c r="G16" s="95">
        <f>SUMIFS(Collection!$J:$J, Collection!$A:$A, $A16, Collection!$B:$B, G$2)</f>
        <v>0</v>
      </c>
      <c r="H16" s="104">
        <f>SUMIFS(Collection!$J:$J, Collection!$A:$A, $A16, Collection!$B:$B, H$2)</f>
        <v>0</v>
      </c>
      <c r="I16" s="104"/>
      <c r="J16" s="104"/>
      <c r="K16" s="104">
        <f>SUMIFS(Collection!$J:$J, Collection!$A:$A, $A16, Collection!$B:$B, K$2)</f>
        <v>0</v>
      </c>
      <c r="L16" s="104">
        <f>SUMIFS(Collection!$J:$J, Collection!$A:$A, $A16, Collection!$B:$B, L$2)</f>
        <v>0</v>
      </c>
      <c r="M16" s="104">
        <f>SUMIFS(Collection!$J:$J, Collection!$A:$A, $A16, Collection!$B:$B, M$2)</f>
        <v>0</v>
      </c>
      <c r="N16" s="104">
        <f>SUMIFS(Collection!$J:$J, Collection!$A:$A, $A16, Collection!$B:$B, N$2)</f>
        <v>0</v>
      </c>
      <c r="O16" s="95">
        <f>SUMIFS(Collection!$J:$J, Collection!$A:$A, $A16, Collection!$B:$B, O$2)</f>
        <v>0</v>
      </c>
      <c r="P16" s="95">
        <f>SUMIFS(Collection!$J:$J, Collection!$A:$A, $A16, Collection!$B:$B, P$2)</f>
        <v>0</v>
      </c>
      <c r="Q16" s="104">
        <f>SUMIFS(Collection!$J:$J, Collection!$A:$A, $A16, Collection!$B:$B, Q$2)</f>
        <v>0</v>
      </c>
      <c r="R16" s="104">
        <f>SUMIFS(Collection!$J:$J, Collection!$A:$A, $A16, Collection!$B:$B, R$2)</f>
        <v>0</v>
      </c>
      <c r="S16" s="104">
        <f>SUMIFS(Collection!$J:$J, Collection!$A:$A, $A16, Collection!$B:$B, S$2)</f>
        <v>0</v>
      </c>
      <c r="T16" s="104">
        <f>SUMIFS(Collection!$J:$J, Collection!$A:$A, $A16, Collection!$B:$B, T$2)</f>
        <v>0</v>
      </c>
      <c r="U16" s="104">
        <f>SUMIFS(Collection!$J:$J, Collection!$A:$A, $A16, Collection!$B:$B, U$2)</f>
        <v>0</v>
      </c>
      <c r="V16" s="104">
        <f>SUMIFS(Collection!$J:$J, Collection!$A:$A, $A16, Collection!$B:$B, V$2)</f>
        <v>0</v>
      </c>
      <c r="W16" s="104">
        <f>SUMIFS(Collection!$J:$J, Collection!$A:$A, $A16, Collection!$B:$B, W$2)</f>
        <v>0</v>
      </c>
      <c r="X16" s="95">
        <f>SUMIFS(Collection!$J:$J, Collection!$A:$A, $A16, Collection!$B:$B, X$2)</f>
        <v>0</v>
      </c>
      <c r="Y16" s="95">
        <f>SUMIFS(Collection!$J:$J, Collection!$A:$A, $A16, Collection!$B:$B, Y$2)</f>
        <v>0</v>
      </c>
    </row>
    <row r="17" spans="1:25" s="60" customFormat="1">
      <c r="A17" s="102">
        <v>42884</v>
      </c>
      <c r="B17" s="95"/>
      <c r="C17" s="95"/>
      <c r="D17" s="104"/>
      <c r="E17" s="95"/>
      <c r="F17" s="104"/>
      <c r="G17" s="95"/>
      <c r="H17" s="104"/>
      <c r="I17" s="104">
        <f>Collection!O98+Collection!O100</f>
        <v>53700</v>
      </c>
      <c r="J17" s="104">
        <f>Collection!O101</f>
        <v>4500</v>
      </c>
      <c r="K17" s="104"/>
      <c r="L17" s="104"/>
      <c r="M17" s="104"/>
      <c r="N17" s="104"/>
      <c r="O17" s="95"/>
      <c r="P17" s="95"/>
      <c r="Q17" s="104"/>
      <c r="R17" s="104"/>
      <c r="S17" s="104"/>
      <c r="T17" s="104"/>
      <c r="U17" s="104"/>
      <c r="V17" s="104"/>
      <c r="W17" s="104"/>
      <c r="X17" s="95"/>
      <c r="Y17" s="95"/>
    </row>
    <row r="18" spans="1:25" s="60" customFormat="1">
      <c r="A18" s="102" t="s">
        <v>144</v>
      </c>
      <c r="B18" s="95">
        <f>SUMIFS(Collection!$J:$J, Collection!$A:$A, $A18, Collection!$B:$B, B$2)</f>
        <v>0</v>
      </c>
      <c r="C18" s="95">
        <f>SUMIFS(Collection!$J:$J, Collection!$A:$A, $A18, Collection!$B:$B, C$2)</f>
        <v>0</v>
      </c>
      <c r="D18" s="104">
        <f t="shared" ref="D18:Y18" si="1">SUM(D14:D17)</f>
        <v>74783.333333333328</v>
      </c>
      <c r="E18" s="95">
        <f t="shared" si="1"/>
        <v>0</v>
      </c>
      <c r="F18" s="104">
        <f t="shared" si="1"/>
        <v>112000</v>
      </c>
      <c r="G18" s="95">
        <f t="shared" si="1"/>
        <v>0</v>
      </c>
      <c r="H18" s="104">
        <f t="shared" si="1"/>
        <v>179400</v>
      </c>
      <c r="I18" s="104">
        <f t="shared" si="1"/>
        <v>130691.66666666667</v>
      </c>
      <c r="J18" s="104">
        <f t="shared" si="1"/>
        <v>114616.66666666666</v>
      </c>
      <c r="K18" s="104">
        <f t="shared" si="1"/>
        <v>143816.66666666666</v>
      </c>
      <c r="L18" s="104">
        <f t="shared" si="1"/>
        <v>118400</v>
      </c>
      <c r="M18" s="104">
        <f t="shared" si="1"/>
        <v>155625</v>
      </c>
      <c r="N18" s="104">
        <f t="shared" si="1"/>
        <v>183466.66666666669</v>
      </c>
      <c r="O18" s="95">
        <f t="shared" si="1"/>
        <v>0</v>
      </c>
      <c r="P18" s="95">
        <f t="shared" si="1"/>
        <v>0</v>
      </c>
      <c r="Q18" s="104">
        <f t="shared" si="1"/>
        <v>99000</v>
      </c>
      <c r="R18" s="104">
        <f t="shared" si="1"/>
        <v>20666.666666666668</v>
      </c>
      <c r="S18" s="104">
        <f t="shared" si="1"/>
        <v>111600</v>
      </c>
      <c r="T18" s="104">
        <f t="shared" si="1"/>
        <v>74266.666666666657</v>
      </c>
      <c r="U18" s="104">
        <f t="shared" si="1"/>
        <v>75666.666666666672</v>
      </c>
      <c r="V18" s="104">
        <f t="shared" si="1"/>
        <v>162066.66666666669</v>
      </c>
      <c r="W18" s="104">
        <f t="shared" si="1"/>
        <v>86933.333333333343</v>
      </c>
      <c r="X18" s="95">
        <f t="shared" si="1"/>
        <v>0</v>
      </c>
      <c r="Y18" s="95">
        <f t="shared" si="1"/>
        <v>0</v>
      </c>
    </row>
    <row r="19" spans="1:25" s="61" customFormat="1" ht="16" thickBot="1">
      <c r="A19" s="103" t="s">
        <v>145</v>
      </c>
      <c r="B19" s="96" t="e">
        <f>SUM('Bucket Counts'!#REF!)/Stocking!B18</f>
        <v>#REF!</v>
      </c>
      <c r="C19" s="96" t="e">
        <f>SUM('Bucket Counts'!#REF!)/Stocking!C18</f>
        <v>#REF!</v>
      </c>
      <c r="D19" s="96">
        <f>SUM('Bucket Counts'!$P35:$P35)/Stocking!D18</f>
        <v>0.46356139959884118</v>
      </c>
      <c r="E19" s="96"/>
      <c r="F19" s="105"/>
      <c r="G19" s="96"/>
      <c r="H19" s="105"/>
      <c r="I19" s="105"/>
      <c r="J19" s="105"/>
      <c r="K19" s="105"/>
      <c r="L19" s="105"/>
      <c r="M19" s="105"/>
      <c r="N19" s="105"/>
      <c r="O19" s="96"/>
      <c r="P19" s="96"/>
      <c r="Q19" s="105"/>
      <c r="R19" s="105"/>
      <c r="S19" s="105"/>
      <c r="T19" s="105"/>
      <c r="U19" s="105"/>
      <c r="V19" s="105"/>
      <c r="W19" s="105"/>
      <c r="X19" s="96"/>
      <c r="Y19" s="96"/>
    </row>
    <row r="20" spans="1:25" s="60" customFormat="1">
      <c r="A20" s="102" t="s">
        <v>69</v>
      </c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</row>
    <row r="21" spans="1:25" s="60" customFormat="1">
      <c r="A21" s="102">
        <v>42885</v>
      </c>
      <c r="B21" s="95">
        <f>SUMIFS(Collection!$J:$J, Collection!$A:$A, $A21, Collection!$B:$B, B$2)</f>
        <v>0</v>
      </c>
      <c r="C21" s="95">
        <f>SUMIFS(Collection!$J:$J, Collection!$A:$A, $A21, Collection!$B:$B, C$2)</f>
        <v>0</v>
      </c>
      <c r="D21" s="95">
        <f>SUMIFS(Collection!$J:$J, Collection!$A:$A, $A21, Collection!$B:$B, D$2)</f>
        <v>0</v>
      </c>
      <c r="E21" s="95">
        <f>SUMIFS(Collection!$J:$J, Collection!$A:$A, $A21, Collection!$B:$B, E$2)</f>
        <v>0</v>
      </c>
      <c r="F21" s="95">
        <f>SUMIFS(Collection!$J:$J, Collection!$A:$A, $A21, Collection!$B:$B, F$2)</f>
        <v>0</v>
      </c>
      <c r="G21" s="95">
        <f>SUMIFS(Collection!$J:$J, Collection!$A:$A, $A21, Collection!$B:$B, G$2)</f>
        <v>0</v>
      </c>
      <c r="H21" s="95">
        <f>SUMIFS(Collection!$J:$J, Collection!$A:$A, $A21, Collection!$B:$B, H$2)</f>
        <v>0</v>
      </c>
      <c r="I21" s="95">
        <f>SUMIFS(Collection!$J:$J, Collection!$A:$A, $A21, Collection!$B:$B, I$2)</f>
        <v>0</v>
      </c>
      <c r="J21" s="95">
        <f>SUMIFS(Collection!$J:$J, Collection!$A:$A, $A21, Collection!$B:$B, J$2)</f>
        <v>0</v>
      </c>
      <c r="K21" s="95">
        <f>SUMIFS(Collection!$J:$J, Collection!$A:$A, $A21, Collection!$B:$B, K$2)</f>
        <v>0</v>
      </c>
      <c r="L21" s="95">
        <f>SUMIFS(Collection!$J:$J, Collection!$A:$A, $A21, Collection!$B:$B, L$2)</f>
        <v>0</v>
      </c>
      <c r="M21" s="95">
        <f>SUMIFS(Collection!$J:$J, Collection!$A:$A, $A21, Collection!$B:$B, M$2)</f>
        <v>0</v>
      </c>
      <c r="N21" s="95">
        <f>SUMIFS(Collection!$J:$J, Collection!$A:$A, $A21, Collection!$B:$B, N$2)</f>
        <v>0</v>
      </c>
      <c r="O21" s="95">
        <f>SUMIFS(Collection!$J:$J, Collection!$A:$A, $A21, Collection!$B:$B, O$2)</f>
        <v>0</v>
      </c>
      <c r="P21" s="95">
        <f>SUMIFS(Collection!$J:$J, Collection!$A:$A, $A21, Collection!$B:$B, P$2)</f>
        <v>0</v>
      </c>
      <c r="Q21" s="95">
        <f>SUMIFS(Collection!$J:$J, Collection!$A:$A, $A21, Collection!$B:$B, Q$2)</f>
        <v>0</v>
      </c>
      <c r="R21" s="95">
        <f>SUMIFS(Collection!$J:$J, Collection!$A:$A, $A21, Collection!$B:$B, R$2)</f>
        <v>0</v>
      </c>
      <c r="S21" s="95">
        <f>SUMIFS(Collection!$J:$J, Collection!$A:$A, $A21, Collection!$B:$B, S$2)</f>
        <v>0</v>
      </c>
      <c r="T21" s="95">
        <f>SUMIFS(Collection!$J:$J, Collection!$A:$A, $A21, Collection!$B:$B, T$2)</f>
        <v>0</v>
      </c>
      <c r="U21" s="95">
        <f>SUMIFS(Collection!$J:$J, Collection!$A:$A, $A21, Collection!$B:$B, U$2)</f>
        <v>0</v>
      </c>
      <c r="V21" s="95">
        <f>SUMIFS(Collection!$J:$J, Collection!$A:$A, $A21, Collection!$B:$B, V$2)</f>
        <v>0</v>
      </c>
      <c r="W21" s="95">
        <f>SUMIFS(Collection!$J:$J, Collection!$A:$A, $A21, Collection!$B:$B, W$2)</f>
        <v>0</v>
      </c>
      <c r="X21" s="95">
        <f>SUMIFS(Collection!$J:$J, Collection!$A:$A, $A21, Collection!$B:$B, X$2)</f>
        <v>0</v>
      </c>
      <c r="Y21" s="95">
        <f>SUMIFS(Collection!$J:$J, Collection!$A:$A, $A21, Collection!$B:$B, Y$2)</f>
        <v>0</v>
      </c>
    </row>
    <row r="22" spans="1:25" s="60" customFormat="1">
      <c r="A22" s="102">
        <f t="shared" si="0"/>
        <v>42886</v>
      </c>
      <c r="B22" s="95">
        <f>SUMIFS(Collection!$J:$J, Collection!$A:$A, $A22, Collection!$B:$B, B$2)</f>
        <v>0</v>
      </c>
      <c r="C22" s="95">
        <f>SUMIFS(Collection!$J:$J, Collection!$A:$A, $A22, Collection!$B:$B, C$2)</f>
        <v>0</v>
      </c>
      <c r="D22" s="95">
        <f>SUMIFS(Collection!$J:$J, Collection!$A:$A, $A22, Collection!$B:$B, D$2)</f>
        <v>0</v>
      </c>
      <c r="E22" s="95">
        <f>SUMIFS(Collection!$J:$J, Collection!$A:$A, $A22, Collection!$B:$B, E$2)</f>
        <v>0</v>
      </c>
      <c r="F22" s="95">
        <f>SUMIFS(Collection!$J:$J, Collection!$A:$A, $A22, Collection!$B:$B, F$2)</f>
        <v>0</v>
      </c>
      <c r="G22" s="95">
        <f>SUMIFS(Collection!$J:$J, Collection!$A:$A, $A22, Collection!$B:$B, G$2)</f>
        <v>0</v>
      </c>
      <c r="H22" s="95">
        <f>SUMIFS(Collection!$J:$J, Collection!$A:$A, $A22, Collection!$B:$B, H$2)</f>
        <v>0</v>
      </c>
      <c r="I22" s="95">
        <f>SUMIFS(Collection!$J:$J, Collection!$A:$A, $A22, Collection!$B:$B, I$2)</f>
        <v>0</v>
      </c>
      <c r="J22" s="95">
        <f>SUMIFS(Collection!$J:$J, Collection!$A:$A, $A22, Collection!$B:$B, J$2)</f>
        <v>0</v>
      </c>
      <c r="K22" s="95">
        <f>SUMIFS(Collection!$J:$J, Collection!$A:$A, $A22, Collection!$B:$B, K$2)</f>
        <v>0</v>
      </c>
      <c r="L22" s="95">
        <f>SUMIFS(Collection!$J:$J, Collection!$A:$A, $A22, Collection!$B:$B, L$2)</f>
        <v>0</v>
      </c>
      <c r="M22" s="95">
        <f>SUMIFS(Collection!$J:$J, Collection!$A:$A, $A22, Collection!$B:$B, M$2)</f>
        <v>0</v>
      </c>
      <c r="N22" s="95">
        <f>SUMIFS(Collection!$J:$J, Collection!$A:$A, $A22, Collection!$B:$B, N$2)</f>
        <v>0</v>
      </c>
      <c r="O22" s="95">
        <f>SUMIFS(Collection!$J:$J, Collection!$A:$A, $A22, Collection!$B:$B, O$2)</f>
        <v>0</v>
      </c>
      <c r="P22" s="95">
        <f>SUMIFS(Collection!$J:$J, Collection!$A:$A, $A22, Collection!$B:$B, P$2)</f>
        <v>0</v>
      </c>
      <c r="Q22" s="95">
        <f>SUMIFS(Collection!$J:$J, Collection!$A:$A, $A22, Collection!$B:$B, Q$2)</f>
        <v>0</v>
      </c>
      <c r="R22" s="95">
        <f>SUMIFS(Collection!$J:$J, Collection!$A:$A, $A22, Collection!$B:$B, R$2)</f>
        <v>0</v>
      </c>
      <c r="S22" s="95">
        <f>SUMIFS(Collection!$J:$J, Collection!$A:$A, $A22, Collection!$B:$B, S$2)</f>
        <v>0</v>
      </c>
      <c r="T22" s="95">
        <f>SUMIFS(Collection!$J:$J, Collection!$A:$A, $A22, Collection!$B:$B, T$2)</f>
        <v>0</v>
      </c>
      <c r="U22" s="95">
        <f>SUMIFS(Collection!$J:$J, Collection!$A:$A, $A22, Collection!$B:$B, U$2)</f>
        <v>0</v>
      </c>
      <c r="V22" s="95">
        <f>SUMIFS(Collection!$J:$J, Collection!$A:$A, $A22, Collection!$B:$B, V$2)</f>
        <v>0</v>
      </c>
      <c r="W22" s="95">
        <f>SUMIFS(Collection!$J:$J, Collection!$A:$A, $A22, Collection!$B:$B, W$2)</f>
        <v>0</v>
      </c>
      <c r="X22" s="95">
        <f>SUMIFS(Collection!$J:$J, Collection!$A:$A, $A22, Collection!$B:$B, X$2)</f>
        <v>0</v>
      </c>
      <c r="Y22" s="95">
        <f>SUMIFS(Collection!$J:$J, Collection!$A:$A, $A22, Collection!$B:$B, Y$2)</f>
        <v>0</v>
      </c>
    </row>
    <row r="23" spans="1:25" s="60" customFormat="1">
      <c r="A23" s="102">
        <f t="shared" si="0"/>
        <v>42887</v>
      </c>
      <c r="B23" s="95">
        <f>SUMIFS(Collection!$J:$J, Collection!$A:$A, $A23, Collection!$B:$B, B$2)</f>
        <v>0</v>
      </c>
      <c r="C23" s="95">
        <f>SUMIFS(Collection!$J:$J, Collection!$A:$A, $A23, Collection!$B:$B, C$2)</f>
        <v>0</v>
      </c>
      <c r="D23" s="95">
        <f>SUMIFS(Collection!$J:$J, Collection!$A:$A, $A23, Collection!$B:$B, D$2)</f>
        <v>0</v>
      </c>
      <c r="E23" s="95">
        <f>SUMIFS(Collection!$J:$J, Collection!$A:$A, $A23, Collection!$B:$B, E$2)</f>
        <v>0</v>
      </c>
      <c r="F23" s="95">
        <f>SUMIFS(Collection!$J:$J, Collection!$A:$A, $A23, Collection!$B:$B, F$2)</f>
        <v>0</v>
      </c>
      <c r="G23" s="95">
        <f>SUMIFS(Collection!$J:$J, Collection!$A:$A, $A23, Collection!$B:$B, G$2)</f>
        <v>0</v>
      </c>
      <c r="H23" s="95">
        <f>SUMIFS(Collection!$J:$J, Collection!$A:$A, $A23, Collection!$B:$B, H$2)</f>
        <v>0</v>
      </c>
      <c r="I23" s="95">
        <f>SUMIFS(Collection!$J:$J, Collection!$A:$A, $A23, Collection!$B:$B, I$2)</f>
        <v>0</v>
      </c>
      <c r="J23" s="95">
        <f>SUMIFS(Collection!$J:$J, Collection!$A:$A, $A23, Collection!$B:$B, J$2)</f>
        <v>0</v>
      </c>
      <c r="K23" s="95">
        <f>SUMIFS(Collection!$J:$J, Collection!$A:$A, $A23, Collection!$B:$B, K$2)</f>
        <v>0</v>
      </c>
      <c r="L23" s="95">
        <f>SUMIFS(Collection!$J:$J, Collection!$A:$A, $A23, Collection!$B:$B, L$2)</f>
        <v>0</v>
      </c>
      <c r="M23" s="95">
        <f>SUMIFS(Collection!$J:$J, Collection!$A:$A, $A23, Collection!$B:$B, M$2)</f>
        <v>0</v>
      </c>
      <c r="N23" s="95">
        <f>SUMIFS(Collection!$J:$J, Collection!$A:$A, $A23, Collection!$B:$B, N$2)</f>
        <v>0</v>
      </c>
      <c r="O23" s="95">
        <f>SUMIFS(Collection!$J:$J, Collection!$A:$A, $A23, Collection!$B:$B, O$2)</f>
        <v>0</v>
      </c>
      <c r="P23" s="95">
        <f>SUMIFS(Collection!$J:$J, Collection!$A:$A, $A23, Collection!$B:$B, P$2)</f>
        <v>0</v>
      </c>
      <c r="Q23" s="95">
        <f>SUMIFS(Collection!$J:$J, Collection!$A:$A, $A23, Collection!$B:$B, Q$2)</f>
        <v>0</v>
      </c>
      <c r="R23" s="95">
        <f>SUMIFS(Collection!$J:$J, Collection!$A:$A, $A23, Collection!$B:$B, R$2)</f>
        <v>0</v>
      </c>
      <c r="S23" s="95">
        <f>SUMIFS(Collection!$J:$J, Collection!$A:$A, $A23, Collection!$B:$B, S$2)</f>
        <v>0</v>
      </c>
      <c r="T23" s="95">
        <f>SUMIFS(Collection!$J:$J, Collection!$A:$A, $A23, Collection!$B:$B, T$2)</f>
        <v>0</v>
      </c>
      <c r="U23" s="95">
        <f>SUMIFS(Collection!$J:$J, Collection!$A:$A, $A23, Collection!$B:$B, U$2)</f>
        <v>0</v>
      </c>
      <c r="V23" s="95">
        <f>SUMIFS(Collection!$J:$J, Collection!$A:$A, $A23, Collection!$B:$B, V$2)</f>
        <v>0</v>
      </c>
      <c r="W23" s="95">
        <f>SUMIFS(Collection!$J:$J, Collection!$A:$A, $A23, Collection!$B:$B, W$2)</f>
        <v>0</v>
      </c>
      <c r="X23" s="95">
        <f>SUMIFS(Collection!$J:$J, Collection!$A:$A, $A23, Collection!$B:$B, X$2)</f>
        <v>0</v>
      </c>
      <c r="Y23" s="95">
        <f>SUMIFS(Collection!$J:$J, Collection!$A:$A, $A23, Collection!$B:$B, Y$2)</f>
        <v>0</v>
      </c>
    </row>
    <row r="24" spans="1:25" s="61" customFormat="1" ht="16" thickBot="1">
      <c r="A24" s="103">
        <f t="shared" si="0"/>
        <v>42888</v>
      </c>
      <c r="B24" s="96">
        <f>SUMIFS(Collection!$J:$J, Collection!$A:$A, $A24, Collection!$B:$B, B$2)</f>
        <v>0</v>
      </c>
      <c r="C24" s="96">
        <f>SUMIFS(Collection!$J:$J, Collection!$A:$A, $A24, Collection!$B:$B, C$2)</f>
        <v>0</v>
      </c>
      <c r="D24" s="96">
        <f>SUMIFS(Collection!$J:$J, Collection!$A:$A, $A24, Collection!$B:$B, D$2)</f>
        <v>0</v>
      </c>
      <c r="E24" s="96">
        <f>SUMIFS(Collection!$J:$J, Collection!$A:$A, $A24, Collection!$B:$B, E$2)</f>
        <v>0</v>
      </c>
      <c r="F24" s="96">
        <f>SUMIFS(Collection!$J:$J, Collection!$A:$A, $A24, Collection!$B:$B, F$2)</f>
        <v>0</v>
      </c>
      <c r="G24" s="96">
        <f>SUMIFS(Collection!$J:$J, Collection!$A:$A, $A24, Collection!$B:$B, G$2)</f>
        <v>0</v>
      </c>
      <c r="H24" s="96">
        <f>SUMIFS(Collection!$J:$J, Collection!$A:$A, $A24, Collection!$B:$B, H$2)</f>
        <v>0</v>
      </c>
      <c r="I24" s="96">
        <f>SUMIFS(Collection!$J:$J, Collection!$A:$A, $A24, Collection!$B:$B, I$2)</f>
        <v>0</v>
      </c>
      <c r="J24" s="96">
        <f>SUMIFS(Collection!$J:$J, Collection!$A:$A, $A24, Collection!$B:$B, J$2)</f>
        <v>0</v>
      </c>
      <c r="K24" s="96">
        <f>SUMIFS(Collection!$J:$J, Collection!$A:$A, $A24, Collection!$B:$B, K$2)</f>
        <v>0</v>
      </c>
      <c r="L24" s="96">
        <f>SUMIFS(Collection!$J:$J, Collection!$A:$A, $A24, Collection!$B:$B, L$2)</f>
        <v>0</v>
      </c>
      <c r="M24" s="96">
        <f>SUMIFS(Collection!$J:$J, Collection!$A:$A, $A24, Collection!$B:$B, M$2)</f>
        <v>0</v>
      </c>
      <c r="N24" s="96">
        <f>SUMIFS(Collection!$J:$J, Collection!$A:$A, $A24, Collection!$B:$B, N$2)</f>
        <v>0</v>
      </c>
      <c r="O24" s="96">
        <f>SUMIFS(Collection!$J:$J, Collection!$A:$A, $A24, Collection!$B:$B, O$2)</f>
        <v>0</v>
      </c>
      <c r="P24" s="96">
        <f>SUMIFS(Collection!$J:$J, Collection!$A:$A, $A24, Collection!$B:$B, P$2)</f>
        <v>0</v>
      </c>
      <c r="Q24" s="96">
        <f>SUMIFS(Collection!$J:$J, Collection!$A:$A, $A24, Collection!$B:$B, Q$2)</f>
        <v>0</v>
      </c>
      <c r="R24" s="96">
        <f>SUMIFS(Collection!$J:$J, Collection!$A:$A, $A24, Collection!$B:$B, R$2)</f>
        <v>0</v>
      </c>
      <c r="S24" s="96">
        <f>SUMIFS(Collection!$J:$J, Collection!$A:$A, $A24, Collection!$B:$B, S$2)</f>
        <v>0</v>
      </c>
      <c r="T24" s="96">
        <f>SUMIFS(Collection!$J:$J, Collection!$A:$A, $A24, Collection!$B:$B, T$2)</f>
        <v>0</v>
      </c>
      <c r="U24" s="96">
        <f>SUMIFS(Collection!$J:$J, Collection!$A:$A, $A24, Collection!$B:$B, U$2)</f>
        <v>0</v>
      </c>
      <c r="V24" s="96">
        <f>SUMIFS(Collection!$J:$J, Collection!$A:$A, $A24, Collection!$B:$B, V$2)</f>
        <v>0</v>
      </c>
      <c r="W24" s="96">
        <f>SUMIFS(Collection!$J:$J, Collection!$A:$A, $A24, Collection!$B:$B, W$2)</f>
        <v>0</v>
      </c>
      <c r="X24" s="96">
        <f>SUMIFS(Collection!$J:$J, Collection!$A:$A, $A24, Collection!$B:$B, X$2)</f>
        <v>0</v>
      </c>
      <c r="Y24" s="96">
        <f>SUMIFS(Collection!$J:$J, Collection!$A:$A, $A24, Collection!$B:$B, Y$2)</f>
        <v>0</v>
      </c>
    </row>
    <row r="25" spans="1:25" s="60" customFormat="1">
      <c r="A25" s="102" t="s">
        <v>69</v>
      </c>
      <c r="B25" s="95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</row>
    <row r="26" spans="1:25" s="60" customFormat="1">
      <c r="A26" s="102">
        <f>1+A24</f>
        <v>42889</v>
      </c>
      <c r="B26" s="95">
        <f>SUMIFS(Collection!$J:$J, Collection!$A:$A, $A26, Collection!$B:$B, B$2)</f>
        <v>0</v>
      </c>
      <c r="C26" s="95">
        <f>SUMIFS(Collection!$J:$J, Collection!$A:$A, $A26, Collection!$B:$B, C$2)</f>
        <v>0</v>
      </c>
      <c r="D26" s="95">
        <f>SUMIFS(Collection!$J:$J, Collection!$A:$A, $A26, Collection!$B:$B, D$2)</f>
        <v>0</v>
      </c>
      <c r="E26" s="95">
        <f>SUMIFS(Collection!$J:$J, Collection!$A:$A, $A26, Collection!$B:$B, E$2)</f>
        <v>0</v>
      </c>
      <c r="F26" s="95">
        <f>SUMIFS(Collection!$J:$J, Collection!$A:$A, $A26, Collection!$B:$B, F$2)</f>
        <v>0</v>
      </c>
      <c r="G26" s="95">
        <f>SUMIFS(Collection!$J:$J, Collection!$A:$A, $A26, Collection!$B:$B, G$2)</f>
        <v>0</v>
      </c>
      <c r="H26" s="95">
        <f>SUMIFS(Collection!$J:$J, Collection!$A:$A, $A26, Collection!$B:$B, H$2)</f>
        <v>0</v>
      </c>
      <c r="I26" s="95">
        <f>SUMIFS(Collection!$J:$J, Collection!$A:$A, $A26, Collection!$B:$B, I$2)</f>
        <v>0</v>
      </c>
      <c r="J26" s="95">
        <f>SUMIFS(Collection!$J:$J, Collection!$A:$A, $A26, Collection!$B:$B, J$2)</f>
        <v>0</v>
      </c>
      <c r="K26" s="95">
        <f>SUMIFS(Collection!$J:$J, Collection!$A:$A, $A26, Collection!$B:$B, K$2)</f>
        <v>0</v>
      </c>
      <c r="L26" s="95">
        <f>SUMIFS(Collection!$J:$J, Collection!$A:$A, $A26, Collection!$B:$B, L$2)</f>
        <v>0</v>
      </c>
      <c r="M26" s="95">
        <f>SUMIFS(Collection!$J:$J, Collection!$A:$A, $A26, Collection!$B:$B, M$2)</f>
        <v>0</v>
      </c>
      <c r="N26" s="95">
        <f>SUMIFS(Collection!$J:$J, Collection!$A:$A, $A26, Collection!$B:$B, N$2)</f>
        <v>0</v>
      </c>
      <c r="O26" s="95">
        <f>SUMIFS(Collection!$J:$J, Collection!$A:$A, $A26, Collection!$B:$B, O$2)</f>
        <v>0</v>
      </c>
      <c r="P26" s="95">
        <f>SUMIFS(Collection!$J:$J, Collection!$A:$A, $A26, Collection!$B:$B, P$2)</f>
        <v>0</v>
      </c>
      <c r="Q26" s="95">
        <f>SUMIFS(Collection!$J:$J, Collection!$A:$A, $A26, Collection!$B:$B, Q$2)</f>
        <v>0</v>
      </c>
      <c r="R26" s="95">
        <f>SUMIFS(Collection!$J:$J, Collection!$A:$A, $A26, Collection!$B:$B, R$2)</f>
        <v>0</v>
      </c>
      <c r="S26" s="95">
        <f>SUMIFS(Collection!$J:$J, Collection!$A:$A, $A26, Collection!$B:$B, S$2)</f>
        <v>0</v>
      </c>
      <c r="T26" s="95">
        <f>SUMIFS(Collection!$J:$J, Collection!$A:$A, $A26, Collection!$B:$B, T$2)</f>
        <v>0</v>
      </c>
      <c r="U26" s="95">
        <f>SUMIFS(Collection!$J:$J, Collection!$A:$A, $A26, Collection!$B:$B, U$2)</f>
        <v>0</v>
      </c>
      <c r="V26" s="95">
        <f>SUMIFS(Collection!$J:$J, Collection!$A:$A, $A26, Collection!$B:$B, V$2)</f>
        <v>0</v>
      </c>
      <c r="W26" s="95">
        <f>SUMIFS(Collection!$J:$J, Collection!$A:$A, $A26, Collection!$B:$B, W$2)</f>
        <v>0</v>
      </c>
      <c r="X26" s="95">
        <f>SUMIFS(Collection!$J:$J, Collection!$A:$A, $A26, Collection!$B:$B, X$2)</f>
        <v>0</v>
      </c>
      <c r="Y26" s="95">
        <f>SUMIFS(Collection!$J:$J, Collection!$A:$A, $A26, Collection!$B:$B, Y$2)</f>
        <v>0</v>
      </c>
    </row>
    <row r="27" spans="1:25" s="60" customFormat="1">
      <c r="A27" s="102">
        <f t="shared" si="0"/>
        <v>42890</v>
      </c>
      <c r="B27" s="95">
        <f>SUMIFS(Collection!$J:$J, Collection!$A:$A, $A27, Collection!$B:$B, B$2)</f>
        <v>0</v>
      </c>
      <c r="C27" s="95">
        <f>SUMIFS(Collection!$J:$J, Collection!$A:$A, $A27, Collection!$B:$B, C$2)</f>
        <v>0</v>
      </c>
      <c r="D27" s="95">
        <f>SUMIFS(Collection!$J:$J, Collection!$A:$A, $A27, Collection!$B:$B, D$2)</f>
        <v>0</v>
      </c>
      <c r="E27" s="95">
        <f>SUMIFS(Collection!$J:$J, Collection!$A:$A, $A27, Collection!$B:$B, E$2)</f>
        <v>0</v>
      </c>
      <c r="F27" s="95">
        <f>SUMIFS(Collection!$J:$J, Collection!$A:$A, $A27, Collection!$B:$B, F$2)</f>
        <v>0</v>
      </c>
      <c r="G27" s="95">
        <f>SUMIFS(Collection!$J:$J, Collection!$A:$A, $A27, Collection!$B:$B, G$2)</f>
        <v>0</v>
      </c>
      <c r="H27" s="95">
        <f>SUMIFS(Collection!$J:$J, Collection!$A:$A, $A27, Collection!$B:$B, H$2)</f>
        <v>0</v>
      </c>
      <c r="I27" s="95">
        <f>SUMIFS(Collection!$J:$J, Collection!$A:$A, $A27, Collection!$B:$B, I$2)</f>
        <v>0</v>
      </c>
      <c r="J27" s="95">
        <f>SUMIFS(Collection!$J:$J, Collection!$A:$A, $A27, Collection!$B:$B, J$2)</f>
        <v>0</v>
      </c>
      <c r="K27" s="95">
        <f>SUMIFS(Collection!$J:$J, Collection!$A:$A, $A27, Collection!$B:$B, K$2)</f>
        <v>0</v>
      </c>
      <c r="L27" s="95">
        <f>SUMIFS(Collection!$J:$J, Collection!$A:$A, $A27, Collection!$B:$B, L$2)</f>
        <v>0</v>
      </c>
      <c r="M27" s="95">
        <f>SUMIFS(Collection!$J:$J, Collection!$A:$A, $A27, Collection!$B:$B, M$2)</f>
        <v>0</v>
      </c>
      <c r="N27" s="95">
        <f>SUMIFS(Collection!$J:$J, Collection!$A:$A, $A27, Collection!$B:$B, N$2)</f>
        <v>0</v>
      </c>
      <c r="O27" s="95">
        <f>SUMIFS(Collection!$J:$J, Collection!$A:$A, $A27, Collection!$B:$B, O$2)</f>
        <v>0</v>
      </c>
      <c r="P27" s="95">
        <f>SUMIFS(Collection!$J:$J, Collection!$A:$A, $A27, Collection!$B:$B, P$2)</f>
        <v>0</v>
      </c>
      <c r="Q27" s="95">
        <f>SUMIFS(Collection!$J:$J, Collection!$A:$A, $A27, Collection!$B:$B, Q$2)</f>
        <v>0</v>
      </c>
      <c r="R27" s="95">
        <f>SUMIFS(Collection!$J:$J, Collection!$A:$A, $A27, Collection!$B:$B, R$2)</f>
        <v>0</v>
      </c>
      <c r="S27" s="95">
        <f>SUMIFS(Collection!$J:$J, Collection!$A:$A, $A27, Collection!$B:$B, S$2)</f>
        <v>0</v>
      </c>
      <c r="T27" s="95">
        <f>SUMIFS(Collection!$J:$J, Collection!$A:$A, $A27, Collection!$B:$B, T$2)</f>
        <v>0</v>
      </c>
      <c r="U27" s="95">
        <f>SUMIFS(Collection!$J:$J, Collection!$A:$A, $A27, Collection!$B:$B, U$2)</f>
        <v>0</v>
      </c>
      <c r="V27" s="95">
        <f>SUMIFS(Collection!$J:$J, Collection!$A:$A, $A27, Collection!$B:$B, V$2)</f>
        <v>0</v>
      </c>
      <c r="W27" s="95">
        <f>SUMIFS(Collection!$J:$J, Collection!$A:$A, $A27, Collection!$B:$B, W$2)</f>
        <v>0</v>
      </c>
      <c r="X27" s="95">
        <f>SUMIFS(Collection!$J:$J, Collection!$A:$A, $A27, Collection!$B:$B, X$2)</f>
        <v>0</v>
      </c>
      <c r="Y27" s="95">
        <f>SUMIFS(Collection!$J:$J, Collection!$A:$A, $A27, Collection!$B:$B, Y$2)</f>
        <v>0</v>
      </c>
    </row>
    <row r="28" spans="1:25" s="61" customFormat="1" ht="16" thickBot="1">
      <c r="A28" s="103">
        <f t="shared" si="0"/>
        <v>42891</v>
      </c>
      <c r="B28" s="96">
        <f>SUMIFS(Collection!$J:$J, Collection!$A:$A, $A28, Collection!$B:$B, B$2)</f>
        <v>0</v>
      </c>
      <c r="C28" s="96">
        <f>SUMIFS(Collection!$J:$J, Collection!$A:$A, $A28, Collection!$B:$B, C$2)</f>
        <v>0</v>
      </c>
      <c r="D28" s="96">
        <f>SUMIFS(Collection!$J:$J, Collection!$A:$A, $A28, Collection!$B:$B, D$2)</f>
        <v>0</v>
      </c>
      <c r="E28" s="96">
        <f>SUMIFS(Collection!$J:$J, Collection!$A:$A, $A28, Collection!$B:$B, E$2)</f>
        <v>0</v>
      </c>
      <c r="F28" s="96">
        <f>SUMIFS(Collection!$J:$J, Collection!$A:$A, $A28, Collection!$B:$B, F$2)</f>
        <v>0</v>
      </c>
      <c r="G28" s="96">
        <f>SUMIFS(Collection!$J:$J, Collection!$A:$A, $A28, Collection!$B:$B, G$2)</f>
        <v>0</v>
      </c>
      <c r="H28" s="96">
        <f>SUMIFS(Collection!$J:$J, Collection!$A:$A, $A28, Collection!$B:$B, H$2)</f>
        <v>0</v>
      </c>
      <c r="I28" s="96">
        <f>SUMIFS(Collection!$J:$J, Collection!$A:$A, $A28, Collection!$B:$B, I$2)</f>
        <v>0</v>
      </c>
      <c r="J28" s="96">
        <f>SUMIFS(Collection!$J:$J, Collection!$A:$A, $A28, Collection!$B:$B, J$2)</f>
        <v>0</v>
      </c>
      <c r="K28" s="96">
        <f>SUMIFS(Collection!$J:$J, Collection!$A:$A, $A28, Collection!$B:$B, K$2)</f>
        <v>0</v>
      </c>
      <c r="L28" s="96">
        <f>SUMIFS(Collection!$J:$J, Collection!$A:$A, $A28, Collection!$B:$B, L$2)</f>
        <v>0</v>
      </c>
      <c r="M28" s="96">
        <f>SUMIFS(Collection!$J:$J, Collection!$A:$A, $A28, Collection!$B:$B, M$2)</f>
        <v>0</v>
      </c>
      <c r="N28" s="96">
        <f>SUMIFS(Collection!$J:$J, Collection!$A:$A, $A28, Collection!$B:$B, N$2)</f>
        <v>0</v>
      </c>
      <c r="O28" s="96">
        <f>SUMIFS(Collection!$J:$J, Collection!$A:$A, $A28, Collection!$B:$B, O$2)</f>
        <v>0</v>
      </c>
      <c r="P28" s="96">
        <f>SUMIFS(Collection!$J:$J, Collection!$A:$A, $A28, Collection!$B:$B, P$2)</f>
        <v>0</v>
      </c>
      <c r="Q28" s="96">
        <f>SUMIFS(Collection!$J:$J, Collection!$A:$A, $A28, Collection!$B:$B, Q$2)</f>
        <v>0</v>
      </c>
      <c r="R28" s="96">
        <f>SUMIFS(Collection!$J:$J, Collection!$A:$A, $A28, Collection!$B:$B, R$2)</f>
        <v>0</v>
      </c>
      <c r="S28" s="96">
        <f>SUMIFS(Collection!$J:$J, Collection!$A:$A, $A28, Collection!$B:$B, S$2)</f>
        <v>0</v>
      </c>
      <c r="T28" s="96">
        <f>SUMIFS(Collection!$J:$J, Collection!$A:$A, $A28, Collection!$B:$B, T$2)</f>
        <v>0</v>
      </c>
      <c r="U28" s="96">
        <f>SUMIFS(Collection!$J:$J, Collection!$A:$A, $A28, Collection!$B:$B, U$2)</f>
        <v>0</v>
      </c>
      <c r="V28" s="96">
        <f>SUMIFS(Collection!$J:$J, Collection!$A:$A, $A28, Collection!$B:$B, V$2)</f>
        <v>0</v>
      </c>
      <c r="W28" s="96">
        <f>SUMIFS(Collection!$J:$J, Collection!$A:$A, $A28, Collection!$B:$B, W$2)</f>
        <v>0</v>
      </c>
      <c r="X28" s="96">
        <f>SUMIFS(Collection!$J:$J, Collection!$A:$A, $A28, Collection!$B:$B, X$2)</f>
        <v>0</v>
      </c>
      <c r="Y28" s="96">
        <f>SUMIFS(Collection!$J:$J, Collection!$A:$A, $A28, Collection!$B:$B, Y$2)</f>
        <v>0</v>
      </c>
    </row>
    <row r="29" spans="1:25" s="60" customFormat="1">
      <c r="A29" s="102" t="s">
        <v>69</v>
      </c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</row>
    <row r="30" spans="1:25" s="60" customFormat="1">
      <c r="A30" s="102">
        <f>1+A28</f>
        <v>42892</v>
      </c>
      <c r="B30" s="95">
        <f>SUMIFS(Collection!$J:$J, Collection!$A:$A, $A30, Collection!$B:$B, B$2)</f>
        <v>0</v>
      </c>
      <c r="C30" s="95">
        <f>SUMIFS(Collection!$J:$J, Collection!$A:$A, $A30, Collection!$B:$B, C$2)</f>
        <v>0</v>
      </c>
      <c r="D30" s="95">
        <f>SUMIFS(Collection!$J:$J, Collection!$A:$A, $A30, Collection!$B:$B, D$2)</f>
        <v>0</v>
      </c>
      <c r="E30" s="95">
        <f>SUMIFS(Collection!$J:$J, Collection!$A:$A, $A30, Collection!$B:$B, E$2)</f>
        <v>0</v>
      </c>
      <c r="F30" s="95">
        <f>SUMIFS(Collection!$J:$J, Collection!$A:$A, $A30, Collection!$B:$B, F$2)</f>
        <v>0</v>
      </c>
      <c r="G30" s="95">
        <f>SUMIFS(Collection!$J:$J, Collection!$A:$A, $A30, Collection!$B:$B, G$2)</f>
        <v>0</v>
      </c>
      <c r="H30" s="95">
        <f>SUMIFS(Collection!$J:$J, Collection!$A:$A, $A30, Collection!$B:$B, H$2)</f>
        <v>0</v>
      </c>
      <c r="I30" s="95">
        <f>SUMIFS(Collection!$J:$J, Collection!$A:$A, $A30, Collection!$B:$B, I$2)</f>
        <v>0</v>
      </c>
      <c r="J30" s="95">
        <f>SUMIFS(Collection!$J:$J, Collection!$A:$A, $A30, Collection!$B:$B, J$2)</f>
        <v>0</v>
      </c>
      <c r="K30" s="95">
        <f>SUMIFS(Collection!$J:$J, Collection!$A:$A, $A30, Collection!$B:$B, K$2)</f>
        <v>0</v>
      </c>
      <c r="L30" s="95">
        <f>SUMIFS(Collection!$J:$J, Collection!$A:$A, $A30, Collection!$B:$B, L$2)</f>
        <v>0</v>
      </c>
      <c r="M30" s="95">
        <f>SUMIFS(Collection!$J:$J, Collection!$A:$A, $A30, Collection!$B:$B, M$2)</f>
        <v>0</v>
      </c>
      <c r="N30" s="95">
        <f>SUMIFS(Collection!$J:$J, Collection!$A:$A, $A30, Collection!$B:$B, N$2)</f>
        <v>0</v>
      </c>
      <c r="O30" s="95">
        <f>SUMIFS(Collection!$J:$J, Collection!$A:$A, $A30, Collection!$B:$B, O$2)</f>
        <v>0</v>
      </c>
      <c r="P30" s="95">
        <f>SUMIFS(Collection!$J:$J, Collection!$A:$A, $A30, Collection!$B:$B, P$2)</f>
        <v>0</v>
      </c>
      <c r="Q30" s="95">
        <f>SUMIFS(Collection!$J:$J, Collection!$A:$A, $A30, Collection!$B:$B, Q$2)</f>
        <v>0</v>
      </c>
      <c r="R30" s="95">
        <f>SUMIFS(Collection!$J:$J, Collection!$A:$A, $A30, Collection!$B:$B, R$2)</f>
        <v>0</v>
      </c>
      <c r="S30" s="95">
        <f>SUMIFS(Collection!$J:$J, Collection!$A:$A, $A30, Collection!$B:$B, S$2)</f>
        <v>0</v>
      </c>
      <c r="T30" s="95">
        <f>SUMIFS(Collection!$J:$J, Collection!$A:$A, $A30, Collection!$B:$B, T$2)</f>
        <v>0</v>
      </c>
      <c r="U30" s="95">
        <f>SUMIFS(Collection!$J:$J, Collection!$A:$A, $A30, Collection!$B:$B, U$2)</f>
        <v>0</v>
      </c>
      <c r="V30" s="95">
        <f>SUMIFS(Collection!$J:$J, Collection!$A:$A, $A30, Collection!$B:$B, V$2)</f>
        <v>0</v>
      </c>
      <c r="W30" s="95">
        <f>SUMIFS(Collection!$J:$J, Collection!$A:$A, $A30, Collection!$B:$B, W$2)</f>
        <v>0</v>
      </c>
      <c r="X30" s="95">
        <f>SUMIFS(Collection!$J:$J, Collection!$A:$A, $A30, Collection!$B:$B, X$2)</f>
        <v>0</v>
      </c>
      <c r="Y30" s="95">
        <f>SUMIFS(Collection!$J:$J, Collection!$A:$A, $A30, Collection!$B:$B, Y$2)</f>
        <v>0</v>
      </c>
    </row>
    <row r="31" spans="1:25" s="60" customFormat="1">
      <c r="A31" s="102">
        <f t="shared" si="0"/>
        <v>42893</v>
      </c>
      <c r="B31" s="95">
        <f>SUMIFS(Collection!$J:$J, Collection!$A:$A, $A31, Collection!$B:$B, B$2)</f>
        <v>0</v>
      </c>
      <c r="C31" s="95">
        <f>SUMIFS(Collection!$J:$J, Collection!$A:$A, $A31, Collection!$B:$B, C$2)</f>
        <v>0</v>
      </c>
      <c r="D31" s="95">
        <f>SUMIFS(Collection!$J:$J, Collection!$A:$A, $A31, Collection!$B:$B, D$2)</f>
        <v>0</v>
      </c>
      <c r="E31" s="95">
        <f>SUMIFS(Collection!$J:$J, Collection!$A:$A, $A31, Collection!$B:$B, E$2)</f>
        <v>0</v>
      </c>
      <c r="F31" s="95">
        <f>SUMIFS(Collection!$J:$J, Collection!$A:$A, $A31, Collection!$B:$B, F$2)</f>
        <v>0</v>
      </c>
      <c r="G31" s="95">
        <f>SUMIFS(Collection!$J:$J, Collection!$A:$A, $A31, Collection!$B:$B, G$2)</f>
        <v>0</v>
      </c>
      <c r="H31" s="95">
        <f>SUMIFS(Collection!$J:$J, Collection!$A:$A, $A31, Collection!$B:$B, H$2)</f>
        <v>0</v>
      </c>
      <c r="I31" s="95">
        <f>SUMIFS(Collection!$J:$J, Collection!$A:$A, $A31, Collection!$B:$B, I$2)</f>
        <v>0</v>
      </c>
      <c r="J31" s="95">
        <f>SUMIFS(Collection!$J:$J, Collection!$A:$A, $A31, Collection!$B:$B, J$2)</f>
        <v>0</v>
      </c>
      <c r="K31" s="95">
        <f>SUMIFS(Collection!$J:$J, Collection!$A:$A, $A31, Collection!$B:$B, K$2)</f>
        <v>0</v>
      </c>
      <c r="L31" s="95">
        <f>SUMIFS(Collection!$J:$J, Collection!$A:$A, $A31, Collection!$B:$B, L$2)</f>
        <v>0</v>
      </c>
      <c r="M31" s="95">
        <f>SUMIFS(Collection!$J:$J, Collection!$A:$A, $A31, Collection!$B:$B, M$2)</f>
        <v>0</v>
      </c>
      <c r="N31" s="95">
        <f>SUMIFS(Collection!$J:$J, Collection!$A:$A, $A31, Collection!$B:$B, N$2)</f>
        <v>0</v>
      </c>
      <c r="O31" s="95">
        <f>SUMIFS(Collection!$J:$J, Collection!$A:$A, $A31, Collection!$B:$B, O$2)</f>
        <v>0</v>
      </c>
      <c r="P31" s="95">
        <f>SUMIFS(Collection!$J:$J, Collection!$A:$A, $A31, Collection!$B:$B, P$2)</f>
        <v>0</v>
      </c>
      <c r="Q31" s="95">
        <f>SUMIFS(Collection!$J:$J, Collection!$A:$A, $A31, Collection!$B:$B, Q$2)</f>
        <v>0</v>
      </c>
      <c r="R31" s="95">
        <f>SUMIFS(Collection!$J:$J, Collection!$A:$A, $A31, Collection!$B:$B, R$2)</f>
        <v>0</v>
      </c>
      <c r="S31" s="95">
        <f>SUMIFS(Collection!$J:$J, Collection!$A:$A, $A31, Collection!$B:$B, S$2)</f>
        <v>0</v>
      </c>
      <c r="T31" s="95">
        <f>SUMIFS(Collection!$J:$J, Collection!$A:$A, $A31, Collection!$B:$B, T$2)</f>
        <v>0</v>
      </c>
      <c r="U31" s="95">
        <f>SUMIFS(Collection!$J:$J, Collection!$A:$A, $A31, Collection!$B:$B, U$2)</f>
        <v>0</v>
      </c>
      <c r="V31" s="95">
        <f>SUMIFS(Collection!$J:$J, Collection!$A:$A, $A31, Collection!$B:$B, V$2)</f>
        <v>0</v>
      </c>
      <c r="W31" s="95">
        <f>SUMIFS(Collection!$J:$J, Collection!$A:$A, $A31, Collection!$B:$B, W$2)</f>
        <v>0</v>
      </c>
      <c r="X31" s="95">
        <f>SUMIFS(Collection!$J:$J, Collection!$A:$A, $A31, Collection!$B:$B, X$2)</f>
        <v>0</v>
      </c>
      <c r="Y31" s="95">
        <f>SUMIFS(Collection!$J:$J, Collection!$A:$A, $A31, Collection!$B:$B, Y$2)</f>
        <v>0</v>
      </c>
    </row>
    <row r="32" spans="1:25" s="61" customFormat="1" ht="16" thickBot="1">
      <c r="A32" s="103">
        <f t="shared" si="0"/>
        <v>42894</v>
      </c>
      <c r="B32" s="96">
        <f>SUMIFS(Collection!$J:$J, Collection!$A:$A, $A32, Collection!$B:$B, B$2)</f>
        <v>0</v>
      </c>
      <c r="C32" s="96">
        <f>SUMIFS(Collection!$J:$J, Collection!$A:$A, $A32, Collection!$B:$B, C$2)</f>
        <v>0</v>
      </c>
      <c r="D32" s="96">
        <f>SUMIFS(Collection!$J:$J, Collection!$A:$A, $A32, Collection!$B:$B, D$2)</f>
        <v>0</v>
      </c>
      <c r="E32" s="96">
        <f>SUMIFS(Collection!$J:$J, Collection!$A:$A, $A32, Collection!$B:$B, E$2)</f>
        <v>0</v>
      </c>
      <c r="F32" s="96">
        <f>SUMIFS(Collection!$J:$J, Collection!$A:$A, $A32, Collection!$B:$B, F$2)</f>
        <v>0</v>
      </c>
      <c r="G32" s="96">
        <f>SUMIFS(Collection!$J:$J, Collection!$A:$A, $A32, Collection!$B:$B, G$2)</f>
        <v>0</v>
      </c>
      <c r="H32" s="96">
        <f>SUMIFS(Collection!$J:$J, Collection!$A:$A, $A32, Collection!$B:$B, H$2)</f>
        <v>0</v>
      </c>
      <c r="I32" s="96">
        <f>SUMIFS(Collection!$J:$J, Collection!$A:$A, $A32, Collection!$B:$B, I$2)</f>
        <v>0</v>
      </c>
      <c r="J32" s="96">
        <f>SUMIFS(Collection!$J:$J, Collection!$A:$A, $A32, Collection!$B:$B, J$2)</f>
        <v>0</v>
      </c>
      <c r="K32" s="96">
        <f>SUMIFS(Collection!$J:$J, Collection!$A:$A, $A32, Collection!$B:$B, K$2)</f>
        <v>0</v>
      </c>
      <c r="L32" s="96">
        <f>SUMIFS(Collection!$J:$J, Collection!$A:$A, $A32, Collection!$B:$B, L$2)</f>
        <v>0</v>
      </c>
      <c r="M32" s="96">
        <f>SUMIFS(Collection!$J:$J, Collection!$A:$A, $A32, Collection!$B:$B, M$2)</f>
        <v>0</v>
      </c>
      <c r="N32" s="96">
        <f>SUMIFS(Collection!$J:$J, Collection!$A:$A, $A32, Collection!$B:$B, N$2)</f>
        <v>0</v>
      </c>
      <c r="O32" s="96">
        <f>SUMIFS(Collection!$J:$J, Collection!$A:$A, $A32, Collection!$B:$B, O$2)</f>
        <v>0</v>
      </c>
      <c r="P32" s="96">
        <f>SUMIFS(Collection!$J:$J, Collection!$A:$A, $A32, Collection!$B:$B, P$2)</f>
        <v>0</v>
      </c>
      <c r="Q32" s="96">
        <f>SUMIFS(Collection!$J:$J, Collection!$A:$A, $A32, Collection!$B:$B, Q$2)</f>
        <v>0</v>
      </c>
      <c r="R32" s="96">
        <f>SUMIFS(Collection!$J:$J, Collection!$A:$A, $A32, Collection!$B:$B, R$2)</f>
        <v>0</v>
      </c>
      <c r="S32" s="96">
        <f>SUMIFS(Collection!$J:$J, Collection!$A:$A, $A32, Collection!$B:$B, S$2)</f>
        <v>0</v>
      </c>
      <c r="T32" s="96">
        <f>SUMIFS(Collection!$J:$J, Collection!$A:$A, $A32, Collection!$B:$B, T$2)</f>
        <v>0</v>
      </c>
      <c r="U32" s="96">
        <f>SUMIFS(Collection!$J:$J, Collection!$A:$A, $A32, Collection!$B:$B, U$2)</f>
        <v>0</v>
      </c>
      <c r="V32" s="96">
        <f>SUMIFS(Collection!$J:$J, Collection!$A:$A, $A32, Collection!$B:$B, V$2)</f>
        <v>0</v>
      </c>
      <c r="W32" s="96">
        <f>SUMIFS(Collection!$J:$J, Collection!$A:$A, $A32, Collection!$B:$B, W$2)</f>
        <v>0</v>
      </c>
      <c r="X32" s="96">
        <f>SUMIFS(Collection!$J:$J, Collection!$A:$A, $A32, Collection!$B:$B, X$2)</f>
        <v>0</v>
      </c>
      <c r="Y32" s="96">
        <f>SUMIFS(Collection!$J:$J, Collection!$A:$A, $A32, Collection!$B:$B, Y$2)</f>
        <v>0</v>
      </c>
    </row>
    <row r="33" spans="1:25" s="60" customFormat="1">
      <c r="A33" s="102" t="s">
        <v>69</v>
      </c>
      <c r="B33" s="95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</row>
    <row r="34" spans="1:25" s="60" customFormat="1">
      <c r="A34" s="102">
        <f>1+A32</f>
        <v>42895</v>
      </c>
      <c r="B34" s="95">
        <f>SUMIFS(Collection!$J:$J, Collection!$A:$A, $A34, Collection!$B:$B, B$2)</f>
        <v>0</v>
      </c>
      <c r="C34" s="95">
        <f>SUMIFS(Collection!$J:$J, Collection!$A:$A, $A34, Collection!$B:$B, C$2)</f>
        <v>0</v>
      </c>
      <c r="D34" s="95">
        <f>SUMIFS(Collection!$J:$J, Collection!$A:$A, $A34, Collection!$B:$B, D$2)</f>
        <v>0</v>
      </c>
      <c r="E34" s="95">
        <f>SUMIFS(Collection!$J:$J, Collection!$A:$A, $A34, Collection!$B:$B, E$2)</f>
        <v>0</v>
      </c>
      <c r="F34" s="95">
        <f>SUMIFS(Collection!$J:$J, Collection!$A:$A, $A34, Collection!$B:$B, F$2)</f>
        <v>0</v>
      </c>
      <c r="G34" s="95">
        <f>SUMIFS(Collection!$J:$J, Collection!$A:$A, $A34, Collection!$B:$B, G$2)</f>
        <v>0</v>
      </c>
      <c r="H34" s="95">
        <f>SUMIFS(Collection!$J:$J, Collection!$A:$A, $A34, Collection!$B:$B, H$2)</f>
        <v>0</v>
      </c>
      <c r="I34" s="95">
        <f>SUMIFS(Collection!$J:$J, Collection!$A:$A, $A34, Collection!$B:$B, I$2)</f>
        <v>0</v>
      </c>
      <c r="J34" s="95">
        <f>SUMIFS(Collection!$J:$J, Collection!$A:$A, $A34, Collection!$B:$B, J$2)</f>
        <v>0</v>
      </c>
      <c r="K34" s="95">
        <f>SUMIFS(Collection!$J:$J, Collection!$A:$A, $A34, Collection!$B:$B, K$2)</f>
        <v>0</v>
      </c>
      <c r="L34" s="95">
        <f>SUMIFS(Collection!$J:$J, Collection!$A:$A, $A34, Collection!$B:$B, L$2)</f>
        <v>0</v>
      </c>
      <c r="M34" s="95">
        <f>SUMIFS(Collection!$J:$J, Collection!$A:$A, $A34, Collection!$B:$B, M$2)</f>
        <v>0</v>
      </c>
      <c r="N34" s="95">
        <f>SUMIFS(Collection!$J:$J, Collection!$A:$A, $A34, Collection!$B:$B, N$2)</f>
        <v>0</v>
      </c>
      <c r="O34" s="95">
        <f>SUMIFS(Collection!$J:$J, Collection!$A:$A, $A34, Collection!$B:$B, O$2)</f>
        <v>0</v>
      </c>
      <c r="P34" s="95">
        <f>SUMIFS(Collection!$J:$J, Collection!$A:$A, $A34, Collection!$B:$B, P$2)</f>
        <v>0</v>
      </c>
      <c r="Q34" s="95">
        <f>SUMIFS(Collection!$J:$J, Collection!$A:$A, $A34, Collection!$B:$B, Q$2)</f>
        <v>0</v>
      </c>
      <c r="R34" s="95">
        <f>SUMIFS(Collection!$J:$J, Collection!$A:$A, $A34, Collection!$B:$B, R$2)</f>
        <v>0</v>
      </c>
      <c r="S34" s="95">
        <f>SUMIFS(Collection!$J:$J, Collection!$A:$A, $A34, Collection!$B:$B, S$2)</f>
        <v>0</v>
      </c>
      <c r="T34" s="95">
        <f>SUMIFS(Collection!$J:$J, Collection!$A:$A, $A34, Collection!$B:$B, T$2)</f>
        <v>0</v>
      </c>
      <c r="U34" s="95">
        <f>SUMIFS(Collection!$J:$J, Collection!$A:$A, $A34, Collection!$B:$B, U$2)</f>
        <v>0</v>
      </c>
      <c r="V34" s="95">
        <f>SUMIFS(Collection!$J:$J, Collection!$A:$A, $A34, Collection!$B:$B, V$2)</f>
        <v>0</v>
      </c>
      <c r="W34" s="95">
        <f>SUMIFS(Collection!$J:$J, Collection!$A:$A, $A34, Collection!$B:$B, W$2)</f>
        <v>0</v>
      </c>
      <c r="X34" s="95">
        <f>SUMIFS(Collection!$J:$J, Collection!$A:$A, $A34, Collection!$B:$B, X$2)</f>
        <v>0</v>
      </c>
      <c r="Y34" s="95">
        <f>SUMIFS(Collection!$J:$J, Collection!$A:$A, $A34, Collection!$B:$B, Y$2)</f>
        <v>0</v>
      </c>
    </row>
    <row r="35" spans="1:25" s="60" customFormat="1">
      <c r="A35" s="102">
        <f t="shared" si="0"/>
        <v>42896</v>
      </c>
      <c r="B35" s="95">
        <f>SUMIFS(Collection!$J:$J, Collection!$A:$A, $A35, Collection!$B:$B, B$2)</f>
        <v>0</v>
      </c>
      <c r="C35" s="95">
        <f>SUMIFS(Collection!$J:$J, Collection!$A:$A, $A35, Collection!$B:$B, C$2)</f>
        <v>0</v>
      </c>
      <c r="D35" s="95">
        <f>SUMIFS(Collection!$J:$J, Collection!$A:$A, $A35, Collection!$B:$B, D$2)</f>
        <v>0</v>
      </c>
      <c r="E35" s="97">
        <f>SUMIFS(Collection!$J:$J, Collection!$A:$A, $A35, Collection!$B:$B, E$2)</f>
        <v>0</v>
      </c>
      <c r="F35" s="95">
        <f>SUMIFS(Collection!$J:$J, Collection!$A:$A, $A35, Collection!$B:$B, F$2)</f>
        <v>0</v>
      </c>
      <c r="G35" s="95">
        <f>SUMIFS(Collection!$J:$J, Collection!$A:$A, $A35, Collection!$B:$B, G$2)</f>
        <v>0</v>
      </c>
      <c r="H35" s="95">
        <f>SUMIFS(Collection!$J:$J, Collection!$A:$A, $A35, Collection!$B:$B, H$2)</f>
        <v>0</v>
      </c>
      <c r="I35" s="95">
        <f>SUMIFS(Collection!$J:$J, Collection!$A:$A, $A35, Collection!$B:$B, I$2)</f>
        <v>0</v>
      </c>
      <c r="J35" s="95">
        <f>SUMIFS(Collection!$J:$J, Collection!$A:$A, $A35, Collection!$B:$B, J$2)</f>
        <v>0</v>
      </c>
      <c r="K35" s="95">
        <f>SUMIFS(Collection!$J:$J, Collection!$A:$A, $A35, Collection!$B:$B, K$2)</f>
        <v>0</v>
      </c>
      <c r="L35" s="95">
        <f>SUMIFS(Collection!$J:$J, Collection!$A:$A, $A35, Collection!$B:$B, L$2)</f>
        <v>0</v>
      </c>
      <c r="M35" s="95">
        <f>SUMIFS(Collection!$J:$J, Collection!$A:$A, $A35, Collection!$B:$B, M$2)</f>
        <v>0</v>
      </c>
      <c r="N35" s="95">
        <f>SUMIFS(Collection!$J:$J, Collection!$A:$A, $A35, Collection!$B:$B, N$2)</f>
        <v>0</v>
      </c>
      <c r="O35" s="95">
        <f>SUMIFS(Collection!$J:$J, Collection!$A:$A, $A35, Collection!$B:$B, O$2)</f>
        <v>0</v>
      </c>
      <c r="P35" s="95">
        <f>SUMIFS(Collection!$J:$J, Collection!$A:$A, $A35, Collection!$B:$B, P$2)</f>
        <v>0</v>
      </c>
      <c r="Q35" s="95">
        <f>SUMIFS(Collection!$J:$J, Collection!$A:$A, $A35, Collection!$B:$B, Q$2)</f>
        <v>0</v>
      </c>
      <c r="R35" s="95">
        <f>SUMIFS(Collection!$J:$J, Collection!$A:$A, $A35, Collection!$B:$B, R$2)</f>
        <v>0</v>
      </c>
      <c r="S35" s="95">
        <f>SUMIFS(Collection!$J:$J, Collection!$A:$A, $A35, Collection!$B:$B, S$2)</f>
        <v>0</v>
      </c>
      <c r="T35" s="95">
        <f>SUMIFS(Collection!$J:$J, Collection!$A:$A, $A35, Collection!$B:$B, T$2)</f>
        <v>0</v>
      </c>
      <c r="U35" s="95">
        <f>SUMIFS(Collection!$J:$J, Collection!$A:$A, $A35, Collection!$B:$B, U$2)</f>
        <v>0</v>
      </c>
      <c r="V35" s="95">
        <f>SUMIFS(Collection!$J:$J, Collection!$A:$A, $A35, Collection!$B:$B, V$2)</f>
        <v>0</v>
      </c>
      <c r="W35" s="95">
        <f>SUMIFS(Collection!$J:$J, Collection!$A:$A, $A35, Collection!$B:$B, W$2)</f>
        <v>0</v>
      </c>
      <c r="X35" s="95">
        <f>SUMIFS(Collection!$J:$J, Collection!$A:$A, $A35, Collection!$B:$B, X$2)</f>
        <v>0</v>
      </c>
      <c r="Y35" s="95">
        <f>SUMIFS(Collection!$J:$J, Collection!$A:$A, $A35, Collection!$B:$B, Y$2)</f>
        <v>0</v>
      </c>
    </row>
    <row r="36" spans="1:25" s="60" customFormat="1">
      <c r="A36" s="102">
        <f t="shared" si="0"/>
        <v>42897</v>
      </c>
      <c r="B36" s="95">
        <f>SUMIFS(Collection!$J:$J, Collection!$A:$A, $A36, Collection!$B:$B, B$2)</f>
        <v>0</v>
      </c>
      <c r="C36" s="95">
        <f>SUMIFS(Collection!$J:$J, Collection!$A:$A, $A36, Collection!$B:$B, C$2)</f>
        <v>0</v>
      </c>
      <c r="D36" s="95">
        <f>SUMIFS(Collection!$J:$J, Collection!$A:$A, $A36, Collection!$B:$B, D$2)</f>
        <v>0</v>
      </c>
      <c r="E36" s="95">
        <f>SUMIFS(Collection!$J:$J, Collection!$A:$A, $A36, Collection!$B:$B, E$2)</f>
        <v>0</v>
      </c>
      <c r="F36" s="95">
        <f>SUMIFS(Collection!$J:$J, Collection!$A:$A, $A36, Collection!$B:$B, F$2)</f>
        <v>0</v>
      </c>
      <c r="G36" s="95">
        <f>SUMIFS(Collection!$J:$J, Collection!$A:$A, $A36, Collection!$B:$B, G$2)</f>
        <v>0</v>
      </c>
      <c r="H36" s="95">
        <f>SUMIFS(Collection!$J:$J, Collection!$A:$A, $A36, Collection!$B:$B, H$2)</f>
        <v>0</v>
      </c>
      <c r="I36" s="95">
        <f>SUMIFS(Collection!$J:$J, Collection!$A:$A, $A36, Collection!$B:$B, I$2)</f>
        <v>0</v>
      </c>
      <c r="J36" s="95">
        <f>SUMIFS(Collection!$J:$J, Collection!$A:$A, $A36, Collection!$B:$B, J$2)</f>
        <v>0</v>
      </c>
      <c r="K36" s="95">
        <f>SUMIFS(Collection!$J:$J, Collection!$A:$A, $A36, Collection!$B:$B, K$2)</f>
        <v>0</v>
      </c>
      <c r="L36" s="95">
        <f>SUMIFS(Collection!$J:$J, Collection!$A:$A, $A36, Collection!$B:$B, L$2)</f>
        <v>0</v>
      </c>
      <c r="M36" s="95">
        <f>SUMIFS(Collection!$J:$J, Collection!$A:$A, $A36, Collection!$B:$B, M$2)</f>
        <v>0</v>
      </c>
      <c r="N36" s="95">
        <f>SUMIFS(Collection!$J:$J, Collection!$A:$A, $A36, Collection!$B:$B, N$2)</f>
        <v>0</v>
      </c>
      <c r="O36" s="95">
        <f>SUMIFS(Collection!$J:$J, Collection!$A:$A, $A36, Collection!$B:$B, O$2)</f>
        <v>0</v>
      </c>
      <c r="P36" s="95">
        <f>SUMIFS(Collection!$J:$J, Collection!$A:$A, $A36, Collection!$B:$B, P$2)</f>
        <v>0</v>
      </c>
      <c r="Q36" s="95">
        <f>SUMIFS(Collection!$J:$J, Collection!$A:$A, $A36, Collection!$B:$B, Q$2)</f>
        <v>0</v>
      </c>
      <c r="R36" s="95">
        <f>SUMIFS(Collection!$J:$J, Collection!$A:$A, $A36, Collection!$B:$B, R$2)</f>
        <v>0</v>
      </c>
      <c r="S36" s="95">
        <f>SUMIFS(Collection!$J:$J, Collection!$A:$A, $A36, Collection!$B:$B, S$2)</f>
        <v>0</v>
      </c>
      <c r="T36" s="95">
        <f>SUMIFS(Collection!$J:$J, Collection!$A:$A, $A36, Collection!$B:$B, T$2)</f>
        <v>0</v>
      </c>
      <c r="U36" s="95">
        <f>SUMIFS(Collection!$J:$J, Collection!$A:$A, $A36, Collection!$B:$B, U$2)</f>
        <v>0</v>
      </c>
      <c r="V36" s="95">
        <f>SUMIFS(Collection!$J:$J, Collection!$A:$A, $A36, Collection!$B:$B, V$2)</f>
        <v>0</v>
      </c>
      <c r="W36" s="95">
        <f>SUMIFS(Collection!$J:$J, Collection!$A:$A, $A36, Collection!$B:$B, W$2)</f>
        <v>0</v>
      </c>
      <c r="X36" s="95">
        <f>SUMIFS(Collection!$J:$J, Collection!$A:$A, $A36, Collection!$B:$B, X$2)</f>
        <v>0</v>
      </c>
      <c r="Y36" s="95">
        <f>SUMIFS(Collection!$J:$J, Collection!$A:$A, $A36, Collection!$B:$B, Y$2)</f>
        <v>0</v>
      </c>
    </row>
    <row r="37" spans="1:25" s="61" customFormat="1" ht="16" thickBot="1">
      <c r="A37" s="103">
        <f t="shared" si="0"/>
        <v>42898</v>
      </c>
      <c r="B37" s="96">
        <f>SUMIFS(Collection!$J:$J, Collection!$A:$A, $A37, Collection!$B:$B, B$2)</f>
        <v>0</v>
      </c>
      <c r="C37" s="96">
        <f>SUMIFS(Collection!$J:$J, Collection!$A:$A, $A37, Collection!$B:$B, C$2)</f>
        <v>0</v>
      </c>
      <c r="D37" s="96">
        <f>SUMIFS(Collection!$J:$J, Collection!$A:$A, $A37, Collection!$B:$B, D$2)</f>
        <v>0</v>
      </c>
      <c r="E37" s="96">
        <f>SUMIFS(Collection!$J:$J, Collection!$A:$A, $A37, Collection!$B:$B, E$2)</f>
        <v>0</v>
      </c>
      <c r="F37" s="96">
        <f>SUMIFS(Collection!$J:$J, Collection!$A:$A, $A37, Collection!$B:$B, F$2)</f>
        <v>0</v>
      </c>
      <c r="G37" s="96">
        <f>SUMIFS(Collection!$J:$J, Collection!$A:$A, $A37, Collection!$B:$B, G$2)</f>
        <v>0</v>
      </c>
      <c r="H37" s="96">
        <f>SUMIFS(Collection!$J:$J, Collection!$A:$A, $A37, Collection!$B:$B, H$2)</f>
        <v>0</v>
      </c>
      <c r="I37" s="96">
        <f>SUMIFS(Collection!$J:$J, Collection!$A:$A, $A37, Collection!$B:$B, I$2)</f>
        <v>0</v>
      </c>
      <c r="J37" s="96">
        <f>SUMIFS(Collection!$J:$J, Collection!$A:$A, $A37, Collection!$B:$B, J$2)</f>
        <v>0</v>
      </c>
      <c r="K37" s="96">
        <f>SUMIFS(Collection!$J:$J, Collection!$A:$A, $A37, Collection!$B:$B, K$2)</f>
        <v>0</v>
      </c>
      <c r="L37" s="96">
        <f>SUMIFS(Collection!$J:$J, Collection!$A:$A, $A37, Collection!$B:$B, L$2)</f>
        <v>0</v>
      </c>
      <c r="M37" s="96">
        <f>SUMIFS(Collection!$J:$J, Collection!$A:$A, $A37, Collection!$B:$B, M$2)</f>
        <v>0</v>
      </c>
      <c r="N37" s="96">
        <f>SUMIFS(Collection!$J:$J, Collection!$A:$A, $A37, Collection!$B:$B, N$2)</f>
        <v>0</v>
      </c>
      <c r="O37" s="96">
        <f>SUMIFS(Collection!$J:$J, Collection!$A:$A, $A37, Collection!$B:$B, O$2)</f>
        <v>0</v>
      </c>
      <c r="P37" s="96">
        <f>SUMIFS(Collection!$J:$J, Collection!$A:$A, $A37, Collection!$B:$B, P$2)</f>
        <v>0</v>
      </c>
      <c r="Q37" s="96">
        <f>SUMIFS(Collection!$J:$J, Collection!$A:$A, $A37, Collection!$B:$B, Q$2)</f>
        <v>0</v>
      </c>
      <c r="R37" s="96">
        <f>SUMIFS(Collection!$J:$J, Collection!$A:$A, $A37, Collection!$B:$B, R$2)</f>
        <v>0</v>
      </c>
      <c r="S37" s="96">
        <f>SUMIFS(Collection!$J:$J, Collection!$A:$A, $A37, Collection!$B:$B, S$2)</f>
        <v>0</v>
      </c>
      <c r="T37" s="96">
        <f>SUMIFS(Collection!$J:$J, Collection!$A:$A, $A37, Collection!$B:$B, T$2)</f>
        <v>0</v>
      </c>
      <c r="U37" s="96">
        <f>SUMIFS(Collection!$J:$J, Collection!$A:$A, $A37, Collection!$B:$B, U$2)</f>
        <v>0</v>
      </c>
      <c r="V37" s="96">
        <f>SUMIFS(Collection!$J:$J, Collection!$A:$A, $A37, Collection!$B:$B, V$2)</f>
        <v>0</v>
      </c>
      <c r="W37" s="96">
        <f>SUMIFS(Collection!$J:$J, Collection!$A:$A, $A37, Collection!$B:$B, W$2)</f>
        <v>0</v>
      </c>
      <c r="X37" s="96">
        <f>SUMIFS(Collection!$J:$J, Collection!$A:$A, $A37, Collection!$B:$B, X$2)</f>
        <v>0</v>
      </c>
      <c r="Y37" s="96">
        <f>SUMIFS(Collection!$J:$J, Collection!$A:$A, $A37, Collection!$B:$B, Y$2)</f>
        <v>0</v>
      </c>
    </row>
    <row r="38" spans="1:25" s="59" customFormat="1">
      <c r="A38" s="101" t="s">
        <v>1</v>
      </c>
      <c r="B38" s="94"/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</row>
    <row r="39" spans="1:25" s="60" customFormat="1">
      <c r="A39" s="102" t="s">
        <v>69</v>
      </c>
      <c r="B39" s="9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</row>
    <row r="40" spans="1:25" s="60" customFormat="1">
      <c r="A40" s="102">
        <f>1+A37</f>
        <v>42899</v>
      </c>
      <c r="B40" s="95">
        <f>SUMIFS(Collection!$J:$J, Collection!$A:$A, $A40, Collection!$B:$B, B$2)</f>
        <v>0</v>
      </c>
      <c r="C40" s="95">
        <f>SUMIFS(Collection!$J:$J, Collection!$A:$A, $A40, Collection!$B:$B, C$2)</f>
        <v>0</v>
      </c>
      <c r="D40" s="95">
        <f>SUMIFS(Collection!$J:$J, Collection!$A:$A, $A40, Collection!$B:$B, D$2)</f>
        <v>0</v>
      </c>
      <c r="E40" s="95">
        <f>SUMIFS(Collection!$J:$J, Collection!$A:$A, $A40, Collection!$B:$B, E$2)</f>
        <v>0</v>
      </c>
      <c r="F40" s="95">
        <f>SUMIFS(Collection!$J:$J, Collection!$A:$A, $A40, Collection!$B:$B, F$2)</f>
        <v>0</v>
      </c>
      <c r="G40" s="95">
        <f>SUMIFS(Collection!$J:$J, Collection!$A:$A, $A40, Collection!$B:$B, G$2)</f>
        <v>0</v>
      </c>
      <c r="H40" s="95">
        <f>SUMIFS(Collection!$J:$J, Collection!$A:$A, $A40, Collection!$B:$B, H$2)</f>
        <v>0</v>
      </c>
      <c r="I40" s="95">
        <f>SUMIFS(Collection!$J:$J, Collection!$A:$A, $A40, Collection!$B:$B, I$2)</f>
        <v>0</v>
      </c>
      <c r="J40" s="95">
        <f>SUMIFS(Collection!$J:$J, Collection!$A:$A, $A40, Collection!$B:$B, J$2)</f>
        <v>0</v>
      </c>
      <c r="K40" s="95">
        <f>SUMIFS(Collection!$J:$J, Collection!$A:$A, $A40, Collection!$B:$B, K$2)</f>
        <v>0</v>
      </c>
      <c r="L40" s="95">
        <f>SUMIFS(Collection!$J:$J, Collection!$A:$A, $A40, Collection!$B:$B, L$2)</f>
        <v>0</v>
      </c>
      <c r="M40" s="95">
        <f>SUMIFS(Collection!$J:$J, Collection!$A:$A, $A40, Collection!$B:$B, M$2)</f>
        <v>0</v>
      </c>
      <c r="N40" s="95">
        <f>SUMIFS(Collection!$J:$J, Collection!$A:$A, $A40, Collection!$B:$B, N$2)</f>
        <v>0</v>
      </c>
      <c r="O40" s="95">
        <f>SUMIFS(Collection!$J:$J, Collection!$A:$A, $A40, Collection!$B:$B, O$2)</f>
        <v>0</v>
      </c>
      <c r="P40" s="95">
        <f>SUMIFS(Collection!$J:$J, Collection!$A:$A, $A40, Collection!$B:$B, P$2)</f>
        <v>0</v>
      </c>
      <c r="Q40" s="95">
        <f>SUMIFS(Collection!$J:$J, Collection!$A:$A, $A40, Collection!$B:$B, Q$2)</f>
        <v>0</v>
      </c>
      <c r="R40" s="95">
        <f>SUMIFS(Collection!$J:$J, Collection!$A:$A, $A40, Collection!$B:$B, R$2)</f>
        <v>0</v>
      </c>
      <c r="S40" s="95">
        <f>SUMIFS(Collection!$J:$J, Collection!$A:$A, $A40, Collection!$B:$B, S$2)</f>
        <v>0</v>
      </c>
      <c r="T40" s="95">
        <f>SUMIFS(Collection!$J:$J, Collection!$A:$A, $A40, Collection!$B:$B, T$2)</f>
        <v>0</v>
      </c>
      <c r="U40" s="95">
        <f>SUMIFS(Collection!$J:$J, Collection!$A:$A, $A40, Collection!$B:$B, U$2)</f>
        <v>0</v>
      </c>
      <c r="V40" s="95">
        <f>SUMIFS(Collection!$J:$J, Collection!$A:$A, $A40, Collection!$B:$B, V$2)</f>
        <v>0</v>
      </c>
      <c r="W40" s="95">
        <f>SUMIFS(Collection!$J:$J, Collection!$A:$A, $A40, Collection!$B:$B, W$2)</f>
        <v>0</v>
      </c>
      <c r="X40" s="95">
        <f>SUMIFS(Collection!$J:$J, Collection!$A:$A, $A40, Collection!$B:$B, X$2)</f>
        <v>0</v>
      </c>
      <c r="Y40" s="95">
        <f>SUMIFS(Collection!$J:$J, Collection!$A:$A, $A40, Collection!$B:$B, Y$2)</f>
        <v>0</v>
      </c>
    </row>
    <row r="41" spans="1:25" s="60" customFormat="1">
      <c r="A41" s="102">
        <f t="shared" si="0"/>
        <v>42900</v>
      </c>
      <c r="B41" s="95">
        <f>SUMIFS(Collection!$J:$J, Collection!$A:$A, $A41, Collection!$B:$B, B$2)</f>
        <v>0</v>
      </c>
      <c r="C41" s="95">
        <f>SUMIFS(Collection!$J:$J, Collection!$A:$A, $A41, Collection!$B:$B, C$2)</f>
        <v>0</v>
      </c>
      <c r="D41" s="95">
        <f>SUMIFS(Collection!$J:$J, Collection!$A:$A, $A41, Collection!$B:$B, D$2)</f>
        <v>0</v>
      </c>
      <c r="E41" s="95">
        <f>SUMIFS(Collection!$J:$J, Collection!$A:$A, $A41, Collection!$B:$B, E$2)</f>
        <v>0</v>
      </c>
      <c r="F41" s="95">
        <f>SUMIFS(Collection!$J:$J, Collection!$A:$A, $A41, Collection!$B:$B, F$2)</f>
        <v>0</v>
      </c>
      <c r="G41" s="95">
        <f>SUMIFS(Collection!$J:$J, Collection!$A:$A, $A41, Collection!$B:$B, G$2)</f>
        <v>0</v>
      </c>
      <c r="H41" s="95">
        <f>SUMIFS(Collection!$J:$J, Collection!$A:$A, $A41, Collection!$B:$B, H$2)</f>
        <v>0</v>
      </c>
      <c r="I41" s="95">
        <f>SUMIFS(Collection!$J:$J, Collection!$A:$A, $A41, Collection!$B:$B, I$2)</f>
        <v>0</v>
      </c>
      <c r="J41" s="95">
        <f>SUMIFS(Collection!$J:$J, Collection!$A:$A, $A41, Collection!$B:$B, J$2)</f>
        <v>0</v>
      </c>
      <c r="K41" s="95">
        <f>SUMIFS(Collection!$J:$J, Collection!$A:$A, $A41, Collection!$B:$B, K$2)</f>
        <v>0</v>
      </c>
      <c r="L41" s="95">
        <f>SUMIFS(Collection!$J:$J, Collection!$A:$A, $A41, Collection!$B:$B, L$2)</f>
        <v>0</v>
      </c>
      <c r="M41" s="95">
        <f>SUMIFS(Collection!$J:$J, Collection!$A:$A, $A41, Collection!$B:$B, M$2)</f>
        <v>0</v>
      </c>
      <c r="N41" s="95">
        <f>SUMIFS(Collection!$J:$J, Collection!$A:$A, $A41, Collection!$B:$B, N$2)</f>
        <v>0</v>
      </c>
      <c r="O41" s="95">
        <f>SUMIFS(Collection!$J:$J, Collection!$A:$A, $A41, Collection!$B:$B, O$2)</f>
        <v>0</v>
      </c>
      <c r="P41" s="95">
        <f>SUMIFS(Collection!$J:$J, Collection!$A:$A, $A41, Collection!$B:$B, P$2)</f>
        <v>0</v>
      </c>
      <c r="Q41" s="95">
        <f>SUMIFS(Collection!$J:$J, Collection!$A:$A, $A41, Collection!$B:$B, Q$2)</f>
        <v>0</v>
      </c>
      <c r="R41" s="95">
        <f>SUMIFS(Collection!$J:$J, Collection!$A:$A, $A41, Collection!$B:$B, R$2)</f>
        <v>0</v>
      </c>
      <c r="S41" s="95">
        <f>SUMIFS(Collection!$J:$J, Collection!$A:$A, $A41, Collection!$B:$B, S$2)</f>
        <v>0</v>
      </c>
      <c r="T41" s="95">
        <f>SUMIFS(Collection!$J:$J, Collection!$A:$A, $A41, Collection!$B:$B, T$2)</f>
        <v>0</v>
      </c>
      <c r="U41" s="95">
        <f>SUMIFS(Collection!$J:$J, Collection!$A:$A, $A41, Collection!$B:$B, U$2)</f>
        <v>0</v>
      </c>
      <c r="V41" s="95">
        <f>SUMIFS(Collection!$J:$J, Collection!$A:$A, $A41, Collection!$B:$B, V$2)</f>
        <v>0</v>
      </c>
      <c r="W41" s="95">
        <f>SUMIFS(Collection!$J:$J, Collection!$A:$A, $A41, Collection!$B:$B, W$2)</f>
        <v>0</v>
      </c>
      <c r="X41" s="95">
        <f>SUMIFS(Collection!$J:$J, Collection!$A:$A, $A41, Collection!$B:$B, X$2)</f>
        <v>0</v>
      </c>
      <c r="Y41" s="95">
        <f>SUMIFS(Collection!$J:$J, Collection!$A:$A, $A41, Collection!$B:$B, Y$2)</f>
        <v>0</v>
      </c>
    </row>
    <row r="42" spans="1:25" s="61" customFormat="1" ht="16" thickBot="1">
      <c r="A42" s="103">
        <f t="shared" si="0"/>
        <v>42901</v>
      </c>
      <c r="B42" s="96">
        <f>SUMIFS(Collection!$J:$J, Collection!$A:$A, $A42, Collection!$B:$B, B$2)</f>
        <v>0</v>
      </c>
      <c r="C42" s="96">
        <f>SUMIFS(Collection!$J:$J, Collection!$A:$A, $A42, Collection!$B:$B, C$2)</f>
        <v>0</v>
      </c>
      <c r="D42" s="96">
        <f>SUMIFS(Collection!$J:$J, Collection!$A:$A, $A42, Collection!$B:$B, D$2)</f>
        <v>0</v>
      </c>
      <c r="E42" s="96">
        <f>SUMIFS(Collection!$J:$J, Collection!$A:$A, $A42, Collection!$B:$B, E$2)</f>
        <v>0</v>
      </c>
      <c r="F42" s="96">
        <f>SUMIFS(Collection!$J:$J, Collection!$A:$A, $A42, Collection!$B:$B, F$2)</f>
        <v>0</v>
      </c>
      <c r="G42" s="96">
        <f>SUMIFS(Collection!$J:$J, Collection!$A:$A, $A42, Collection!$B:$B, G$2)</f>
        <v>0</v>
      </c>
      <c r="H42" s="96">
        <f>SUMIFS(Collection!$J:$J, Collection!$A:$A, $A42, Collection!$B:$B, H$2)</f>
        <v>0</v>
      </c>
      <c r="I42" s="96">
        <f>SUMIFS(Collection!$J:$J, Collection!$A:$A, $A42, Collection!$B:$B, I$2)</f>
        <v>0</v>
      </c>
      <c r="J42" s="96">
        <f>SUMIFS(Collection!$J:$J, Collection!$A:$A, $A42, Collection!$B:$B, J$2)</f>
        <v>0</v>
      </c>
      <c r="K42" s="96">
        <f>SUMIFS(Collection!$J:$J, Collection!$A:$A, $A42, Collection!$B:$B, K$2)</f>
        <v>0</v>
      </c>
      <c r="L42" s="96">
        <f>SUMIFS(Collection!$J:$J, Collection!$A:$A, $A42, Collection!$B:$B, L$2)</f>
        <v>0</v>
      </c>
      <c r="M42" s="96">
        <f>SUMIFS(Collection!$J:$J, Collection!$A:$A, $A42, Collection!$B:$B, M$2)</f>
        <v>0</v>
      </c>
      <c r="N42" s="96">
        <f>SUMIFS(Collection!$J:$J, Collection!$A:$A, $A42, Collection!$B:$B, N$2)</f>
        <v>0</v>
      </c>
      <c r="O42" s="96">
        <f>SUMIFS(Collection!$J:$J, Collection!$A:$A, $A42, Collection!$B:$B, O$2)</f>
        <v>0</v>
      </c>
      <c r="P42" s="96">
        <f>SUMIFS(Collection!$J:$J, Collection!$A:$A, $A42, Collection!$B:$B, P$2)</f>
        <v>0</v>
      </c>
      <c r="Q42" s="96">
        <f>SUMIFS(Collection!$J:$J, Collection!$A:$A, $A42, Collection!$B:$B, Q$2)</f>
        <v>0</v>
      </c>
      <c r="R42" s="96">
        <f>SUMIFS(Collection!$J:$J, Collection!$A:$A, $A42, Collection!$B:$B, R$2)</f>
        <v>0</v>
      </c>
      <c r="S42" s="96">
        <f>SUMIFS(Collection!$J:$J, Collection!$A:$A, $A42, Collection!$B:$B, S$2)</f>
        <v>0</v>
      </c>
      <c r="T42" s="96">
        <f>SUMIFS(Collection!$J:$J, Collection!$A:$A, $A42, Collection!$B:$B, T$2)</f>
        <v>0</v>
      </c>
      <c r="U42" s="96">
        <f>SUMIFS(Collection!$J:$J, Collection!$A:$A, $A42, Collection!$B:$B, U$2)</f>
        <v>0</v>
      </c>
      <c r="V42" s="96">
        <f>SUMIFS(Collection!$J:$J, Collection!$A:$A, $A42, Collection!$B:$B, V$2)</f>
        <v>0</v>
      </c>
      <c r="W42" s="96">
        <f>SUMIFS(Collection!$J:$J, Collection!$A:$A, $A42, Collection!$B:$B, W$2)</f>
        <v>0</v>
      </c>
      <c r="X42" s="96">
        <f>SUMIFS(Collection!$J:$J, Collection!$A:$A, $A42, Collection!$B:$B, X$2)</f>
        <v>0</v>
      </c>
      <c r="Y42" s="96">
        <f>SUMIFS(Collection!$J:$J, Collection!$A:$A, $A42, Collection!$B:$B, Y$2)</f>
        <v>0</v>
      </c>
    </row>
    <row r="43" spans="1:25" s="60" customFormat="1">
      <c r="A43" s="102" t="s">
        <v>69</v>
      </c>
      <c r="B43" s="95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</row>
    <row r="44" spans="1:25" s="60" customFormat="1">
      <c r="A44" s="102">
        <f>1+A42</f>
        <v>42902</v>
      </c>
      <c r="B44" s="95">
        <f>SUMIFS(Collection!$J:$J, Collection!$A:$A, $A44, Collection!$B:$B, B$2)</f>
        <v>0</v>
      </c>
      <c r="C44" s="95">
        <f>SUMIFS(Collection!$J:$J, Collection!$A:$A, $A44, Collection!$B:$B, C$2)</f>
        <v>0</v>
      </c>
      <c r="D44" s="95">
        <f>SUMIFS(Collection!$J:$J, Collection!$A:$A, $A44, Collection!$B:$B, D$2)</f>
        <v>0</v>
      </c>
      <c r="E44" s="95">
        <f>SUMIFS(Collection!$J:$J, Collection!$A:$A, $A44, Collection!$B:$B, E$2)</f>
        <v>0</v>
      </c>
      <c r="F44" s="95">
        <f>SUMIFS(Collection!$J:$J, Collection!$A:$A, $A44, Collection!$B:$B, F$2)</f>
        <v>0</v>
      </c>
      <c r="G44" s="95">
        <f>SUMIFS(Collection!$J:$J, Collection!$A:$A, $A44, Collection!$B:$B, G$2)</f>
        <v>0</v>
      </c>
      <c r="H44" s="95">
        <f>SUMIFS(Collection!$J:$J, Collection!$A:$A, $A44, Collection!$B:$B, H$2)</f>
        <v>0</v>
      </c>
      <c r="I44" s="95">
        <f>SUMIFS(Collection!$J:$J, Collection!$A:$A, $A44, Collection!$B:$B, I$2)</f>
        <v>0</v>
      </c>
      <c r="J44" s="95">
        <f>SUMIFS(Collection!$J:$J, Collection!$A:$A, $A44, Collection!$B:$B, J$2)</f>
        <v>0</v>
      </c>
      <c r="K44" s="95">
        <f>SUMIFS(Collection!$J:$J, Collection!$A:$A, $A44, Collection!$B:$B, K$2)</f>
        <v>0</v>
      </c>
      <c r="L44" s="95">
        <f>SUMIFS(Collection!$J:$J, Collection!$A:$A, $A44, Collection!$B:$B, L$2)</f>
        <v>0</v>
      </c>
      <c r="M44" s="95">
        <f>SUMIFS(Collection!$J:$J, Collection!$A:$A, $A44, Collection!$B:$B, M$2)</f>
        <v>0</v>
      </c>
      <c r="N44" s="95">
        <f>SUMIFS(Collection!$J:$J, Collection!$A:$A, $A44, Collection!$B:$B, N$2)</f>
        <v>0</v>
      </c>
      <c r="O44" s="95">
        <f>SUMIFS(Collection!$J:$J, Collection!$A:$A, $A44, Collection!$B:$B, O$2)</f>
        <v>0</v>
      </c>
      <c r="P44" s="95">
        <f>SUMIFS(Collection!$J:$J, Collection!$A:$A, $A44, Collection!$B:$B, P$2)</f>
        <v>0</v>
      </c>
      <c r="Q44" s="95">
        <f>SUMIFS(Collection!$J:$J, Collection!$A:$A, $A44, Collection!$B:$B, Q$2)</f>
        <v>0</v>
      </c>
      <c r="R44" s="95">
        <f>SUMIFS(Collection!$J:$J, Collection!$A:$A, $A44, Collection!$B:$B, R$2)</f>
        <v>0</v>
      </c>
      <c r="S44" s="95">
        <f>SUMIFS(Collection!$J:$J, Collection!$A:$A, $A44, Collection!$B:$B, S$2)</f>
        <v>0</v>
      </c>
      <c r="T44" s="95">
        <f>SUMIFS(Collection!$J:$J, Collection!$A:$A, $A44, Collection!$B:$B, T$2)</f>
        <v>0</v>
      </c>
      <c r="U44" s="95">
        <f>SUMIFS(Collection!$J:$J, Collection!$A:$A, $A44, Collection!$B:$B, U$2)</f>
        <v>0</v>
      </c>
      <c r="V44" s="95">
        <f>SUMIFS(Collection!$J:$J, Collection!$A:$A, $A44, Collection!$B:$B, V$2)</f>
        <v>0</v>
      </c>
      <c r="W44" s="95">
        <f>SUMIFS(Collection!$J:$J, Collection!$A:$A, $A44, Collection!$B:$B, W$2)</f>
        <v>0</v>
      </c>
      <c r="X44" s="95">
        <f>SUMIFS(Collection!$J:$J, Collection!$A:$A, $A44, Collection!$B:$B, X$2)</f>
        <v>0</v>
      </c>
      <c r="Y44" s="95">
        <f>SUMIFS(Collection!$J:$J, Collection!$A:$A, $A44, Collection!$B:$B, Y$2)</f>
        <v>0</v>
      </c>
    </row>
    <row r="45" spans="1:25" s="60" customFormat="1">
      <c r="A45" s="102">
        <f t="shared" si="0"/>
        <v>42903</v>
      </c>
      <c r="B45" s="95">
        <f>SUMIFS(Collection!$J:$J, Collection!$A:$A, $A45, Collection!$B:$B, B$2)</f>
        <v>0</v>
      </c>
      <c r="C45" s="95">
        <f>SUMIFS(Collection!$J:$J, Collection!$A:$A, $A45, Collection!$B:$B, C$2)</f>
        <v>0</v>
      </c>
      <c r="D45" s="95">
        <f>SUMIFS(Collection!$J:$J, Collection!$A:$A, $A45, Collection!$B:$B, D$2)</f>
        <v>0</v>
      </c>
      <c r="E45" s="95">
        <f>SUMIFS(Collection!$J:$J, Collection!$A:$A, $A45, Collection!$B:$B, E$2)</f>
        <v>0</v>
      </c>
      <c r="F45" s="95">
        <f>SUMIFS(Collection!$J:$J, Collection!$A:$A, $A45, Collection!$B:$B, F$2)</f>
        <v>0</v>
      </c>
      <c r="G45" s="95">
        <f>SUMIFS(Collection!$J:$J, Collection!$A:$A, $A45, Collection!$B:$B, G$2)</f>
        <v>0</v>
      </c>
      <c r="H45" s="95">
        <f>SUMIFS(Collection!$J:$J, Collection!$A:$A, $A45, Collection!$B:$B, H$2)</f>
        <v>0</v>
      </c>
      <c r="I45" s="95">
        <f>SUMIFS(Collection!$J:$J, Collection!$A:$A, $A45, Collection!$B:$B, I$2)</f>
        <v>0</v>
      </c>
      <c r="J45" s="95">
        <f>SUMIFS(Collection!$J:$J, Collection!$A:$A, $A45, Collection!$B:$B, J$2)</f>
        <v>0</v>
      </c>
      <c r="K45" s="95">
        <f>SUMIFS(Collection!$J:$J, Collection!$A:$A, $A45, Collection!$B:$B, K$2)</f>
        <v>0</v>
      </c>
      <c r="L45" s="95">
        <f>SUMIFS(Collection!$J:$J, Collection!$A:$A, $A45, Collection!$B:$B, L$2)</f>
        <v>0</v>
      </c>
      <c r="M45" s="95">
        <f>SUMIFS(Collection!$J:$J, Collection!$A:$A, $A45, Collection!$B:$B, M$2)</f>
        <v>0</v>
      </c>
      <c r="N45" s="95">
        <f>SUMIFS(Collection!$J:$J, Collection!$A:$A, $A45, Collection!$B:$B, N$2)</f>
        <v>0</v>
      </c>
      <c r="O45" s="95">
        <f>SUMIFS(Collection!$J:$J, Collection!$A:$A, $A45, Collection!$B:$B, O$2)</f>
        <v>0</v>
      </c>
      <c r="P45" s="95">
        <f>SUMIFS(Collection!$J:$J, Collection!$A:$A, $A45, Collection!$B:$B, P$2)</f>
        <v>0</v>
      </c>
      <c r="Q45" s="95">
        <f>SUMIFS(Collection!$J:$J, Collection!$A:$A, $A45, Collection!$B:$B, Q$2)</f>
        <v>0</v>
      </c>
      <c r="R45" s="95">
        <f>SUMIFS(Collection!$J:$J, Collection!$A:$A, $A45, Collection!$B:$B, R$2)</f>
        <v>0</v>
      </c>
      <c r="S45" s="95">
        <f>SUMIFS(Collection!$J:$J, Collection!$A:$A, $A45, Collection!$B:$B, S$2)</f>
        <v>0</v>
      </c>
      <c r="T45" s="95">
        <f>SUMIFS(Collection!$J:$J, Collection!$A:$A, $A45, Collection!$B:$B, T$2)</f>
        <v>0</v>
      </c>
      <c r="U45" s="95">
        <f>SUMIFS(Collection!$J:$J, Collection!$A:$A, $A45, Collection!$B:$B, U$2)</f>
        <v>0</v>
      </c>
      <c r="V45" s="95">
        <f>SUMIFS(Collection!$J:$J, Collection!$A:$A, $A45, Collection!$B:$B, V$2)</f>
        <v>0</v>
      </c>
      <c r="W45" s="95">
        <f>SUMIFS(Collection!$J:$J, Collection!$A:$A, $A45, Collection!$B:$B, W$2)</f>
        <v>0</v>
      </c>
      <c r="X45" s="95">
        <f>SUMIFS(Collection!$J:$J, Collection!$A:$A, $A45, Collection!$B:$B, X$2)</f>
        <v>0</v>
      </c>
      <c r="Y45" s="95">
        <f>SUMIFS(Collection!$J:$J, Collection!$A:$A, $A45, Collection!$B:$B, Y$2)</f>
        <v>0</v>
      </c>
    </row>
    <row r="46" spans="1:25" s="60" customFormat="1">
      <c r="A46" s="102">
        <f t="shared" si="0"/>
        <v>42904</v>
      </c>
      <c r="B46" s="95">
        <f>SUMIFS(Collection!$J:$J, Collection!$A:$A, $A46, Collection!$B:$B, B$2)</f>
        <v>0</v>
      </c>
      <c r="C46" s="95">
        <f>SUMIFS(Collection!$J:$J, Collection!$A:$A, $A46, Collection!$B:$B, C$2)</f>
        <v>0</v>
      </c>
      <c r="D46" s="95">
        <f>SUMIFS(Collection!$J:$J, Collection!$A:$A, $A46, Collection!$B:$B, D$2)</f>
        <v>0</v>
      </c>
      <c r="E46" s="95">
        <f>SUMIFS(Collection!$J:$J, Collection!$A:$A, $A46, Collection!$B:$B, E$2)</f>
        <v>0</v>
      </c>
      <c r="F46" s="95">
        <f>SUMIFS(Collection!$J:$J, Collection!$A:$A, $A46, Collection!$B:$B, F$2)</f>
        <v>0</v>
      </c>
      <c r="G46" s="95">
        <f>SUMIFS(Collection!$J:$J, Collection!$A:$A, $A46, Collection!$B:$B, G$2)</f>
        <v>0</v>
      </c>
      <c r="H46" s="95">
        <f>SUMIFS(Collection!$J:$J, Collection!$A:$A, $A46, Collection!$B:$B, H$2)</f>
        <v>0</v>
      </c>
      <c r="I46" s="95">
        <f>SUMIFS(Collection!$J:$J, Collection!$A:$A, $A46, Collection!$B:$B, I$2)</f>
        <v>0</v>
      </c>
      <c r="J46" s="95">
        <f>SUMIFS(Collection!$J:$J, Collection!$A:$A, $A46, Collection!$B:$B, J$2)</f>
        <v>0</v>
      </c>
      <c r="K46" s="95">
        <f>SUMIFS(Collection!$J:$J, Collection!$A:$A, $A46, Collection!$B:$B, K$2)</f>
        <v>0</v>
      </c>
      <c r="L46" s="95">
        <f>SUMIFS(Collection!$J:$J, Collection!$A:$A, $A46, Collection!$B:$B, L$2)</f>
        <v>0</v>
      </c>
      <c r="M46" s="95">
        <f>SUMIFS(Collection!$J:$J, Collection!$A:$A, $A46, Collection!$B:$B, M$2)</f>
        <v>0</v>
      </c>
      <c r="N46" s="95">
        <f>SUMIFS(Collection!$J:$J, Collection!$A:$A, $A46, Collection!$B:$B, N$2)</f>
        <v>0</v>
      </c>
      <c r="O46" s="95">
        <f>SUMIFS(Collection!$J:$J, Collection!$A:$A, $A46, Collection!$B:$B, O$2)</f>
        <v>0</v>
      </c>
      <c r="P46" s="95">
        <f>SUMIFS(Collection!$J:$J, Collection!$A:$A, $A46, Collection!$B:$B, P$2)</f>
        <v>0</v>
      </c>
      <c r="Q46" s="95">
        <f>SUMIFS(Collection!$J:$J, Collection!$A:$A, $A46, Collection!$B:$B, Q$2)</f>
        <v>0</v>
      </c>
      <c r="R46" s="95">
        <f>SUMIFS(Collection!$J:$J, Collection!$A:$A, $A46, Collection!$B:$B, R$2)</f>
        <v>0</v>
      </c>
      <c r="S46" s="95">
        <f>SUMIFS(Collection!$J:$J, Collection!$A:$A, $A46, Collection!$B:$B, S$2)</f>
        <v>0</v>
      </c>
      <c r="T46" s="95">
        <f>SUMIFS(Collection!$J:$J, Collection!$A:$A, $A46, Collection!$B:$B, T$2)</f>
        <v>0</v>
      </c>
      <c r="U46" s="95">
        <f>SUMIFS(Collection!$J:$J, Collection!$A:$A, $A46, Collection!$B:$B, U$2)</f>
        <v>0</v>
      </c>
      <c r="V46" s="95">
        <f>SUMIFS(Collection!$J:$J, Collection!$A:$A, $A46, Collection!$B:$B, V$2)</f>
        <v>0</v>
      </c>
      <c r="W46" s="95">
        <f>SUMIFS(Collection!$J:$J, Collection!$A:$A, $A46, Collection!$B:$B, W$2)</f>
        <v>0</v>
      </c>
      <c r="X46" s="95">
        <f>SUMIFS(Collection!$J:$J, Collection!$A:$A, $A46, Collection!$B:$B, X$2)</f>
        <v>0</v>
      </c>
      <c r="Y46" s="95">
        <f>SUMIFS(Collection!$J:$J, Collection!$A:$A, $A46, Collection!$B:$B, Y$2)</f>
        <v>0</v>
      </c>
    </row>
    <row r="47" spans="1:25" s="61" customFormat="1" ht="16" thickBot="1">
      <c r="A47" s="103">
        <f t="shared" si="0"/>
        <v>42905</v>
      </c>
      <c r="B47" s="96">
        <f>SUMIFS(Collection!$J:$J, Collection!$A:$A, $A47, Collection!$B:$B, B$2)</f>
        <v>0</v>
      </c>
      <c r="C47" s="96">
        <f>SUMIFS(Collection!$J:$J, Collection!$A:$A, $A47, Collection!$B:$B, C$2)</f>
        <v>0</v>
      </c>
      <c r="D47" s="96">
        <f>SUMIFS(Collection!$J:$J, Collection!$A:$A, $A47, Collection!$B:$B, D$2)</f>
        <v>0</v>
      </c>
      <c r="E47" s="96">
        <f>SUMIFS(Collection!$J:$J, Collection!$A:$A, $A47, Collection!$B:$B, E$2)</f>
        <v>0</v>
      </c>
      <c r="F47" s="96">
        <f>SUMIFS(Collection!$J:$J, Collection!$A:$A, $A47, Collection!$B:$B, F$2)</f>
        <v>0</v>
      </c>
      <c r="G47" s="96">
        <f>SUMIFS(Collection!$J:$J, Collection!$A:$A, $A47, Collection!$B:$B, G$2)</f>
        <v>0</v>
      </c>
      <c r="H47" s="96">
        <f>SUMIFS(Collection!$J:$J, Collection!$A:$A, $A47, Collection!$B:$B, H$2)</f>
        <v>0</v>
      </c>
      <c r="I47" s="96">
        <f>SUMIFS(Collection!$J:$J, Collection!$A:$A, $A47, Collection!$B:$B, I$2)</f>
        <v>0</v>
      </c>
      <c r="J47" s="96">
        <f>SUMIFS(Collection!$J:$J, Collection!$A:$A, $A47, Collection!$B:$B, J$2)</f>
        <v>0</v>
      </c>
      <c r="K47" s="96">
        <f>SUMIFS(Collection!$J:$J, Collection!$A:$A, $A47, Collection!$B:$B, K$2)</f>
        <v>0</v>
      </c>
      <c r="L47" s="96">
        <f>SUMIFS(Collection!$J:$J, Collection!$A:$A, $A47, Collection!$B:$B, L$2)</f>
        <v>0</v>
      </c>
      <c r="M47" s="96">
        <f>SUMIFS(Collection!$J:$J, Collection!$A:$A, $A47, Collection!$B:$B, M$2)</f>
        <v>0</v>
      </c>
      <c r="N47" s="96">
        <f>SUMIFS(Collection!$J:$J, Collection!$A:$A, $A47, Collection!$B:$B, N$2)</f>
        <v>0</v>
      </c>
      <c r="O47" s="96">
        <f>SUMIFS(Collection!$J:$J, Collection!$A:$A, $A47, Collection!$B:$B, O$2)</f>
        <v>0</v>
      </c>
      <c r="P47" s="96">
        <f>SUMIFS(Collection!$J:$J, Collection!$A:$A, $A47, Collection!$B:$B, P$2)</f>
        <v>0</v>
      </c>
      <c r="Q47" s="96">
        <f>SUMIFS(Collection!$J:$J, Collection!$A:$A, $A47, Collection!$B:$B, Q$2)</f>
        <v>0</v>
      </c>
      <c r="R47" s="96">
        <f>SUMIFS(Collection!$J:$J, Collection!$A:$A, $A47, Collection!$B:$B, R$2)</f>
        <v>0</v>
      </c>
      <c r="S47" s="96">
        <f>SUMIFS(Collection!$J:$J, Collection!$A:$A, $A47, Collection!$B:$B, S$2)</f>
        <v>0</v>
      </c>
      <c r="T47" s="96">
        <f>SUMIFS(Collection!$J:$J, Collection!$A:$A, $A47, Collection!$B:$B, T$2)</f>
        <v>0</v>
      </c>
      <c r="U47" s="96">
        <f>SUMIFS(Collection!$J:$J, Collection!$A:$A, $A47, Collection!$B:$B, U$2)</f>
        <v>0</v>
      </c>
      <c r="V47" s="96">
        <f>SUMIFS(Collection!$J:$J, Collection!$A:$A, $A47, Collection!$B:$B, V$2)</f>
        <v>0</v>
      </c>
      <c r="W47" s="96">
        <f>SUMIFS(Collection!$J:$J, Collection!$A:$A, $A47, Collection!$B:$B, W$2)</f>
        <v>0</v>
      </c>
      <c r="X47" s="96">
        <f>SUMIFS(Collection!$J:$J, Collection!$A:$A, $A47, Collection!$B:$B, X$2)</f>
        <v>0</v>
      </c>
      <c r="Y47" s="96">
        <f>SUMIFS(Collection!$J:$J, Collection!$A:$A, $A47, Collection!$B:$B, Y$2)</f>
        <v>0</v>
      </c>
    </row>
    <row r="48" spans="1:25" s="60" customFormat="1">
      <c r="A48" s="102" t="s">
        <v>69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</row>
    <row r="49" spans="1:25" s="60" customFormat="1">
      <c r="A49" s="102">
        <f>1+A47</f>
        <v>42906</v>
      </c>
      <c r="B49" s="95">
        <f>SUMIFS(Collection!$J:$J, Collection!$A:$A, $A49, Collection!$B:$B, B$2)</f>
        <v>0</v>
      </c>
      <c r="C49" s="95">
        <f>SUMIFS(Collection!$J:$J, Collection!$A:$A, $A49, Collection!$B:$B, C$2)</f>
        <v>0</v>
      </c>
      <c r="D49" s="95">
        <f>SUMIFS(Collection!$J:$J, Collection!$A:$A, $A49, Collection!$B:$B, D$2)</f>
        <v>0</v>
      </c>
      <c r="E49" s="95">
        <f>SUMIFS(Collection!$J:$J, Collection!$A:$A, $A49, Collection!$B:$B, E$2)</f>
        <v>0</v>
      </c>
      <c r="F49" s="95">
        <f>SUMIFS(Collection!$J:$J, Collection!$A:$A, $A49, Collection!$B:$B, F$2)</f>
        <v>0</v>
      </c>
      <c r="G49" s="95">
        <f>SUMIFS(Collection!$J:$J, Collection!$A:$A, $A49, Collection!$B:$B, G$2)</f>
        <v>0</v>
      </c>
      <c r="H49" s="95">
        <f>SUMIFS(Collection!$J:$J, Collection!$A:$A, $A49, Collection!$B:$B, H$2)</f>
        <v>0</v>
      </c>
      <c r="I49" s="95">
        <f>SUMIFS(Collection!$J:$J, Collection!$A:$A, $A49, Collection!$B:$B, I$2)</f>
        <v>0</v>
      </c>
      <c r="J49" s="95">
        <f>SUMIFS(Collection!$J:$J, Collection!$A:$A, $A49, Collection!$B:$B, J$2)</f>
        <v>0</v>
      </c>
      <c r="K49" s="95">
        <f>SUMIFS(Collection!$J:$J, Collection!$A:$A, $A49, Collection!$B:$B, K$2)</f>
        <v>0</v>
      </c>
      <c r="L49" s="95">
        <f>SUMIFS(Collection!$J:$J, Collection!$A:$A, $A49, Collection!$B:$B, L$2)</f>
        <v>0</v>
      </c>
      <c r="M49" s="95">
        <f>SUMIFS(Collection!$J:$J, Collection!$A:$A, $A49, Collection!$B:$B, M$2)</f>
        <v>0</v>
      </c>
      <c r="N49" s="95">
        <f>SUMIFS(Collection!$J:$J, Collection!$A:$A, $A49, Collection!$B:$B, N$2)</f>
        <v>0</v>
      </c>
      <c r="O49" s="95">
        <f>SUMIFS(Collection!$J:$J, Collection!$A:$A, $A49, Collection!$B:$B, O$2)</f>
        <v>0</v>
      </c>
      <c r="P49" s="95">
        <f>SUMIFS(Collection!$J:$J, Collection!$A:$A, $A49, Collection!$B:$B, P$2)</f>
        <v>0</v>
      </c>
      <c r="Q49" s="95">
        <f>SUMIFS(Collection!$J:$J, Collection!$A:$A, $A49, Collection!$B:$B, Q$2)</f>
        <v>0</v>
      </c>
      <c r="R49" s="95">
        <f>SUMIFS(Collection!$J:$J, Collection!$A:$A, $A49, Collection!$B:$B, R$2)</f>
        <v>0</v>
      </c>
      <c r="S49" s="95">
        <f>SUMIFS(Collection!$J:$J, Collection!$A:$A, $A49, Collection!$B:$B, S$2)</f>
        <v>0</v>
      </c>
      <c r="T49" s="95">
        <f>SUMIFS(Collection!$J:$J, Collection!$A:$A, $A49, Collection!$B:$B, T$2)</f>
        <v>0</v>
      </c>
      <c r="U49" s="95">
        <f>SUMIFS(Collection!$J:$J, Collection!$A:$A, $A49, Collection!$B:$B, U$2)</f>
        <v>0</v>
      </c>
      <c r="V49" s="95">
        <f>SUMIFS(Collection!$J:$J, Collection!$A:$A, $A49, Collection!$B:$B, V$2)</f>
        <v>0</v>
      </c>
      <c r="W49" s="95">
        <f>SUMIFS(Collection!$J:$J, Collection!$A:$A, $A49, Collection!$B:$B, W$2)</f>
        <v>0</v>
      </c>
      <c r="X49" s="95">
        <f>SUMIFS(Collection!$J:$J, Collection!$A:$A, $A49, Collection!$B:$B, X$2)</f>
        <v>0</v>
      </c>
      <c r="Y49" s="95">
        <f>SUMIFS(Collection!$J:$J, Collection!$A:$A, $A49, Collection!$B:$B, Y$2)</f>
        <v>0</v>
      </c>
    </row>
    <row r="50" spans="1:25" s="60" customFormat="1">
      <c r="A50" s="102">
        <f t="shared" si="0"/>
        <v>42907</v>
      </c>
      <c r="B50" s="95">
        <f>SUMIFS(Collection!$J:$J, Collection!$A:$A, $A50, Collection!$B:$B, B$2)</f>
        <v>0</v>
      </c>
      <c r="C50" s="95">
        <f>SUMIFS(Collection!$J:$J, Collection!$A:$A, $A50, Collection!$B:$B, C$2)</f>
        <v>0</v>
      </c>
      <c r="D50" s="95">
        <f>SUMIFS(Collection!$J:$J, Collection!$A:$A, $A50, Collection!$B:$B, D$2)</f>
        <v>0</v>
      </c>
      <c r="E50" s="95">
        <f>SUMIFS(Collection!$J:$J, Collection!$A:$A, $A50, Collection!$B:$B, E$2)</f>
        <v>0</v>
      </c>
      <c r="F50" s="95">
        <f>SUMIFS(Collection!$J:$J, Collection!$A:$A, $A50, Collection!$B:$B, F$2)</f>
        <v>0</v>
      </c>
      <c r="G50" s="95">
        <f>SUMIFS(Collection!$J:$J, Collection!$A:$A, $A50, Collection!$B:$B, G$2)</f>
        <v>0</v>
      </c>
      <c r="H50" s="95">
        <f>SUMIFS(Collection!$J:$J, Collection!$A:$A, $A50, Collection!$B:$B, H$2)</f>
        <v>0</v>
      </c>
      <c r="I50" s="95">
        <f>SUMIFS(Collection!$J:$J, Collection!$A:$A, $A50, Collection!$B:$B, I$2)</f>
        <v>0</v>
      </c>
      <c r="J50" s="95">
        <f>SUMIFS(Collection!$J:$J, Collection!$A:$A, $A50, Collection!$B:$B, J$2)</f>
        <v>0</v>
      </c>
      <c r="K50" s="95">
        <f>SUMIFS(Collection!$J:$J, Collection!$A:$A, $A50, Collection!$B:$B, K$2)</f>
        <v>0</v>
      </c>
      <c r="L50" s="95">
        <f>SUMIFS(Collection!$J:$J, Collection!$A:$A, $A50, Collection!$B:$B, L$2)</f>
        <v>0</v>
      </c>
      <c r="M50" s="95">
        <f>SUMIFS(Collection!$J:$J, Collection!$A:$A, $A50, Collection!$B:$B, M$2)</f>
        <v>0</v>
      </c>
      <c r="N50" s="95">
        <f>SUMIFS(Collection!$J:$J, Collection!$A:$A, $A50, Collection!$B:$B, N$2)</f>
        <v>0</v>
      </c>
      <c r="O50" s="95">
        <f>SUMIFS(Collection!$J:$J, Collection!$A:$A, $A50, Collection!$B:$B, O$2)</f>
        <v>0</v>
      </c>
      <c r="P50" s="95">
        <f>SUMIFS(Collection!$J:$J, Collection!$A:$A, $A50, Collection!$B:$B, P$2)</f>
        <v>0</v>
      </c>
      <c r="Q50" s="95">
        <f>SUMIFS(Collection!$J:$J, Collection!$A:$A, $A50, Collection!$B:$B, Q$2)</f>
        <v>0</v>
      </c>
      <c r="R50" s="95">
        <f>SUMIFS(Collection!$J:$J, Collection!$A:$A, $A50, Collection!$B:$B, R$2)</f>
        <v>0</v>
      </c>
      <c r="S50" s="95">
        <f>SUMIFS(Collection!$J:$J, Collection!$A:$A, $A50, Collection!$B:$B, S$2)</f>
        <v>0</v>
      </c>
      <c r="T50" s="95">
        <f>SUMIFS(Collection!$J:$J, Collection!$A:$A, $A50, Collection!$B:$B, T$2)</f>
        <v>0</v>
      </c>
      <c r="U50" s="95">
        <f>SUMIFS(Collection!$J:$J, Collection!$A:$A, $A50, Collection!$B:$B, U$2)</f>
        <v>0</v>
      </c>
      <c r="V50" s="95">
        <f>SUMIFS(Collection!$J:$J, Collection!$A:$A, $A50, Collection!$B:$B, V$2)</f>
        <v>0</v>
      </c>
      <c r="W50" s="95">
        <f>SUMIFS(Collection!$J:$J, Collection!$A:$A, $A50, Collection!$B:$B, W$2)</f>
        <v>0</v>
      </c>
      <c r="X50" s="95">
        <f>SUMIFS(Collection!$J:$J, Collection!$A:$A, $A50, Collection!$B:$B, X$2)</f>
        <v>0</v>
      </c>
      <c r="Y50" s="95">
        <f>SUMIFS(Collection!$J:$J, Collection!$A:$A, $A50, Collection!$B:$B, Y$2)</f>
        <v>0</v>
      </c>
    </row>
    <row r="51" spans="1:25" s="61" customFormat="1" ht="16" thickBot="1">
      <c r="A51" s="103">
        <f t="shared" si="0"/>
        <v>42908</v>
      </c>
      <c r="B51" s="96">
        <f>SUMIFS(Collection!$J:$J, Collection!$A:$A, $A51, Collection!$B:$B, B$2)</f>
        <v>0</v>
      </c>
      <c r="C51" s="96">
        <f>SUMIFS(Collection!$J:$J, Collection!$A:$A, $A51, Collection!$B:$B, C$2)</f>
        <v>0</v>
      </c>
      <c r="D51" s="96">
        <f>SUMIFS(Collection!$J:$J, Collection!$A:$A, $A51, Collection!$B:$B, D$2)</f>
        <v>0</v>
      </c>
      <c r="E51" s="96">
        <f>SUMIFS(Collection!$J:$J, Collection!$A:$A, $A51, Collection!$B:$B, E$2)</f>
        <v>0</v>
      </c>
      <c r="F51" s="96">
        <f>SUMIFS(Collection!$J:$J, Collection!$A:$A, $A51, Collection!$B:$B, F$2)</f>
        <v>0</v>
      </c>
      <c r="G51" s="96">
        <f>SUMIFS(Collection!$J:$J, Collection!$A:$A, $A51, Collection!$B:$B, G$2)</f>
        <v>0</v>
      </c>
      <c r="H51" s="96">
        <f>SUMIFS(Collection!$J:$J, Collection!$A:$A, $A51, Collection!$B:$B, H$2)</f>
        <v>0</v>
      </c>
      <c r="I51" s="96">
        <f>SUMIFS(Collection!$J:$J, Collection!$A:$A, $A51, Collection!$B:$B, I$2)</f>
        <v>0</v>
      </c>
      <c r="J51" s="96">
        <f>SUMIFS(Collection!$J:$J, Collection!$A:$A, $A51, Collection!$B:$B, J$2)</f>
        <v>0</v>
      </c>
      <c r="K51" s="96">
        <f>SUMIFS(Collection!$J:$J, Collection!$A:$A, $A51, Collection!$B:$B, K$2)</f>
        <v>0</v>
      </c>
      <c r="L51" s="96">
        <f>SUMIFS(Collection!$J:$J, Collection!$A:$A, $A51, Collection!$B:$B, L$2)</f>
        <v>0</v>
      </c>
      <c r="M51" s="96">
        <f>SUMIFS(Collection!$J:$J, Collection!$A:$A, $A51, Collection!$B:$B, M$2)</f>
        <v>0</v>
      </c>
      <c r="N51" s="96">
        <f>SUMIFS(Collection!$J:$J, Collection!$A:$A, $A51, Collection!$B:$B, N$2)</f>
        <v>0</v>
      </c>
      <c r="O51" s="96">
        <f>SUMIFS(Collection!$J:$J, Collection!$A:$A, $A51, Collection!$B:$B, O$2)</f>
        <v>0</v>
      </c>
      <c r="P51" s="96">
        <f>SUMIFS(Collection!$J:$J, Collection!$A:$A, $A51, Collection!$B:$B, P$2)</f>
        <v>0</v>
      </c>
      <c r="Q51" s="96">
        <f>SUMIFS(Collection!$J:$J, Collection!$A:$A, $A51, Collection!$B:$B, Q$2)</f>
        <v>0</v>
      </c>
      <c r="R51" s="96">
        <f>SUMIFS(Collection!$J:$J, Collection!$A:$A, $A51, Collection!$B:$B, R$2)</f>
        <v>0</v>
      </c>
      <c r="S51" s="96">
        <f>SUMIFS(Collection!$J:$J, Collection!$A:$A, $A51, Collection!$B:$B, S$2)</f>
        <v>0</v>
      </c>
      <c r="T51" s="96">
        <f>SUMIFS(Collection!$J:$J, Collection!$A:$A, $A51, Collection!$B:$B, T$2)</f>
        <v>0</v>
      </c>
      <c r="U51" s="96">
        <f>SUMIFS(Collection!$J:$J, Collection!$A:$A, $A51, Collection!$B:$B, U$2)</f>
        <v>0</v>
      </c>
      <c r="V51" s="96">
        <f>SUMIFS(Collection!$J:$J, Collection!$A:$A, $A51, Collection!$B:$B, V$2)</f>
        <v>0</v>
      </c>
      <c r="W51" s="96">
        <f>SUMIFS(Collection!$J:$J, Collection!$A:$A, $A51, Collection!$B:$B, W$2)</f>
        <v>0</v>
      </c>
      <c r="X51" s="96">
        <f>SUMIFS(Collection!$J:$J, Collection!$A:$A, $A51, Collection!$B:$B, X$2)</f>
        <v>0</v>
      </c>
      <c r="Y51" s="96">
        <f>SUMIFS(Collection!$J:$J, Collection!$A:$A, $A51, Collection!$B:$B, Y$2)</f>
        <v>0</v>
      </c>
    </row>
    <row r="52" spans="1:25" s="60" customFormat="1">
      <c r="A52" s="102"/>
      <c r="B52" s="95"/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</row>
    <row r="53" spans="1:25" s="60" customFormat="1">
      <c r="A53" s="102">
        <f>1+A51</f>
        <v>42909</v>
      </c>
      <c r="B53" s="95">
        <f>SUMIFS(Collection!$J:$J, Collection!$A:$A, $A53, Collection!$B:$B, B$2)</f>
        <v>0</v>
      </c>
      <c r="C53" s="95">
        <f>SUMIFS(Collection!$J:$J, Collection!$A:$A, $A53, Collection!$B:$B, C$2)</f>
        <v>0</v>
      </c>
      <c r="D53" s="95">
        <f>SUMIFS(Collection!$J:$J, Collection!$A:$A, $A53, Collection!$B:$B, D$2)</f>
        <v>0</v>
      </c>
      <c r="E53" s="95">
        <f>SUMIFS(Collection!$J:$J, Collection!$A:$A, $A53, Collection!$B:$B, E$2)</f>
        <v>0</v>
      </c>
      <c r="F53" s="95">
        <f>SUMIFS(Collection!$J:$J, Collection!$A:$A, $A53, Collection!$B:$B, F$2)</f>
        <v>0</v>
      </c>
      <c r="G53" s="95">
        <f>SUMIFS(Collection!$J:$J, Collection!$A:$A, $A53, Collection!$B:$B, G$2)</f>
        <v>0</v>
      </c>
      <c r="H53" s="95">
        <f>SUMIFS(Collection!$J:$J, Collection!$A:$A, $A53, Collection!$B:$B, H$2)</f>
        <v>0</v>
      </c>
      <c r="I53" s="95">
        <f>SUMIFS(Collection!$J:$J, Collection!$A:$A, $A53, Collection!$B:$B, I$2)</f>
        <v>0</v>
      </c>
      <c r="J53" s="95">
        <f>SUMIFS(Collection!$J:$J, Collection!$A:$A, $A53, Collection!$B:$B, J$2)</f>
        <v>0</v>
      </c>
      <c r="K53" s="95">
        <f>SUMIFS(Collection!$J:$J, Collection!$A:$A, $A53, Collection!$B:$B, K$2)</f>
        <v>0</v>
      </c>
      <c r="L53" s="95">
        <f>SUMIFS(Collection!$J:$J, Collection!$A:$A, $A53, Collection!$B:$B, L$2)</f>
        <v>0</v>
      </c>
      <c r="M53" s="95">
        <f>SUMIFS(Collection!$J:$J, Collection!$A:$A, $A53, Collection!$B:$B, M$2)</f>
        <v>0</v>
      </c>
      <c r="N53" s="95">
        <f>SUMIFS(Collection!$J:$J, Collection!$A:$A, $A53, Collection!$B:$B, N$2)</f>
        <v>0</v>
      </c>
      <c r="O53" s="95">
        <f>SUMIFS(Collection!$J:$J, Collection!$A:$A, $A53, Collection!$B:$B, O$2)</f>
        <v>0</v>
      </c>
      <c r="P53" s="95">
        <f>SUMIFS(Collection!$J:$J, Collection!$A:$A, $A53, Collection!$B:$B, P$2)</f>
        <v>0</v>
      </c>
      <c r="Q53" s="95">
        <f>SUMIFS(Collection!$J:$J, Collection!$A:$A, $A53, Collection!$B:$B, Q$2)</f>
        <v>0</v>
      </c>
      <c r="R53" s="95">
        <f>SUMIFS(Collection!$J:$J, Collection!$A:$A, $A53, Collection!$B:$B, R$2)</f>
        <v>0</v>
      </c>
      <c r="S53" s="95">
        <f>SUMIFS(Collection!$J:$J, Collection!$A:$A, $A53, Collection!$B:$B, S$2)</f>
        <v>0</v>
      </c>
      <c r="T53" s="95">
        <f>SUMIFS(Collection!$J:$J, Collection!$A:$A, $A53, Collection!$B:$B, T$2)</f>
        <v>0</v>
      </c>
      <c r="U53" s="95">
        <f>SUMIFS(Collection!$J:$J, Collection!$A:$A, $A53, Collection!$B:$B, U$2)</f>
        <v>0</v>
      </c>
      <c r="V53" s="95">
        <f>SUMIFS(Collection!$J:$J, Collection!$A:$A, $A53, Collection!$B:$B, V$2)</f>
        <v>0</v>
      </c>
      <c r="W53" s="95">
        <f>SUMIFS(Collection!$J:$J, Collection!$A:$A, $A53, Collection!$B:$B, W$2)</f>
        <v>0</v>
      </c>
      <c r="X53" s="95">
        <f>SUMIFS(Collection!$J:$J, Collection!$A:$A, $A53, Collection!$B:$B, X$2)</f>
        <v>0</v>
      </c>
      <c r="Y53" s="95">
        <f>SUMIFS(Collection!$J:$J, Collection!$A:$A, $A53, Collection!$B:$B, Y$2)</f>
        <v>0</v>
      </c>
    </row>
    <row r="54" spans="1:25" s="60" customFormat="1">
      <c r="A54" s="102">
        <f t="shared" si="0"/>
        <v>42910</v>
      </c>
      <c r="B54" s="95">
        <f>SUMIFS(Collection!$J:$J, Collection!$A:$A, $A54, Collection!$B:$B, B$2)</f>
        <v>0</v>
      </c>
      <c r="C54" s="95">
        <f>SUMIFS(Collection!$J:$J, Collection!$A:$A, $A54, Collection!$B:$B, C$2)</f>
        <v>0</v>
      </c>
      <c r="D54" s="95">
        <f>SUMIFS(Collection!$J:$J, Collection!$A:$A, $A54, Collection!$B:$B, D$2)</f>
        <v>0</v>
      </c>
      <c r="E54" s="95">
        <f>SUMIFS(Collection!$J:$J, Collection!$A:$A, $A54, Collection!$B:$B, E$2)</f>
        <v>0</v>
      </c>
      <c r="F54" s="95">
        <f>SUMIFS(Collection!$J:$J, Collection!$A:$A, $A54, Collection!$B:$B, F$2)</f>
        <v>0</v>
      </c>
      <c r="G54" s="95">
        <f>SUMIFS(Collection!$J:$J, Collection!$A:$A, $A54, Collection!$B:$B, G$2)</f>
        <v>0</v>
      </c>
      <c r="H54" s="95">
        <f>SUMIFS(Collection!$J:$J, Collection!$A:$A, $A54, Collection!$B:$B, H$2)</f>
        <v>0</v>
      </c>
      <c r="I54" s="95">
        <f>SUMIFS(Collection!$J:$J, Collection!$A:$A, $A54, Collection!$B:$B, I$2)</f>
        <v>0</v>
      </c>
      <c r="J54" s="95">
        <f>SUMIFS(Collection!$J:$J, Collection!$A:$A, $A54, Collection!$B:$B, J$2)</f>
        <v>0</v>
      </c>
      <c r="K54" s="95">
        <f>SUMIFS(Collection!$J:$J, Collection!$A:$A, $A54, Collection!$B:$B, K$2)</f>
        <v>0</v>
      </c>
      <c r="L54" s="95">
        <f>SUMIFS(Collection!$J:$J, Collection!$A:$A, $A54, Collection!$B:$B, L$2)</f>
        <v>0</v>
      </c>
      <c r="M54" s="95">
        <f>SUMIFS(Collection!$J:$J, Collection!$A:$A, $A54, Collection!$B:$B, M$2)</f>
        <v>0</v>
      </c>
      <c r="N54" s="95">
        <f>SUMIFS(Collection!$J:$J, Collection!$A:$A, $A54, Collection!$B:$B, N$2)</f>
        <v>0</v>
      </c>
      <c r="O54" s="95">
        <f>SUMIFS(Collection!$J:$J, Collection!$A:$A, $A54, Collection!$B:$B, O$2)</f>
        <v>0</v>
      </c>
      <c r="P54" s="95">
        <f>SUMIFS(Collection!$J:$J, Collection!$A:$A, $A54, Collection!$B:$B, P$2)</f>
        <v>0</v>
      </c>
      <c r="Q54" s="95">
        <f>SUMIFS(Collection!$J:$J, Collection!$A:$A, $A54, Collection!$B:$B, Q$2)</f>
        <v>0</v>
      </c>
      <c r="R54" s="95">
        <f>SUMIFS(Collection!$J:$J, Collection!$A:$A, $A54, Collection!$B:$B, R$2)</f>
        <v>0</v>
      </c>
      <c r="S54" s="95">
        <f>SUMIFS(Collection!$J:$J, Collection!$A:$A, $A54, Collection!$B:$B, S$2)</f>
        <v>0</v>
      </c>
      <c r="T54" s="95">
        <f>SUMIFS(Collection!$J:$J, Collection!$A:$A, $A54, Collection!$B:$B, T$2)</f>
        <v>0</v>
      </c>
      <c r="U54" s="95">
        <f>SUMIFS(Collection!$J:$J, Collection!$A:$A, $A54, Collection!$B:$B, U$2)</f>
        <v>0</v>
      </c>
      <c r="V54" s="95">
        <f>SUMIFS(Collection!$J:$J, Collection!$A:$A, $A54, Collection!$B:$B, V$2)</f>
        <v>0</v>
      </c>
      <c r="W54" s="95">
        <f>SUMIFS(Collection!$J:$J, Collection!$A:$A, $A54, Collection!$B:$B, W$2)</f>
        <v>0</v>
      </c>
      <c r="X54" s="95">
        <f>SUMIFS(Collection!$J:$J, Collection!$A:$A, $A54, Collection!$B:$B, X$2)</f>
        <v>0</v>
      </c>
      <c r="Y54" s="95">
        <f>SUMIFS(Collection!$J:$J, Collection!$A:$A, $A54, Collection!$B:$B, Y$2)</f>
        <v>0</v>
      </c>
    </row>
    <row r="55" spans="1:25" s="60" customFormat="1">
      <c r="A55" s="102">
        <f t="shared" si="0"/>
        <v>42911</v>
      </c>
      <c r="B55" s="95">
        <f>SUMIFS(Collection!$J:$J, Collection!$A:$A, $A55, Collection!$B:$B, B$2)</f>
        <v>0</v>
      </c>
      <c r="C55" s="95">
        <f>SUMIFS(Collection!$J:$J, Collection!$A:$A, $A55, Collection!$B:$B, C$2)</f>
        <v>0</v>
      </c>
      <c r="D55" s="95">
        <f>SUMIFS(Collection!$J:$J, Collection!$A:$A, $A55, Collection!$B:$B, D$2)</f>
        <v>0</v>
      </c>
      <c r="E55" s="95">
        <f>SUMIFS(Collection!$J:$J, Collection!$A:$A, $A55, Collection!$B:$B, E$2)</f>
        <v>0</v>
      </c>
      <c r="F55" s="95">
        <f>SUMIFS(Collection!$J:$J, Collection!$A:$A, $A55, Collection!$B:$B, F$2)</f>
        <v>0</v>
      </c>
      <c r="G55" s="95">
        <f>SUMIFS(Collection!$J:$J, Collection!$A:$A, $A55, Collection!$B:$B, G$2)</f>
        <v>0</v>
      </c>
      <c r="H55" s="95">
        <f>SUMIFS(Collection!$J:$J, Collection!$A:$A, $A55, Collection!$B:$B, H$2)</f>
        <v>0</v>
      </c>
      <c r="I55" s="95">
        <f>SUMIFS(Collection!$J:$J, Collection!$A:$A, $A55, Collection!$B:$B, I$2)</f>
        <v>0</v>
      </c>
      <c r="J55" s="95">
        <f>SUMIFS(Collection!$J:$J, Collection!$A:$A, $A55, Collection!$B:$B, J$2)</f>
        <v>0</v>
      </c>
      <c r="K55" s="95">
        <f>SUMIFS(Collection!$J:$J, Collection!$A:$A, $A55, Collection!$B:$B, K$2)</f>
        <v>0</v>
      </c>
      <c r="L55" s="95">
        <f>SUMIFS(Collection!$J:$J, Collection!$A:$A, $A55, Collection!$B:$B, L$2)</f>
        <v>0</v>
      </c>
      <c r="M55" s="95">
        <f>SUMIFS(Collection!$J:$J, Collection!$A:$A, $A55, Collection!$B:$B, M$2)</f>
        <v>0</v>
      </c>
      <c r="N55" s="95">
        <f>SUMIFS(Collection!$J:$J, Collection!$A:$A, $A55, Collection!$B:$B, N$2)</f>
        <v>0</v>
      </c>
      <c r="O55" s="95">
        <f>SUMIFS(Collection!$J:$J, Collection!$A:$A, $A55, Collection!$B:$B, O$2)</f>
        <v>0</v>
      </c>
      <c r="P55" s="95">
        <f>SUMIFS(Collection!$J:$J, Collection!$A:$A, $A55, Collection!$B:$B, P$2)</f>
        <v>0</v>
      </c>
      <c r="Q55" s="95">
        <f>SUMIFS(Collection!$J:$J, Collection!$A:$A, $A55, Collection!$B:$B, Q$2)</f>
        <v>0</v>
      </c>
      <c r="R55" s="95">
        <f>SUMIFS(Collection!$J:$J, Collection!$A:$A, $A55, Collection!$B:$B, R$2)</f>
        <v>0</v>
      </c>
      <c r="S55" s="95">
        <f>SUMIFS(Collection!$J:$J, Collection!$A:$A, $A55, Collection!$B:$B, S$2)</f>
        <v>0</v>
      </c>
      <c r="T55" s="95">
        <f>SUMIFS(Collection!$J:$J, Collection!$A:$A, $A55, Collection!$B:$B, T$2)</f>
        <v>0</v>
      </c>
      <c r="U55" s="95">
        <f>SUMIFS(Collection!$J:$J, Collection!$A:$A, $A55, Collection!$B:$B, U$2)</f>
        <v>0</v>
      </c>
      <c r="V55" s="95">
        <f>SUMIFS(Collection!$J:$J, Collection!$A:$A, $A55, Collection!$B:$B, V$2)</f>
        <v>0</v>
      </c>
      <c r="W55" s="95">
        <f>SUMIFS(Collection!$J:$J, Collection!$A:$A, $A55, Collection!$B:$B, W$2)</f>
        <v>0</v>
      </c>
      <c r="X55" s="95">
        <f>SUMIFS(Collection!$J:$J, Collection!$A:$A, $A55, Collection!$B:$B, X$2)</f>
        <v>0</v>
      </c>
      <c r="Y55" s="95">
        <f>SUMIFS(Collection!$J:$J, Collection!$A:$A, $A55, Collection!$B:$B, Y$2)</f>
        <v>0</v>
      </c>
    </row>
    <row r="56" spans="1:25" s="61" customFormat="1" ht="16" thickBot="1">
      <c r="A56" s="103">
        <f t="shared" si="0"/>
        <v>42912</v>
      </c>
      <c r="B56" s="96">
        <f>SUMIFS(Collection!$J:$J, Collection!$A:$A, $A56, Collection!$B:$B, B$2)</f>
        <v>0</v>
      </c>
      <c r="C56" s="96">
        <f>SUMIFS(Collection!$J:$J, Collection!$A:$A, $A56, Collection!$B:$B, C$2)</f>
        <v>0</v>
      </c>
      <c r="D56" s="96">
        <f>SUMIFS(Collection!$J:$J, Collection!$A:$A, $A56, Collection!$B:$B, D$2)</f>
        <v>0</v>
      </c>
      <c r="E56" s="96">
        <f>SUMIFS(Collection!$J:$J, Collection!$A:$A, $A56, Collection!$B:$B, E$2)</f>
        <v>0</v>
      </c>
      <c r="F56" s="96">
        <f>SUMIFS(Collection!$J:$J, Collection!$A:$A, $A56, Collection!$B:$B, F$2)</f>
        <v>0</v>
      </c>
      <c r="G56" s="96">
        <f>SUMIFS(Collection!$J:$J, Collection!$A:$A, $A56, Collection!$B:$B, G$2)</f>
        <v>0</v>
      </c>
      <c r="H56" s="96">
        <f>SUMIFS(Collection!$J:$J, Collection!$A:$A, $A56, Collection!$B:$B, H$2)</f>
        <v>0</v>
      </c>
      <c r="I56" s="96">
        <f>SUMIFS(Collection!$J:$J, Collection!$A:$A, $A56, Collection!$B:$B, I$2)</f>
        <v>0</v>
      </c>
      <c r="J56" s="96">
        <f>SUMIFS(Collection!$J:$J, Collection!$A:$A, $A56, Collection!$B:$B, J$2)</f>
        <v>0</v>
      </c>
      <c r="K56" s="96">
        <f>SUMIFS(Collection!$J:$J, Collection!$A:$A, $A56, Collection!$B:$B, K$2)</f>
        <v>0</v>
      </c>
      <c r="L56" s="96">
        <f>SUMIFS(Collection!$J:$J, Collection!$A:$A, $A56, Collection!$B:$B, L$2)</f>
        <v>0</v>
      </c>
      <c r="M56" s="96">
        <f>SUMIFS(Collection!$J:$J, Collection!$A:$A, $A56, Collection!$B:$B, M$2)</f>
        <v>0</v>
      </c>
      <c r="N56" s="96">
        <f>SUMIFS(Collection!$J:$J, Collection!$A:$A, $A56, Collection!$B:$B, N$2)</f>
        <v>0</v>
      </c>
      <c r="O56" s="96">
        <f>SUMIFS(Collection!$J:$J, Collection!$A:$A, $A56, Collection!$B:$B, O$2)</f>
        <v>0</v>
      </c>
      <c r="P56" s="96">
        <f>SUMIFS(Collection!$J:$J, Collection!$A:$A, $A56, Collection!$B:$B, P$2)</f>
        <v>0</v>
      </c>
      <c r="Q56" s="96">
        <f>SUMIFS(Collection!$J:$J, Collection!$A:$A, $A56, Collection!$B:$B, Q$2)</f>
        <v>0</v>
      </c>
      <c r="R56" s="96">
        <f>SUMIFS(Collection!$J:$J, Collection!$A:$A, $A56, Collection!$B:$B, R$2)</f>
        <v>0</v>
      </c>
      <c r="S56" s="96">
        <f>SUMIFS(Collection!$J:$J, Collection!$A:$A, $A56, Collection!$B:$B, S$2)</f>
        <v>0</v>
      </c>
      <c r="T56" s="96">
        <f>SUMIFS(Collection!$J:$J, Collection!$A:$A, $A56, Collection!$B:$B, T$2)</f>
        <v>0</v>
      </c>
      <c r="U56" s="96">
        <f>SUMIFS(Collection!$J:$J, Collection!$A:$A, $A56, Collection!$B:$B, U$2)</f>
        <v>0</v>
      </c>
      <c r="V56" s="96">
        <f>SUMIFS(Collection!$J:$J, Collection!$A:$A, $A56, Collection!$B:$B, V$2)</f>
        <v>0</v>
      </c>
      <c r="W56" s="96">
        <f>SUMIFS(Collection!$J:$J, Collection!$A:$A, $A56, Collection!$B:$B, W$2)</f>
        <v>0</v>
      </c>
      <c r="X56" s="96">
        <f>SUMIFS(Collection!$J:$J, Collection!$A:$A, $A56, Collection!$B:$B, X$2)</f>
        <v>0</v>
      </c>
      <c r="Y56" s="96">
        <f>SUMIFS(Collection!$J:$J, Collection!$A:$A, $A56, Collection!$B:$B, Y$2)</f>
        <v>0</v>
      </c>
    </row>
    <row r="57" spans="1:25" s="60" customFormat="1">
      <c r="A57" s="102"/>
      <c r="B57" s="95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</row>
    <row r="58" spans="1:25" s="60" customFormat="1">
      <c r="A58" s="102">
        <f>1+A56</f>
        <v>42913</v>
      </c>
      <c r="B58" s="95">
        <f>SUMIFS(Collection!$J:$J, Collection!$A:$A, $A58, Collection!$B:$B, B$2)</f>
        <v>0</v>
      </c>
      <c r="C58" s="95">
        <f>SUMIFS(Collection!$J:$J, Collection!$A:$A, $A58, Collection!$B:$B, C$2)</f>
        <v>0</v>
      </c>
      <c r="D58" s="95">
        <f>SUMIFS(Collection!$J:$J, Collection!$A:$A, $A58, Collection!$B:$B, D$2)</f>
        <v>0</v>
      </c>
      <c r="E58" s="95">
        <f>SUMIFS(Collection!$J:$J, Collection!$A:$A, $A58, Collection!$B:$B, E$2)</f>
        <v>0</v>
      </c>
      <c r="F58" s="95">
        <f>SUMIFS(Collection!$J:$J, Collection!$A:$A, $A58, Collection!$B:$B, F$2)</f>
        <v>0</v>
      </c>
      <c r="G58" s="95">
        <f>SUMIFS(Collection!$J:$J, Collection!$A:$A, $A58, Collection!$B:$B, G$2)</f>
        <v>0</v>
      </c>
      <c r="H58" s="95">
        <f>SUMIFS(Collection!$J:$J, Collection!$A:$A, $A58, Collection!$B:$B, H$2)</f>
        <v>0</v>
      </c>
      <c r="I58" s="95">
        <f>SUMIFS(Collection!$J:$J, Collection!$A:$A, $A58, Collection!$B:$B, I$2)</f>
        <v>0</v>
      </c>
      <c r="J58" s="95">
        <f>SUMIFS(Collection!$J:$J, Collection!$A:$A, $A58, Collection!$B:$B, J$2)</f>
        <v>0</v>
      </c>
      <c r="K58" s="95">
        <f>SUMIFS(Collection!$J:$J, Collection!$A:$A, $A58, Collection!$B:$B, K$2)</f>
        <v>0</v>
      </c>
      <c r="L58" s="95">
        <f>SUMIFS(Collection!$J:$J, Collection!$A:$A, $A58, Collection!$B:$B, L$2)</f>
        <v>0</v>
      </c>
      <c r="M58" s="95">
        <f>SUMIFS(Collection!$J:$J, Collection!$A:$A, $A58, Collection!$B:$B, M$2)</f>
        <v>0</v>
      </c>
      <c r="N58" s="95">
        <f>SUMIFS(Collection!$J:$J, Collection!$A:$A, $A58, Collection!$B:$B, N$2)</f>
        <v>0</v>
      </c>
      <c r="O58" s="95">
        <f>SUMIFS(Collection!$J:$J, Collection!$A:$A, $A58, Collection!$B:$B, O$2)</f>
        <v>0</v>
      </c>
      <c r="P58" s="95">
        <f>SUMIFS(Collection!$J:$J, Collection!$A:$A, $A58, Collection!$B:$B, P$2)</f>
        <v>0</v>
      </c>
      <c r="Q58" s="95">
        <f>SUMIFS(Collection!$J:$J, Collection!$A:$A, $A58, Collection!$B:$B, Q$2)</f>
        <v>0</v>
      </c>
      <c r="R58" s="95">
        <f>SUMIFS(Collection!$J:$J, Collection!$A:$A, $A58, Collection!$B:$B, R$2)</f>
        <v>0</v>
      </c>
      <c r="S58" s="95">
        <f>SUMIFS(Collection!$J:$J, Collection!$A:$A, $A58, Collection!$B:$B, S$2)</f>
        <v>0</v>
      </c>
      <c r="T58" s="95">
        <f>SUMIFS(Collection!$J:$J, Collection!$A:$A, $A58, Collection!$B:$B, T$2)</f>
        <v>0</v>
      </c>
      <c r="U58" s="95">
        <f>SUMIFS(Collection!$J:$J, Collection!$A:$A, $A58, Collection!$B:$B, U$2)</f>
        <v>0</v>
      </c>
      <c r="V58" s="95">
        <f>SUMIFS(Collection!$J:$J, Collection!$A:$A, $A58, Collection!$B:$B, V$2)</f>
        <v>0</v>
      </c>
      <c r="W58" s="95">
        <f>SUMIFS(Collection!$J:$J, Collection!$A:$A, $A58, Collection!$B:$B, W$2)</f>
        <v>0</v>
      </c>
      <c r="X58" s="95">
        <f>SUMIFS(Collection!$J:$J, Collection!$A:$A, $A58, Collection!$B:$B, X$2)</f>
        <v>0</v>
      </c>
      <c r="Y58" s="95">
        <f>SUMIFS(Collection!$J:$J, Collection!$A:$A, $A58, Collection!$B:$B, Y$2)</f>
        <v>0</v>
      </c>
    </row>
    <row r="59" spans="1:25" s="60" customFormat="1">
      <c r="A59" s="102">
        <f t="shared" si="0"/>
        <v>42914</v>
      </c>
      <c r="B59" s="95">
        <f>SUMIFS(Collection!$J:$J, Collection!$A:$A, $A59, Collection!$B:$B, B$2)</f>
        <v>0</v>
      </c>
      <c r="C59" s="95">
        <f>SUMIFS(Collection!$J:$J, Collection!$A:$A, $A59, Collection!$B:$B, C$2)</f>
        <v>0</v>
      </c>
      <c r="D59" s="95">
        <f>SUMIFS(Collection!$J:$J, Collection!$A:$A, $A59, Collection!$B:$B, D$2)</f>
        <v>0</v>
      </c>
      <c r="E59" s="95">
        <f>SUMIFS(Collection!$J:$J, Collection!$A:$A, $A59, Collection!$B:$B, E$2)</f>
        <v>0</v>
      </c>
      <c r="F59" s="95">
        <f>SUMIFS(Collection!$J:$J, Collection!$A:$A, $A59, Collection!$B:$B, F$2)</f>
        <v>0</v>
      </c>
      <c r="G59" s="95">
        <f>SUMIFS(Collection!$J:$J, Collection!$A:$A, $A59, Collection!$B:$B, G$2)</f>
        <v>0</v>
      </c>
      <c r="H59" s="95">
        <f>SUMIFS(Collection!$J:$J, Collection!$A:$A, $A59, Collection!$B:$B, H$2)</f>
        <v>0</v>
      </c>
      <c r="I59" s="95">
        <f>SUMIFS(Collection!$J:$J, Collection!$A:$A, $A59, Collection!$B:$B, I$2)</f>
        <v>0</v>
      </c>
      <c r="J59" s="95">
        <f>SUMIFS(Collection!$J:$J, Collection!$A:$A, $A59, Collection!$B:$B, J$2)</f>
        <v>0</v>
      </c>
      <c r="K59" s="95">
        <f>SUMIFS(Collection!$J:$J, Collection!$A:$A, $A59, Collection!$B:$B, K$2)</f>
        <v>0</v>
      </c>
      <c r="L59" s="95">
        <f>SUMIFS(Collection!$J:$J, Collection!$A:$A, $A59, Collection!$B:$B, L$2)</f>
        <v>0</v>
      </c>
      <c r="M59" s="95">
        <f>SUMIFS(Collection!$J:$J, Collection!$A:$A, $A59, Collection!$B:$B, M$2)</f>
        <v>0</v>
      </c>
      <c r="N59" s="95">
        <f>SUMIFS(Collection!$J:$J, Collection!$A:$A, $A59, Collection!$B:$B, N$2)</f>
        <v>0</v>
      </c>
      <c r="O59" s="95">
        <f>SUMIFS(Collection!$J:$J, Collection!$A:$A, $A59, Collection!$B:$B, O$2)</f>
        <v>0</v>
      </c>
      <c r="P59" s="95">
        <f>SUMIFS(Collection!$J:$J, Collection!$A:$A, $A59, Collection!$B:$B, P$2)</f>
        <v>0</v>
      </c>
      <c r="Q59" s="95">
        <f>SUMIFS(Collection!$J:$J, Collection!$A:$A, $A59, Collection!$B:$B, Q$2)</f>
        <v>0</v>
      </c>
      <c r="R59" s="95">
        <f>SUMIFS(Collection!$J:$J, Collection!$A:$A, $A59, Collection!$B:$B, R$2)</f>
        <v>0</v>
      </c>
      <c r="S59" s="95">
        <f>SUMIFS(Collection!$J:$J, Collection!$A:$A, $A59, Collection!$B:$B, S$2)</f>
        <v>0</v>
      </c>
      <c r="T59" s="95">
        <f>SUMIFS(Collection!$J:$J, Collection!$A:$A, $A59, Collection!$B:$B, T$2)</f>
        <v>0</v>
      </c>
      <c r="U59" s="95">
        <f>SUMIFS(Collection!$J:$J, Collection!$A:$A, $A59, Collection!$B:$B, U$2)</f>
        <v>0</v>
      </c>
      <c r="V59" s="95">
        <f>SUMIFS(Collection!$J:$J, Collection!$A:$A, $A59, Collection!$B:$B, V$2)</f>
        <v>0</v>
      </c>
      <c r="W59" s="95">
        <f>SUMIFS(Collection!$J:$J, Collection!$A:$A, $A59, Collection!$B:$B, W$2)</f>
        <v>0</v>
      </c>
      <c r="X59" s="95">
        <f>SUMIFS(Collection!$J:$J, Collection!$A:$A, $A59, Collection!$B:$B, X$2)</f>
        <v>0</v>
      </c>
      <c r="Y59" s="95">
        <f>SUMIFS(Collection!$J:$J, Collection!$A:$A, $A59, Collection!$B:$B, Y$2)</f>
        <v>0</v>
      </c>
    </row>
    <row r="60" spans="1:25" s="61" customFormat="1" ht="16" thickBot="1">
      <c r="A60" s="103">
        <f t="shared" si="0"/>
        <v>42915</v>
      </c>
      <c r="B60" s="96">
        <f>SUMIFS(Collection!$J:$J, Collection!$A:$A, $A60, Collection!$B:$B, B$2)</f>
        <v>0</v>
      </c>
      <c r="C60" s="96">
        <f>SUMIFS(Collection!$J:$J, Collection!$A:$A, $A60, Collection!$B:$B, C$2)</f>
        <v>0</v>
      </c>
      <c r="D60" s="96">
        <f>SUMIFS(Collection!$J:$J, Collection!$A:$A, $A60, Collection!$B:$B, D$2)</f>
        <v>0</v>
      </c>
      <c r="E60" s="96">
        <f>SUMIFS(Collection!$J:$J, Collection!$A:$A, $A60, Collection!$B:$B, E$2)</f>
        <v>0</v>
      </c>
      <c r="F60" s="96">
        <f>SUMIFS(Collection!$J:$J, Collection!$A:$A, $A60, Collection!$B:$B, F$2)</f>
        <v>0</v>
      </c>
      <c r="G60" s="96">
        <f>SUMIFS(Collection!$J:$J, Collection!$A:$A, $A60, Collection!$B:$B, G$2)</f>
        <v>0</v>
      </c>
      <c r="H60" s="96">
        <f>SUMIFS(Collection!$J:$J, Collection!$A:$A, $A60, Collection!$B:$B, H$2)</f>
        <v>0</v>
      </c>
      <c r="I60" s="96">
        <f>SUMIFS(Collection!$J:$J, Collection!$A:$A, $A60, Collection!$B:$B, I$2)</f>
        <v>0</v>
      </c>
      <c r="J60" s="96">
        <f>SUMIFS(Collection!$J:$J, Collection!$A:$A, $A60, Collection!$B:$B, J$2)</f>
        <v>0</v>
      </c>
      <c r="K60" s="96">
        <f>SUMIFS(Collection!$J:$J, Collection!$A:$A, $A60, Collection!$B:$B, K$2)</f>
        <v>0</v>
      </c>
      <c r="L60" s="96">
        <f>SUMIFS(Collection!$J:$J, Collection!$A:$A, $A60, Collection!$B:$B, L$2)</f>
        <v>0</v>
      </c>
      <c r="M60" s="96">
        <f>SUMIFS(Collection!$J:$J, Collection!$A:$A, $A60, Collection!$B:$B, M$2)</f>
        <v>0</v>
      </c>
      <c r="N60" s="96">
        <f>SUMIFS(Collection!$J:$J, Collection!$A:$A, $A60, Collection!$B:$B, N$2)</f>
        <v>0</v>
      </c>
      <c r="O60" s="96">
        <f>SUMIFS(Collection!$J:$J, Collection!$A:$A, $A60, Collection!$B:$B, O$2)</f>
        <v>0</v>
      </c>
      <c r="P60" s="96">
        <f>SUMIFS(Collection!$J:$J, Collection!$A:$A, $A60, Collection!$B:$B, P$2)</f>
        <v>0</v>
      </c>
      <c r="Q60" s="96">
        <f>SUMIFS(Collection!$J:$J, Collection!$A:$A, $A60, Collection!$B:$B, Q$2)</f>
        <v>0</v>
      </c>
      <c r="R60" s="96">
        <f>SUMIFS(Collection!$J:$J, Collection!$A:$A, $A60, Collection!$B:$B, R$2)</f>
        <v>0</v>
      </c>
      <c r="S60" s="96">
        <f>SUMIFS(Collection!$J:$J, Collection!$A:$A, $A60, Collection!$B:$B, S$2)</f>
        <v>0</v>
      </c>
      <c r="T60" s="96">
        <f>SUMIFS(Collection!$J:$J, Collection!$A:$A, $A60, Collection!$B:$B, T$2)</f>
        <v>0</v>
      </c>
      <c r="U60" s="96">
        <f>SUMIFS(Collection!$J:$J, Collection!$A:$A, $A60, Collection!$B:$B, U$2)</f>
        <v>0</v>
      </c>
      <c r="V60" s="96">
        <f>SUMIFS(Collection!$J:$J, Collection!$A:$A, $A60, Collection!$B:$B, V$2)</f>
        <v>0</v>
      </c>
      <c r="W60" s="96">
        <f>SUMIFS(Collection!$J:$J, Collection!$A:$A, $A60, Collection!$B:$B, W$2)</f>
        <v>0</v>
      </c>
      <c r="X60" s="96">
        <f>SUMIFS(Collection!$J:$J, Collection!$A:$A, $A60, Collection!$B:$B, X$2)</f>
        <v>0</v>
      </c>
      <c r="Y60" s="96">
        <f>SUMIFS(Collection!$J:$J, Collection!$A:$A, $A60, Collection!$B:$B, Y$2)</f>
        <v>0</v>
      </c>
    </row>
    <row r="61" spans="1:25" s="60" customFormat="1">
      <c r="A61" s="102"/>
      <c r="B61" s="95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</row>
    <row r="62" spans="1:25" s="60" customFormat="1">
      <c r="A62" s="102">
        <f>1+A60</f>
        <v>42916</v>
      </c>
      <c r="B62" s="95">
        <f>SUMIFS(Collection!$J:$J, Collection!$A:$A, $A62, Collection!$B:$B, B$2)</f>
        <v>0</v>
      </c>
      <c r="C62" s="95">
        <f>SUMIFS(Collection!$J:$J, Collection!$A:$A, $A62, Collection!$B:$B, C$2)</f>
        <v>0</v>
      </c>
      <c r="D62" s="95">
        <f>SUMIFS(Collection!$J:$J, Collection!$A:$A, $A62, Collection!$B:$B, D$2)</f>
        <v>0</v>
      </c>
      <c r="E62" s="95">
        <f>SUMIFS(Collection!$J:$J, Collection!$A:$A, $A62, Collection!$B:$B, E$2)</f>
        <v>0</v>
      </c>
      <c r="F62" s="95">
        <f>SUMIFS(Collection!$J:$J, Collection!$A:$A, $A62, Collection!$B:$B, F$2)</f>
        <v>0</v>
      </c>
      <c r="G62" s="95">
        <f>SUMIFS(Collection!$J:$J, Collection!$A:$A, $A62, Collection!$B:$B, G$2)</f>
        <v>0</v>
      </c>
      <c r="H62" s="95">
        <f>SUMIFS(Collection!$J:$J, Collection!$A:$A, $A62, Collection!$B:$B, H$2)</f>
        <v>0</v>
      </c>
      <c r="I62" s="95">
        <f>SUMIFS(Collection!$J:$J, Collection!$A:$A, $A62, Collection!$B:$B, I$2)</f>
        <v>0</v>
      </c>
      <c r="J62" s="95">
        <f>SUMIFS(Collection!$J:$J, Collection!$A:$A, $A62, Collection!$B:$B, J$2)</f>
        <v>0</v>
      </c>
      <c r="K62" s="95">
        <f>SUMIFS(Collection!$J:$J, Collection!$A:$A, $A62, Collection!$B:$B, K$2)</f>
        <v>0</v>
      </c>
      <c r="L62" s="95">
        <f>SUMIFS(Collection!$J:$J, Collection!$A:$A, $A62, Collection!$B:$B, L$2)</f>
        <v>0</v>
      </c>
      <c r="M62" s="95">
        <f>SUMIFS(Collection!$J:$J, Collection!$A:$A, $A62, Collection!$B:$B, M$2)</f>
        <v>0</v>
      </c>
      <c r="N62" s="95">
        <f>SUMIFS(Collection!$J:$J, Collection!$A:$A, $A62, Collection!$B:$B, N$2)</f>
        <v>0</v>
      </c>
      <c r="O62" s="95">
        <f>SUMIFS(Collection!$J:$J, Collection!$A:$A, $A62, Collection!$B:$B, O$2)</f>
        <v>0</v>
      </c>
      <c r="P62" s="95">
        <f>SUMIFS(Collection!$J:$J, Collection!$A:$A, $A62, Collection!$B:$B, P$2)</f>
        <v>0</v>
      </c>
      <c r="Q62" s="95">
        <f>SUMIFS(Collection!$J:$J, Collection!$A:$A, $A62, Collection!$B:$B, Q$2)</f>
        <v>0</v>
      </c>
      <c r="R62" s="95">
        <f>SUMIFS(Collection!$J:$J, Collection!$A:$A, $A62, Collection!$B:$B, R$2)</f>
        <v>0</v>
      </c>
      <c r="S62" s="95">
        <f>SUMIFS(Collection!$J:$J, Collection!$A:$A, $A62, Collection!$B:$B, S$2)</f>
        <v>0</v>
      </c>
      <c r="T62" s="95">
        <f>SUMIFS(Collection!$J:$J, Collection!$A:$A, $A62, Collection!$B:$B, T$2)</f>
        <v>0</v>
      </c>
      <c r="U62" s="95">
        <f>SUMIFS(Collection!$J:$J, Collection!$A:$A, $A62, Collection!$B:$B, U$2)</f>
        <v>0</v>
      </c>
      <c r="V62" s="95">
        <f>SUMIFS(Collection!$J:$J, Collection!$A:$A, $A62, Collection!$B:$B, V$2)</f>
        <v>0</v>
      </c>
      <c r="W62" s="95">
        <f>SUMIFS(Collection!$J:$J, Collection!$A:$A, $A62, Collection!$B:$B, W$2)</f>
        <v>0</v>
      </c>
      <c r="X62" s="95">
        <f>SUMIFS(Collection!$J:$J, Collection!$A:$A, $A62, Collection!$B:$B, X$2)</f>
        <v>0</v>
      </c>
      <c r="Y62" s="95">
        <f>SUMIFS(Collection!$J:$J, Collection!$A:$A, $A62, Collection!$B:$B, Y$2)</f>
        <v>0</v>
      </c>
    </row>
    <row r="63" spans="1:25" s="60" customFormat="1">
      <c r="A63" s="102">
        <f t="shared" si="0"/>
        <v>42917</v>
      </c>
      <c r="B63" s="95">
        <f>SUMIFS(Collection!$J:$J, Collection!$A:$A, $A63, Collection!$B:$B, B$2)</f>
        <v>0</v>
      </c>
      <c r="C63" s="95">
        <f>SUMIFS(Collection!$J:$J, Collection!$A:$A, $A63, Collection!$B:$B, C$2)</f>
        <v>0</v>
      </c>
      <c r="D63" s="95">
        <f>SUMIFS(Collection!$J:$J, Collection!$A:$A, $A63, Collection!$B:$B, D$2)</f>
        <v>0</v>
      </c>
      <c r="E63" s="95">
        <f>SUMIFS(Collection!$J:$J, Collection!$A:$A, $A63, Collection!$B:$B, E$2)</f>
        <v>0</v>
      </c>
      <c r="F63" s="95">
        <f>SUMIFS(Collection!$J:$J, Collection!$A:$A, $A63, Collection!$B:$B, F$2)</f>
        <v>0</v>
      </c>
      <c r="G63" s="95">
        <f>SUMIFS(Collection!$J:$J, Collection!$A:$A, $A63, Collection!$B:$B, G$2)</f>
        <v>0</v>
      </c>
      <c r="H63" s="95">
        <f>SUMIFS(Collection!$J:$J, Collection!$A:$A, $A63, Collection!$B:$B, H$2)</f>
        <v>0</v>
      </c>
      <c r="I63" s="95">
        <f>SUMIFS(Collection!$J:$J, Collection!$A:$A, $A63, Collection!$B:$B, I$2)</f>
        <v>0</v>
      </c>
      <c r="J63" s="95">
        <f>SUMIFS(Collection!$J:$J, Collection!$A:$A, $A63, Collection!$B:$B, J$2)</f>
        <v>0</v>
      </c>
      <c r="K63" s="95">
        <f>SUMIFS(Collection!$J:$J, Collection!$A:$A, $A63, Collection!$B:$B, K$2)</f>
        <v>0</v>
      </c>
      <c r="L63" s="95">
        <f>SUMIFS(Collection!$J:$J, Collection!$A:$A, $A63, Collection!$B:$B, L$2)</f>
        <v>0</v>
      </c>
      <c r="M63" s="95">
        <f>SUMIFS(Collection!$J:$J, Collection!$A:$A, $A63, Collection!$B:$B, M$2)</f>
        <v>0</v>
      </c>
      <c r="N63" s="95">
        <f>SUMIFS(Collection!$J:$J, Collection!$A:$A, $A63, Collection!$B:$B, N$2)</f>
        <v>0</v>
      </c>
      <c r="O63" s="95">
        <f>SUMIFS(Collection!$J:$J, Collection!$A:$A, $A63, Collection!$B:$B, O$2)</f>
        <v>0</v>
      </c>
      <c r="P63" s="95">
        <f>SUMIFS(Collection!$J:$J, Collection!$A:$A, $A63, Collection!$B:$B, P$2)</f>
        <v>0</v>
      </c>
      <c r="Q63" s="95">
        <f>SUMIFS(Collection!$J:$J, Collection!$A:$A, $A63, Collection!$B:$B, Q$2)</f>
        <v>0</v>
      </c>
      <c r="R63" s="95">
        <f>SUMIFS(Collection!$J:$J, Collection!$A:$A, $A63, Collection!$B:$B, R$2)</f>
        <v>0</v>
      </c>
      <c r="S63" s="95">
        <f>SUMIFS(Collection!$J:$J, Collection!$A:$A, $A63, Collection!$B:$B, S$2)</f>
        <v>0</v>
      </c>
      <c r="T63" s="95">
        <f>SUMIFS(Collection!$J:$J, Collection!$A:$A, $A63, Collection!$B:$B, T$2)</f>
        <v>0</v>
      </c>
      <c r="U63" s="95">
        <f>SUMIFS(Collection!$J:$J, Collection!$A:$A, $A63, Collection!$B:$B, U$2)</f>
        <v>0</v>
      </c>
      <c r="V63" s="95">
        <f>SUMIFS(Collection!$J:$J, Collection!$A:$A, $A63, Collection!$B:$B, V$2)</f>
        <v>0</v>
      </c>
      <c r="W63" s="95">
        <f>SUMIFS(Collection!$J:$J, Collection!$A:$A, $A63, Collection!$B:$B, W$2)</f>
        <v>0</v>
      </c>
      <c r="X63" s="95">
        <f>SUMIFS(Collection!$J:$J, Collection!$A:$A, $A63, Collection!$B:$B, X$2)</f>
        <v>0</v>
      </c>
      <c r="Y63" s="95">
        <f>SUMIFS(Collection!$J:$J, Collection!$A:$A, $A63, Collection!$B:$B, Y$2)</f>
        <v>0</v>
      </c>
    </row>
    <row r="64" spans="1:25" s="61" customFormat="1" ht="16" thickBot="1">
      <c r="A64" s="103">
        <f t="shared" si="0"/>
        <v>42918</v>
      </c>
      <c r="B64" s="96">
        <f>SUMIFS(Collection!$J:$J, Collection!$A:$A, $A64, Collection!$B:$B, B$2)</f>
        <v>0</v>
      </c>
      <c r="C64" s="96">
        <f>SUMIFS(Collection!$J:$J, Collection!$A:$A, $A64, Collection!$B:$B, C$2)</f>
        <v>0</v>
      </c>
      <c r="D64" s="96">
        <f>SUMIFS(Collection!$J:$J, Collection!$A:$A, $A64, Collection!$B:$B, D$2)</f>
        <v>0</v>
      </c>
      <c r="E64" s="96">
        <f>SUMIFS(Collection!$J:$J, Collection!$A:$A, $A64, Collection!$B:$B, E$2)</f>
        <v>0</v>
      </c>
      <c r="F64" s="96">
        <f>SUMIFS(Collection!$J:$J, Collection!$A:$A, $A64, Collection!$B:$B, F$2)</f>
        <v>0</v>
      </c>
      <c r="G64" s="96">
        <f>SUMIFS(Collection!$J:$J, Collection!$A:$A, $A64, Collection!$B:$B, G$2)</f>
        <v>0</v>
      </c>
      <c r="H64" s="96">
        <f>SUMIFS(Collection!$J:$J, Collection!$A:$A, $A64, Collection!$B:$B, H$2)</f>
        <v>0</v>
      </c>
      <c r="I64" s="96">
        <f>SUMIFS(Collection!$J:$J, Collection!$A:$A, $A64, Collection!$B:$B, I$2)</f>
        <v>0</v>
      </c>
      <c r="J64" s="96">
        <f>SUMIFS(Collection!$J:$J, Collection!$A:$A, $A64, Collection!$B:$B, J$2)</f>
        <v>0</v>
      </c>
      <c r="K64" s="96">
        <f>SUMIFS(Collection!$J:$J, Collection!$A:$A, $A64, Collection!$B:$B, K$2)</f>
        <v>0</v>
      </c>
      <c r="L64" s="96">
        <f>SUMIFS(Collection!$J:$J, Collection!$A:$A, $A64, Collection!$B:$B, L$2)</f>
        <v>0</v>
      </c>
      <c r="M64" s="96">
        <f>SUMIFS(Collection!$J:$J, Collection!$A:$A, $A64, Collection!$B:$B, M$2)</f>
        <v>0</v>
      </c>
      <c r="N64" s="96">
        <f>SUMIFS(Collection!$J:$J, Collection!$A:$A, $A64, Collection!$B:$B, N$2)</f>
        <v>0</v>
      </c>
      <c r="O64" s="96">
        <f>SUMIFS(Collection!$J:$J, Collection!$A:$A, $A64, Collection!$B:$B, O$2)</f>
        <v>0</v>
      </c>
      <c r="P64" s="96">
        <f>SUMIFS(Collection!$J:$J, Collection!$A:$A, $A64, Collection!$B:$B, P$2)</f>
        <v>0</v>
      </c>
      <c r="Q64" s="96">
        <f>SUMIFS(Collection!$J:$J, Collection!$A:$A, $A64, Collection!$B:$B, Q$2)</f>
        <v>0</v>
      </c>
      <c r="R64" s="96">
        <f>SUMIFS(Collection!$J:$J, Collection!$A:$A, $A64, Collection!$B:$B, R$2)</f>
        <v>0</v>
      </c>
      <c r="S64" s="96">
        <f>SUMIFS(Collection!$J:$J, Collection!$A:$A, $A64, Collection!$B:$B, S$2)</f>
        <v>0</v>
      </c>
      <c r="T64" s="96">
        <f>SUMIFS(Collection!$J:$J, Collection!$A:$A, $A64, Collection!$B:$B, T$2)</f>
        <v>0</v>
      </c>
      <c r="U64" s="96">
        <f>SUMIFS(Collection!$J:$J, Collection!$A:$A, $A64, Collection!$B:$B, U$2)</f>
        <v>0</v>
      </c>
      <c r="V64" s="96">
        <f>SUMIFS(Collection!$J:$J, Collection!$A:$A, $A64, Collection!$B:$B, V$2)</f>
        <v>0</v>
      </c>
      <c r="W64" s="96">
        <f>SUMIFS(Collection!$J:$J, Collection!$A:$A, $A64, Collection!$B:$B, W$2)</f>
        <v>0</v>
      </c>
      <c r="X64" s="96">
        <f>SUMIFS(Collection!$J:$J, Collection!$A:$A, $A64, Collection!$B:$B, X$2)</f>
        <v>0</v>
      </c>
      <c r="Y64" s="96">
        <f>SUMIFS(Collection!$J:$J, Collection!$A:$A, $A64, Collection!$B:$B, Y$2)</f>
        <v>0</v>
      </c>
    </row>
    <row r="65" spans="1:25" s="60" customFormat="1">
      <c r="A65" s="102"/>
      <c r="B65" s="95"/>
      <c r="C65" s="95"/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</row>
    <row r="66" spans="1:25" s="60" customFormat="1">
      <c r="A66" s="102">
        <f>1+A64</f>
        <v>42919</v>
      </c>
      <c r="B66" s="95">
        <f>SUMIFS(Collection!$J:$J, Collection!$A:$A, $A66, Collection!$B:$B, B$2)</f>
        <v>0</v>
      </c>
      <c r="C66" s="95">
        <f>SUMIFS(Collection!$J:$J, Collection!$A:$A, $A66, Collection!$B:$B, C$2)</f>
        <v>0</v>
      </c>
      <c r="D66" s="95">
        <f>SUMIFS(Collection!$J:$J, Collection!$A:$A, $A66, Collection!$B:$B, D$2)</f>
        <v>0</v>
      </c>
      <c r="E66" s="95">
        <f>SUMIFS(Collection!$J:$J, Collection!$A:$A, $A66, Collection!$B:$B, E$2)</f>
        <v>0</v>
      </c>
      <c r="F66" s="95">
        <f>SUMIFS(Collection!$J:$J, Collection!$A:$A, $A66, Collection!$B:$B, F$2)</f>
        <v>0</v>
      </c>
      <c r="G66" s="95">
        <f>SUMIFS(Collection!$J:$J, Collection!$A:$A, $A66, Collection!$B:$B, G$2)</f>
        <v>0</v>
      </c>
      <c r="H66" s="95">
        <f>SUMIFS(Collection!$J:$J, Collection!$A:$A, $A66, Collection!$B:$B, H$2)</f>
        <v>0</v>
      </c>
      <c r="I66" s="95">
        <f>SUMIFS(Collection!$J:$J, Collection!$A:$A, $A66, Collection!$B:$B, I$2)</f>
        <v>0</v>
      </c>
      <c r="J66" s="95">
        <f>SUMIFS(Collection!$J:$J, Collection!$A:$A, $A66, Collection!$B:$B, J$2)</f>
        <v>0</v>
      </c>
      <c r="K66" s="95">
        <f>SUMIFS(Collection!$J:$J, Collection!$A:$A, $A66, Collection!$B:$B, K$2)</f>
        <v>0</v>
      </c>
      <c r="L66" s="95">
        <f>SUMIFS(Collection!$J:$J, Collection!$A:$A, $A66, Collection!$B:$B, L$2)</f>
        <v>0</v>
      </c>
      <c r="M66" s="95">
        <f>SUMIFS(Collection!$J:$J, Collection!$A:$A, $A66, Collection!$B:$B, M$2)</f>
        <v>0</v>
      </c>
      <c r="N66" s="95">
        <f>SUMIFS(Collection!$J:$J, Collection!$A:$A, $A66, Collection!$B:$B, N$2)</f>
        <v>0</v>
      </c>
      <c r="O66" s="95">
        <f>SUMIFS(Collection!$J:$J, Collection!$A:$A, $A66, Collection!$B:$B, O$2)</f>
        <v>0</v>
      </c>
      <c r="P66" s="95">
        <f>SUMIFS(Collection!$J:$J, Collection!$A:$A, $A66, Collection!$B:$B, P$2)</f>
        <v>0</v>
      </c>
      <c r="Q66" s="95">
        <f>SUMIFS(Collection!$J:$J, Collection!$A:$A, $A66, Collection!$B:$B, Q$2)</f>
        <v>0</v>
      </c>
      <c r="R66" s="95">
        <f>SUMIFS(Collection!$J:$J, Collection!$A:$A, $A66, Collection!$B:$B, R$2)</f>
        <v>0</v>
      </c>
      <c r="S66" s="95">
        <f>SUMIFS(Collection!$J:$J, Collection!$A:$A, $A66, Collection!$B:$B, S$2)</f>
        <v>0</v>
      </c>
      <c r="T66" s="95">
        <f>SUMIFS(Collection!$J:$J, Collection!$A:$A, $A66, Collection!$B:$B, T$2)</f>
        <v>0</v>
      </c>
      <c r="U66" s="95">
        <f>SUMIFS(Collection!$J:$J, Collection!$A:$A, $A66, Collection!$B:$B, U$2)</f>
        <v>0</v>
      </c>
      <c r="V66" s="95">
        <f>SUMIFS(Collection!$J:$J, Collection!$A:$A, $A66, Collection!$B:$B, V$2)</f>
        <v>0</v>
      </c>
      <c r="W66" s="95">
        <f>SUMIFS(Collection!$J:$J, Collection!$A:$A, $A66, Collection!$B:$B, W$2)</f>
        <v>0</v>
      </c>
      <c r="X66" s="95">
        <f>SUMIFS(Collection!$J:$J, Collection!$A:$A, $A66, Collection!$B:$B, X$2)</f>
        <v>0</v>
      </c>
      <c r="Y66" s="95">
        <f>SUMIFS(Collection!$J:$J, Collection!$A:$A, $A66, Collection!$B:$B, Y$2)</f>
        <v>0</v>
      </c>
    </row>
    <row r="67" spans="1:25" s="60" customFormat="1">
      <c r="A67" s="102">
        <f t="shared" si="0"/>
        <v>42920</v>
      </c>
      <c r="B67" s="95">
        <f>SUMIFS(Collection!$J:$J, Collection!$A:$A, $A67, Collection!$B:$B, B$2)</f>
        <v>0</v>
      </c>
      <c r="C67" s="95">
        <f>SUMIFS(Collection!$J:$J, Collection!$A:$A, $A67, Collection!$B:$B, C$2)</f>
        <v>0</v>
      </c>
      <c r="D67" s="95">
        <f>SUMIFS(Collection!$J:$J, Collection!$A:$A, $A67, Collection!$B:$B, D$2)</f>
        <v>0</v>
      </c>
      <c r="E67" s="95">
        <f>SUMIFS(Collection!$J:$J, Collection!$A:$A, $A67, Collection!$B:$B, E$2)</f>
        <v>0</v>
      </c>
      <c r="F67" s="95">
        <f>SUMIFS(Collection!$J:$J, Collection!$A:$A, $A67, Collection!$B:$B, F$2)</f>
        <v>0</v>
      </c>
      <c r="G67" s="95">
        <f>SUMIFS(Collection!$J:$J, Collection!$A:$A, $A67, Collection!$B:$B, G$2)</f>
        <v>0</v>
      </c>
      <c r="H67" s="95">
        <f>SUMIFS(Collection!$J:$J, Collection!$A:$A, $A67, Collection!$B:$B, H$2)</f>
        <v>0</v>
      </c>
      <c r="I67" s="95">
        <f>SUMIFS(Collection!$J:$J, Collection!$A:$A, $A67, Collection!$B:$B, I$2)</f>
        <v>0</v>
      </c>
      <c r="J67" s="95">
        <f>SUMIFS(Collection!$J:$J, Collection!$A:$A, $A67, Collection!$B:$B, J$2)</f>
        <v>0</v>
      </c>
      <c r="K67" s="95">
        <f>SUMIFS(Collection!$J:$J, Collection!$A:$A, $A67, Collection!$B:$B, K$2)</f>
        <v>0</v>
      </c>
      <c r="L67" s="95">
        <f>SUMIFS(Collection!$J:$J, Collection!$A:$A, $A67, Collection!$B:$B, L$2)</f>
        <v>0</v>
      </c>
      <c r="M67" s="95">
        <f>SUMIFS(Collection!$J:$J, Collection!$A:$A, $A67, Collection!$B:$B, M$2)</f>
        <v>0</v>
      </c>
      <c r="N67" s="95">
        <f>SUMIFS(Collection!$J:$J, Collection!$A:$A, $A67, Collection!$B:$B, N$2)</f>
        <v>0</v>
      </c>
      <c r="O67" s="95">
        <f>SUMIFS(Collection!$J:$J, Collection!$A:$A, $A67, Collection!$B:$B, O$2)</f>
        <v>0</v>
      </c>
      <c r="P67" s="95">
        <f>SUMIFS(Collection!$J:$J, Collection!$A:$A, $A67, Collection!$B:$B, P$2)</f>
        <v>0</v>
      </c>
      <c r="Q67" s="95">
        <f>SUMIFS(Collection!$J:$J, Collection!$A:$A, $A67, Collection!$B:$B, Q$2)</f>
        <v>0</v>
      </c>
      <c r="R67" s="95">
        <f>SUMIFS(Collection!$J:$J, Collection!$A:$A, $A67, Collection!$B:$B, R$2)</f>
        <v>0</v>
      </c>
      <c r="S67" s="95">
        <f>SUMIFS(Collection!$J:$J, Collection!$A:$A, $A67, Collection!$B:$B, S$2)</f>
        <v>0</v>
      </c>
      <c r="T67" s="95">
        <f>SUMIFS(Collection!$J:$J, Collection!$A:$A, $A67, Collection!$B:$B, T$2)</f>
        <v>0</v>
      </c>
      <c r="U67" s="95">
        <f>SUMIFS(Collection!$J:$J, Collection!$A:$A, $A67, Collection!$B:$B, U$2)</f>
        <v>0</v>
      </c>
      <c r="V67" s="95">
        <f>SUMIFS(Collection!$J:$J, Collection!$A:$A, $A67, Collection!$B:$B, V$2)</f>
        <v>0</v>
      </c>
      <c r="W67" s="95">
        <f>SUMIFS(Collection!$J:$J, Collection!$A:$A, $A67, Collection!$B:$B, W$2)</f>
        <v>0</v>
      </c>
      <c r="X67" s="95">
        <f>SUMIFS(Collection!$J:$J, Collection!$A:$A, $A67, Collection!$B:$B, X$2)</f>
        <v>0</v>
      </c>
      <c r="Y67" s="95">
        <f>SUMIFS(Collection!$J:$J, Collection!$A:$A, $A67, Collection!$B:$B, Y$2)</f>
        <v>0</v>
      </c>
    </row>
    <row r="68" spans="1:25" s="60" customFormat="1">
      <c r="A68" s="102">
        <f t="shared" si="0"/>
        <v>42921</v>
      </c>
      <c r="B68" s="95">
        <f>SUMIFS(Collection!$J:$J, Collection!$A:$A, $A68, Collection!$B:$B, B$2)</f>
        <v>0</v>
      </c>
      <c r="C68" s="95">
        <f>SUMIFS(Collection!$J:$J, Collection!$A:$A, $A68, Collection!$B:$B, C$2)</f>
        <v>0</v>
      </c>
      <c r="D68" s="95">
        <f>SUMIFS(Collection!$J:$J, Collection!$A:$A, $A68, Collection!$B:$B, D$2)</f>
        <v>0</v>
      </c>
      <c r="E68" s="95">
        <f>SUMIFS(Collection!$J:$J, Collection!$A:$A, $A68, Collection!$B:$B, E$2)</f>
        <v>0</v>
      </c>
      <c r="F68" s="95">
        <f>SUMIFS(Collection!$J:$J, Collection!$A:$A, $A68, Collection!$B:$B, F$2)</f>
        <v>0</v>
      </c>
      <c r="G68" s="95">
        <f>SUMIFS(Collection!$J:$J, Collection!$A:$A, $A68, Collection!$B:$B, G$2)</f>
        <v>0</v>
      </c>
      <c r="H68" s="95">
        <f>SUMIFS(Collection!$J:$J, Collection!$A:$A, $A68, Collection!$B:$B, H$2)</f>
        <v>0</v>
      </c>
      <c r="I68" s="95">
        <f>SUMIFS(Collection!$J:$J, Collection!$A:$A, $A68, Collection!$B:$B, I$2)</f>
        <v>0</v>
      </c>
      <c r="J68" s="95">
        <f>SUMIFS(Collection!$J:$J, Collection!$A:$A, $A68, Collection!$B:$B, J$2)</f>
        <v>0</v>
      </c>
      <c r="K68" s="95">
        <f>SUMIFS(Collection!$J:$J, Collection!$A:$A, $A68, Collection!$B:$B, K$2)</f>
        <v>0</v>
      </c>
      <c r="L68" s="95">
        <f>SUMIFS(Collection!$J:$J, Collection!$A:$A, $A68, Collection!$B:$B, L$2)</f>
        <v>0</v>
      </c>
      <c r="M68" s="95">
        <f>SUMIFS(Collection!$J:$J, Collection!$A:$A, $A68, Collection!$B:$B, M$2)</f>
        <v>0</v>
      </c>
      <c r="N68" s="95">
        <f>SUMIFS(Collection!$J:$J, Collection!$A:$A, $A68, Collection!$B:$B, N$2)</f>
        <v>0</v>
      </c>
      <c r="O68" s="95">
        <f>SUMIFS(Collection!$J:$J, Collection!$A:$A, $A68, Collection!$B:$B, O$2)</f>
        <v>0</v>
      </c>
      <c r="P68" s="95">
        <f>SUMIFS(Collection!$J:$J, Collection!$A:$A, $A68, Collection!$B:$B, P$2)</f>
        <v>0</v>
      </c>
      <c r="Q68" s="95">
        <f>SUMIFS(Collection!$J:$J, Collection!$A:$A, $A68, Collection!$B:$B, Q$2)</f>
        <v>0</v>
      </c>
      <c r="R68" s="95">
        <f>SUMIFS(Collection!$J:$J, Collection!$A:$A, $A68, Collection!$B:$B, R$2)</f>
        <v>0</v>
      </c>
      <c r="S68" s="95">
        <f>SUMIFS(Collection!$J:$J, Collection!$A:$A, $A68, Collection!$B:$B, S$2)</f>
        <v>0</v>
      </c>
      <c r="T68" s="95">
        <f>SUMIFS(Collection!$J:$J, Collection!$A:$A, $A68, Collection!$B:$B, T$2)</f>
        <v>0</v>
      </c>
      <c r="U68" s="95">
        <f>SUMIFS(Collection!$J:$J, Collection!$A:$A, $A68, Collection!$B:$B, U$2)</f>
        <v>0</v>
      </c>
      <c r="V68" s="95">
        <f>SUMIFS(Collection!$J:$J, Collection!$A:$A, $A68, Collection!$B:$B, V$2)</f>
        <v>0</v>
      </c>
      <c r="W68" s="95">
        <f>SUMIFS(Collection!$J:$J, Collection!$A:$A, $A68, Collection!$B:$B, W$2)</f>
        <v>0</v>
      </c>
      <c r="X68" s="95">
        <f>SUMIFS(Collection!$J:$J, Collection!$A:$A, $A68, Collection!$B:$B, X$2)</f>
        <v>0</v>
      </c>
      <c r="Y68" s="95">
        <f>SUMIFS(Collection!$J:$J, Collection!$A:$A, $A68, Collection!$B:$B, Y$2)</f>
        <v>0</v>
      </c>
    </row>
    <row r="69" spans="1:25" s="61" customFormat="1" ht="16" thickBot="1">
      <c r="A69" s="103">
        <f t="shared" si="0"/>
        <v>42922</v>
      </c>
      <c r="B69" s="96">
        <f>SUMIFS(Collection!$J:$J, Collection!$A:$A, $A69, Collection!$B:$B, B$2)</f>
        <v>0</v>
      </c>
      <c r="C69" s="96">
        <f>SUMIFS(Collection!$J:$J, Collection!$A:$A, $A69, Collection!$B:$B, C$2)</f>
        <v>0</v>
      </c>
      <c r="D69" s="96">
        <f>SUMIFS(Collection!$J:$J, Collection!$A:$A, $A69, Collection!$B:$B, D$2)</f>
        <v>0</v>
      </c>
      <c r="E69" s="96">
        <f>SUMIFS(Collection!$J:$J, Collection!$A:$A, $A69, Collection!$B:$B, E$2)</f>
        <v>0</v>
      </c>
      <c r="F69" s="96">
        <f>SUMIFS(Collection!$J:$J, Collection!$A:$A, $A69, Collection!$B:$B, F$2)</f>
        <v>0</v>
      </c>
      <c r="G69" s="96">
        <f>SUMIFS(Collection!$J:$J, Collection!$A:$A, $A69, Collection!$B:$B, G$2)</f>
        <v>0</v>
      </c>
      <c r="H69" s="96">
        <f>SUMIFS(Collection!$J:$J, Collection!$A:$A, $A69, Collection!$B:$B, H$2)</f>
        <v>0</v>
      </c>
      <c r="I69" s="96">
        <f>SUMIFS(Collection!$J:$J, Collection!$A:$A, $A69, Collection!$B:$B, I$2)</f>
        <v>0</v>
      </c>
      <c r="J69" s="96">
        <f>SUMIFS(Collection!$J:$J, Collection!$A:$A, $A69, Collection!$B:$B, J$2)</f>
        <v>0</v>
      </c>
      <c r="K69" s="96">
        <f>SUMIFS(Collection!$J:$J, Collection!$A:$A, $A69, Collection!$B:$B, K$2)</f>
        <v>0</v>
      </c>
      <c r="L69" s="96">
        <f>SUMIFS(Collection!$J:$J, Collection!$A:$A, $A69, Collection!$B:$B, L$2)</f>
        <v>0</v>
      </c>
      <c r="M69" s="96">
        <f>SUMIFS(Collection!$J:$J, Collection!$A:$A, $A69, Collection!$B:$B, M$2)</f>
        <v>0</v>
      </c>
      <c r="N69" s="96">
        <f>SUMIFS(Collection!$J:$J, Collection!$A:$A, $A69, Collection!$B:$B, N$2)</f>
        <v>0</v>
      </c>
      <c r="O69" s="96">
        <f>SUMIFS(Collection!$J:$J, Collection!$A:$A, $A69, Collection!$B:$B, O$2)</f>
        <v>0</v>
      </c>
      <c r="P69" s="96">
        <f>SUMIFS(Collection!$J:$J, Collection!$A:$A, $A69, Collection!$B:$B, P$2)</f>
        <v>0</v>
      </c>
      <c r="Q69" s="96">
        <f>SUMIFS(Collection!$J:$J, Collection!$A:$A, $A69, Collection!$B:$B, Q$2)</f>
        <v>0</v>
      </c>
      <c r="R69" s="96">
        <f>SUMIFS(Collection!$J:$J, Collection!$A:$A, $A69, Collection!$B:$B, R$2)</f>
        <v>0</v>
      </c>
      <c r="S69" s="96">
        <f>SUMIFS(Collection!$J:$J, Collection!$A:$A, $A69, Collection!$B:$B, S$2)</f>
        <v>0</v>
      </c>
      <c r="T69" s="96">
        <f>SUMIFS(Collection!$J:$J, Collection!$A:$A, $A69, Collection!$B:$B, T$2)</f>
        <v>0</v>
      </c>
      <c r="U69" s="96">
        <f>SUMIFS(Collection!$J:$J, Collection!$A:$A, $A69, Collection!$B:$B, U$2)</f>
        <v>0</v>
      </c>
      <c r="V69" s="96">
        <f>SUMIFS(Collection!$J:$J, Collection!$A:$A, $A69, Collection!$B:$B, V$2)</f>
        <v>0</v>
      </c>
      <c r="W69" s="96">
        <f>SUMIFS(Collection!$J:$J, Collection!$A:$A, $A69, Collection!$B:$B, W$2)</f>
        <v>0</v>
      </c>
      <c r="X69" s="96">
        <f>SUMIFS(Collection!$J:$J, Collection!$A:$A, $A69, Collection!$B:$B, X$2)</f>
        <v>0</v>
      </c>
      <c r="Y69" s="96">
        <f>SUMIFS(Collection!$J:$J, Collection!$A:$A, $A69, Collection!$B:$B, Y$2)</f>
        <v>0</v>
      </c>
    </row>
    <row r="70" spans="1:25" s="60" customFormat="1">
      <c r="A70" s="102"/>
      <c r="B70" s="95"/>
      <c r="C70" s="95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</row>
    <row r="71" spans="1:25" s="60" customFormat="1">
      <c r="A71" s="102">
        <f>1+A69</f>
        <v>42923</v>
      </c>
      <c r="B71" s="95">
        <f>SUMIFS(Collection!$J:$J, Collection!$A:$A, $A71, Collection!$B:$B, B$2)</f>
        <v>0</v>
      </c>
      <c r="C71" s="95">
        <f>SUMIFS(Collection!$J:$J, Collection!$A:$A, $A71, Collection!$B:$B, C$2)</f>
        <v>0</v>
      </c>
      <c r="D71" s="95">
        <f>SUMIFS(Collection!$J:$J, Collection!$A:$A, $A71, Collection!$B:$B, D$2)</f>
        <v>0</v>
      </c>
      <c r="E71" s="95">
        <f>SUMIFS(Collection!$J:$J, Collection!$A:$A, $A71, Collection!$B:$B, E$2)</f>
        <v>0</v>
      </c>
      <c r="F71" s="95">
        <f>SUMIFS(Collection!$J:$J, Collection!$A:$A, $A71, Collection!$B:$B, F$2)</f>
        <v>0</v>
      </c>
      <c r="G71" s="95">
        <f>SUMIFS(Collection!$J:$J, Collection!$A:$A, $A71, Collection!$B:$B, G$2)</f>
        <v>0</v>
      </c>
      <c r="H71" s="95">
        <f>SUMIFS(Collection!$J:$J, Collection!$A:$A, $A71, Collection!$B:$B, H$2)</f>
        <v>0</v>
      </c>
      <c r="I71" s="95">
        <f>SUMIFS(Collection!$J:$J, Collection!$A:$A, $A71, Collection!$B:$B, I$2)</f>
        <v>0</v>
      </c>
      <c r="J71" s="95">
        <f>SUMIFS(Collection!$J:$J, Collection!$A:$A, $A71, Collection!$B:$B, J$2)</f>
        <v>0</v>
      </c>
      <c r="K71" s="95">
        <f>SUMIFS(Collection!$J:$J, Collection!$A:$A, $A71, Collection!$B:$B, K$2)</f>
        <v>0</v>
      </c>
      <c r="L71" s="95">
        <f>SUMIFS(Collection!$J:$J, Collection!$A:$A, $A71, Collection!$B:$B, L$2)</f>
        <v>0</v>
      </c>
      <c r="M71" s="95">
        <f>SUMIFS(Collection!$J:$J, Collection!$A:$A, $A71, Collection!$B:$B, M$2)</f>
        <v>0</v>
      </c>
      <c r="N71" s="95">
        <f>SUMIFS(Collection!$J:$J, Collection!$A:$A, $A71, Collection!$B:$B, N$2)</f>
        <v>0</v>
      </c>
      <c r="O71" s="95">
        <f>SUMIFS(Collection!$J:$J, Collection!$A:$A, $A71, Collection!$B:$B, O$2)</f>
        <v>0</v>
      </c>
      <c r="P71" s="95">
        <f>SUMIFS(Collection!$J:$J, Collection!$A:$A, $A71, Collection!$B:$B, P$2)</f>
        <v>0</v>
      </c>
      <c r="Q71" s="95">
        <f>SUMIFS(Collection!$J:$J, Collection!$A:$A, $A71, Collection!$B:$B, Q$2)</f>
        <v>0</v>
      </c>
      <c r="R71" s="95">
        <f>SUMIFS(Collection!$J:$J, Collection!$A:$A, $A71, Collection!$B:$B, R$2)</f>
        <v>0</v>
      </c>
      <c r="S71" s="95">
        <f>SUMIFS(Collection!$J:$J, Collection!$A:$A, $A71, Collection!$B:$B, S$2)</f>
        <v>0</v>
      </c>
      <c r="T71" s="95">
        <f>SUMIFS(Collection!$J:$J, Collection!$A:$A, $A71, Collection!$B:$B, T$2)</f>
        <v>0</v>
      </c>
      <c r="U71" s="95">
        <f>SUMIFS(Collection!$J:$J, Collection!$A:$A, $A71, Collection!$B:$B, U$2)</f>
        <v>0</v>
      </c>
      <c r="V71" s="95">
        <f>SUMIFS(Collection!$J:$J, Collection!$A:$A, $A71, Collection!$B:$B, V$2)</f>
        <v>0</v>
      </c>
      <c r="W71" s="95">
        <f>SUMIFS(Collection!$J:$J, Collection!$A:$A, $A71, Collection!$B:$B, W$2)</f>
        <v>0</v>
      </c>
      <c r="X71" s="95">
        <f>SUMIFS(Collection!$J:$J, Collection!$A:$A, $A71, Collection!$B:$B, X$2)</f>
        <v>0</v>
      </c>
      <c r="Y71" s="95">
        <f>SUMIFS(Collection!$J:$J, Collection!$A:$A, $A71, Collection!$B:$B, Y$2)</f>
        <v>0</v>
      </c>
    </row>
    <row r="72" spans="1:25" s="60" customFormat="1">
      <c r="A72" s="102">
        <f t="shared" si="0"/>
        <v>42924</v>
      </c>
      <c r="B72" s="95">
        <f>SUMIFS(Collection!$J:$J, Collection!$A:$A, $A72, Collection!$B:$B, B$2)</f>
        <v>0</v>
      </c>
      <c r="C72" s="95">
        <f>SUMIFS(Collection!$J:$J, Collection!$A:$A, $A72, Collection!$B:$B, C$2)</f>
        <v>0</v>
      </c>
      <c r="D72" s="95">
        <f>SUMIFS(Collection!$J:$J, Collection!$A:$A, $A72, Collection!$B:$B, D$2)</f>
        <v>0</v>
      </c>
      <c r="E72" s="95">
        <f>SUMIFS(Collection!$J:$J, Collection!$A:$A, $A72, Collection!$B:$B, E$2)</f>
        <v>0</v>
      </c>
      <c r="F72" s="95">
        <f>SUMIFS(Collection!$J:$J, Collection!$A:$A, $A72, Collection!$B:$B, F$2)</f>
        <v>0</v>
      </c>
      <c r="G72" s="95">
        <f>SUMIFS(Collection!$J:$J, Collection!$A:$A, $A72, Collection!$B:$B, G$2)</f>
        <v>0</v>
      </c>
      <c r="H72" s="95">
        <f>SUMIFS(Collection!$J:$J, Collection!$A:$A, $A72, Collection!$B:$B, H$2)</f>
        <v>0</v>
      </c>
      <c r="I72" s="95">
        <f>SUMIFS(Collection!$J:$J, Collection!$A:$A, $A72, Collection!$B:$B, I$2)</f>
        <v>0</v>
      </c>
      <c r="J72" s="95">
        <f>SUMIFS(Collection!$J:$J, Collection!$A:$A, $A72, Collection!$B:$B, J$2)</f>
        <v>0</v>
      </c>
      <c r="K72" s="95">
        <f>SUMIFS(Collection!$J:$J, Collection!$A:$A, $A72, Collection!$B:$B, K$2)</f>
        <v>0</v>
      </c>
      <c r="L72" s="95">
        <f>SUMIFS(Collection!$J:$J, Collection!$A:$A, $A72, Collection!$B:$B, L$2)</f>
        <v>0</v>
      </c>
      <c r="M72" s="95">
        <f>SUMIFS(Collection!$J:$J, Collection!$A:$A, $A72, Collection!$B:$B, M$2)</f>
        <v>0</v>
      </c>
      <c r="N72" s="95">
        <f>SUMIFS(Collection!$J:$J, Collection!$A:$A, $A72, Collection!$B:$B, N$2)</f>
        <v>0</v>
      </c>
      <c r="O72" s="95">
        <f>SUMIFS(Collection!$J:$J, Collection!$A:$A, $A72, Collection!$B:$B, O$2)</f>
        <v>0</v>
      </c>
      <c r="P72" s="95">
        <f>SUMIFS(Collection!$J:$J, Collection!$A:$A, $A72, Collection!$B:$B, P$2)</f>
        <v>0</v>
      </c>
      <c r="Q72" s="95">
        <f>SUMIFS(Collection!$J:$J, Collection!$A:$A, $A72, Collection!$B:$B, Q$2)</f>
        <v>0</v>
      </c>
      <c r="R72" s="95">
        <f>SUMIFS(Collection!$J:$J, Collection!$A:$A, $A72, Collection!$B:$B, R$2)</f>
        <v>0</v>
      </c>
      <c r="S72" s="95">
        <f>SUMIFS(Collection!$J:$J, Collection!$A:$A, $A72, Collection!$B:$B, S$2)</f>
        <v>0</v>
      </c>
      <c r="T72" s="95">
        <f>SUMIFS(Collection!$J:$J, Collection!$A:$A, $A72, Collection!$B:$B, T$2)</f>
        <v>0</v>
      </c>
      <c r="U72" s="95">
        <f>SUMIFS(Collection!$J:$J, Collection!$A:$A, $A72, Collection!$B:$B, U$2)</f>
        <v>0</v>
      </c>
      <c r="V72" s="95">
        <f>SUMIFS(Collection!$J:$J, Collection!$A:$A, $A72, Collection!$B:$B, V$2)</f>
        <v>0</v>
      </c>
      <c r="W72" s="95">
        <f>SUMIFS(Collection!$J:$J, Collection!$A:$A, $A72, Collection!$B:$B, W$2)</f>
        <v>0</v>
      </c>
      <c r="X72" s="95">
        <f>SUMIFS(Collection!$J:$J, Collection!$A:$A, $A72, Collection!$B:$B, X$2)</f>
        <v>0</v>
      </c>
      <c r="Y72" s="95">
        <f>SUMIFS(Collection!$J:$J, Collection!$A:$A, $A72, Collection!$B:$B, Y$2)</f>
        <v>0</v>
      </c>
    </row>
    <row r="73" spans="1:25" s="60" customFormat="1">
      <c r="A73" s="102">
        <f t="shared" si="0"/>
        <v>42925</v>
      </c>
      <c r="B73" s="95">
        <f>SUMIFS(Collection!$J:$J, Collection!$A:$A, $A73, Collection!$B:$B, B$2)</f>
        <v>0</v>
      </c>
      <c r="C73" s="95">
        <f>SUMIFS(Collection!$J:$J, Collection!$A:$A, $A73, Collection!$B:$B, C$2)</f>
        <v>0</v>
      </c>
      <c r="D73" s="95">
        <f>SUMIFS(Collection!$J:$J, Collection!$A:$A, $A73, Collection!$B:$B, D$2)</f>
        <v>0</v>
      </c>
      <c r="E73" s="95">
        <f>SUMIFS(Collection!$J:$J, Collection!$A:$A, $A73, Collection!$B:$B, E$2)</f>
        <v>0</v>
      </c>
      <c r="F73" s="95">
        <f>SUMIFS(Collection!$J:$J, Collection!$A:$A, $A73, Collection!$B:$B, F$2)</f>
        <v>0</v>
      </c>
      <c r="G73" s="95">
        <f>SUMIFS(Collection!$J:$J, Collection!$A:$A, $A73, Collection!$B:$B, G$2)</f>
        <v>0</v>
      </c>
      <c r="H73" s="95">
        <f>SUMIFS(Collection!$J:$J, Collection!$A:$A, $A73, Collection!$B:$B, H$2)</f>
        <v>0</v>
      </c>
      <c r="I73" s="95">
        <f>SUMIFS(Collection!$J:$J, Collection!$A:$A, $A73, Collection!$B:$B, I$2)</f>
        <v>0</v>
      </c>
      <c r="J73" s="95">
        <f>SUMIFS(Collection!$J:$J, Collection!$A:$A, $A73, Collection!$B:$B, J$2)</f>
        <v>0</v>
      </c>
      <c r="K73" s="95">
        <f>SUMIFS(Collection!$J:$J, Collection!$A:$A, $A73, Collection!$B:$B, K$2)</f>
        <v>0</v>
      </c>
      <c r="L73" s="95">
        <f>SUMIFS(Collection!$J:$J, Collection!$A:$A, $A73, Collection!$B:$B, L$2)</f>
        <v>0</v>
      </c>
      <c r="M73" s="95">
        <f>SUMIFS(Collection!$J:$J, Collection!$A:$A, $A73, Collection!$B:$B, M$2)</f>
        <v>0</v>
      </c>
      <c r="N73" s="95">
        <f>SUMIFS(Collection!$J:$J, Collection!$A:$A, $A73, Collection!$B:$B, N$2)</f>
        <v>0</v>
      </c>
      <c r="O73" s="95">
        <f>SUMIFS(Collection!$J:$J, Collection!$A:$A, $A73, Collection!$B:$B, O$2)</f>
        <v>0</v>
      </c>
      <c r="P73" s="95">
        <f>SUMIFS(Collection!$J:$J, Collection!$A:$A, $A73, Collection!$B:$B, P$2)</f>
        <v>0</v>
      </c>
      <c r="Q73" s="95">
        <f>SUMIFS(Collection!$J:$J, Collection!$A:$A, $A73, Collection!$B:$B, Q$2)</f>
        <v>0</v>
      </c>
      <c r="R73" s="95">
        <f>SUMIFS(Collection!$J:$J, Collection!$A:$A, $A73, Collection!$B:$B, R$2)</f>
        <v>0</v>
      </c>
      <c r="S73" s="95">
        <f>SUMIFS(Collection!$J:$J, Collection!$A:$A, $A73, Collection!$B:$B, S$2)</f>
        <v>0</v>
      </c>
      <c r="T73" s="95">
        <f>SUMIFS(Collection!$J:$J, Collection!$A:$A, $A73, Collection!$B:$B, T$2)</f>
        <v>0</v>
      </c>
      <c r="U73" s="95">
        <f>SUMIFS(Collection!$J:$J, Collection!$A:$A, $A73, Collection!$B:$B, U$2)</f>
        <v>0</v>
      </c>
      <c r="V73" s="95">
        <f>SUMIFS(Collection!$J:$J, Collection!$A:$A, $A73, Collection!$B:$B, V$2)</f>
        <v>0</v>
      </c>
      <c r="W73" s="95">
        <f>SUMIFS(Collection!$J:$J, Collection!$A:$A, $A73, Collection!$B:$B, W$2)</f>
        <v>0</v>
      </c>
      <c r="X73" s="95">
        <f>SUMIFS(Collection!$J:$J, Collection!$A:$A, $A73, Collection!$B:$B, X$2)</f>
        <v>0</v>
      </c>
      <c r="Y73" s="95">
        <f>SUMIFS(Collection!$J:$J, Collection!$A:$A, $A73, Collection!$B:$B, Y$2)</f>
        <v>0</v>
      </c>
    </row>
    <row r="74" spans="1:25" s="61" customFormat="1" ht="16" thickBot="1">
      <c r="A74" s="103">
        <f t="shared" si="0"/>
        <v>42926</v>
      </c>
      <c r="B74" s="96">
        <f>SUMIFS(Collection!$J:$J, Collection!$A:$A, $A74, Collection!$B:$B, B$2)</f>
        <v>0</v>
      </c>
      <c r="C74" s="96">
        <f>SUMIFS(Collection!$J:$J, Collection!$A:$A, $A74, Collection!$B:$B, C$2)</f>
        <v>0</v>
      </c>
      <c r="D74" s="96">
        <f>SUMIFS(Collection!$J:$J, Collection!$A:$A, $A74, Collection!$B:$B, D$2)</f>
        <v>0</v>
      </c>
      <c r="E74" s="96">
        <f>SUMIFS(Collection!$J:$J, Collection!$A:$A, $A74, Collection!$B:$B, E$2)</f>
        <v>0</v>
      </c>
      <c r="F74" s="96">
        <f>SUMIFS(Collection!$J:$J, Collection!$A:$A, $A74, Collection!$B:$B, F$2)</f>
        <v>0</v>
      </c>
      <c r="G74" s="96">
        <f>SUMIFS(Collection!$J:$J, Collection!$A:$A, $A74, Collection!$B:$B, G$2)</f>
        <v>0</v>
      </c>
      <c r="H74" s="96">
        <f>SUMIFS(Collection!$J:$J, Collection!$A:$A, $A74, Collection!$B:$B, H$2)</f>
        <v>0</v>
      </c>
      <c r="I74" s="96">
        <f>SUMIFS(Collection!$J:$J, Collection!$A:$A, $A74, Collection!$B:$B, I$2)</f>
        <v>0</v>
      </c>
      <c r="J74" s="96">
        <f>SUMIFS(Collection!$J:$J, Collection!$A:$A, $A74, Collection!$B:$B, J$2)</f>
        <v>0</v>
      </c>
      <c r="K74" s="96">
        <f>SUMIFS(Collection!$J:$J, Collection!$A:$A, $A74, Collection!$B:$B, K$2)</f>
        <v>0</v>
      </c>
      <c r="L74" s="96">
        <f>SUMIFS(Collection!$J:$J, Collection!$A:$A, $A74, Collection!$B:$B, L$2)</f>
        <v>0</v>
      </c>
      <c r="M74" s="96">
        <f>SUMIFS(Collection!$J:$J, Collection!$A:$A, $A74, Collection!$B:$B, M$2)</f>
        <v>0</v>
      </c>
      <c r="N74" s="96">
        <f>SUMIFS(Collection!$J:$J, Collection!$A:$A, $A74, Collection!$B:$B, N$2)</f>
        <v>0</v>
      </c>
      <c r="O74" s="96">
        <f>SUMIFS(Collection!$J:$J, Collection!$A:$A, $A74, Collection!$B:$B, O$2)</f>
        <v>0</v>
      </c>
      <c r="P74" s="96">
        <f>SUMIFS(Collection!$J:$J, Collection!$A:$A, $A74, Collection!$B:$B, P$2)</f>
        <v>0</v>
      </c>
      <c r="Q74" s="96">
        <f>SUMIFS(Collection!$J:$J, Collection!$A:$A, $A74, Collection!$B:$B, Q$2)</f>
        <v>0</v>
      </c>
      <c r="R74" s="96">
        <f>SUMIFS(Collection!$J:$J, Collection!$A:$A, $A74, Collection!$B:$B, R$2)</f>
        <v>0</v>
      </c>
      <c r="S74" s="96">
        <f>SUMIFS(Collection!$J:$J, Collection!$A:$A, $A74, Collection!$B:$B, S$2)</f>
        <v>0</v>
      </c>
      <c r="T74" s="96">
        <f>SUMIFS(Collection!$J:$J, Collection!$A:$A, $A74, Collection!$B:$B, T$2)</f>
        <v>0</v>
      </c>
      <c r="U74" s="96">
        <f>SUMIFS(Collection!$J:$J, Collection!$A:$A, $A74, Collection!$B:$B, U$2)</f>
        <v>0</v>
      </c>
      <c r="V74" s="96">
        <f>SUMIFS(Collection!$J:$J, Collection!$A:$A, $A74, Collection!$B:$B, V$2)</f>
        <v>0</v>
      </c>
      <c r="W74" s="96">
        <f>SUMIFS(Collection!$J:$J, Collection!$A:$A, $A74, Collection!$B:$B, W$2)</f>
        <v>0</v>
      </c>
      <c r="X74" s="96">
        <f>SUMIFS(Collection!$J:$J, Collection!$A:$A, $A74, Collection!$B:$B, X$2)</f>
        <v>0</v>
      </c>
      <c r="Y74" s="96">
        <f>SUMIFS(Collection!$J:$J, Collection!$A:$A, $A74, Collection!$B:$B, Y$2)</f>
        <v>0</v>
      </c>
    </row>
    <row r="75" spans="1:25" s="60" customFormat="1">
      <c r="A75" s="102"/>
      <c r="B75" s="95"/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</row>
    <row r="76" spans="1:25" s="60" customFormat="1">
      <c r="A76" s="102">
        <f>1+A74</f>
        <v>42927</v>
      </c>
      <c r="B76" s="95">
        <f>SUMIFS(Collection!$J:$J, Collection!$A:$A, $A76, Collection!$B:$B, B$2)</f>
        <v>0</v>
      </c>
      <c r="C76" s="95">
        <f>SUMIFS(Collection!$J:$J, Collection!$A:$A, $A76, Collection!$B:$B, C$2)</f>
        <v>0</v>
      </c>
      <c r="D76" s="95">
        <f>SUMIFS(Collection!$J:$J, Collection!$A:$A, $A76, Collection!$B:$B, D$2)</f>
        <v>0</v>
      </c>
      <c r="E76" s="95">
        <f>SUMIFS(Collection!$J:$J, Collection!$A:$A, $A76, Collection!$B:$B, E$2)</f>
        <v>0</v>
      </c>
      <c r="F76" s="95">
        <f>SUMIFS(Collection!$J:$J, Collection!$A:$A, $A76, Collection!$B:$B, F$2)</f>
        <v>0</v>
      </c>
      <c r="G76" s="95">
        <f>SUMIFS(Collection!$J:$J, Collection!$A:$A, $A76, Collection!$B:$B, G$2)</f>
        <v>0</v>
      </c>
      <c r="H76" s="95">
        <f>SUMIFS(Collection!$J:$J, Collection!$A:$A, $A76, Collection!$B:$B, H$2)</f>
        <v>0</v>
      </c>
      <c r="I76" s="95">
        <f>SUMIFS(Collection!$J:$J, Collection!$A:$A, $A76, Collection!$B:$B, I$2)</f>
        <v>0</v>
      </c>
      <c r="J76" s="95">
        <f>SUMIFS(Collection!$J:$J, Collection!$A:$A, $A76, Collection!$B:$B, J$2)</f>
        <v>0</v>
      </c>
      <c r="K76" s="95">
        <f>SUMIFS(Collection!$J:$J, Collection!$A:$A, $A76, Collection!$B:$B, K$2)</f>
        <v>0</v>
      </c>
      <c r="L76" s="95">
        <f>SUMIFS(Collection!$J:$J, Collection!$A:$A, $A76, Collection!$B:$B, L$2)</f>
        <v>0</v>
      </c>
      <c r="M76" s="95">
        <f>SUMIFS(Collection!$J:$J, Collection!$A:$A, $A76, Collection!$B:$B, M$2)</f>
        <v>0</v>
      </c>
      <c r="N76" s="95">
        <f>SUMIFS(Collection!$J:$J, Collection!$A:$A, $A76, Collection!$B:$B, N$2)</f>
        <v>0</v>
      </c>
      <c r="O76" s="95">
        <f>SUMIFS(Collection!$J:$J, Collection!$A:$A, $A76, Collection!$B:$B, O$2)</f>
        <v>0</v>
      </c>
      <c r="P76" s="95">
        <f>SUMIFS(Collection!$J:$J, Collection!$A:$A, $A76, Collection!$B:$B, P$2)</f>
        <v>0</v>
      </c>
      <c r="Q76" s="95">
        <f>SUMIFS(Collection!$J:$J, Collection!$A:$A, $A76, Collection!$B:$B, Q$2)</f>
        <v>0</v>
      </c>
      <c r="R76" s="95">
        <f>SUMIFS(Collection!$J:$J, Collection!$A:$A, $A76, Collection!$B:$B, R$2)</f>
        <v>0</v>
      </c>
      <c r="S76" s="95">
        <f>SUMIFS(Collection!$J:$J, Collection!$A:$A, $A76, Collection!$B:$B, S$2)</f>
        <v>0</v>
      </c>
      <c r="T76" s="95">
        <f>SUMIFS(Collection!$J:$J, Collection!$A:$A, $A76, Collection!$B:$B, T$2)</f>
        <v>0</v>
      </c>
      <c r="U76" s="95">
        <f>SUMIFS(Collection!$J:$J, Collection!$A:$A, $A76, Collection!$B:$B, U$2)</f>
        <v>0</v>
      </c>
      <c r="V76" s="95">
        <f>SUMIFS(Collection!$J:$J, Collection!$A:$A, $A76, Collection!$B:$B, V$2)</f>
        <v>0</v>
      </c>
      <c r="W76" s="95">
        <f>SUMIFS(Collection!$J:$J, Collection!$A:$A, $A76, Collection!$B:$B, W$2)</f>
        <v>0</v>
      </c>
      <c r="X76" s="95">
        <f>SUMIFS(Collection!$J:$J, Collection!$A:$A, $A76, Collection!$B:$B, X$2)</f>
        <v>0</v>
      </c>
      <c r="Y76" s="95">
        <f>SUMIFS(Collection!$J:$J, Collection!$A:$A, $A76, Collection!$B:$B, Y$2)</f>
        <v>0</v>
      </c>
    </row>
    <row r="77" spans="1:25" s="60" customFormat="1">
      <c r="A77" s="102">
        <f t="shared" si="0"/>
        <v>42928</v>
      </c>
      <c r="B77" s="95">
        <f>SUMIFS(Collection!$J:$J, Collection!$A:$A, $A77, Collection!$B:$B, B$2)</f>
        <v>0</v>
      </c>
      <c r="C77" s="95">
        <f>SUMIFS(Collection!$J:$J, Collection!$A:$A, $A77, Collection!$B:$B, C$2)</f>
        <v>0</v>
      </c>
      <c r="D77" s="95">
        <f>SUMIFS(Collection!$J:$J, Collection!$A:$A, $A77, Collection!$B:$B, D$2)</f>
        <v>0</v>
      </c>
      <c r="E77" s="95">
        <f>SUMIFS(Collection!$J:$J, Collection!$A:$A, $A77, Collection!$B:$B, E$2)</f>
        <v>0</v>
      </c>
      <c r="F77" s="95">
        <f>SUMIFS(Collection!$J:$J, Collection!$A:$A, $A77, Collection!$B:$B, F$2)</f>
        <v>0</v>
      </c>
      <c r="G77" s="95">
        <f>SUMIFS(Collection!$J:$J, Collection!$A:$A, $A77, Collection!$B:$B, G$2)</f>
        <v>0</v>
      </c>
      <c r="H77" s="95">
        <f>SUMIFS(Collection!$J:$J, Collection!$A:$A, $A77, Collection!$B:$B, H$2)</f>
        <v>0</v>
      </c>
      <c r="I77" s="95">
        <f>SUMIFS(Collection!$J:$J, Collection!$A:$A, $A77, Collection!$B:$B, I$2)</f>
        <v>0</v>
      </c>
      <c r="J77" s="95">
        <f>SUMIFS(Collection!$J:$J, Collection!$A:$A, $A77, Collection!$B:$B, J$2)</f>
        <v>0</v>
      </c>
      <c r="K77" s="95">
        <f>SUMIFS(Collection!$J:$J, Collection!$A:$A, $A77, Collection!$B:$B, K$2)</f>
        <v>0</v>
      </c>
      <c r="L77" s="95">
        <f>SUMIFS(Collection!$J:$J, Collection!$A:$A, $A77, Collection!$B:$B, L$2)</f>
        <v>0</v>
      </c>
      <c r="M77" s="95">
        <f>SUMIFS(Collection!$J:$J, Collection!$A:$A, $A77, Collection!$B:$B, M$2)</f>
        <v>0</v>
      </c>
      <c r="N77" s="95">
        <f>SUMIFS(Collection!$J:$J, Collection!$A:$A, $A77, Collection!$B:$B, N$2)</f>
        <v>0</v>
      </c>
      <c r="O77" s="95">
        <f>SUMIFS(Collection!$J:$J, Collection!$A:$A, $A77, Collection!$B:$B, O$2)</f>
        <v>0</v>
      </c>
      <c r="P77" s="95">
        <f>SUMIFS(Collection!$J:$J, Collection!$A:$A, $A77, Collection!$B:$B, P$2)</f>
        <v>0</v>
      </c>
      <c r="Q77" s="95">
        <f>SUMIFS(Collection!$J:$J, Collection!$A:$A, $A77, Collection!$B:$B, Q$2)</f>
        <v>0</v>
      </c>
      <c r="R77" s="95">
        <f>SUMIFS(Collection!$J:$J, Collection!$A:$A, $A77, Collection!$B:$B, R$2)</f>
        <v>0</v>
      </c>
      <c r="S77" s="95">
        <f>SUMIFS(Collection!$J:$J, Collection!$A:$A, $A77, Collection!$B:$B, S$2)</f>
        <v>0</v>
      </c>
      <c r="T77" s="95">
        <f>SUMIFS(Collection!$J:$J, Collection!$A:$A, $A77, Collection!$B:$B, T$2)</f>
        <v>0</v>
      </c>
      <c r="U77" s="95">
        <f>SUMIFS(Collection!$J:$J, Collection!$A:$A, $A77, Collection!$B:$B, U$2)</f>
        <v>0</v>
      </c>
      <c r="V77" s="95">
        <f>SUMIFS(Collection!$J:$J, Collection!$A:$A, $A77, Collection!$B:$B, V$2)</f>
        <v>0</v>
      </c>
      <c r="W77" s="95">
        <f>SUMIFS(Collection!$J:$J, Collection!$A:$A, $A77, Collection!$B:$B, W$2)</f>
        <v>0</v>
      </c>
      <c r="X77" s="95">
        <f>SUMIFS(Collection!$J:$J, Collection!$A:$A, $A77, Collection!$B:$B, X$2)</f>
        <v>0</v>
      </c>
      <c r="Y77" s="95">
        <f>SUMIFS(Collection!$J:$J, Collection!$A:$A, $A77, Collection!$B:$B, Y$2)</f>
        <v>0</v>
      </c>
    </row>
    <row r="78" spans="1:25" s="61" customFormat="1" ht="16" thickBot="1">
      <c r="A78" s="103">
        <f t="shared" si="0"/>
        <v>42929</v>
      </c>
      <c r="B78" s="96">
        <f>SUMIFS(Collection!$J:$J, Collection!$A:$A, $A78, Collection!$B:$B, B$2)</f>
        <v>0</v>
      </c>
      <c r="C78" s="96">
        <f>SUMIFS(Collection!$J:$J, Collection!$A:$A, $A78, Collection!$B:$B, C$2)</f>
        <v>0</v>
      </c>
      <c r="D78" s="96">
        <f>SUMIFS(Collection!$J:$J, Collection!$A:$A, $A78, Collection!$B:$B, D$2)</f>
        <v>0</v>
      </c>
      <c r="E78" s="96">
        <f>SUMIFS(Collection!$J:$J, Collection!$A:$A, $A78, Collection!$B:$B, E$2)</f>
        <v>0</v>
      </c>
      <c r="F78" s="96">
        <f>SUMIFS(Collection!$J:$J, Collection!$A:$A, $A78, Collection!$B:$B, F$2)</f>
        <v>0</v>
      </c>
      <c r="G78" s="96">
        <f>SUMIFS(Collection!$J:$J, Collection!$A:$A, $A78, Collection!$B:$B, G$2)</f>
        <v>0</v>
      </c>
      <c r="H78" s="96">
        <f>SUMIFS(Collection!$J:$J, Collection!$A:$A, $A78, Collection!$B:$B, H$2)</f>
        <v>0</v>
      </c>
      <c r="I78" s="96">
        <f>SUMIFS(Collection!$J:$J, Collection!$A:$A, $A78, Collection!$B:$B, I$2)</f>
        <v>0</v>
      </c>
      <c r="J78" s="96">
        <f>SUMIFS(Collection!$J:$J, Collection!$A:$A, $A78, Collection!$B:$B, J$2)</f>
        <v>0</v>
      </c>
      <c r="K78" s="96">
        <f>SUMIFS(Collection!$J:$J, Collection!$A:$A, $A78, Collection!$B:$B, K$2)</f>
        <v>0</v>
      </c>
      <c r="L78" s="96">
        <f>SUMIFS(Collection!$J:$J, Collection!$A:$A, $A78, Collection!$B:$B, L$2)</f>
        <v>0</v>
      </c>
      <c r="M78" s="96">
        <f>SUMIFS(Collection!$J:$J, Collection!$A:$A, $A78, Collection!$B:$B, M$2)</f>
        <v>0</v>
      </c>
      <c r="N78" s="96">
        <f>SUMIFS(Collection!$J:$J, Collection!$A:$A, $A78, Collection!$B:$B, N$2)</f>
        <v>0</v>
      </c>
      <c r="O78" s="96">
        <f>SUMIFS(Collection!$J:$J, Collection!$A:$A, $A78, Collection!$B:$B, O$2)</f>
        <v>0</v>
      </c>
      <c r="P78" s="96">
        <f>SUMIFS(Collection!$J:$J, Collection!$A:$A, $A78, Collection!$B:$B, P$2)</f>
        <v>0</v>
      </c>
      <c r="Q78" s="96">
        <f>SUMIFS(Collection!$J:$J, Collection!$A:$A, $A78, Collection!$B:$B, Q$2)</f>
        <v>0</v>
      </c>
      <c r="R78" s="96">
        <f>SUMIFS(Collection!$J:$J, Collection!$A:$A, $A78, Collection!$B:$B, R$2)</f>
        <v>0</v>
      </c>
      <c r="S78" s="96">
        <f>SUMIFS(Collection!$J:$J, Collection!$A:$A, $A78, Collection!$B:$B, S$2)</f>
        <v>0</v>
      </c>
      <c r="T78" s="96">
        <f>SUMIFS(Collection!$J:$J, Collection!$A:$A, $A78, Collection!$B:$B, T$2)</f>
        <v>0</v>
      </c>
      <c r="U78" s="96">
        <f>SUMIFS(Collection!$J:$J, Collection!$A:$A, $A78, Collection!$B:$B, U$2)</f>
        <v>0</v>
      </c>
      <c r="V78" s="96">
        <f>SUMIFS(Collection!$J:$J, Collection!$A:$A, $A78, Collection!$B:$B, V$2)</f>
        <v>0</v>
      </c>
      <c r="W78" s="96">
        <f>SUMIFS(Collection!$J:$J, Collection!$A:$A, $A78, Collection!$B:$B, W$2)</f>
        <v>0</v>
      </c>
      <c r="X78" s="96">
        <f>SUMIFS(Collection!$J:$J, Collection!$A:$A, $A78, Collection!$B:$B, X$2)</f>
        <v>0</v>
      </c>
      <c r="Y78" s="96">
        <f>SUMIFS(Collection!$J:$J, Collection!$A:$A, $A78, Collection!$B:$B, Y$2)</f>
        <v>0</v>
      </c>
    </row>
    <row r="79" spans="1:25" s="60" customFormat="1">
      <c r="A79" s="102"/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</row>
    <row r="80" spans="1:25" s="60" customFormat="1">
      <c r="A80" s="102">
        <f>1+A78</f>
        <v>42930</v>
      </c>
      <c r="B80" s="95">
        <f>SUMIFS(Collection!$J:$J, Collection!$A:$A, $A80, Collection!$B:$B, B$2)</f>
        <v>0</v>
      </c>
      <c r="C80" s="95">
        <f>SUMIFS(Collection!$J:$J, Collection!$A:$A, $A80, Collection!$B:$B, C$2)</f>
        <v>0</v>
      </c>
      <c r="D80" s="95">
        <f>SUMIFS(Collection!$J:$J, Collection!$A:$A, $A80, Collection!$B:$B, D$2)</f>
        <v>0</v>
      </c>
      <c r="E80" s="95">
        <f>SUMIFS(Collection!$J:$J, Collection!$A:$A, $A80, Collection!$B:$B, E$2)</f>
        <v>0</v>
      </c>
      <c r="F80" s="95">
        <f>SUMIFS(Collection!$J:$J, Collection!$A:$A, $A80, Collection!$B:$B, F$2)</f>
        <v>0</v>
      </c>
      <c r="G80" s="95">
        <f>SUMIFS(Collection!$J:$J, Collection!$A:$A, $A80, Collection!$B:$B, G$2)</f>
        <v>0</v>
      </c>
      <c r="H80" s="95">
        <f>SUMIFS(Collection!$J:$J, Collection!$A:$A, $A80, Collection!$B:$B, H$2)</f>
        <v>0</v>
      </c>
      <c r="I80" s="95">
        <f>SUMIFS(Collection!$J:$J, Collection!$A:$A, $A80, Collection!$B:$B, I$2)</f>
        <v>0</v>
      </c>
      <c r="J80" s="95">
        <f>SUMIFS(Collection!$J:$J, Collection!$A:$A, $A80, Collection!$B:$B, J$2)</f>
        <v>0</v>
      </c>
      <c r="K80" s="95">
        <f>SUMIFS(Collection!$J:$J, Collection!$A:$A, $A80, Collection!$B:$B, K$2)</f>
        <v>0</v>
      </c>
      <c r="L80" s="95">
        <f>SUMIFS(Collection!$J:$J, Collection!$A:$A, $A80, Collection!$B:$B, L$2)</f>
        <v>0</v>
      </c>
      <c r="M80" s="95">
        <f>SUMIFS(Collection!$J:$J, Collection!$A:$A, $A80, Collection!$B:$B, M$2)</f>
        <v>0</v>
      </c>
      <c r="N80" s="95">
        <f>SUMIFS(Collection!$J:$J, Collection!$A:$A, $A80, Collection!$B:$B, N$2)</f>
        <v>0</v>
      </c>
      <c r="O80" s="95">
        <f>SUMIFS(Collection!$J:$J, Collection!$A:$A, $A80, Collection!$B:$B, O$2)</f>
        <v>0</v>
      </c>
      <c r="P80" s="95">
        <f>SUMIFS(Collection!$J:$J, Collection!$A:$A, $A80, Collection!$B:$B, P$2)</f>
        <v>0</v>
      </c>
      <c r="Q80" s="95">
        <f>SUMIFS(Collection!$J:$J, Collection!$A:$A, $A80, Collection!$B:$B, Q$2)</f>
        <v>0</v>
      </c>
      <c r="R80" s="95">
        <f>SUMIFS(Collection!$J:$J, Collection!$A:$A, $A80, Collection!$B:$B, R$2)</f>
        <v>0</v>
      </c>
      <c r="S80" s="95">
        <f>SUMIFS(Collection!$J:$J, Collection!$A:$A, $A80, Collection!$B:$B, S$2)</f>
        <v>0</v>
      </c>
      <c r="T80" s="95">
        <f>SUMIFS(Collection!$J:$J, Collection!$A:$A, $A80, Collection!$B:$B, T$2)</f>
        <v>0</v>
      </c>
      <c r="U80" s="95">
        <f>SUMIFS(Collection!$J:$J, Collection!$A:$A, $A80, Collection!$B:$B, U$2)</f>
        <v>0</v>
      </c>
      <c r="V80" s="95">
        <f>SUMIFS(Collection!$J:$J, Collection!$A:$A, $A80, Collection!$B:$B, V$2)</f>
        <v>0</v>
      </c>
      <c r="W80" s="95">
        <f>SUMIFS(Collection!$J:$J, Collection!$A:$A, $A80, Collection!$B:$B, W$2)</f>
        <v>0</v>
      </c>
      <c r="X80" s="95">
        <f>SUMIFS(Collection!$J:$J, Collection!$A:$A, $A80, Collection!$B:$B, X$2)</f>
        <v>0</v>
      </c>
      <c r="Y80" s="95">
        <f>SUMIFS(Collection!$J:$J, Collection!$A:$A, $A80, Collection!$B:$B, Y$2)</f>
        <v>0</v>
      </c>
    </row>
    <row r="81" spans="1:25" s="60" customFormat="1">
      <c r="A81" s="102">
        <f t="shared" si="0"/>
        <v>42931</v>
      </c>
      <c r="B81" s="95">
        <f>SUMIFS(Collection!$J:$J, Collection!$A:$A, $A81, Collection!$B:$B, B$2)</f>
        <v>0</v>
      </c>
      <c r="C81" s="95">
        <f>SUMIFS(Collection!$J:$J, Collection!$A:$A, $A81, Collection!$B:$B, C$2)</f>
        <v>0</v>
      </c>
      <c r="D81" s="95">
        <f>SUMIFS(Collection!$J:$J, Collection!$A:$A, $A81, Collection!$B:$B, D$2)</f>
        <v>0</v>
      </c>
      <c r="E81" s="95">
        <f>SUMIFS(Collection!$J:$J, Collection!$A:$A, $A81, Collection!$B:$B, E$2)</f>
        <v>0</v>
      </c>
      <c r="F81" s="95">
        <f>SUMIFS(Collection!$J:$J, Collection!$A:$A, $A81, Collection!$B:$B, F$2)</f>
        <v>0</v>
      </c>
      <c r="G81" s="95">
        <f>SUMIFS(Collection!$J:$J, Collection!$A:$A, $A81, Collection!$B:$B, G$2)</f>
        <v>0</v>
      </c>
      <c r="H81" s="95">
        <f>SUMIFS(Collection!$J:$J, Collection!$A:$A, $A81, Collection!$B:$B, H$2)</f>
        <v>0</v>
      </c>
      <c r="I81" s="95">
        <f>SUMIFS(Collection!$J:$J, Collection!$A:$A, $A81, Collection!$B:$B, I$2)</f>
        <v>0</v>
      </c>
      <c r="J81" s="95">
        <f>SUMIFS(Collection!$J:$J, Collection!$A:$A, $A81, Collection!$B:$B, J$2)</f>
        <v>0</v>
      </c>
      <c r="K81" s="95">
        <f>SUMIFS(Collection!$J:$J, Collection!$A:$A, $A81, Collection!$B:$B, K$2)</f>
        <v>0</v>
      </c>
      <c r="L81" s="95">
        <f>SUMIFS(Collection!$J:$J, Collection!$A:$A, $A81, Collection!$B:$B, L$2)</f>
        <v>0</v>
      </c>
      <c r="M81" s="95">
        <f>SUMIFS(Collection!$J:$J, Collection!$A:$A, $A81, Collection!$B:$B, M$2)</f>
        <v>0</v>
      </c>
      <c r="N81" s="95">
        <f>SUMIFS(Collection!$J:$J, Collection!$A:$A, $A81, Collection!$B:$B, N$2)</f>
        <v>0</v>
      </c>
      <c r="O81" s="95">
        <f>SUMIFS(Collection!$J:$J, Collection!$A:$A, $A81, Collection!$B:$B, O$2)</f>
        <v>0</v>
      </c>
      <c r="P81" s="95">
        <f>SUMIFS(Collection!$J:$J, Collection!$A:$A, $A81, Collection!$B:$B, P$2)</f>
        <v>0</v>
      </c>
      <c r="Q81" s="95">
        <f>SUMIFS(Collection!$J:$J, Collection!$A:$A, $A81, Collection!$B:$B, Q$2)</f>
        <v>0</v>
      </c>
      <c r="R81" s="95">
        <f>SUMIFS(Collection!$J:$J, Collection!$A:$A, $A81, Collection!$B:$B, R$2)</f>
        <v>0</v>
      </c>
      <c r="S81" s="95">
        <f>SUMIFS(Collection!$J:$J, Collection!$A:$A, $A81, Collection!$B:$B, S$2)</f>
        <v>0</v>
      </c>
      <c r="T81" s="95">
        <f>SUMIFS(Collection!$J:$J, Collection!$A:$A, $A81, Collection!$B:$B, T$2)</f>
        <v>0</v>
      </c>
      <c r="U81" s="95">
        <f>SUMIFS(Collection!$J:$J, Collection!$A:$A, $A81, Collection!$B:$B, U$2)</f>
        <v>0</v>
      </c>
      <c r="V81" s="95">
        <f>SUMIFS(Collection!$J:$J, Collection!$A:$A, $A81, Collection!$B:$B, V$2)</f>
        <v>0</v>
      </c>
      <c r="W81" s="95">
        <f>SUMIFS(Collection!$J:$J, Collection!$A:$A, $A81, Collection!$B:$B, W$2)</f>
        <v>0</v>
      </c>
      <c r="X81" s="95">
        <f>SUMIFS(Collection!$J:$J, Collection!$A:$A, $A81, Collection!$B:$B, X$2)</f>
        <v>0</v>
      </c>
      <c r="Y81" s="95">
        <f>SUMIFS(Collection!$J:$J, Collection!$A:$A, $A81, Collection!$B:$B, Y$2)</f>
        <v>0</v>
      </c>
    </row>
    <row r="82" spans="1:25" s="60" customFormat="1">
      <c r="A82" s="102">
        <f t="shared" ref="A82:A83" si="2">1+A81</f>
        <v>42932</v>
      </c>
      <c r="B82" s="95">
        <f>SUMIFS(Collection!$J:$J, Collection!$A:$A, $A82, Collection!$B:$B, B$2)</f>
        <v>0</v>
      </c>
      <c r="C82" s="95">
        <f>SUMIFS(Collection!$J:$J, Collection!$A:$A, $A82, Collection!$B:$B, C$2)</f>
        <v>0</v>
      </c>
      <c r="D82" s="95">
        <f>SUMIFS(Collection!$J:$J, Collection!$A:$A, $A82, Collection!$B:$B, D$2)</f>
        <v>0</v>
      </c>
      <c r="E82" s="95">
        <f>SUMIFS(Collection!$J:$J, Collection!$A:$A, $A82, Collection!$B:$B, E$2)</f>
        <v>0</v>
      </c>
      <c r="F82" s="95">
        <f>SUMIFS(Collection!$J:$J, Collection!$A:$A, $A82, Collection!$B:$B, F$2)</f>
        <v>0</v>
      </c>
      <c r="G82" s="95">
        <f>SUMIFS(Collection!$J:$J, Collection!$A:$A, $A82, Collection!$B:$B, G$2)</f>
        <v>0</v>
      </c>
      <c r="H82" s="95">
        <f>SUMIFS(Collection!$J:$J, Collection!$A:$A, $A82, Collection!$B:$B, H$2)</f>
        <v>0</v>
      </c>
      <c r="I82" s="95">
        <f>SUMIFS(Collection!$J:$J, Collection!$A:$A, $A82, Collection!$B:$B, I$2)</f>
        <v>0</v>
      </c>
      <c r="J82" s="95">
        <f>SUMIFS(Collection!$J:$J, Collection!$A:$A, $A82, Collection!$B:$B, J$2)</f>
        <v>0</v>
      </c>
      <c r="K82" s="95">
        <f>SUMIFS(Collection!$J:$J, Collection!$A:$A, $A82, Collection!$B:$B, K$2)</f>
        <v>0</v>
      </c>
      <c r="L82" s="95">
        <f>SUMIFS(Collection!$J:$J, Collection!$A:$A, $A82, Collection!$B:$B, L$2)</f>
        <v>0</v>
      </c>
      <c r="M82" s="95">
        <f>SUMIFS(Collection!$J:$J, Collection!$A:$A, $A82, Collection!$B:$B, M$2)</f>
        <v>0</v>
      </c>
      <c r="N82" s="95">
        <f>SUMIFS(Collection!$J:$J, Collection!$A:$A, $A82, Collection!$B:$B, N$2)</f>
        <v>0</v>
      </c>
      <c r="O82" s="95">
        <f>SUMIFS(Collection!$J:$J, Collection!$A:$A, $A82, Collection!$B:$B, O$2)</f>
        <v>0</v>
      </c>
      <c r="P82" s="95">
        <f>SUMIFS(Collection!$J:$J, Collection!$A:$A, $A82, Collection!$B:$B, P$2)</f>
        <v>0</v>
      </c>
      <c r="Q82" s="95">
        <f>SUMIFS(Collection!$J:$J, Collection!$A:$A, $A82, Collection!$B:$B, Q$2)</f>
        <v>0</v>
      </c>
      <c r="R82" s="95">
        <f>SUMIFS(Collection!$J:$J, Collection!$A:$A, $A82, Collection!$B:$B, R$2)</f>
        <v>0</v>
      </c>
      <c r="S82" s="95">
        <f>SUMIFS(Collection!$J:$J, Collection!$A:$A, $A82, Collection!$B:$B, S$2)</f>
        <v>0</v>
      </c>
      <c r="T82" s="95">
        <f>SUMIFS(Collection!$J:$J, Collection!$A:$A, $A82, Collection!$B:$B, T$2)</f>
        <v>0</v>
      </c>
      <c r="U82" s="95">
        <f>SUMIFS(Collection!$J:$J, Collection!$A:$A, $A82, Collection!$B:$B, U$2)</f>
        <v>0</v>
      </c>
      <c r="V82" s="95">
        <f>SUMIFS(Collection!$J:$J, Collection!$A:$A, $A82, Collection!$B:$B, V$2)</f>
        <v>0</v>
      </c>
      <c r="W82" s="95">
        <f>SUMIFS(Collection!$J:$J, Collection!$A:$A, $A82, Collection!$B:$B, W$2)</f>
        <v>0</v>
      </c>
      <c r="X82" s="95">
        <f>SUMIFS(Collection!$J:$J, Collection!$A:$A, $A82, Collection!$B:$B, X$2)</f>
        <v>0</v>
      </c>
      <c r="Y82" s="95">
        <f>SUMIFS(Collection!$J:$J, Collection!$A:$A, $A82, Collection!$B:$B, Y$2)</f>
        <v>0</v>
      </c>
    </row>
    <row r="83" spans="1:25" s="61" customFormat="1" ht="16" thickBot="1">
      <c r="A83" s="103">
        <f t="shared" si="2"/>
        <v>42933</v>
      </c>
      <c r="B83" s="96">
        <f>SUMIFS(Collection!$J:$J, Collection!$A:$A, $A83, Collection!$B:$B, B$2)</f>
        <v>0</v>
      </c>
      <c r="C83" s="96">
        <f>SUMIFS(Collection!$J:$J, Collection!$A:$A, $A83, Collection!$B:$B, C$2)</f>
        <v>0</v>
      </c>
      <c r="D83" s="96">
        <f>SUMIFS(Collection!$J:$J, Collection!$A:$A, $A83, Collection!$B:$B, D$2)</f>
        <v>0</v>
      </c>
      <c r="E83" s="96">
        <f>SUMIFS(Collection!$J:$J, Collection!$A:$A, $A83, Collection!$B:$B, E$2)</f>
        <v>0</v>
      </c>
      <c r="F83" s="96">
        <f>SUMIFS(Collection!$J:$J, Collection!$A:$A, $A83, Collection!$B:$B, F$2)</f>
        <v>0</v>
      </c>
      <c r="G83" s="96">
        <f>SUMIFS(Collection!$J:$J, Collection!$A:$A, $A83, Collection!$B:$B, G$2)</f>
        <v>0</v>
      </c>
      <c r="H83" s="96">
        <f>SUMIFS(Collection!$J:$J, Collection!$A:$A, $A83, Collection!$B:$B, H$2)</f>
        <v>0</v>
      </c>
      <c r="I83" s="96">
        <f>SUMIFS(Collection!$J:$J, Collection!$A:$A, $A83, Collection!$B:$B, I$2)</f>
        <v>0</v>
      </c>
      <c r="J83" s="96">
        <f>SUMIFS(Collection!$J:$J, Collection!$A:$A, $A83, Collection!$B:$B, J$2)</f>
        <v>0</v>
      </c>
      <c r="K83" s="96">
        <f>SUMIFS(Collection!$J:$J, Collection!$A:$A, $A83, Collection!$B:$B, K$2)</f>
        <v>0</v>
      </c>
      <c r="L83" s="96">
        <f>SUMIFS(Collection!$J:$J, Collection!$A:$A, $A83, Collection!$B:$B, L$2)</f>
        <v>0</v>
      </c>
      <c r="M83" s="96">
        <f>SUMIFS(Collection!$J:$J, Collection!$A:$A, $A83, Collection!$B:$B, M$2)</f>
        <v>0</v>
      </c>
      <c r="N83" s="96">
        <f>SUMIFS(Collection!$J:$J, Collection!$A:$A, $A83, Collection!$B:$B, N$2)</f>
        <v>0</v>
      </c>
      <c r="O83" s="96">
        <f>SUMIFS(Collection!$J:$J, Collection!$A:$A, $A83, Collection!$B:$B, O$2)</f>
        <v>0</v>
      </c>
      <c r="P83" s="96">
        <f>SUMIFS(Collection!$J:$J, Collection!$A:$A, $A83, Collection!$B:$B, P$2)</f>
        <v>0</v>
      </c>
      <c r="Q83" s="96">
        <f>SUMIFS(Collection!$J:$J, Collection!$A:$A, $A83, Collection!$B:$B, Q$2)</f>
        <v>0</v>
      </c>
      <c r="R83" s="96">
        <f>SUMIFS(Collection!$J:$J, Collection!$A:$A, $A83, Collection!$B:$B, R$2)</f>
        <v>0</v>
      </c>
      <c r="S83" s="96">
        <f>SUMIFS(Collection!$J:$J, Collection!$A:$A, $A83, Collection!$B:$B, S$2)</f>
        <v>0</v>
      </c>
      <c r="T83" s="96">
        <f>SUMIFS(Collection!$J:$J, Collection!$A:$A, $A83, Collection!$B:$B, T$2)</f>
        <v>0</v>
      </c>
      <c r="U83" s="96">
        <f>SUMIFS(Collection!$J:$J, Collection!$A:$A, $A83, Collection!$B:$B, U$2)</f>
        <v>0</v>
      </c>
      <c r="V83" s="96">
        <f>SUMIFS(Collection!$J:$J, Collection!$A:$A, $A83, Collection!$B:$B, V$2)</f>
        <v>0</v>
      </c>
      <c r="W83" s="96">
        <f>SUMIFS(Collection!$J:$J, Collection!$A:$A, $A83, Collection!$B:$B, W$2)</f>
        <v>0</v>
      </c>
      <c r="X83" s="96">
        <f>SUMIFS(Collection!$J:$J, Collection!$A:$A, $A83, Collection!$B:$B, X$2)</f>
        <v>0</v>
      </c>
      <c r="Y83" s="96">
        <f>SUMIFS(Collection!$J:$J, Collection!$A:$A, $A83, Collection!$B:$B, Y$2)</f>
        <v>0</v>
      </c>
    </row>
    <row r="84" spans="1:25">
      <c r="A84" s="100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6"/>
  <sheetViews>
    <sheetView showRuler="0" workbookViewId="0">
      <selection activeCell="K20" sqref="K20"/>
    </sheetView>
  </sheetViews>
  <sheetFormatPr baseColWidth="10" defaultRowHeight="15" x14ac:dyDescent="0"/>
  <cols>
    <col min="1" max="1" width="19" customWidth="1"/>
    <col min="2" max="2" width="4.1640625" style="20" customWidth="1"/>
    <col min="3" max="4" width="12.6640625" customWidth="1"/>
    <col min="5" max="5" width="11.5" bestFit="1" customWidth="1"/>
    <col min="6" max="6" width="11.5" customWidth="1"/>
    <col min="7" max="7" width="16.1640625" customWidth="1"/>
    <col min="8" max="8" width="11.5" bestFit="1" customWidth="1"/>
    <col min="9" max="9" width="14" customWidth="1"/>
    <col min="10" max="10" width="11.1640625" customWidth="1"/>
    <col min="11" max="12" width="11.5" bestFit="1" customWidth="1"/>
  </cols>
  <sheetData>
    <row r="1" spans="1:10" ht="54">
      <c r="A1" s="35" t="s">
        <v>223</v>
      </c>
      <c r="C1" s="205" t="s">
        <v>121</v>
      </c>
      <c r="D1" s="205" t="s">
        <v>123</v>
      </c>
      <c r="E1" s="205" t="s">
        <v>184</v>
      </c>
      <c r="F1" s="205" t="s">
        <v>185</v>
      </c>
      <c r="G1" s="205" t="s">
        <v>217</v>
      </c>
      <c r="H1" s="205" t="s">
        <v>225</v>
      </c>
      <c r="I1" s="207" t="s">
        <v>142</v>
      </c>
      <c r="J1" s="208" t="s">
        <v>224</v>
      </c>
    </row>
    <row r="2" spans="1:10">
      <c r="A2" s="17" t="s">
        <v>99</v>
      </c>
      <c r="C2" s="20">
        <f>SUMIF(Collection!B:B, A2, Collection!J:J)</f>
        <v>694863.33333333326</v>
      </c>
      <c r="D2">
        <v>15</v>
      </c>
      <c r="E2">
        <v>37.5</v>
      </c>
      <c r="F2">
        <v>8</v>
      </c>
      <c r="G2" s="157">
        <f>C2/D2</f>
        <v>46324.222222222219</v>
      </c>
      <c r="H2" s="157">
        <f>SUMIF(Collection!B:B, 'Total Larvae to Date'!A2, Collection!O:O)</f>
        <v>213510.00000000003</v>
      </c>
      <c r="I2" s="209" t="s">
        <v>85</v>
      </c>
      <c r="J2" s="210">
        <f>SUM(C2:C3)</f>
        <v>1116063.3333333333</v>
      </c>
    </row>
    <row r="3" spans="1:10">
      <c r="A3" s="8" t="s">
        <v>31</v>
      </c>
      <c r="C3" s="20">
        <f>SUMIF(Collection!B:B, A3, Collection!J:J)</f>
        <v>421200</v>
      </c>
      <c r="D3">
        <v>14</v>
      </c>
      <c r="E3">
        <v>37.5</v>
      </c>
      <c r="F3">
        <v>8</v>
      </c>
      <c r="G3" s="157">
        <f t="shared" ref="G3:G25" si="0">C3/D3</f>
        <v>30085.714285714286</v>
      </c>
      <c r="H3" s="20">
        <f>SUMIF(Collection!B:B, 'Total Larvae to Date'!A3, Collection!O:O)</f>
        <v>105766.66666666667</v>
      </c>
      <c r="I3" s="209" t="s">
        <v>77</v>
      </c>
      <c r="J3" s="210">
        <f>C4+C5</f>
        <v>397674.99999999994</v>
      </c>
    </row>
    <row r="4" spans="1:10">
      <c r="A4" s="17" t="s">
        <v>49</v>
      </c>
      <c r="C4" s="20">
        <f>SUMIF(Collection!B:B, A4, Collection!J:J)</f>
        <v>5183.3333333333339</v>
      </c>
      <c r="D4">
        <v>14</v>
      </c>
      <c r="E4">
        <v>34.9</v>
      </c>
      <c r="F4">
        <v>6.9</v>
      </c>
      <c r="G4" s="157">
        <f t="shared" si="0"/>
        <v>370.2380952380953</v>
      </c>
      <c r="H4" s="20">
        <f>SUMIF(Collection!B:B, 'Total Larvae to Date'!A4, Collection!O:O)</f>
        <v>5183.3333333333339</v>
      </c>
      <c r="I4" s="209" t="s">
        <v>86</v>
      </c>
      <c r="J4" s="210">
        <f>C6+C7</f>
        <v>277675</v>
      </c>
    </row>
    <row r="5" spans="1:10">
      <c r="A5" s="8" t="s">
        <v>47</v>
      </c>
      <c r="C5" s="20">
        <f>SUMIF(Collection!B:B, A5, Collection!J:J)</f>
        <v>392491.66666666663</v>
      </c>
      <c r="D5">
        <v>14</v>
      </c>
      <c r="E5">
        <v>34.9</v>
      </c>
      <c r="F5">
        <v>6.9</v>
      </c>
      <c r="G5" s="157">
        <f t="shared" si="0"/>
        <v>28035.119047619046</v>
      </c>
      <c r="H5" s="20">
        <f>SUMIF(Collection!B:B, 'Total Larvae to Date'!A5, Collection!O:O)</f>
        <v>164275</v>
      </c>
      <c r="I5" s="209" t="s">
        <v>106</v>
      </c>
      <c r="J5" s="210">
        <f>C8+C9</f>
        <v>1122961.6666666667</v>
      </c>
    </row>
    <row r="6" spans="1:10">
      <c r="A6" s="8" t="s">
        <v>50</v>
      </c>
      <c r="C6" s="20">
        <f>SUMIF(Collection!B:B, A6, Collection!J:J)</f>
        <v>127274.99999999999</v>
      </c>
      <c r="D6">
        <v>15</v>
      </c>
      <c r="E6">
        <v>34.700000000000003</v>
      </c>
      <c r="F6">
        <v>6.5</v>
      </c>
      <c r="G6" s="157">
        <f t="shared" si="0"/>
        <v>8484.9999999999982</v>
      </c>
      <c r="H6" s="20">
        <f>SUMIF(Collection!B:B, 'Total Larvae to Date'!A6, Collection!O:O)</f>
        <v>66675</v>
      </c>
      <c r="I6" s="209" t="s">
        <v>87</v>
      </c>
      <c r="J6" s="210">
        <f>C10+C11</f>
        <v>3153773.3333333335</v>
      </c>
    </row>
    <row r="7" spans="1:10">
      <c r="A7" s="17" t="s">
        <v>39</v>
      </c>
      <c r="C7" s="20">
        <f>SUMIF(Collection!B:B, A7, Collection!J:J)</f>
        <v>150400</v>
      </c>
      <c r="D7">
        <v>14</v>
      </c>
      <c r="E7">
        <v>34.700000000000003</v>
      </c>
      <c r="F7">
        <v>6.5</v>
      </c>
      <c r="G7" s="157">
        <f t="shared" si="0"/>
        <v>10742.857142857143</v>
      </c>
      <c r="H7" s="20">
        <f>SUMIF(Collection!B:B, 'Total Larvae to Date'!A7, Collection!O:O)</f>
        <v>64966.666666666672</v>
      </c>
      <c r="I7" s="209" t="s">
        <v>140</v>
      </c>
      <c r="J7" s="210">
        <f>C12+C13</f>
        <v>2276873.3333333335</v>
      </c>
    </row>
    <row r="8" spans="1:10">
      <c r="A8" s="8" t="s">
        <v>122</v>
      </c>
      <c r="C8" s="20">
        <f>SUMIF(Collection!B:B, A8, Collection!J:J)</f>
        <v>533558.33333333337</v>
      </c>
      <c r="D8">
        <v>14</v>
      </c>
      <c r="E8">
        <v>35.9</v>
      </c>
      <c r="F8">
        <v>7</v>
      </c>
      <c r="G8" s="157">
        <f t="shared" si="0"/>
        <v>38111.309523809527</v>
      </c>
      <c r="H8" s="20">
        <f>SUMIF(Collection!B:B, 'Total Larvae to Date'!A8, Collection!O:O)</f>
        <v>196873.33333333334</v>
      </c>
      <c r="I8" s="209" t="s">
        <v>88</v>
      </c>
      <c r="J8" s="210">
        <f>C14+C15</f>
        <v>2178386.6666666665</v>
      </c>
    </row>
    <row r="9" spans="1:10">
      <c r="A9" s="17" t="s">
        <v>98</v>
      </c>
      <c r="C9" s="20">
        <f>SUMIF(Collection!B:B, A9, Collection!J:J)</f>
        <v>589403.33333333337</v>
      </c>
      <c r="D9">
        <v>15</v>
      </c>
      <c r="E9">
        <v>35.9</v>
      </c>
      <c r="F9">
        <v>7</v>
      </c>
      <c r="G9" s="157">
        <f t="shared" si="0"/>
        <v>39293.555555555555</v>
      </c>
      <c r="H9" s="20">
        <f>SUMIF(Collection!B:B, 'Total Larvae to Date'!A9, Collection!O:O)</f>
        <v>173253.33333333334</v>
      </c>
      <c r="I9" s="209" t="s">
        <v>78</v>
      </c>
      <c r="J9" s="210">
        <f>C16+C17</f>
        <v>2115476.666666667</v>
      </c>
    </row>
    <row r="10" spans="1:10">
      <c r="A10" s="8" t="s">
        <v>27</v>
      </c>
      <c r="C10" s="20">
        <f>SUMIF(Collection!B:B, A10, Collection!J:J)</f>
        <v>1918073.3333333335</v>
      </c>
      <c r="D10">
        <v>17</v>
      </c>
      <c r="E10">
        <v>37</v>
      </c>
      <c r="F10">
        <v>7.2</v>
      </c>
      <c r="G10" s="157">
        <f t="shared" si="0"/>
        <v>112827.84313725491</v>
      </c>
      <c r="H10" s="20">
        <f>SUMIF(Collection!B:B, 'Total Larvae to Date'!A10, Collection!O:O)</f>
        <v>368626.66666666669</v>
      </c>
      <c r="I10" s="209" t="s">
        <v>89</v>
      </c>
      <c r="J10" s="210">
        <f>C18</f>
        <v>739453.33333333326</v>
      </c>
    </row>
    <row r="11" spans="1:10">
      <c r="A11" s="8" t="s">
        <v>23</v>
      </c>
      <c r="C11" s="20">
        <f>SUMIF(Collection!B:B, A11, Collection!J:J)</f>
        <v>1235700</v>
      </c>
      <c r="D11">
        <v>17</v>
      </c>
      <c r="E11">
        <v>37</v>
      </c>
      <c r="F11">
        <v>7.2</v>
      </c>
      <c r="G11" s="157">
        <f t="shared" si="0"/>
        <v>72688.23529411765</v>
      </c>
      <c r="H11" s="20">
        <f>SUMIF(Collection!B:B, 'Total Larvae to Date'!A11, Collection!O:O)</f>
        <v>382166.66666666674</v>
      </c>
      <c r="I11" s="209" t="s">
        <v>139</v>
      </c>
      <c r="J11" s="210">
        <f>C19</f>
        <v>695188.33333333337</v>
      </c>
    </row>
    <row r="12" spans="1:10">
      <c r="A12" s="8" t="s">
        <v>24</v>
      </c>
      <c r="C12" s="20">
        <f>SUMIF(Collection!B:B, A12, Collection!J:J)</f>
        <v>837116.66666666663</v>
      </c>
      <c r="D12">
        <v>15</v>
      </c>
      <c r="E12">
        <v>33.700000000000003</v>
      </c>
      <c r="F12">
        <v>8</v>
      </c>
      <c r="G12" s="157">
        <f t="shared" si="0"/>
        <v>55807.777777777774</v>
      </c>
      <c r="H12" s="20">
        <f>SUMIF(Collection!B:B, 'Total Larvae to Date'!A12, Collection!O:O)</f>
        <v>250333.33333333334</v>
      </c>
      <c r="I12" s="209" t="s">
        <v>120</v>
      </c>
      <c r="J12" s="210">
        <f>C20</f>
        <v>105066.66666666667</v>
      </c>
    </row>
    <row r="13" spans="1:10">
      <c r="A13" s="17" t="s">
        <v>34</v>
      </c>
      <c r="C13" s="20">
        <f>SUMIF(Collection!B:B, A13, Collection!J:J)</f>
        <v>1439756.6666666667</v>
      </c>
      <c r="D13">
        <v>15</v>
      </c>
      <c r="E13">
        <v>33.700000000000003</v>
      </c>
      <c r="F13">
        <v>8</v>
      </c>
      <c r="G13" s="157">
        <f t="shared" si="0"/>
        <v>95983.777777777781</v>
      </c>
      <c r="H13" s="20">
        <f>SUMIF(Collection!B:B, 'Total Larvae to Date'!A13, Collection!O:O)</f>
        <v>331683.33333333337</v>
      </c>
      <c r="I13" s="209" t="s">
        <v>21</v>
      </c>
      <c r="J13" s="210">
        <f>C21</f>
        <v>958269.4444444445</v>
      </c>
    </row>
    <row r="14" spans="1:10">
      <c r="A14" s="17" t="s">
        <v>25</v>
      </c>
      <c r="C14" s="20">
        <f>SUMIF(Collection!B:B, A14, Collection!J:J)</f>
        <v>696583.33333333326</v>
      </c>
      <c r="D14">
        <v>15</v>
      </c>
      <c r="E14">
        <v>37</v>
      </c>
      <c r="F14">
        <v>8.6</v>
      </c>
      <c r="G14" s="157">
        <f t="shared" si="0"/>
        <v>46438.888888888883</v>
      </c>
      <c r="H14" s="20">
        <f>SUMIF(Collection!B:B, 'Total Larvae to Date'!A14, Collection!O:O)</f>
        <v>57500</v>
      </c>
      <c r="I14" s="209" t="s">
        <v>17</v>
      </c>
      <c r="J14" s="210">
        <f t="shared" ref="J12:J17" si="1">C22</f>
        <v>466208.33333333337</v>
      </c>
    </row>
    <row r="15" spans="1:10">
      <c r="A15" s="8" t="s">
        <v>36</v>
      </c>
      <c r="C15" s="20">
        <f>SUMIF(Collection!B:B, A15, Collection!J:J)</f>
        <v>1481803.3333333333</v>
      </c>
      <c r="D15">
        <v>16</v>
      </c>
      <c r="E15">
        <v>37</v>
      </c>
      <c r="F15">
        <v>8.6</v>
      </c>
      <c r="G15" s="157">
        <f t="shared" si="0"/>
        <v>92612.708333333328</v>
      </c>
      <c r="H15" s="20">
        <f>SUMIF(Collection!B:B, 'Total Larvae to Date'!A15, Collection!O:O)</f>
        <v>419903.33333333331</v>
      </c>
      <c r="I15" s="209" t="s">
        <v>37</v>
      </c>
      <c r="J15" s="210">
        <f t="shared" si="1"/>
        <v>653356.66666666663</v>
      </c>
    </row>
    <row r="16" spans="1:10">
      <c r="A16" s="8" t="s">
        <v>44</v>
      </c>
      <c r="C16" s="20">
        <f>SUMIF(Collection!B:B, A16, Collection!J:J)</f>
        <v>718683.33333333349</v>
      </c>
      <c r="D16">
        <v>17</v>
      </c>
      <c r="E16">
        <v>35.200000000000003</v>
      </c>
      <c r="F16">
        <v>8.8000000000000007</v>
      </c>
      <c r="G16" s="157">
        <f t="shared" si="0"/>
        <v>42275.490196078441</v>
      </c>
      <c r="H16" s="20">
        <f>SUMIF(Collection!B:B, 'Total Larvae to Date'!A16, Collection!O:O)</f>
        <v>210583.33333333334</v>
      </c>
      <c r="I16" s="209" t="s">
        <v>38</v>
      </c>
      <c r="J16" s="210">
        <f t="shared" si="1"/>
        <v>451685</v>
      </c>
    </row>
    <row r="17" spans="1:13" ht="16" thickBot="1">
      <c r="A17" s="8" t="s">
        <v>48</v>
      </c>
      <c r="C17" s="20">
        <f>SUMIF(Collection!B:B, A17, Collection!J:J)</f>
        <v>1396793.3333333335</v>
      </c>
      <c r="D17">
        <v>17</v>
      </c>
      <c r="E17">
        <v>35.200000000000003</v>
      </c>
      <c r="F17">
        <v>8.8000000000000007</v>
      </c>
      <c r="G17" s="157">
        <f t="shared" si="0"/>
        <v>82164.31372549021</v>
      </c>
      <c r="H17" s="20">
        <f>SUMIF(Collection!B:B, 'Total Larvae to Date'!A17, Collection!O:O)</f>
        <v>321833.33333333331</v>
      </c>
      <c r="I17" s="211" t="s">
        <v>46</v>
      </c>
      <c r="J17" s="212">
        <f t="shared" si="1"/>
        <v>370073.33333333337</v>
      </c>
    </row>
    <row r="18" spans="1:13">
      <c r="A18" s="17" t="s">
        <v>89</v>
      </c>
      <c r="C18" s="20">
        <f>SUMIF(Collection!B:B, A18, Collection!J:J)</f>
        <v>739453.33333333326</v>
      </c>
      <c r="D18">
        <v>9</v>
      </c>
      <c r="E18">
        <v>29.3</v>
      </c>
      <c r="F18">
        <v>4.9000000000000004</v>
      </c>
      <c r="G18" s="157">
        <f t="shared" si="0"/>
        <v>82161.481481481474</v>
      </c>
      <c r="H18" s="20">
        <f>SUMIF(Collection!B:B, 'Total Larvae to Date'!A18, Collection!O:O)</f>
        <v>206843.33333333331</v>
      </c>
    </row>
    <row r="19" spans="1:13">
      <c r="A19" s="17" t="s">
        <v>110</v>
      </c>
      <c r="C19" s="20">
        <f>SUMIF(Collection!B:B, A19, Collection!J:J)</f>
        <v>695188.33333333337</v>
      </c>
      <c r="D19">
        <v>16</v>
      </c>
      <c r="E19">
        <v>29.4</v>
      </c>
      <c r="F19">
        <v>4.8</v>
      </c>
      <c r="G19" s="157">
        <f t="shared" si="0"/>
        <v>43449.270833333336</v>
      </c>
      <c r="H19" s="20">
        <f>SUMIF(Collection!B:B, 'Total Larvae to Date'!A19, Collection!O:O)</f>
        <v>300875</v>
      </c>
    </row>
    <row r="20" spans="1:13">
      <c r="A20" s="17" t="s">
        <v>120</v>
      </c>
      <c r="C20" s="20">
        <f>SUMIF(Collection!B:B, A20, Collection!J:J)</f>
        <v>105066.66666666667</v>
      </c>
      <c r="D20">
        <v>14</v>
      </c>
      <c r="E20">
        <v>29.9</v>
      </c>
      <c r="F20">
        <v>5.2</v>
      </c>
      <c r="G20" s="157">
        <f t="shared" si="0"/>
        <v>7504.7619047619055</v>
      </c>
      <c r="H20" s="20">
        <f>SUMIF(Collection!B:B, 'Total Larvae to Date'!A20, Collection!O:O)</f>
        <v>65666.666666666672</v>
      </c>
    </row>
    <row r="21" spans="1:13">
      <c r="A21" s="8" t="s">
        <v>21</v>
      </c>
      <c r="C21" s="20">
        <f>SUMIF(Collection!B:B, A21, Collection!J:J)</f>
        <v>958269.4444444445</v>
      </c>
      <c r="D21">
        <v>15</v>
      </c>
      <c r="E21">
        <v>30.8</v>
      </c>
      <c r="F21">
        <v>5.7</v>
      </c>
      <c r="G21" s="157">
        <f t="shared" si="0"/>
        <v>63884.629629629635</v>
      </c>
      <c r="H21" s="20">
        <f>SUMIF(Collection!B:B, 'Total Larvae to Date'!A21, Collection!O:O)</f>
        <v>254375</v>
      </c>
    </row>
    <row r="22" spans="1:13">
      <c r="A22" s="17" t="s">
        <v>17</v>
      </c>
      <c r="C22" s="20">
        <f>SUMIF(Collection!B:B, A22, Collection!J:J)</f>
        <v>466208.33333333337</v>
      </c>
      <c r="D22">
        <v>115</v>
      </c>
      <c r="G22" s="157">
        <f t="shared" si="0"/>
        <v>4053.985507246377</v>
      </c>
      <c r="H22" s="20">
        <f>SUMIF(Collection!B:B, 'Total Larvae to Date'!A22, Collection!O:O)</f>
        <v>324165.00000000006</v>
      </c>
    </row>
    <row r="23" spans="1:13">
      <c r="A23" s="8" t="s">
        <v>20</v>
      </c>
      <c r="C23" s="20">
        <f>SUMIF(Collection!B:B, A23, Collection!J:J)</f>
        <v>653356.66666666663</v>
      </c>
      <c r="D23">
        <v>111</v>
      </c>
      <c r="G23" s="157">
        <f t="shared" si="0"/>
        <v>5886.0960960960956</v>
      </c>
      <c r="H23" s="20">
        <f>SUMIF(Collection!B:B, 'Total Larvae to Date'!A23, Collection!O:O)</f>
        <v>225873.33333333331</v>
      </c>
    </row>
    <row r="24" spans="1:13">
      <c r="A24" s="8" t="s">
        <v>38</v>
      </c>
      <c r="C24" s="20">
        <f>SUMIF(Collection!B:B, A24, Collection!J:J)</f>
        <v>451685</v>
      </c>
      <c r="D24">
        <v>117</v>
      </c>
      <c r="G24" s="157">
        <f t="shared" si="0"/>
        <v>3860.5555555555557</v>
      </c>
      <c r="H24" s="20">
        <f>SUMIF(Collection!B:B, 'Total Larvae to Date'!A24, Collection!O:O)</f>
        <v>301041.66666666663</v>
      </c>
    </row>
    <row r="25" spans="1:13" s="220" customFormat="1" ht="16" thickBot="1">
      <c r="A25" s="221" t="s">
        <v>46</v>
      </c>
      <c r="B25" s="222"/>
      <c r="C25" s="222">
        <f>SUMIF(Collection!B:B, A25, Collection!J:J)</f>
        <v>370073.33333333337</v>
      </c>
      <c r="D25" s="220">
        <v>126</v>
      </c>
      <c r="G25" s="231">
        <f t="shared" si="0"/>
        <v>2937.0899470899476</v>
      </c>
      <c r="H25" s="222">
        <f>SUMIF(Collection!B:B, 'Total Larvae to Date'!A25, Collection!O:O)</f>
        <v>179716.66666666666</v>
      </c>
    </row>
    <row r="26" spans="1:13" ht="28" customHeight="1" thickTop="1">
      <c r="C26" s="226" t="s">
        <v>230</v>
      </c>
      <c r="D26" s="226"/>
      <c r="E26" s="226"/>
      <c r="F26" s="226"/>
      <c r="G26" s="226"/>
      <c r="H26" s="226"/>
      <c r="I26" s="226"/>
      <c r="J26" s="226"/>
      <c r="K26" s="226"/>
      <c r="L26" s="213"/>
      <c r="M26" s="213"/>
    </row>
    <row r="27" spans="1:13" s="205" customFormat="1" ht="18">
      <c r="A27" s="35" t="s">
        <v>223</v>
      </c>
      <c r="B27" s="206"/>
      <c r="C27" s="213">
        <v>42891</v>
      </c>
      <c r="D27" s="213">
        <v>42895</v>
      </c>
      <c r="E27" s="213">
        <v>42898</v>
      </c>
      <c r="F27" s="213">
        <v>42901</v>
      </c>
      <c r="G27" s="213">
        <v>42905</v>
      </c>
      <c r="H27" s="213">
        <v>42908</v>
      </c>
      <c r="I27" s="213">
        <v>42912</v>
      </c>
      <c r="J27" s="213">
        <v>42915</v>
      </c>
      <c r="K27" s="213">
        <v>42919</v>
      </c>
      <c r="L27" s="213">
        <v>42922</v>
      </c>
    </row>
    <row r="28" spans="1:13">
      <c r="A28" s="17" t="s">
        <v>99</v>
      </c>
      <c r="B28" s="121"/>
      <c r="C28" s="157">
        <f>SUMIFS(Collection!$O:$O, Collection!$B:$B, 'Total Larvae to Date'!$A28, Collection!$A:$A, "&lt;"&amp;'Total Larvae to Date'!C$27)</f>
        <v>136326.66666666669</v>
      </c>
      <c r="D28" s="157">
        <f>SUMIFS(Collection!$O:$O, Collection!$B:$B, 'Total Larvae to Date'!$A28, Collection!$A:$A, "&lt;"&amp;'Total Larvae to Date'!D$27)</f>
        <v>213510.00000000003</v>
      </c>
      <c r="E28" s="157">
        <f>SUMIFS(Collection!$O:$O, Collection!$B:$B, 'Total Larvae to Date'!$A28, Collection!$A:$A, "&lt;"&amp;'Total Larvae to Date'!E$27)</f>
        <v>213510.00000000003</v>
      </c>
      <c r="F28" s="157">
        <f>SUMIFS(Collection!$O:$O, Collection!$B:$B, 'Total Larvae to Date'!$A28, Collection!$A:$A, "&lt;"&amp;'Total Larvae to Date'!F$27)</f>
        <v>213510.00000000003</v>
      </c>
      <c r="G28" s="157">
        <f>SUMIFS(Collection!$O:$O, Collection!$B:$B, 'Total Larvae to Date'!$A28, Collection!$A:$A, "&lt;"&amp;'Total Larvae to Date'!G$27)</f>
        <v>213510.00000000003</v>
      </c>
      <c r="H28" s="157"/>
      <c r="I28" s="157"/>
      <c r="J28" s="157"/>
      <c r="K28" s="157"/>
      <c r="L28" s="20"/>
    </row>
    <row r="29" spans="1:13">
      <c r="A29" s="8" t="s">
        <v>31</v>
      </c>
      <c r="B29" s="121"/>
      <c r="C29" s="157">
        <f>SUMIFS(Collection!$O:$O, Collection!$B:$B, 'Total Larvae to Date'!$A29, Collection!$A:$A, "&lt;"&amp;'Total Larvae to Date'!C$27)</f>
        <v>0</v>
      </c>
      <c r="D29" s="157">
        <f>SUMIFS(Collection!$O:$O, Collection!$B:$B, 'Total Larvae to Date'!$A29, Collection!$A:$A, "&lt;"&amp;'Total Larvae to Date'!D$27)</f>
        <v>0</v>
      </c>
      <c r="E29" s="157">
        <f>SUMIFS(Collection!$O:$O, Collection!$B:$B, 'Total Larvae to Date'!$A29, Collection!$A:$A, "&lt;"&amp;'Total Larvae to Date'!E$27)</f>
        <v>0</v>
      </c>
      <c r="F29" s="157">
        <f>SUMIFS(Collection!$O:$O, Collection!$B:$B, 'Total Larvae to Date'!$A29, Collection!$A:$A, "&lt;"&amp;'Total Larvae to Date'!F$27)</f>
        <v>57866.666666666664</v>
      </c>
      <c r="G29" s="157">
        <f>SUMIFS(Collection!$O:$O, Collection!$B:$B, 'Total Larvae to Date'!$A29, Collection!$A:$A, "&lt;"&amp;'Total Larvae to Date'!G$27)</f>
        <v>105766.66666666667</v>
      </c>
      <c r="H29" s="157"/>
      <c r="I29" s="157"/>
      <c r="J29" s="157"/>
      <c r="K29" s="157"/>
      <c r="L29" s="20"/>
    </row>
    <row r="30" spans="1:13">
      <c r="A30" s="17" t="s">
        <v>49</v>
      </c>
      <c r="B30" s="121"/>
      <c r="C30" s="157">
        <f>SUMIFS(Collection!$O:$O, Collection!$B:$B, 'Total Larvae to Date'!$A30, Collection!$A:$A, "&lt;"&amp;'Total Larvae to Date'!C$27)</f>
        <v>5183.3333333333339</v>
      </c>
      <c r="D30" s="157">
        <f>SUMIFS(Collection!$O:$O, Collection!$B:$B, 'Total Larvae to Date'!$A30, Collection!$A:$A, "&lt;"&amp;'Total Larvae to Date'!D$27)</f>
        <v>5183.3333333333339</v>
      </c>
      <c r="E30" s="157">
        <f>SUMIFS(Collection!$O:$O, Collection!$B:$B, 'Total Larvae to Date'!$A30, Collection!$A:$A, "&lt;"&amp;'Total Larvae to Date'!E$27)</f>
        <v>5183.3333333333339</v>
      </c>
      <c r="F30" s="157">
        <f>SUMIFS(Collection!$O:$O, Collection!$B:$B, 'Total Larvae to Date'!$A30, Collection!$A:$A, "&lt;"&amp;'Total Larvae to Date'!F$27)</f>
        <v>5183.3333333333339</v>
      </c>
      <c r="G30" s="157">
        <f>SUMIFS(Collection!$O:$O, Collection!$B:$B, 'Total Larvae to Date'!$A30, Collection!$A:$A, "&lt;"&amp;'Total Larvae to Date'!G$27)</f>
        <v>5183.3333333333339</v>
      </c>
      <c r="H30" s="157"/>
      <c r="I30" s="157"/>
      <c r="J30" s="157"/>
      <c r="K30" s="157"/>
      <c r="L30" s="20"/>
    </row>
    <row r="31" spans="1:13">
      <c r="A31" s="8" t="s">
        <v>47</v>
      </c>
      <c r="B31" s="121"/>
      <c r="C31" s="157">
        <f>SUMIFS(Collection!$O:$O, Collection!$B:$B, 'Total Larvae to Date'!$A31, Collection!$A:$A, "&lt;"&amp;'Total Larvae to Date'!C$27)</f>
        <v>164275</v>
      </c>
      <c r="D31" s="157">
        <f>SUMIFS(Collection!$O:$O, Collection!$B:$B, 'Total Larvae to Date'!$A31, Collection!$A:$A, "&lt;"&amp;'Total Larvae to Date'!D$27)</f>
        <v>164275</v>
      </c>
      <c r="E31" s="157">
        <f>SUMIFS(Collection!$O:$O, Collection!$B:$B, 'Total Larvae to Date'!$A31, Collection!$A:$A, "&lt;"&amp;'Total Larvae to Date'!E$27)</f>
        <v>164275</v>
      </c>
      <c r="F31" s="157">
        <f>SUMIFS(Collection!$O:$O, Collection!$B:$B, 'Total Larvae to Date'!$A31, Collection!$A:$A, "&lt;"&amp;'Total Larvae to Date'!F$27)</f>
        <v>164275</v>
      </c>
      <c r="G31" s="157">
        <f>SUMIFS(Collection!$O:$O, Collection!$B:$B, 'Total Larvae to Date'!$A31, Collection!$A:$A, "&lt;"&amp;'Total Larvae to Date'!G$27)</f>
        <v>164275</v>
      </c>
      <c r="H31" s="157"/>
      <c r="I31" s="157"/>
      <c r="J31" s="157"/>
      <c r="K31" s="157"/>
      <c r="L31" s="20"/>
    </row>
    <row r="32" spans="1:13">
      <c r="A32" s="8" t="s">
        <v>50</v>
      </c>
      <c r="B32" s="121"/>
      <c r="C32" s="157">
        <f>SUMIFS(Collection!$O:$O, Collection!$B:$B, 'Total Larvae to Date'!$A32, Collection!$A:$A, "&lt;"&amp;'Total Larvae to Date'!C$27)</f>
        <v>66675</v>
      </c>
      <c r="D32" s="157">
        <f>SUMIFS(Collection!$O:$O, Collection!$B:$B, 'Total Larvae to Date'!$A32, Collection!$A:$A, "&lt;"&amp;'Total Larvae to Date'!D$27)</f>
        <v>66675</v>
      </c>
      <c r="E32" s="157">
        <f>SUMIFS(Collection!$O:$O, Collection!$B:$B, 'Total Larvae to Date'!$A32, Collection!$A:$A, "&lt;"&amp;'Total Larvae to Date'!E$27)</f>
        <v>66675</v>
      </c>
      <c r="F32" s="157">
        <f>SUMIFS(Collection!$O:$O, Collection!$B:$B, 'Total Larvae to Date'!$A32, Collection!$A:$A, "&lt;"&amp;'Total Larvae to Date'!F$27)</f>
        <v>66675</v>
      </c>
      <c r="G32" s="157">
        <f>SUMIFS(Collection!$O:$O, Collection!$B:$B, 'Total Larvae to Date'!$A32, Collection!$A:$A, "&lt;"&amp;'Total Larvae to Date'!G$27)</f>
        <v>66675</v>
      </c>
      <c r="H32" s="157"/>
      <c r="I32" s="157"/>
      <c r="J32" s="157"/>
      <c r="K32" s="157"/>
      <c r="L32" s="20"/>
    </row>
    <row r="33" spans="1:12">
      <c r="A33" s="17" t="s">
        <v>39</v>
      </c>
      <c r="B33" s="121"/>
      <c r="C33" s="157">
        <f>SUMIFS(Collection!$O:$O, Collection!$B:$B, 'Total Larvae to Date'!$A33, Collection!$A:$A, "&lt;"&amp;'Total Larvae to Date'!C$27)</f>
        <v>64966.666666666672</v>
      </c>
      <c r="D33" s="157">
        <f>SUMIFS(Collection!$O:$O, Collection!$B:$B, 'Total Larvae to Date'!$A33, Collection!$A:$A, "&lt;"&amp;'Total Larvae to Date'!D$27)</f>
        <v>64966.666666666672</v>
      </c>
      <c r="E33" s="157">
        <f>SUMIFS(Collection!$O:$O, Collection!$B:$B, 'Total Larvae to Date'!$A33, Collection!$A:$A, "&lt;"&amp;'Total Larvae to Date'!E$27)</f>
        <v>64966.666666666672</v>
      </c>
      <c r="F33" s="157">
        <f>SUMIFS(Collection!$O:$O, Collection!$B:$B, 'Total Larvae to Date'!$A33, Collection!$A:$A, "&lt;"&amp;'Total Larvae to Date'!F$27)</f>
        <v>64966.666666666672</v>
      </c>
      <c r="G33" s="157">
        <f>SUMIFS(Collection!$O:$O, Collection!$B:$B, 'Total Larvae to Date'!$A33, Collection!$A:$A, "&lt;"&amp;'Total Larvae to Date'!G$27)</f>
        <v>64966.666666666672</v>
      </c>
      <c r="H33" s="157"/>
      <c r="I33" s="157"/>
      <c r="J33" s="157"/>
      <c r="K33" s="157"/>
      <c r="L33" s="20"/>
    </row>
    <row r="34" spans="1:12">
      <c r="A34" s="8" t="s">
        <v>122</v>
      </c>
      <c r="B34" s="121"/>
      <c r="C34" s="157">
        <f>SUMIFS(Collection!$O:$O, Collection!$B:$B, 'Total Larvae to Date'!$A34, Collection!$A:$A, "&lt;"&amp;'Total Larvae to Date'!C$27)</f>
        <v>0</v>
      </c>
      <c r="D34" s="157">
        <f>SUMIFS(Collection!$O:$O, Collection!$B:$B, 'Total Larvae to Date'!$A34, Collection!$A:$A, "&lt;"&amp;'Total Larvae to Date'!D$27)</f>
        <v>66100</v>
      </c>
      <c r="E34" s="157">
        <f>SUMIFS(Collection!$O:$O, Collection!$B:$B, 'Total Larvae to Date'!$A34, Collection!$A:$A, "&lt;"&amp;'Total Larvae to Date'!E$27)</f>
        <v>127833.33333333334</v>
      </c>
      <c r="F34" s="157">
        <f>SUMIFS(Collection!$O:$O, Collection!$B:$B, 'Total Larvae to Date'!$A34, Collection!$A:$A, "&lt;"&amp;'Total Larvae to Date'!F$27)</f>
        <v>137233.33333333334</v>
      </c>
      <c r="G34" s="157">
        <f>SUMIFS(Collection!$O:$O, Collection!$B:$B, 'Total Larvae to Date'!$A34, Collection!$A:$A, "&lt;"&amp;'Total Larvae to Date'!G$27)</f>
        <v>137233.33333333334</v>
      </c>
      <c r="H34" s="157"/>
      <c r="I34" s="157"/>
      <c r="J34" s="157"/>
      <c r="K34" s="157"/>
      <c r="L34" s="20"/>
    </row>
    <row r="35" spans="1:12">
      <c r="A35" s="17" t="s">
        <v>98</v>
      </c>
      <c r="B35" s="121"/>
      <c r="C35" s="157">
        <f>SUMIFS(Collection!$O:$O, Collection!$B:$B, 'Total Larvae to Date'!$A35, Collection!$A:$A, "&lt;"&amp;'Total Larvae to Date'!C$27)</f>
        <v>120666.66666666667</v>
      </c>
      <c r="D35" s="157">
        <f>SUMIFS(Collection!$O:$O, Collection!$B:$B, 'Total Larvae to Date'!$A35, Collection!$A:$A, "&lt;"&amp;'Total Larvae to Date'!D$27)</f>
        <v>173253.33333333334</v>
      </c>
      <c r="E35" s="157">
        <f>SUMIFS(Collection!$O:$O, Collection!$B:$B, 'Total Larvae to Date'!$A35, Collection!$A:$A, "&lt;"&amp;'Total Larvae to Date'!E$27)</f>
        <v>173253.33333333334</v>
      </c>
      <c r="F35" s="157">
        <f>SUMIFS(Collection!$O:$O, Collection!$B:$B, 'Total Larvae to Date'!$A35, Collection!$A:$A, "&lt;"&amp;'Total Larvae to Date'!F$27)</f>
        <v>173253.33333333334</v>
      </c>
      <c r="G35" s="157">
        <f>SUMIFS(Collection!$O:$O, Collection!$B:$B, 'Total Larvae to Date'!$A35, Collection!$A:$A, "&lt;"&amp;'Total Larvae to Date'!G$27)</f>
        <v>173253.33333333334</v>
      </c>
      <c r="H35" s="157"/>
      <c r="I35" s="157"/>
      <c r="J35" s="157"/>
      <c r="K35" s="157"/>
      <c r="L35" s="20"/>
    </row>
    <row r="36" spans="1:12">
      <c r="A36" s="8" t="s">
        <v>27</v>
      </c>
      <c r="B36" s="121"/>
      <c r="C36" s="157">
        <f>SUMIFS(Collection!$O:$O, Collection!$B:$B, 'Total Larvae to Date'!$A36, Collection!$A:$A, "&lt;"&amp;'Total Larvae to Date'!C$27)</f>
        <v>368626.66666666669</v>
      </c>
      <c r="D36" s="157">
        <f>SUMIFS(Collection!$O:$O, Collection!$B:$B, 'Total Larvae to Date'!$A36, Collection!$A:$A, "&lt;"&amp;'Total Larvae to Date'!D$27)</f>
        <v>368626.66666666669</v>
      </c>
      <c r="E36" s="157">
        <f>SUMIFS(Collection!$O:$O, Collection!$B:$B, 'Total Larvae to Date'!$A36, Collection!$A:$A, "&lt;"&amp;'Total Larvae to Date'!E$27)</f>
        <v>368626.66666666669</v>
      </c>
      <c r="F36" s="157">
        <f>SUMIFS(Collection!$O:$O, Collection!$B:$B, 'Total Larvae to Date'!$A36, Collection!$A:$A, "&lt;"&amp;'Total Larvae to Date'!F$27)</f>
        <v>368626.66666666669</v>
      </c>
      <c r="G36" s="157">
        <f>SUMIFS(Collection!$O:$O, Collection!$B:$B, 'Total Larvae to Date'!$A36, Collection!$A:$A, "&lt;"&amp;'Total Larvae to Date'!G$27)</f>
        <v>368626.66666666669</v>
      </c>
      <c r="H36" s="157"/>
      <c r="I36" s="157"/>
      <c r="J36" s="157"/>
      <c r="K36" s="157"/>
      <c r="L36" s="20"/>
    </row>
    <row r="37" spans="1:12">
      <c r="A37" s="8" t="s">
        <v>23</v>
      </c>
      <c r="B37" s="121"/>
      <c r="C37" s="157">
        <f>SUMIFS(Collection!$O:$O, Collection!$B:$B, 'Total Larvae to Date'!$A37, Collection!$A:$A, "&lt;"&amp;'Total Larvae to Date'!C$27)</f>
        <v>293333.33333333337</v>
      </c>
      <c r="D37" s="157">
        <f>SUMIFS(Collection!$O:$O, Collection!$B:$B, 'Total Larvae to Date'!$A37, Collection!$A:$A, "&lt;"&amp;'Total Larvae to Date'!D$27)</f>
        <v>293333.33333333337</v>
      </c>
      <c r="E37" s="157">
        <f>SUMIFS(Collection!$O:$O, Collection!$B:$B, 'Total Larvae to Date'!$A37, Collection!$A:$A, "&lt;"&amp;'Total Larvae to Date'!E$27)</f>
        <v>293333.33333333337</v>
      </c>
      <c r="F37" s="157">
        <f>SUMIFS(Collection!$O:$O, Collection!$B:$B, 'Total Larvae to Date'!$A37, Collection!$A:$A, "&lt;"&amp;'Total Larvae to Date'!F$27)</f>
        <v>332333.33333333337</v>
      </c>
      <c r="G37" s="157">
        <f>SUMIFS(Collection!$O:$O, Collection!$B:$B, 'Total Larvae to Date'!$A37, Collection!$A:$A, "&lt;"&amp;'Total Larvae to Date'!G$27)</f>
        <v>382166.66666666674</v>
      </c>
      <c r="H37" s="157"/>
      <c r="I37" s="157"/>
      <c r="J37" s="157"/>
      <c r="K37" s="157"/>
      <c r="L37" s="20"/>
    </row>
    <row r="38" spans="1:12">
      <c r="A38" s="8" t="s">
        <v>24</v>
      </c>
      <c r="B38" s="121"/>
      <c r="C38" s="157">
        <f>SUMIFS(Collection!$O:$O, Collection!$B:$B, 'Total Larvae to Date'!$A38, Collection!$A:$A, "&lt;"&amp;'Total Larvae to Date'!C$27)</f>
        <v>250333.33333333334</v>
      </c>
      <c r="D38" s="157">
        <f>SUMIFS(Collection!$O:$O, Collection!$B:$B, 'Total Larvae to Date'!$A38, Collection!$A:$A, "&lt;"&amp;'Total Larvae to Date'!D$27)</f>
        <v>250333.33333333334</v>
      </c>
      <c r="E38" s="157">
        <f>SUMIFS(Collection!$O:$O, Collection!$B:$B, 'Total Larvae to Date'!$A38, Collection!$A:$A, "&lt;"&amp;'Total Larvae to Date'!E$27)</f>
        <v>250333.33333333334</v>
      </c>
      <c r="F38" s="157">
        <f>SUMIFS(Collection!$O:$O, Collection!$B:$B, 'Total Larvae to Date'!$A38, Collection!$A:$A, "&lt;"&amp;'Total Larvae to Date'!F$27)</f>
        <v>250333.33333333334</v>
      </c>
      <c r="G38" s="157">
        <f>SUMIFS(Collection!$O:$O, Collection!$B:$B, 'Total Larvae to Date'!$A38, Collection!$A:$A, "&lt;"&amp;'Total Larvae to Date'!G$27)</f>
        <v>250333.33333333334</v>
      </c>
      <c r="H38" s="157"/>
      <c r="I38" s="157"/>
      <c r="J38" s="157"/>
      <c r="K38" s="157"/>
      <c r="L38" s="20"/>
    </row>
    <row r="39" spans="1:12">
      <c r="A39" s="17" t="s">
        <v>34</v>
      </c>
      <c r="B39" s="121"/>
      <c r="C39" s="157">
        <f>SUMIFS(Collection!$O:$O, Collection!$B:$B, 'Total Larvae to Date'!$A39, Collection!$A:$A, "&lt;"&amp;'Total Larvae to Date'!C$27)</f>
        <v>202250</v>
      </c>
      <c r="D39" s="157">
        <f>SUMIFS(Collection!$O:$O, Collection!$B:$B, 'Total Larvae to Date'!$A39, Collection!$A:$A, "&lt;"&amp;'Total Larvae to Date'!D$27)</f>
        <v>202250</v>
      </c>
      <c r="E39" s="157">
        <f>SUMIFS(Collection!$O:$O, Collection!$B:$B, 'Total Larvae to Date'!$A39, Collection!$A:$A, "&lt;"&amp;'Total Larvae to Date'!E$27)</f>
        <v>202250</v>
      </c>
      <c r="F39" s="157">
        <f>SUMIFS(Collection!$O:$O, Collection!$B:$B, 'Total Larvae to Date'!$A39, Collection!$A:$A, "&lt;"&amp;'Total Larvae to Date'!F$27)</f>
        <v>281816.66666666669</v>
      </c>
      <c r="G39" s="157">
        <f>SUMIFS(Collection!$O:$O, Collection!$B:$B, 'Total Larvae to Date'!$A39, Collection!$A:$A, "&lt;"&amp;'Total Larvae to Date'!G$27)</f>
        <v>331683.33333333337</v>
      </c>
      <c r="H39" s="157"/>
      <c r="I39" s="157"/>
      <c r="J39" s="157"/>
      <c r="K39" s="157"/>
      <c r="L39" s="20"/>
    </row>
    <row r="40" spans="1:12">
      <c r="A40" s="17" t="s">
        <v>25</v>
      </c>
      <c r="B40" s="121"/>
      <c r="C40" s="157">
        <f>SUMIFS(Collection!$O:$O, Collection!$B:$B, 'Total Larvae to Date'!$A40, Collection!$A:$A, "&lt;"&amp;'Total Larvae to Date'!C$27)</f>
        <v>1400</v>
      </c>
      <c r="D40" s="157">
        <f>SUMIFS(Collection!$O:$O, Collection!$B:$B, 'Total Larvae to Date'!$A40, Collection!$A:$A, "&lt;"&amp;'Total Larvae to Date'!D$27)</f>
        <v>1400</v>
      </c>
      <c r="E40" s="157">
        <f>SUMIFS(Collection!$O:$O, Collection!$B:$B, 'Total Larvae to Date'!$A40, Collection!$A:$A, "&lt;"&amp;'Total Larvae to Date'!E$27)</f>
        <v>1400</v>
      </c>
      <c r="F40" s="157">
        <f>SUMIFS(Collection!$O:$O, Collection!$B:$B, 'Total Larvae to Date'!$A40, Collection!$A:$A, "&lt;"&amp;'Total Larvae to Date'!F$27)</f>
        <v>1400</v>
      </c>
      <c r="G40" s="157">
        <f>SUMIFS(Collection!$O:$O, Collection!$B:$B, 'Total Larvae to Date'!$A40, Collection!$A:$A, "&lt;"&amp;'Total Larvae to Date'!G$27)</f>
        <v>1400</v>
      </c>
      <c r="H40" s="157"/>
      <c r="I40" s="157"/>
      <c r="J40" s="157"/>
      <c r="K40" s="157"/>
      <c r="L40" s="20"/>
    </row>
    <row r="41" spans="1:12">
      <c r="A41" s="8" t="s">
        <v>36</v>
      </c>
      <c r="B41" s="121"/>
      <c r="C41" s="157">
        <f>SUMIFS(Collection!$O:$O, Collection!$B:$B, 'Total Larvae to Date'!$A41, Collection!$A:$A, "&lt;"&amp;'Total Larvae to Date'!C$27)</f>
        <v>159916.66666666666</v>
      </c>
      <c r="D41" s="157">
        <f>SUMIFS(Collection!$O:$O, Collection!$B:$B, 'Total Larvae to Date'!$A41, Collection!$A:$A, "&lt;"&amp;'Total Larvae to Date'!D$27)</f>
        <v>265850</v>
      </c>
      <c r="E41" s="157">
        <f>SUMIFS(Collection!$O:$O, Collection!$B:$B, 'Total Larvae to Date'!$A41, Collection!$A:$A, "&lt;"&amp;'Total Larvae to Date'!E$27)</f>
        <v>265850</v>
      </c>
      <c r="F41" s="157">
        <f>SUMIFS(Collection!$O:$O, Collection!$B:$B, 'Total Larvae to Date'!$A41, Collection!$A:$A, "&lt;"&amp;'Total Larvae to Date'!F$27)</f>
        <v>265850</v>
      </c>
      <c r="G41" s="157">
        <f>SUMIFS(Collection!$O:$O, Collection!$B:$B, 'Total Larvae to Date'!$A41, Collection!$A:$A, "&lt;"&amp;'Total Larvae to Date'!G$27)</f>
        <v>389983.33333333331</v>
      </c>
      <c r="H41" s="157"/>
      <c r="I41" s="157"/>
      <c r="J41" s="157"/>
      <c r="K41" s="157"/>
      <c r="L41" s="20"/>
    </row>
    <row r="42" spans="1:12">
      <c r="A42" s="8" t="s">
        <v>44</v>
      </c>
      <c r="B42" s="121"/>
      <c r="C42" s="157">
        <f>SUMIFS(Collection!$O:$O, Collection!$B:$B, 'Total Larvae to Date'!$A42, Collection!$A:$A, "&lt;"&amp;'Total Larvae to Date'!C$27)</f>
        <v>152583.33333333334</v>
      </c>
      <c r="D42" s="157">
        <f>SUMIFS(Collection!$O:$O, Collection!$B:$B, 'Total Larvae to Date'!$A42, Collection!$A:$A, "&lt;"&amp;'Total Larvae to Date'!D$27)</f>
        <v>152583.33333333334</v>
      </c>
      <c r="E42" s="157">
        <f>SUMIFS(Collection!$O:$O, Collection!$B:$B, 'Total Larvae to Date'!$A42, Collection!$A:$A, "&lt;"&amp;'Total Larvae to Date'!E$27)</f>
        <v>152583.33333333334</v>
      </c>
      <c r="F42" s="157">
        <f>SUMIFS(Collection!$O:$O, Collection!$B:$B, 'Total Larvae to Date'!$A42, Collection!$A:$A, "&lt;"&amp;'Total Larvae to Date'!F$27)</f>
        <v>152583.33333333334</v>
      </c>
      <c r="G42" s="157">
        <f>SUMIFS(Collection!$O:$O, Collection!$B:$B, 'Total Larvae to Date'!$A42, Collection!$A:$A, "&lt;"&amp;'Total Larvae to Date'!G$27)</f>
        <v>210583.33333333334</v>
      </c>
      <c r="H42" s="157"/>
      <c r="I42" s="157"/>
      <c r="J42" s="157"/>
      <c r="K42" s="157"/>
      <c r="L42" s="20"/>
    </row>
    <row r="43" spans="1:12">
      <c r="A43" s="8" t="s">
        <v>48</v>
      </c>
      <c r="B43" s="121"/>
      <c r="C43" s="157">
        <f>SUMIFS(Collection!$O:$O, Collection!$B:$B, 'Total Larvae to Date'!$A43, Collection!$A:$A, "&lt;"&amp;'Total Larvae to Date'!C$27)</f>
        <v>138400</v>
      </c>
      <c r="D43" s="157">
        <f>SUMIFS(Collection!$O:$O, Collection!$B:$B, 'Total Larvae to Date'!$A43, Collection!$A:$A, "&lt;"&amp;'Total Larvae to Date'!D$27)</f>
        <v>138400</v>
      </c>
      <c r="E43" s="157">
        <f>SUMIFS(Collection!$O:$O, Collection!$B:$B, 'Total Larvae to Date'!$A43, Collection!$A:$A, "&lt;"&amp;'Total Larvae to Date'!E$27)</f>
        <v>138400</v>
      </c>
      <c r="F43" s="157">
        <f>SUMIFS(Collection!$O:$O, Collection!$B:$B, 'Total Larvae to Date'!$A43, Collection!$A:$A, "&lt;"&amp;'Total Larvae to Date'!F$27)</f>
        <v>274600</v>
      </c>
      <c r="G43" s="157">
        <f>SUMIFS(Collection!$O:$O, Collection!$B:$B, 'Total Larvae to Date'!$A43, Collection!$A:$A, "&lt;"&amp;'Total Larvae to Date'!G$27)</f>
        <v>321833.33333333331</v>
      </c>
      <c r="H43" s="157"/>
      <c r="I43" s="157"/>
      <c r="J43" s="157"/>
      <c r="K43" s="157"/>
      <c r="L43" s="20"/>
    </row>
    <row r="44" spans="1:12">
      <c r="A44" s="17" t="s">
        <v>89</v>
      </c>
      <c r="C44" s="157">
        <f>SUMIFS(Collection!$O:$O, Collection!$B:$B, 'Total Larvae to Date'!$A44, Collection!$A:$A, "&lt;"&amp;'Total Larvae to Date'!C$27)</f>
        <v>153386.66666666666</v>
      </c>
      <c r="D44" s="157">
        <f>SUMIFS(Collection!$O:$O, Collection!$B:$B, 'Total Larvae to Date'!$A44, Collection!$A:$A, "&lt;"&amp;'Total Larvae to Date'!D$27)</f>
        <v>153386.66666666666</v>
      </c>
      <c r="E44" s="157">
        <f>SUMIFS(Collection!$O:$O, Collection!$B:$B, 'Total Larvae to Date'!$A44, Collection!$A:$A, "&lt;"&amp;'Total Larvae to Date'!E$27)</f>
        <v>153386.66666666666</v>
      </c>
      <c r="F44" s="157">
        <f>SUMIFS(Collection!$O:$O, Collection!$B:$B, 'Total Larvae to Date'!$A44, Collection!$A:$A, "&lt;"&amp;'Total Larvae to Date'!F$27)</f>
        <v>153386.66666666666</v>
      </c>
      <c r="G44" s="157">
        <f>SUMIFS(Collection!$O:$O, Collection!$B:$B, 'Total Larvae to Date'!$A44, Collection!$A:$A, "&lt;"&amp;'Total Larvae to Date'!G$27)</f>
        <v>153386.66666666666</v>
      </c>
      <c r="H44" s="157"/>
      <c r="I44" s="157"/>
      <c r="J44" s="157"/>
      <c r="K44" s="157"/>
      <c r="L44" s="20"/>
    </row>
    <row r="45" spans="1:12">
      <c r="A45" s="17" t="s">
        <v>110</v>
      </c>
      <c r="C45" s="157">
        <f>SUMIFS(Collection!$O:$O, Collection!$B:$B, 'Total Larvae to Date'!$A45, Collection!$A:$A, "&lt;"&amp;'Total Larvae to Date'!C$27)</f>
        <v>162066.66666666669</v>
      </c>
      <c r="D45" s="157">
        <f>SUMIFS(Collection!$O:$O, Collection!$B:$B, 'Total Larvae to Date'!$A45, Collection!$A:$A, "&lt;"&amp;'Total Larvae to Date'!D$27)</f>
        <v>162066.66666666669</v>
      </c>
      <c r="E45" s="157">
        <f>SUMIFS(Collection!$O:$O, Collection!$B:$B, 'Total Larvae to Date'!$A45, Collection!$A:$A, "&lt;"&amp;'Total Larvae to Date'!E$27)</f>
        <v>216266.66666666669</v>
      </c>
      <c r="F45" s="157">
        <f>SUMIFS(Collection!$O:$O, Collection!$B:$B, 'Total Larvae to Date'!$A45, Collection!$A:$A, "&lt;"&amp;'Total Larvae to Date'!F$27)</f>
        <v>269600</v>
      </c>
      <c r="G45" s="157">
        <f>SUMIFS(Collection!$O:$O, Collection!$B:$B, 'Total Larvae to Date'!$A45, Collection!$A:$A, "&lt;"&amp;'Total Larvae to Date'!G$27)</f>
        <v>300750</v>
      </c>
      <c r="H45" s="157"/>
      <c r="I45" s="157"/>
      <c r="J45" s="157"/>
      <c r="K45" s="157"/>
    </row>
    <row r="46" spans="1:12">
      <c r="A46" s="17" t="s">
        <v>120</v>
      </c>
      <c r="C46" s="157">
        <f>SUMIFS(Collection!$O:$O, Collection!$B:$B, 'Total Larvae to Date'!$A46, Collection!$A:$A, "&lt;"&amp;'Total Larvae to Date'!C$27)</f>
        <v>0</v>
      </c>
      <c r="D46" s="157">
        <f>SUMIFS(Collection!$O:$O, Collection!$B:$B, 'Total Larvae to Date'!$A46, Collection!$A:$A, "&lt;"&amp;'Total Larvae to Date'!D$27)</f>
        <v>0</v>
      </c>
      <c r="E46" s="157">
        <f>SUMIFS(Collection!$O:$O, Collection!$B:$B, 'Total Larvae to Date'!$A46, Collection!$A:$A, "&lt;"&amp;'Total Larvae to Date'!E$27)</f>
        <v>0</v>
      </c>
      <c r="F46" s="157">
        <f>SUMIFS(Collection!$O:$O, Collection!$B:$B, 'Total Larvae to Date'!$A46, Collection!$A:$A, "&lt;"&amp;'Total Larvae to Date'!F$27)</f>
        <v>65666.666666666672</v>
      </c>
      <c r="G46" s="157">
        <f>SUMIFS(Collection!$O:$O, Collection!$B:$B, 'Total Larvae to Date'!$A46, Collection!$A:$A, "&lt;"&amp;'Total Larvae to Date'!G$27)</f>
        <v>65666.666666666672</v>
      </c>
      <c r="H46" s="157"/>
      <c r="I46" s="157"/>
      <c r="J46" s="157"/>
      <c r="K46" s="157"/>
    </row>
    <row r="47" spans="1:12">
      <c r="A47" s="8" t="s">
        <v>21</v>
      </c>
      <c r="C47" s="157">
        <f>SUMIFS(Collection!$O:$O, Collection!$B:$B, 'Total Larvae to Date'!$A47, Collection!$A:$A, "&lt;"&amp;'Total Larvae to Date'!C$27)</f>
        <v>0</v>
      </c>
      <c r="D47" s="157">
        <f>SUMIFS(Collection!$O:$O, Collection!$B:$B, 'Total Larvae to Date'!$A47, Collection!$A:$A, "&lt;"&amp;'Total Larvae to Date'!D$27)</f>
        <v>92558.333333333343</v>
      </c>
      <c r="E47" s="157">
        <f>SUMIFS(Collection!$O:$O, Collection!$B:$B, 'Total Larvae to Date'!$A47, Collection!$A:$A, "&lt;"&amp;'Total Larvae to Date'!E$27)</f>
        <v>92558.333333333343</v>
      </c>
      <c r="F47" s="157">
        <f>SUMIFS(Collection!$O:$O, Collection!$B:$B, 'Total Larvae to Date'!$A47, Collection!$A:$A, "&lt;"&amp;'Total Larvae to Date'!F$27)</f>
        <v>92558.333333333343</v>
      </c>
      <c r="G47" s="157">
        <f>SUMIFS(Collection!$O:$O, Collection!$B:$B, 'Total Larvae to Date'!$A47, Collection!$A:$A, "&lt;"&amp;'Total Larvae to Date'!G$27)</f>
        <v>204375</v>
      </c>
      <c r="H47" s="157"/>
      <c r="I47" s="157"/>
      <c r="J47" s="157"/>
      <c r="K47" s="157"/>
    </row>
    <row r="48" spans="1:12">
      <c r="A48" s="17" t="s">
        <v>17</v>
      </c>
      <c r="C48" s="157">
        <f>SUMIFS(Collection!$O:$O, Collection!$B:$B, 'Total Larvae to Date'!$A48, Collection!$A:$A, "&lt;"&amp;'Total Larvae to Date'!C$27)</f>
        <v>268031.66666666669</v>
      </c>
      <c r="D48" s="157">
        <f>SUMIFS(Collection!$O:$O, Collection!$B:$B, 'Total Larvae to Date'!$A48, Collection!$A:$A, "&lt;"&amp;'Total Larvae to Date'!D$27)</f>
        <v>293198.33333333337</v>
      </c>
      <c r="E48" s="157">
        <f>SUMIFS(Collection!$O:$O, Collection!$B:$B, 'Total Larvae to Date'!$A48, Collection!$A:$A, "&lt;"&amp;'Total Larvae to Date'!E$27)</f>
        <v>293198.33333333337</v>
      </c>
      <c r="F48" s="157">
        <f>SUMIFS(Collection!$O:$O, Collection!$B:$B, 'Total Larvae to Date'!$A48, Collection!$A:$A, "&lt;"&amp;'Total Larvae to Date'!F$27)</f>
        <v>293198.33333333337</v>
      </c>
      <c r="G48" s="157">
        <f>SUMIFS(Collection!$O:$O, Collection!$B:$B, 'Total Larvae to Date'!$A48, Collection!$A:$A, "&lt;"&amp;'Total Larvae to Date'!G$27)</f>
        <v>324165.00000000006</v>
      </c>
      <c r="H48" s="157"/>
      <c r="I48" s="157"/>
      <c r="J48" s="157"/>
      <c r="K48" s="157"/>
    </row>
    <row r="49" spans="1:12">
      <c r="A49" s="8" t="s">
        <v>20</v>
      </c>
      <c r="C49" s="157">
        <f>SUMIFS(Collection!$O:$O, Collection!$B:$B, 'Total Larvae to Date'!$A49, Collection!$A:$A, "&lt;"&amp;'Total Larvae to Date'!C$27)</f>
        <v>195566.66666666666</v>
      </c>
      <c r="D49" s="157">
        <f>SUMIFS(Collection!$O:$O, Collection!$B:$B, 'Total Larvae to Date'!$A49, Collection!$A:$A, "&lt;"&amp;'Total Larvae to Date'!D$27)</f>
        <v>212873.33333333331</v>
      </c>
      <c r="E49" s="157">
        <f>SUMIFS(Collection!$O:$O, Collection!$B:$B, 'Total Larvae to Date'!$A49, Collection!$A:$A, "&lt;"&amp;'Total Larvae to Date'!E$27)</f>
        <v>212873.33333333331</v>
      </c>
      <c r="F49" s="157">
        <f>SUMIFS(Collection!$O:$O, Collection!$B:$B, 'Total Larvae to Date'!$A49, Collection!$A:$A, "&lt;"&amp;'Total Larvae to Date'!F$27)</f>
        <v>212873.33333333331</v>
      </c>
      <c r="G49" s="157">
        <f>SUMIFS(Collection!$O:$O, Collection!$B:$B, 'Total Larvae to Date'!$A49, Collection!$A:$A, "&lt;"&amp;'Total Larvae to Date'!G$27)</f>
        <v>212873.33333333331</v>
      </c>
      <c r="H49" s="157"/>
      <c r="I49" s="157"/>
      <c r="J49" s="157"/>
      <c r="K49" s="157"/>
    </row>
    <row r="50" spans="1:12">
      <c r="A50" s="8" t="s">
        <v>38</v>
      </c>
      <c r="C50" s="157">
        <f>SUMIFS(Collection!$O:$O, Collection!$B:$B, 'Total Larvae to Date'!$A50, Collection!$A:$A, "&lt;"&amp;'Total Larvae to Date'!C$27)</f>
        <v>194225</v>
      </c>
      <c r="D50" s="157">
        <f>SUMIFS(Collection!$O:$O, Collection!$B:$B, 'Total Larvae to Date'!$A50, Collection!$A:$A, "&lt;"&amp;'Total Larvae to Date'!D$27)</f>
        <v>194225</v>
      </c>
      <c r="E50" s="157">
        <f>SUMIFS(Collection!$O:$O, Collection!$B:$B, 'Total Larvae to Date'!$A50, Collection!$A:$A, "&lt;"&amp;'Total Larvae to Date'!E$27)</f>
        <v>245691.66666666666</v>
      </c>
      <c r="F50" s="157">
        <f>SUMIFS(Collection!$O:$O, Collection!$B:$B, 'Total Larvae to Date'!$A50, Collection!$A:$A, "&lt;"&amp;'Total Larvae to Date'!F$27)</f>
        <v>249891.66666666666</v>
      </c>
      <c r="G50" s="157">
        <f>SUMIFS(Collection!$O:$O, Collection!$B:$B, 'Total Larvae to Date'!$A50, Collection!$A:$A, "&lt;"&amp;'Total Larvae to Date'!G$27)</f>
        <v>249891.66666666666</v>
      </c>
      <c r="H50" s="157"/>
      <c r="I50" s="157"/>
      <c r="J50" s="157"/>
      <c r="K50" s="157"/>
    </row>
    <row r="51" spans="1:12" s="220" customFormat="1" ht="16" thickBot="1">
      <c r="A51" s="221" t="s">
        <v>46</v>
      </c>
      <c r="B51" s="222"/>
      <c r="C51" s="157">
        <f>SUMIFS(Collection!$O:$O, Collection!$B:$B, 'Total Larvae to Date'!$A51, Collection!$A:$A, "&lt;"&amp;'Total Larvae to Date'!C$27)</f>
        <v>131900</v>
      </c>
      <c r="D51" s="157">
        <f>SUMIFS(Collection!$O:$O, Collection!$B:$B, 'Total Larvae to Date'!$A51, Collection!$A:$A, "&lt;"&amp;'Total Larvae to Date'!D$27)</f>
        <v>179716.66666666666</v>
      </c>
      <c r="E51" s="157">
        <f>SUMIFS(Collection!$O:$O, Collection!$B:$B, 'Total Larvae to Date'!$A51, Collection!$A:$A, "&lt;"&amp;'Total Larvae to Date'!E$27)</f>
        <v>179716.66666666666</v>
      </c>
      <c r="F51" s="157">
        <f>SUMIFS(Collection!$O:$O, Collection!$B:$B, 'Total Larvae to Date'!$A51, Collection!$A:$A, "&lt;"&amp;'Total Larvae to Date'!F$27)</f>
        <v>179716.66666666666</v>
      </c>
      <c r="G51" s="157">
        <f>SUMIFS(Collection!$O:$O, Collection!$B:$B, 'Total Larvae to Date'!$A51, Collection!$A:$A, "&lt;"&amp;'Total Larvae to Date'!G$27)</f>
        <v>179716.66666666666</v>
      </c>
      <c r="H51" s="157"/>
      <c r="I51" s="157"/>
      <c r="J51" s="157"/>
      <c r="K51" s="157"/>
    </row>
    <row r="52" spans="1:12" s="26" customFormat="1" ht="21" thickTop="1">
      <c r="A52" s="8"/>
      <c r="B52" s="121"/>
      <c r="C52" s="227" t="s">
        <v>227</v>
      </c>
      <c r="D52" s="227"/>
      <c r="E52" s="227"/>
      <c r="F52" s="227"/>
      <c r="G52" s="227"/>
      <c r="H52" s="227"/>
      <c r="I52" s="227"/>
      <c r="J52" s="227"/>
      <c r="K52" s="227"/>
    </row>
    <row r="53" spans="1:12" ht="18">
      <c r="A53" s="205" t="s">
        <v>142</v>
      </c>
      <c r="B53" s="121"/>
      <c r="C53" s="225">
        <f>C27</f>
        <v>42891</v>
      </c>
      <c r="D53" s="225">
        <f>D27</f>
        <v>42895</v>
      </c>
      <c r="E53" s="225">
        <f>E27</f>
        <v>42898</v>
      </c>
      <c r="F53" s="225">
        <f>F27</f>
        <v>42901</v>
      </c>
      <c r="G53" s="225">
        <f>G27</f>
        <v>42905</v>
      </c>
      <c r="H53" s="225">
        <f>H27</f>
        <v>42908</v>
      </c>
      <c r="I53" s="225">
        <f>I27</f>
        <v>42912</v>
      </c>
      <c r="J53" s="225">
        <f>J27</f>
        <v>42915</v>
      </c>
      <c r="K53" s="225">
        <f>K27</f>
        <v>42919</v>
      </c>
      <c r="L53" s="225">
        <f>L27</f>
        <v>42922</v>
      </c>
    </row>
    <row r="54" spans="1:12">
      <c r="A54" s="27" t="s">
        <v>85</v>
      </c>
      <c r="B54" s="121"/>
      <c r="C54" s="121">
        <f>(SUMIFS('Bucket Counts'!$P:$P, 'Bucket Counts'!$D:$D, 'Total Larvae to Date'!$A54, 'Bucket Counts'!$A:$A, "="&amp;C$27))</f>
        <v>58806.666666666672</v>
      </c>
      <c r="D54" s="121">
        <f>(SUMIFS('Bucket Counts'!$P:$P, 'Bucket Counts'!$D:$D, 'Total Larvae to Date'!$A54, 'Bucket Counts'!$A:$A, "="&amp;D$27))</f>
        <v>87303.333333333343</v>
      </c>
      <c r="E54" s="121">
        <f>(SUMIFS('Bucket Counts'!$P:$P, 'Bucket Counts'!$D:$D, 'Total Larvae to Date'!$A54, 'Bucket Counts'!$A:$A, "="&amp;E$27))</f>
        <v>83783.333333333328</v>
      </c>
      <c r="F54" s="121">
        <f>(SUMIFS('Bucket Counts'!$P:$P, 'Bucket Counts'!$D:$D, 'Total Larvae to Date'!$A54, 'Bucket Counts'!$A:$A, "="&amp;F$27))</f>
        <v>94250</v>
      </c>
      <c r="G54" s="121">
        <f>(SUMIFS('Bucket Counts'!$P:$P, 'Bucket Counts'!$D:$D, 'Total Larvae to Date'!$A54, 'Bucket Counts'!$A:$A, "="&amp;G$27))</f>
        <v>74000</v>
      </c>
      <c r="H54" s="121">
        <f>(SUMIFS('Bucket Counts'!$P:$P, 'Bucket Counts'!$D:$D, 'Total Larvae to Date'!$A54, 'Bucket Counts'!$A:$A, "="&amp;H$27))</f>
        <v>0</v>
      </c>
      <c r="I54" s="121">
        <f>(SUMIFS('Bucket Counts'!$P:$P, 'Bucket Counts'!$D:$D, 'Total Larvae to Date'!$A54, 'Bucket Counts'!$A:$A, "="&amp;I$27))</f>
        <v>0</v>
      </c>
      <c r="J54" s="121">
        <f>(SUMIFS('Bucket Counts'!$P:$P, 'Bucket Counts'!$D:$D, 'Total Larvae to Date'!$A54, 'Bucket Counts'!$A:$A, "="&amp;J$27))</f>
        <v>0</v>
      </c>
      <c r="K54" s="121">
        <f>(SUMIFS('Bucket Counts'!$P:$P, 'Bucket Counts'!$D:$D, 'Total Larvae to Date'!$A54, 'Bucket Counts'!$A:$A, "="&amp;K$27))</f>
        <v>0</v>
      </c>
    </row>
    <row r="55" spans="1:12">
      <c r="A55" s="27" t="s">
        <v>77</v>
      </c>
      <c r="B55" s="121"/>
      <c r="C55" s="121">
        <f>(SUMIFS('Bucket Counts'!$P:$P, 'Bucket Counts'!$D:$D, 'Total Larvae to Date'!$A55, 'Bucket Counts'!$A:$A, "="&amp;C$27))</f>
        <v>47863.333333333328</v>
      </c>
      <c r="D55" s="121">
        <f>(SUMIFS('Bucket Counts'!$P:$P, 'Bucket Counts'!$D:$D, 'Total Larvae to Date'!$A55, 'Bucket Counts'!$A:$A, "="&amp;D$27))</f>
        <v>58570</v>
      </c>
      <c r="E55" s="121">
        <f>(SUMIFS('Bucket Counts'!$P:$P, 'Bucket Counts'!$D:$D, 'Total Larvae to Date'!$A55, 'Bucket Counts'!$A:$A, "="&amp;E$27))</f>
        <v>47646.666666666672</v>
      </c>
      <c r="F55" s="121">
        <f>(SUMIFS('Bucket Counts'!$P:$P, 'Bucket Counts'!$D:$D, 'Total Larvae to Date'!$A55, 'Bucket Counts'!$A:$A, "="&amp;F$27))</f>
        <v>22633.333333333336</v>
      </c>
      <c r="G55" s="121">
        <f>(SUMIFS('Bucket Counts'!$P:$P, 'Bucket Counts'!$D:$D, 'Total Larvae to Date'!$A55, 'Bucket Counts'!$A:$A, "="&amp;G$27))</f>
        <v>1210</v>
      </c>
      <c r="H55" s="121">
        <f>(SUMIFS('Bucket Counts'!$P:$P, 'Bucket Counts'!$D:$D, 'Total Larvae to Date'!$A55, 'Bucket Counts'!$A:$A, "="&amp;H$27))</f>
        <v>0</v>
      </c>
      <c r="I55" s="121">
        <f>(SUMIFS('Bucket Counts'!$P:$P, 'Bucket Counts'!$D:$D, 'Total Larvae to Date'!$A55, 'Bucket Counts'!$A:$A, "="&amp;I$27))</f>
        <v>0</v>
      </c>
      <c r="J55" s="121">
        <f>(SUMIFS('Bucket Counts'!$P:$P, 'Bucket Counts'!$D:$D, 'Total Larvae to Date'!$A55, 'Bucket Counts'!$A:$A, "="&amp;J$27))</f>
        <v>0</v>
      </c>
      <c r="K55" s="121">
        <f>(SUMIFS('Bucket Counts'!$P:$P, 'Bucket Counts'!$D:$D, 'Total Larvae to Date'!$A55, 'Bucket Counts'!$A:$A, "="&amp;K$27))</f>
        <v>0</v>
      </c>
    </row>
    <row r="56" spans="1:12">
      <c r="A56" s="27" t="s">
        <v>86</v>
      </c>
      <c r="B56" s="121"/>
      <c r="C56" s="121">
        <f>(SUMIFS('Bucket Counts'!$P:$P, 'Bucket Counts'!$D:$D, 'Total Larvae to Date'!$A56, 'Bucket Counts'!$A:$A, "="&amp;C$27))</f>
        <v>53308.333333333336</v>
      </c>
      <c r="D56" s="121">
        <f>(SUMIFS('Bucket Counts'!$P:$P, 'Bucket Counts'!$D:$D, 'Total Larvae to Date'!$A56, 'Bucket Counts'!$A:$A, "="&amp;D$27))</f>
        <v>50126.666666666664</v>
      </c>
      <c r="E56" s="121">
        <f>(SUMIFS('Bucket Counts'!$P:$P, 'Bucket Counts'!$D:$D, 'Total Larvae to Date'!$A56, 'Bucket Counts'!$A:$A, "="&amp;E$27))</f>
        <v>46103.333333333336</v>
      </c>
      <c r="F56" s="121">
        <f>(SUMIFS('Bucket Counts'!$P:$P, 'Bucket Counts'!$D:$D, 'Total Larvae to Date'!$A56, 'Bucket Counts'!$A:$A, "="&amp;F$27))</f>
        <v>25116.666666666664</v>
      </c>
      <c r="G56" s="121">
        <f>(SUMIFS('Bucket Counts'!$P:$P, 'Bucket Counts'!$D:$D, 'Total Larvae to Date'!$A56, 'Bucket Counts'!$A:$A, "="&amp;G$27))</f>
        <v>20360</v>
      </c>
      <c r="H56" s="121">
        <f>(SUMIFS('Bucket Counts'!$P:$P, 'Bucket Counts'!$D:$D, 'Total Larvae to Date'!$A56, 'Bucket Counts'!$A:$A, "="&amp;H$27))</f>
        <v>0</v>
      </c>
      <c r="I56" s="121">
        <f>(SUMIFS('Bucket Counts'!$P:$P, 'Bucket Counts'!$D:$D, 'Total Larvae to Date'!$A56, 'Bucket Counts'!$A:$A, "="&amp;I$27))</f>
        <v>0</v>
      </c>
      <c r="J56" s="121">
        <f>(SUMIFS('Bucket Counts'!$P:$P, 'Bucket Counts'!$D:$D, 'Total Larvae to Date'!$A56, 'Bucket Counts'!$A:$A, "="&amp;J$27))</f>
        <v>0</v>
      </c>
      <c r="K56" s="121">
        <f>(SUMIFS('Bucket Counts'!$P:$P, 'Bucket Counts'!$D:$D, 'Total Larvae to Date'!$A56, 'Bucket Counts'!$A:$A, "="&amp;K$27))</f>
        <v>0</v>
      </c>
    </row>
    <row r="57" spans="1:12">
      <c r="A57" s="27" t="s">
        <v>106</v>
      </c>
      <c r="B57" s="121"/>
      <c r="C57" s="121">
        <f>(SUMIFS('Bucket Counts'!$P:$P, 'Bucket Counts'!$D:$D, 'Total Larvae to Date'!$A57, 'Bucket Counts'!$A:$A, "="&amp;C$27))</f>
        <v>7908.8888888888887</v>
      </c>
      <c r="D57" s="121">
        <f>(SUMIFS('Bucket Counts'!$P:$P, 'Bucket Counts'!$D:$D, 'Total Larvae to Date'!$A57, 'Bucket Counts'!$A:$A, "="&amp;D$27))</f>
        <v>39116.666666666664</v>
      </c>
      <c r="E57" s="121">
        <f>(SUMIFS('Bucket Counts'!$P:$P, 'Bucket Counts'!$D:$D, 'Total Larvae to Date'!$A57, 'Bucket Counts'!$A:$A, "="&amp;E$27))</f>
        <v>70011.111111111109</v>
      </c>
      <c r="F57" s="121">
        <f>(SUMIFS('Bucket Counts'!$P:$P, 'Bucket Counts'!$D:$D, 'Total Larvae to Date'!$A57, 'Bucket Counts'!$A:$A, "="&amp;F$27))</f>
        <v>69823.333333333328</v>
      </c>
      <c r="G57" s="121">
        <f>(SUMIFS('Bucket Counts'!$P:$P, 'Bucket Counts'!$D:$D, 'Total Larvae to Date'!$A57, 'Bucket Counts'!$A:$A, "="&amp;G$27))</f>
        <v>65113.333333333336</v>
      </c>
      <c r="H57" s="121">
        <f>(SUMIFS('Bucket Counts'!$P:$P, 'Bucket Counts'!$D:$D, 'Total Larvae to Date'!$A57, 'Bucket Counts'!$A:$A, "="&amp;H$27))</f>
        <v>0</v>
      </c>
      <c r="I57" s="121">
        <f>(SUMIFS('Bucket Counts'!$P:$P, 'Bucket Counts'!$D:$D, 'Total Larvae to Date'!$A57, 'Bucket Counts'!$A:$A, "="&amp;I$27))</f>
        <v>0</v>
      </c>
      <c r="J57" s="121">
        <f>(SUMIFS('Bucket Counts'!$P:$P, 'Bucket Counts'!$D:$D, 'Total Larvae to Date'!$A57, 'Bucket Counts'!$A:$A, "="&amp;J$27))</f>
        <v>0</v>
      </c>
      <c r="K57" s="121">
        <f>(SUMIFS('Bucket Counts'!$P:$P, 'Bucket Counts'!$D:$D, 'Total Larvae to Date'!$A57, 'Bucket Counts'!$A:$A, "="&amp;K$27))</f>
        <v>0</v>
      </c>
    </row>
    <row r="58" spans="1:12">
      <c r="A58" s="27" t="s">
        <v>87</v>
      </c>
      <c r="B58" s="121"/>
      <c r="C58" s="121">
        <f>(SUMIFS('Bucket Counts'!$P:$P, 'Bucket Counts'!$D:$D, 'Total Larvae to Date'!$A58, 'Bucket Counts'!$A:$A, "="&amp;C$27))</f>
        <v>179479.99999999997</v>
      </c>
      <c r="D58" s="121">
        <f>(SUMIFS('Bucket Counts'!$P:$P, 'Bucket Counts'!$D:$D, 'Total Larvae to Date'!$A58, 'Bucket Counts'!$A:$A, "="&amp;D$27))</f>
        <v>147516.66666666669</v>
      </c>
      <c r="E58" s="121">
        <f>(SUMIFS('Bucket Counts'!$P:$P, 'Bucket Counts'!$D:$D, 'Total Larvae to Date'!$A58, 'Bucket Counts'!$A:$A, "="&amp;E$27))</f>
        <v>111925</v>
      </c>
      <c r="F58" s="121">
        <f>(SUMIFS('Bucket Counts'!$P:$P, 'Bucket Counts'!$D:$D, 'Total Larvae to Date'!$A58, 'Bucket Counts'!$A:$A, "="&amp;F$27))</f>
        <v>129910</v>
      </c>
      <c r="G58" s="121">
        <f>(SUMIFS('Bucket Counts'!$P:$P, 'Bucket Counts'!$D:$D, 'Total Larvae to Date'!$A58, 'Bucket Counts'!$A:$A, "="&amp;G$27))</f>
        <v>103206.66666666666</v>
      </c>
      <c r="H58" s="121">
        <f>(SUMIFS('Bucket Counts'!$P:$P, 'Bucket Counts'!$D:$D, 'Total Larvae to Date'!$A58, 'Bucket Counts'!$A:$A, "="&amp;H$27))</f>
        <v>0</v>
      </c>
      <c r="I58" s="121">
        <f>(SUMIFS('Bucket Counts'!$P:$P, 'Bucket Counts'!$D:$D, 'Total Larvae to Date'!$A58, 'Bucket Counts'!$A:$A, "="&amp;I$27))</f>
        <v>0</v>
      </c>
      <c r="J58" s="121">
        <f>(SUMIFS('Bucket Counts'!$P:$P, 'Bucket Counts'!$D:$D, 'Total Larvae to Date'!$A58, 'Bucket Counts'!$A:$A, "="&amp;J$27))</f>
        <v>0</v>
      </c>
      <c r="K58" s="121">
        <f>(SUMIFS('Bucket Counts'!$P:$P, 'Bucket Counts'!$D:$D, 'Total Larvae to Date'!$A58, 'Bucket Counts'!$A:$A, "="&amp;K$27))</f>
        <v>0</v>
      </c>
    </row>
    <row r="59" spans="1:12">
      <c r="A59" s="27" t="s">
        <v>140</v>
      </c>
      <c r="B59" s="121"/>
      <c r="C59" s="121">
        <f>(SUMIFS('Bucket Counts'!$P:$P, 'Bucket Counts'!$D:$D, 'Total Larvae to Date'!$A59, 'Bucket Counts'!$A:$A, "="&amp;C$27))</f>
        <v>46304.722222222219</v>
      </c>
      <c r="D59" s="121">
        <f>(SUMIFS('Bucket Counts'!$P:$P, 'Bucket Counts'!$D:$D, 'Total Larvae to Date'!$A59, 'Bucket Counts'!$A:$A, "="&amp;D$27))</f>
        <v>48686.666666666664</v>
      </c>
      <c r="E59" s="121">
        <f>(SUMIFS('Bucket Counts'!$P:$P, 'Bucket Counts'!$D:$D, 'Total Larvae to Date'!$A59, 'Bucket Counts'!$A:$A, "="&amp;E$27))</f>
        <v>39976.666666666672</v>
      </c>
      <c r="F59" s="121">
        <f>(SUMIFS('Bucket Counts'!$P:$P, 'Bucket Counts'!$D:$D, 'Total Larvae to Date'!$A59, 'Bucket Counts'!$A:$A, "="&amp;F$27))</f>
        <v>113333.33333333334</v>
      </c>
      <c r="G59" s="121">
        <f>(SUMIFS('Bucket Counts'!$P:$P, 'Bucket Counts'!$D:$D, 'Total Larvae to Date'!$A59, 'Bucket Counts'!$A:$A, "="&amp;G$27))</f>
        <v>53800</v>
      </c>
      <c r="H59" s="121">
        <f>(SUMIFS('Bucket Counts'!$P:$P, 'Bucket Counts'!$D:$D, 'Total Larvae to Date'!$A59, 'Bucket Counts'!$A:$A, "="&amp;H$27))</f>
        <v>0</v>
      </c>
      <c r="I59" s="121">
        <f>(SUMIFS('Bucket Counts'!$P:$P, 'Bucket Counts'!$D:$D, 'Total Larvae to Date'!$A59, 'Bucket Counts'!$A:$A, "="&amp;I$27))</f>
        <v>0</v>
      </c>
      <c r="J59" s="121">
        <f>(SUMIFS('Bucket Counts'!$P:$P, 'Bucket Counts'!$D:$D, 'Total Larvae to Date'!$A59, 'Bucket Counts'!$A:$A, "="&amp;J$27))</f>
        <v>0</v>
      </c>
      <c r="K59" s="121">
        <f>(SUMIFS('Bucket Counts'!$P:$P, 'Bucket Counts'!$D:$D, 'Total Larvae to Date'!$A59, 'Bucket Counts'!$A:$A, "="&amp;K$27))</f>
        <v>0</v>
      </c>
    </row>
    <row r="60" spans="1:12">
      <c r="A60" s="27" t="s">
        <v>88</v>
      </c>
      <c r="B60" s="121"/>
      <c r="C60" s="121">
        <f>(SUMIFS('Bucket Counts'!$P:$P, 'Bucket Counts'!$D:$D, 'Total Larvae to Date'!$A60, 'Bucket Counts'!$A:$A, "="&amp;C$27))</f>
        <v>39096.666666666664</v>
      </c>
      <c r="D60" s="121">
        <f>(SUMIFS('Bucket Counts'!$P:$P, 'Bucket Counts'!$D:$D, 'Total Larvae to Date'!$A60, 'Bucket Counts'!$A:$A, "="&amp;D$27))</f>
        <v>32666.666666666668</v>
      </c>
      <c r="E60" s="121">
        <f>(SUMIFS('Bucket Counts'!$P:$P, 'Bucket Counts'!$D:$D, 'Total Larvae to Date'!$A60, 'Bucket Counts'!$A:$A, "="&amp;E$27))</f>
        <v>38150</v>
      </c>
      <c r="F60" s="121">
        <f>(SUMIFS('Bucket Counts'!$P:$P, 'Bucket Counts'!$D:$D, 'Total Larvae to Date'!$A60, 'Bucket Counts'!$A:$A, "="&amp;F$27))</f>
        <v>21824.999999999996</v>
      </c>
      <c r="G60" s="121">
        <f>(SUMIFS('Bucket Counts'!$P:$P, 'Bucket Counts'!$D:$D, 'Total Larvae to Date'!$A60, 'Bucket Counts'!$A:$A, "="&amp;G$27))</f>
        <v>55603.333333333336</v>
      </c>
      <c r="H60" s="121">
        <f>(SUMIFS('Bucket Counts'!$P:$P, 'Bucket Counts'!$D:$D, 'Total Larvae to Date'!$A60, 'Bucket Counts'!$A:$A, "="&amp;H$27))</f>
        <v>0</v>
      </c>
      <c r="I60" s="121">
        <f>(SUMIFS('Bucket Counts'!$P:$P, 'Bucket Counts'!$D:$D, 'Total Larvae to Date'!$A60, 'Bucket Counts'!$A:$A, "="&amp;I$27))</f>
        <v>0</v>
      </c>
      <c r="J60" s="121">
        <f>(SUMIFS('Bucket Counts'!$P:$P, 'Bucket Counts'!$D:$D, 'Total Larvae to Date'!$A60, 'Bucket Counts'!$A:$A, "="&amp;J$27))</f>
        <v>0</v>
      </c>
      <c r="K60" s="121">
        <f>(SUMIFS('Bucket Counts'!$P:$P, 'Bucket Counts'!$D:$D, 'Total Larvae to Date'!$A60, 'Bucket Counts'!$A:$A, "="&amp;K$27))</f>
        <v>0</v>
      </c>
    </row>
    <row r="61" spans="1:12">
      <c r="A61" s="27" t="s">
        <v>78</v>
      </c>
      <c r="B61" s="121"/>
      <c r="C61" s="121">
        <f>(SUMIFS('Bucket Counts'!$P:$P, 'Bucket Counts'!$D:$D, 'Total Larvae to Date'!$A61, 'Bucket Counts'!$A:$A, "="&amp;C$27))</f>
        <v>95347.222222222219</v>
      </c>
      <c r="D61" s="121">
        <f>(SUMIFS('Bucket Counts'!$P:$P, 'Bucket Counts'!$D:$D, 'Total Larvae to Date'!$A61, 'Bucket Counts'!$A:$A, "="&amp;D$27))</f>
        <v>42716.666666666672</v>
      </c>
      <c r="E61" s="121">
        <f>(SUMIFS('Bucket Counts'!$P:$P, 'Bucket Counts'!$D:$D, 'Total Larvae to Date'!$A61, 'Bucket Counts'!$A:$A, "="&amp;E$27))</f>
        <v>54606.666666666664</v>
      </c>
      <c r="F61" s="121">
        <f>(SUMIFS('Bucket Counts'!$P:$P, 'Bucket Counts'!$D:$D, 'Total Larvae to Date'!$A61, 'Bucket Counts'!$A:$A, "="&amp;F$27))</f>
        <v>98686.666666666672</v>
      </c>
      <c r="G61" s="121">
        <f>(SUMIFS('Bucket Counts'!$P:$P, 'Bucket Counts'!$D:$D, 'Total Larvae to Date'!$A61, 'Bucket Counts'!$A:$A, "="&amp;G$27))</f>
        <v>47473.333333333343</v>
      </c>
      <c r="H61" s="121">
        <f>(SUMIFS('Bucket Counts'!$P:$P, 'Bucket Counts'!$D:$D, 'Total Larvae to Date'!$A61, 'Bucket Counts'!$A:$A, "="&amp;H$27))</f>
        <v>0</v>
      </c>
      <c r="I61" s="121">
        <f>(SUMIFS('Bucket Counts'!$P:$P, 'Bucket Counts'!$D:$D, 'Total Larvae to Date'!$A61, 'Bucket Counts'!$A:$A, "="&amp;I$27))</f>
        <v>0</v>
      </c>
      <c r="J61" s="121">
        <f>(SUMIFS('Bucket Counts'!$P:$P, 'Bucket Counts'!$D:$D, 'Total Larvae to Date'!$A61, 'Bucket Counts'!$A:$A, "="&amp;J$27))</f>
        <v>0</v>
      </c>
      <c r="K61" s="121">
        <f>(SUMIFS('Bucket Counts'!$P:$P, 'Bucket Counts'!$D:$D, 'Total Larvae to Date'!$A61, 'Bucket Counts'!$A:$A, "="&amp;K$27))</f>
        <v>0</v>
      </c>
    </row>
    <row r="62" spans="1:12">
      <c r="A62" s="27" t="s">
        <v>89</v>
      </c>
      <c r="B62" s="121"/>
      <c r="C62" s="121">
        <f>(SUMIFS('Bucket Counts'!$P:$P, 'Bucket Counts'!$D:$D, 'Total Larvae to Date'!$A62, 'Bucket Counts'!$A:$A, "="&amp;C$27))</f>
        <v>88226.666666666672</v>
      </c>
      <c r="D62" s="121">
        <f>(SUMIFS('Bucket Counts'!$P:$P, 'Bucket Counts'!$D:$D, 'Total Larvae to Date'!$A62, 'Bucket Counts'!$A:$A, "="&amp;D$27))</f>
        <v>93497.222222222219</v>
      </c>
      <c r="E62" s="121">
        <f>(SUMIFS('Bucket Counts'!$P:$P, 'Bucket Counts'!$D:$D, 'Total Larvae to Date'!$A62, 'Bucket Counts'!$A:$A, "="&amp;E$27))</f>
        <v>77303.333333333328</v>
      </c>
      <c r="F62" s="121">
        <f>(SUMIFS('Bucket Counts'!$P:$P, 'Bucket Counts'!$D:$D, 'Total Larvae to Date'!$A62, 'Bucket Counts'!$A:$A, "="&amp;F$27))</f>
        <v>52096.666666666664</v>
      </c>
      <c r="G62" s="121">
        <f>(SUMIFS('Bucket Counts'!$P:$P, 'Bucket Counts'!$D:$D, 'Total Larvae to Date'!$A62, 'Bucket Counts'!$A:$A, "="&amp;G$27))</f>
        <v>26033.333333333328</v>
      </c>
      <c r="H62" s="121">
        <f>(SUMIFS('Bucket Counts'!$P:$P, 'Bucket Counts'!$D:$D, 'Total Larvae to Date'!$A62, 'Bucket Counts'!$A:$A, "="&amp;H$27))</f>
        <v>0</v>
      </c>
      <c r="I62" s="121">
        <f>(SUMIFS('Bucket Counts'!$P:$P, 'Bucket Counts'!$D:$D, 'Total Larvae to Date'!$A62, 'Bucket Counts'!$A:$A, "="&amp;I$27))</f>
        <v>0</v>
      </c>
      <c r="J62" s="121">
        <f>(SUMIFS('Bucket Counts'!$P:$P, 'Bucket Counts'!$D:$D, 'Total Larvae to Date'!$A62, 'Bucket Counts'!$A:$A, "="&amp;J$27))</f>
        <v>0</v>
      </c>
      <c r="K62" s="121">
        <f>(SUMIFS('Bucket Counts'!$P:$P, 'Bucket Counts'!$D:$D, 'Total Larvae to Date'!$A62, 'Bucket Counts'!$A:$A, "="&amp;K$27))</f>
        <v>0</v>
      </c>
    </row>
    <row r="63" spans="1:12">
      <c r="A63" s="27" t="s">
        <v>139</v>
      </c>
      <c r="B63" s="121"/>
      <c r="C63" s="121">
        <f>(SUMIFS('Bucket Counts'!$P:$P, 'Bucket Counts'!$D:$D, 'Total Larvae to Date'!$A63, 'Bucket Counts'!$A:$A, "="&amp;C$27))</f>
        <v>70563.333333333328</v>
      </c>
      <c r="D63" s="121">
        <f>(SUMIFS('Bucket Counts'!$P:$P, 'Bucket Counts'!$D:$D, 'Total Larvae to Date'!$A63, 'Bucket Counts'!$A:$A, "="&amp;D$27))</f>
        <v>56509.166666666664</v>
      </c>
      <c r="E63" s="121">
        <f>(SUMIFS('Bucket Counts'!$P:$P, 'Bucket Counts'!$D:$D, 'Total Larvae to Date'!$A63, 'Bucket Counts'!$A:$A, "="&amp;E$27))</f>
        <v>86451.666666666672</v>
      </c>
      <c r="F63" s="121">
        <f>(SUMIFS('Bucket Counts'!$P:$P, 'Bucket Counts'!$D:$D, 'Total Larvae to Date'!$A63, 'Bucket Counts'!$A:$A, "="&amp;F$27))</f>
        <v>132258.33333333334</v>
      </c>
      <c r="G63" s="121">
        <f>(SUMIFS('Bucket Counts'!$P:$P, 'Bucket Counts'!$D:$D, 'Total Larvae to Date'!$A63, 'Bucket Counts'!$A:$A, "="&amp;G$27))</f>
        <v>99826.666666666657</v>
      </c>
      <c r="H63" s="121">
        <f>(SUMIFS('Bucket Counts'!$P:$P, 'Bucket Counts'!$D:$D, 'Total Larvae to Date'!$A63, 'Bucket Counts'!$A:$A, "="&amp;H$27))</f>
        <v>0</v>
      </c>
      <c r="I63" s="121">
        <f>(SUMIFS('Bucket Counts'!$P:$P, 'Bucket Counts'!$D:$D, 'Total Larvae to Date'!$A63, 'Bucket Counts'!$A:$A, "="&amp;I$27))</f>
        <v>0</v>
      </c>
      <c r="J63" s="121">
        <f>(SUMIFS('Bucket Counts'!$P:$P, 'Bucket Counts'!$D:$D, 'Total Larvae to Date'!$A63, 'Bucket Counts'!$A:$A, "="&amp;J$27))</f>
        <v>0</v>
      </c>
      <c r="K63" s="121">
        <f>(SUMIFS('Bucket Counts'!$P:$P, 'Bucket Counts'!$D:$D, 'Total Larvae to Date'!$A63, 'Bucket Counts'!$A:$A, "="&amp;K$27))</f>
        <v>0</v>
      </c>
    </row>
    <row r="64" spans="1:12">
      <c r="A64" s="27" t="s">
        <v>120</v>
      </c>
      <c r="B64" s="121"/>
      <c r="C64" s="121">
        <f>(SUMIFS('Bucket Counts'!$P:$P, 'Bucket Counts'!$D:$D, 'Total Larvae to Date'!$A64, 'Bucket Counts'!$A:$A, "="&amp;C$27))</f>
        <v>0</v>
      </c>
      <c r="D64" s="121">
        <f>(SUMIFS('Bucket Counts'!$P:$P, 'Bucket Counts'!$D:$D, 'Total Larvae to Date'!$A64, 'Bucket Counts'!$A:$A, "="&amp;D$27))</f>
        <v>0</v>
      </c>
      <c r="E64" s="121">
        <f>(SUMIFS('Bucket Counts'!$P:$P, 'Bucket Counts'!$D:$D, 'Total Larvae to Date'!$A64, 'Bucket Counts'!$A:$A, "="&amp;E$27))</f>
        <v>0</v>
      </c>
      <c r="F64" s="121">
        <f>(SUMIFS('Bucket Counts'!$P:$P, 'Bucket Counts'!$D:$D, 'Total Larvae to Date'!$A64, 'Bucket Counts'!$A:$A, "="&amp;F$27))</f>
        <v>64266.666666666672</v>
      </c>
      <c r="G64" s="121">
        <f>(SUMIFS('Bucket Counts'!$P:$P, 'Bucket Counts'!$D:$D, 'Total Larvae to Date'!$A64, 'Bucket Counts'!$A:$A, "="&amp;G$27))</f>
        <v>37566.666666666672</v>
      </c>
      <c r="H64" s="121">
        <f>(SUMIFS('Bucket Counts'!$P:$P, 'Bucket Counts'!$D:$D, 'Total Larvae to Date'!$A64, 'Bucket Counts'!$A:$A, "="&amp;H$27))</f>
        <v>0</v>
      </c>
      <c r="I64" s="121">
        <f>(SUMIFS('Bucket Counts'!$P:$P, 'Bucket Counts'!$D:$D, 'Total Larvae to Date'!$A64, 'Bucket Counts'!$A:$A, "="&amp;I$27))</f>
        <v>0</v>
      </c>
      <c r="J64" s="121">
        <f>(SUMIFS('Bucket Counts'!$P:$P, 'Bucket Counts'!$D:$D, 'Total Larvae to Date'!$A64, 'Bucket Counts'!$A:$A, "="&amp;J$27))</f>
        <v>0</v>
      </c>
      <c r="K64" s="121">
        <f>(SUMIFS('Bucket Counts'!$P:$P, 'Bucket Counts'!$D:$D, 'Total Larvae to Date'!$A64, 'Bucket Counts'!$A:$A, "="&amp;K$27))</f>
        <v>0</v>
      </c>
    </row>
    <row r="65" spans="1:12">
      <c r="A65" s="27" t="s">
        <v>21</v>
      </c>
      <c r="B65" s="121"/>
      <c r="C65" s="121">
        <f>(SUMIFS('Bucket Counts'!$P:$P, 'Bucket Counts'!$D:$D, 'Total Larvae to Date'!$A65, 'Bucket Counts'!$A:$A, "="&amp;C$27))</f>
        <v>0</v>
      </c>
      <c r="D65" s="121">
        <f>(SUMIFS('Bucket Counts'!$P:$P, 'Bucket Counts'!$D:$D, 'Total Larvae to Date'!$A65, 'Bucket Counts'!$A:$A, "="&amp;D$27))</f>
        <v>64533.333333333336</v>
      </c>
      <c r="E65" s="121">
        <f>(SUMIFS('Bucket Counts'!$P:$P, 'Bucket Counts'!$D:$D, 'Total Larvae to Date'!$A65, 'Bucket Counts'!$A:$A, "="&amp;E$27))</f>
        <v>71136.666666666657</v>
      </c>
      <c r="F65" s="121">
        <f>(SUMIFS('Bucket Counts'!$P:$P, 'Bucket Counts'!$D:$D, 'Total Larvae to Date'!$A65, 'Bucket Counts'!$A:$A, "="&amp;F$27))</f>
        <v>28333.333333333332</v>
      </c>
      <c r="G65" s="121">
        <f>(SUMIFS('Bucket Counts'!$P:$P, 'Bucket Counts'!$D:$D, 'Total Larvae to Date'!$A65, 'Bucket Counts'!$A:$A, "="&amp;G$27))</f>
        <v>102833.33333333334</v>
      </c>
      <c r="H65" s="121">
        <f>(SUMIFS('Bucket Counts'!$P:$P, 'Bucket Counts'!$D:$D, 'Total Larvae to Date'!$A65, 'Bucket Counts'!$A:$A, "="&amp;H$27))</f>
        <v>0</v>
      </c>
      <c r="I65" s="121">
        <f>(SUMIFS('Bucket Counts'!$P:$P, 'Bucket Counts'!$D:$D, 'Total Larvae to Date'!$A65, 'Bucket Counts'!$A:$A, "="&amp;I$27))</f>
        <v>0</v>
      </c>
      <c r="J65" s="121">
        <f>(SUMIFS('Bucket Counts'!$P:$P, 'Bucket Counts'!$D:$D, 'Total Larvae to Date'!$A65, 'Bucket Counts'!$A:$A, "="&amp;J$27))</f>
        <v>0</v>
      </c>
      <c r="K65" s="121">
        <f>(SUMIFS('Bucket Counts'!$P:$P, 'Bucket Counts'!$D:$D, 'Total Larvae to Date'!$A65, 'Bucket Counts'!$A:$A, "="&amp;K$27))</f>
        <v>0</v>
      </c>
    </row>
    <row r="66" spans="1:12">
      <c r="A66" s="27" t="s">
        <v>17</v>
      </c>
      <c r="B66" s="121"/>
      <c r="C66" s="121">
        <f>(SUMIFS('Bucket Counts'!$P:$P, 'Bucket Counts'!$D:$D, 'Total Larvae to Date'!$A66, 'Bucket Counts'!$A:$A, "="&amp;C$27))</f>
        <v>89473.333333333328</v>
      </c>
      <c r="D66" s="121">
        <f>(SUMIFS('Bucket Counts'!$P:$P, 'Bucket Counts'!$D:$D, 'Total Larvae to Date'!$A66, 'Bucket Counts'!$A:$A, "="&amp;D$27))</f>
        <v>89683.333333333328</v>
      </c>
      <c r="E66" s="121">
        <f>(SUMIFS('Bucket Counts'!$P:$P, 'Bucket Counts'!$D:$D, 'Total Larvae to Date'!$A66, 'Bucket Counts'!$A:$A, "="&amp;E$27))</f>
        <v>67206.666666666672</v>
      </c>
      <c r="F66" s="121">
        <f>(SUMIFS('Bucket Counts'!$P:$P, 'Bucket Counts'!$D:$D, 'Total Larvae to Date'!$A66, 'Bucket Counts'!$A:$A, "="&amp;F$27))</f>
        <v>54416.666666666664</v>
      </c>
      <c r="G66" s="121">
        <f>(SUMIFS('Bucket Counts'!$P:$P, 'Bucket Counts'!$D:$D, 'Total Larvae to Date'!$A66, 'Bucket Counts'!$A:$A, "="&amp;G$27))</f>
        <v>35666.666666666664</v>
      </c>
      <c r="H66" s="121">
        <f>(SUMIFS('Bucket Counts'!$P:$P, 'Bucket Counts'!$D:$D, 'Total Larvae to Date'!$A66, 'Bucket Counts'!$A:$A, "="&amp;H$27))</f>
        <v>0</v>
      </c>
      <c r="I66" s="121">
        <f>(SUMIFS('Bucket Counts'!$P:$P, 'Bucket Counts'!$D:$D, 'Total Larvae to Date'!$A66, 'Bucket Counts'!$A:$A, "="&amp;I$27))</f>
        <v>0</v>
      </c>
      <c r="J66" s="121">
        <f>(SUMIFS('Bucket Counts'!$P:$P, 'Bucket Counts'!$D:$D, 'Total Larvae to Date'!$A66, 'Bucket Counts'!$A:$A, "="&amp;J$27))</f>
        <v>0</v>
      </c>
      <c r="K66" s="121">
        <f>(SUMIFS('Bucket Counts'!$P:$P, 'Bucket Counts'!$D:$D, 'Total Larvae to Date'!$A66, 'Bucket Counts'!$A:$A, "="&amp;K$27))</f>
        <v>0</v>
      </c>
    </row>
    <row r="67" spans="1:12">
      <c r="A67" s="27" t="s">
        <v>37</v>
      </c>
      <c r="B67" s="121"/>
      <c r="C67" s="121">
        <f>(SUMIFS('Bucket Counts'!$P:$P, 'Bucket Counts'!$D:$D, 'Total Larvae to Date'!$A67, 'Bucket Counts'!$A:$A, "="&amp;C$27))</f>
        <v>96953.333333333314</v>
      </c>
      <c r="D67" s="121">
        <f>(SUMIFS('Bucket Counts'!$P:$P, 'Bucket Counts'!$D:$D, 'Total Larvae to Date'!$A67, 'Bucket Counts'!$A:$A, "="&amp;D$27))</f>
        <v>19559.999999999996</v>
      </c>
      <c r="E67" s="121">
        <f>(SUMIFS('Bucket Counts'!$P:$P, 'Bucket Counts'!$D:$D, 'Total Larvae to Date'!$A67, 'Bucket Counts'!$A:$A, "="&amp;E$27))</f>
        <v>24153.333333333336</v>
      </c>
      <c r="F67" s="121">
        <f>(SUMIFS('Bucket Counts'!$P:$P, 'Bucket Counts'!$D:$D, 'Total Larvae to Date'!$A67, 'Bucket Counts'!$A:$A, "="&amp;F$27))</f>
        <v>3858.333333333333</v>
      </c>
      <c r="G67" s="121">
        <f>(SUMIFS('Bucket Counts'!$P:$P, 'Bucket Counts'!$D:$D, 'Total Larvae to Date'!$A67, 'Bucket Counts'!$A:$A, "="&amp;G$27))</f>
        <v>1266.6666666666665</v>
      </c>
      <c r="H67" s="121">
        <f>(SUMIFS('Bucket Counts'!$P:$P, 'Bucket Counts'!$D:$D, 'Total Larvae to Date'!$A67, 'Bucket Counts'!$A:$A, "="&amp;H$27))</f>
        <v>0</v>
      </c>
      <c r="I67" s="121">
        <f>(SUMIFS('Bucket Counts'!$P:$P, 'Bucket Counts'!$D:$D, 'Total Larvae to Date'!$A67, 'Bucket Counts'!$A:$A, "="&amp;I$27))</f>
        <v>0</v>
      </c>
      <c r="J67" s="121">
        <f>(SUMIFS('Bucket Counts'!$P:$P, 'Bucket Counts'!$D:$D, 'Total Larvae to Date'!$A67, 'Bucket Counts'!$A:$A, "="&amp;J$27))</f>
        <v>0</v>
      </c>
      <c r="K67" s="121">
        <f>(SUMIFS('Bucket Counts'!$P:$P, 'Bucket Counts'!$D:$D, 'Total Larvae to Date'!$A67, 'Bucket Counts'!$A:$A, "="&amp;K$27))</f>
        <v>0</v>
      </c>
    </row>
    <row r="68" spans="1:12">
      <c r="A68" s="27" t="s">
        <v>38</v>
      </c>
      <c r="B68" s="121"/>
      <c r="C68" s="121">
        <f>(SUMIFS('Bucket Counts'!$P:$P, 'Bucket Counts'!$D:$D, 'Total Larvae to Date'!$A68, 'Bucket Counts'!$A:$A, "="&amp;C$27))</f>
        <v>64275.555555555562</v>
      </c>
      <c r="D68" s="121">
        <f>(SUMIFS('Bucket Counts'!$P:$P, 'Bucket Counts'!$D:$D, 'Total Larvae to Date'!$A68, 'Bucket Counts'!$A:$A, "="&amp;D$27))</f>
        <v>47496.666666666664</v>
      </c>
      <c r="E68" s="121">
        <f>(SUMIFS('Bucket Counts'!$P:$P, 'Bucket Counts'!$D:$D, 'Total Larvae to Date'!$A68, 'Bucket Counts'!$A:$A, "="&amp;E$27))</f>
        <v>92913.333333333343</v>
      </c>
      <c r="F68" s="121">
        <f>(SUMIFS('Bucket Counts'!$P:$P, 'Bucket Counts'!$D:$D, 'Total Larvae to Date'!$A68, 'Bucket Counts'!$A:$A, "="&amp;F$27))</f>
        <v>74338.333333333328</v>
      </c>
      <c r="G68" s="121">
        <f>(SUMIFS('Bucket Counts'!$P:$P, 'Bucket Counts'!$D:$D, 'Total Larvae to Date'!$A68, 'Bucket Counts'!$A:$A, "="&amp;G$27))</f>
        <v>40340</v>
      </c>
      <c r="H68" s="121">
        <f>(SUMIFS('Bucket Counts'!$P:$P, 'Bucket Counts'!$D:$D, 'Total Larvae to Date'!$A68, 'Bucket Counts'!$A:$A, "="&amp;H$27))</f>
        <v>0</v>
      </c>
      <c r="I68" s="121">
        <f>(SUMIFS('Bucket Counts'!$P:$P, 'Bucket Counts'!$D:$D, 'Total Larvae to Date'!$A68, 'Bucket Counts'!$A:$A, "="&amp;I$27))</f>
        <v>0</v>
      </c>
      <c r="J68" s="121">
        <f>(SUMIFS('Bucket Counts'!$P:$P, 'Bucket Counts'!$D:$D, 'Total Larvae to Date'!$A68, 'Bucket Counts'!$A:$A, "="&amp;J$27))</f>
        <v>0</v>
      </c>
      <c r="K68" s="121">
        <f>(SUMIFS('Bucket Counts'!$P:$P, 'Bucket Counts'!$D:$D, 'Total Larvae to Date'!$A68, 'Bucket Counts'!$A:$A, "="&amp;K$27))</f>
        <v>0</v>
      </c>
    </row>
    <row r="69" spans="1:12" s="220" customFormat="1" ht="16" thickBot="1">
      <c r="A69" s="223" t="s">
        <v>46</v>
      </c>
      <c r="B69" s="222"/>
      <c r="C69" s="222">
        <f>(SUMIFS('Bucket Counts'!$P:$P, 'Bucket Counts'!$D:$D, 'Total Larvae to Date'!$A69, 'Bucket Counts'!$A:$A, "="&amp;C$27))</f>
        <v>2175</v>
      </c>
      <c r="D69" s="222">
        <f>(SUMIFS('Bucket Counts'!$P:$P, 'Bucket Counts'!$D:$D, 'Total Larvae to Date'!$A69, 'Bucket Counts'!$A:$A, "="&amp;D$27))</f>
        <v>56316.666666666672</v>
      </c>
      <c r="E69" s="222">
        <f>(SUMIFS('Bucket Counts'!$P:$P, 'Bucket Counts'!$D:$D, 'Total Larvae to Date'!$A69, 'Bucket Counts'!$A:$A, "="&amp;E$27))</f>
        <v>49492.5</v>
      </c>
      <c r="F69" s="222">
        <f>(SUMIFS('Bucket Counts'!$P:$P, 'Bucket Counts'!$D:$D, 'Total Larvae to Date'!$A69, 'Bucket Counts'!$A:$A, "="&amp;F$27))</f>
        <v>33256.666666666672</v>
      </c>
      <c r="G69" s="222">
        <f>(SUMIFS('Bucket Counts'!$P:$P, 'Bucket Counts'!$D:$D, 'Total Larvae to Date'!$A69, 'Bucket Counts'!$A:$A, "="&amp;G$27))</f>
        <v>35316.666666666664</v>
      </c>
      <c r="H69" s="222">
        <f>(SUMIFS('Bucket Counts'!$P:$P, 'Bucket Counts'!$D:$D, 'Total Larvae to Date'!$A69, 'Bucket Counts'!$A:$A, "="&amp;H$27))</f>
        <v>0</v>
      </c>
      <c r="I69" s="222">
        <f>(SUMIFS('Bucket Counts'!$P:$P, 'Bucket Counts'!$D:$D, 'Total Larvae to Date'!$A69, 'Bucket Counts'!$A:$A, "="&amp;I$27))</f>
        <v>0</v>
      </c>
      <c r="J69" s="222">
        <f>(SUMIFS('Bucket Counts'!$P:$P, 'Bucket Counts'!$D:$D, 'Total Larvae to Date'!$A69, 'Bucket Counts'!$A:$A, "="&amp;J$27))</f>
        <v>0</v>
      </c>
      <c r="K69" s="222">
        <f>(SUMIFS('Bucket Counts'!$P:$P, 'Bucket Counts'!$D:$D, 'Total Larvae to Date'!$A69, 'Bucket Counts'!$A:$A, "="&amp;K$27))</f>
        <v>0</v>
      </c>
    </row>
    <row r="70" spans="1:12" s="26" customFormat="1" ht="21" thickTop="1">
      <c r="A70" s="121"/>
      <c r="B70" s="121"/>
      <c r="C70" s="229" t="s">
        <v>228</v>
      </c>
      <c r="D70" s="229"/>
      <c r="E70" s="229"/>
      <c r="F70" s="229"/>
      <c r="G70" s="229"/>
      <c r="H70" s="229"/>
      <c r="I70" s="229"/>
      <c r="J70" s="229"/>
      <c r="K70" s="229"/>
    </row>
    <row r="71" spans="1:12" s="218" customFormat="1" ht="18">
      <c r="A71" s="219"/>
      <c r="B71" s="219"/>
      <c r="C71" s="224">
        <f>C27-1</f>
        <v>42890</v>
      </c>
      <c r="D71" s="224">
        <f t="shared" ref="D71:L71" si="2">D27-1</f>
        <v>42894</v>
      </c>
      <c r="E71" s="224">
        <f t="shared" si="2"/>
        <v>42897</v>
      </c>
      <c r="F71" s="224">
        <f t="shared" si="2"/>
        <v>42900</v>
      </c>
      <c r="G71" s="224">
        <f t="shared" si="2"/>
        <v>42904</v>
      </c>
      <c r="H71" s="224">
        <f t="shared" si="2"/>
        <v>42907</v>
      </c>
      <c r="I71" s="224">
        <f t="shared" si="2"/>
        <v>42911</v>
      </c>
      <c r="J71" s="224">
        <f t="shared" si="2"/>
        <v>42914</v>
      </c>
      <c r="K71" s="224">
        <f t="shared" si="2"/>
        <v>42918</v>
      </c>
      <c r="L71" s="224">
        <f t="shared" si="2"/>
        <v>42921</v>
      </c>
    </row>
    <row r="72" spans="1:12">
      <c r="A72" s="27" t="s">
        <v>85</v>
      </c>
      <c r="B72" s="121"/>
      <c r="C72" s="230">
        <f>SUMIFS('Bucket Counts'!$P:$P, 'Bucket Counts'!$F:$F, "224", 'Bucket Counts'!$D:$D, 'Total Larvae to Date'!$A72, 'Bucket Counts'!$A:$A, "&lt;="&amp;'Total Larvae to Date'!C$71)</f>
        <v>0</v>
      </c>
      <c r="D72" s="230">
        <f>SUMIFS('Bucket Counts'!$P:$P, 'Bucket Counts'!$F:$F, "224", 'Bucket Counts'!$D:$D, 'Total Larvae to Date'!$A72, 'Bucket Counts'!$A:$A, "&lt;="&amp;'Total Larvae to Date'!D$71)</f>
        <v>0</v>
      </c>
      <c r="E72" s="230">
        <f>SUMIFS('Bucket Counts'!$P:$P, 'Bucket Counts'!$F:$F, "224", 'Bucket Counts'!$D:$D, 'Total Larvae to Date'!$A72, 'Bucket Counts'!$A:$A, "&lt;="&amp;'Total Larvae to Date'!E$71)</f>
        <v>156.66666666666666</v>
      </c>
      <c r="F72" s="230">
        <f>SUMIFS('Bucket Counts'!$P:$P, 'Bucket Counts'!$F:$F, "224", 'Bucket Counts'!$D:$D, 'Total Larvae to Date'!$A72, 'Bucket Counts'!$A:$A, "&lt;="&amp;'Total Larvae to Date'!F$71)</f>
        <v>756.66666666666663</v>
      </c>
      <c r="G72" s="230">
        <f>SUMIFS('Bucket Counts'!$P:$P, 'Bucket Counts'!$F:$F, "224", 'Bucket Counts'!$D:$D, 'Total Larvae to Date'!$A72, 'Bucket Counts'!$A:$A, "&lt;="&amp;'Total Larvae to Date'!G$71)</f>
        <v>1223.3333333333333</v>
      </c>
      <c r="H72" s="230">
        <f>SUMIFS('Bucket Counts'!$P:$P, 'Bucket Counts'!$F:$F, "224", 'Bucket Counts'!$D:$D, 'Total Larvae to Date'!$A72, 'Bucket Counts'!$A:$A, "&lt;="&amp;'Total Larvae to Date'!H$71)</f>
        <v>2103.333333333333</v>
      </c>
      <c r="I72" s="230"/>
      <c r="J72" s="230"/>
      <c r="K72" s="230"/>
    </row>
    <row r="73" spans="1:12">
      <c r="A73" s="27" t="s">
        <v>77</v>
      </c>
      <c r="C73" s="121">
        <f>SUMIFS('Bucket Counts'!$P:$P, 'Bucket Counts'!$F:$F, "224", 'Bucket Counts'!$D:$D, 'Total Larvae to Date'!$A73, 'Bucket Counts'!$A:$A, "&lt;="&amp;'Total Larvae to Date'!C$71)</f>
        <v>0</v>
      </c>
      <c r="D73" s="121">
        <f>SUMIFS('Bucket Counts'!$P:$P, 'Bucket Counts'!$F:$F, "224", 'Bucket Counts'!$D:$D, 'Total Larvae to Date'!$A73, 'Bucket Counts'!$A:$A, "&lt;="&amp;'Total Larvae to Date'!D$71)</f>
        <v>90</v>
      </c>
      <c r="E73" s="121">
        <f>SUMIFS('Bucket Counts'!$P:$P, 'Bucket Counts'!$F:$F, "224", 'Bucket Counts'!$D:$D, 'Total Larvae to Date'!$A73, 'Bucket Counts'!$A:$A, "&lt;="&amp;'Total Larvae to Date'!E$71)</f>
        <v>233.33333333333331</v>
      </c>
      <c r="F73" s="121">
        <f>SUMIFS('Bucket Counts'!$P:$P, 'Bucket Counts'!$F:$F, "224", 'Bucket Counts'!$D:$D, 'Total Larvae to Date'!$A73, 'Bucket Counts'!$A:$A, "&lt;="&amp;'Total Larvae to Date'!F$71)</f>
        <v>533.33333333333326</v>
      </c>
      <c r="G73" s="121">
        <f>SUMIFS('Bucket Counts'!$P:$P, 'Bucket Counts'!$F:$F, "224", 'Bucket Counts'!$D:$D, 'Total Larvae to Date'!$A73, 'Bucket Counts'!$A:$A, "&lt;="&amp;'Total Larvae to Date'!G$71)</f>
        <v>2400</v>
      </c>
      <c r="H73" s="121">
        <f>SUMIFS('Bucket Counts'!$P:$P, 'Bucket Counts'!$F:$F, "224", 'Bucket Counts'!$D:$D, 'Total Larvae to Date'!$A73, 'Bucket Counts'!$A:$A, "&lt;="&amp;'Total Larvae to Date'!H$71)</f>
        <v>2570</v>
      </c>
      <c r="I73" s="121"/>
      <c r="J73" s="121"/>
      <c r="K73" s="121"/>
    </row>
    <row r="74" spans="1:12">
      <c r="A74" s="27" t="s">
        <v>86</v>
      </c>
      <c r="C74" s="121">
        <f>SUMIFS('Bucket Counts'!$P:$P, 'Bucket Counts'!$F:$F, "224", 'Bucket Counts'!$D:$D, 'Total Larvae to Date'!$A74, 'Bucket Counts'!$A:$A, "&lt;="&amp;'Total Larvae to Date'!C$71)</f>
        <v>0</v>
      </c>
      <c r="D74" s="121">
        <f>SUMIFS('Bucket Counts'!$P:$P, 'Bucket Counts'!$F:$F, "224", 'Bucket Counts'!$D:$D, 'Total Larvae to Date'!$A74, 'Bucket Counts'!$A:$A, "&lt;="&amp;'Total Larvae to Date'!D$71)</f>
        <v>90</v>
      </c>
      <c r="E74" s="121">
        <f>SUMIFS('Bucket Counts'!$P:$P, 'Bucket Counts'!$F:$F, "224", 'Bucket Counts'!$D:$D, 'Total Larvae to Date'!$A74, 'Bucket Counts'!$A:$A, "&lt;="&amp;'Total Larvae to Date'!E$71)</f>
        <v>703.33333333333326</v>
      </c>
      <c r="F74" s="121">
        <f>SUMIFS('Bucket Counts'!$P:$P, 'Bucket Counts'!$F:$F, "224", 'Bucket Counts'!$D:$D, 'Total Larvae to Date'!$A74, 'Bucket Counts'!$A:$A, "&lt;="&amp;'Total Larvae to Date'!F$71)</f>
        <v>2713.333333333333</v>
      </c>
      <c r="G74" s="121">
        <f>SUMIFS('Bucket Counts'!$P:$P, 'Bucket Counts'!$F:$F, "224", 'Bucket Counts'!$D:$D, 'Total Larvae to Date'!$A74, 'Bucket Counts'!$A:$A, "&lt;="&amp;'Total Larvae to Date'!G$71)</f>
        <v>3913.333333333333</v>
      </c>
      <c r="H74" s="121">
        <f>SUMIFS('Bucket Counts'!$P:$P, 'Bucket Counts'!$F:$F, "224", 'Bucket Counts'!$D:$D, 'Total Larvae to Date'!$A74, 'Bucket Counts'!$A:$A, "&lt;="&amp;'Total Larvae to Date'!H$71)</f>
        <v>6080</v>
      </c>
      <c r="I74" s="121"/>
      <c r="J74" s="121"/>
      <c r="K74" s="121"/>
    </row>
    <row r="75" spans="1:12">
      <c r="A75" s="27" t="s">
        <v>106</v>
      </c>
      <c r="C75" s="121">
        <f>SUMIFS('Bucket Counts'!$P:$P, 'Bucket Counts'!$F:$F, "224", 'Bucket Counts'!$D:$D, 'Total Larvae to Date'!$A75, 'Bucket Counts'!$A:$A, "&lt;="&amp;'Total Larvae to Date'!C$71)</f>
        <v>0</v>
      </c>
      <c r="D75" s="121">
        <f>SUMIFS('Bucket Counts'!$P:$P, 'Bucket Counts'!$F:$F, "224", 'Bucket Counts'!$D:$D, 'Total Larvae to Date'!$A75, 'Bucket Counts'!$A:$A, "&lt;="&amp;'Total Larvae to Date'!D$71)</f>
        <v>38.888888888888886</v>
      </c>
      <c r="E75" s="121">
        <f>SUMIFS('Bucket Counts'!$P:$P, 'Bucket Counts'!$F:$F, "224", 'Bucket Counts'!$D:$D, 'Total Larvae to Date'!$A75, 'Bucket Counts'!$A:$A, "&lt;="&amp;'Total Larvae to Date'!E$71)</f>
        <v>38.888888888888886</v>
      </c>
      <c r="F75" s="121">
        <f>SUMIFS('Bucket Counts'!$P:$P, 'Bucket Counts'!$F:$F, "224", 'Bucket Counts'!$D:$D, 'Total Larvae to Date'!$A75, 'Bucket Counts'!$A:$A, "&lt;="&amp;'Total Larvae to Date'!F$71)</f>
        <v>188.88888888888889</v>
      </c>
      <c r="G75" s="121">
        <f>SUMIFS('Bucket Counts'!$P:$P, 'Bucket Counts'!$F:$F, "224", 'Bucket Counts'!$D:$D, 'Total Larvae to Date'!$A75, 'Bucket Counts'!$A:$A, "&lt;="&amp;'Total Larvae to Date'!G$71)</f>
        <v>522.22222222222217</v>
      </c>
      <c r="H75" s="121">
        <f>SUMIFS('Bucket Counts'!$P:$P, 'Bucket Counts'!$F:$F, "224", 'Bucket Counts'!$D:$D, 'Total Larvae to Date'!$A75, 'Bucket Counts'!$A:$A, "&lt;="&amp;'Total Larvae to Date'!H$71)</f>
        <v>702.22222222222217</v>
      </c>
      <c r="I75" s="121"/>
      <c r="J75" s="121"/>
      <c r="K75" s="121"/>
    </row>
    <row r="76" spans="1:12">
      <c r="A76" s="27" t="s">
        <v>87</v>
      </c>
      <c r="C76" s="121">
        <f>SUMIFS('Bucket Counts'!$P:$P, 'Bucket Counts'!$F:$F, "224", 'Bucket Counts'!$D:$D, 'Total Larvae to Date'!$A76, 'Bucket Counts'!$A:$A, "&lt;="&amp;'Total Larvae to Date'!C$71)</f>
        <v>0</v>
      </c>
      <c r="D76" s="121">
        <f>SUMIFS('Bucket Counts'!$P:$P, 'Bucket Counts'!$F:$F, "224", 'Bucket Counts'!$D:$D, 'Total Larvae to Date'!$A76, 'Bucket Counts'!$A:$A, "&lt;="&amp;'Total Larvae to Date'!D$71)</f>
        <v>0</v>
      </c>
      <c r="E76" s="121">
        <f>SUMIFS('Bucket Counts'!$P:$P, 'Bucket Counts'!$F:$F, "224", 'Bucket Counts'!$D:$D, 'Total Larvae to Date'!$A76, 'Bucket Counts'!$A:$A, "&lt;="&amp;'Total Larvae to Date'!E$71)</f>
        <v>150</v>
      </c>
      <c r="F76" s="121">
        <f>SUMIFS('Bucket Counts'!$P:$P, 'Bucket Counts'!$F:$F, "224", 'Bucket Counts'!$D:$D, 'Total Larvae to Date'!$A76, 'Bucket Counts'!$A:$A, "&lt;="&amp;'Total Larvae to Date'!F$71)</f>
        <v>1141.6666666666667</v>
      </c>
      <c r="G76" s="244">
        <f>SUMIFS('Bucket Counts'!$P:$P, 'Bucket Counts'!$F:$F, "224", 'Bucket Counts'!$D:$D, 'Total Larvae to Date'!$A76, 'Bucket Counts'!$A:$A, "&lt;="&amp;'Total Larvae to Date'!G$71)</f>
        <v>31475</v>
      </c>
      <c r="H76" s="244">
        <f>SUMIFS('Bucket Counts'!$P:$P, 'Bucket Counts'!$F:$F, "224", 'Bucket Counts'!$D:$D, 'Total Larvae to Date'!$A76, 'Bucket Counts'!$A:$A, "&lt;="&amp;'Total Larvae to Date'!H$71)</f>
        <v>50941.666666666664</v>
      </c>
      <c r="I76" s="121"/>
      <c r="J76" s="121"/>
      <c r="K76" s="121"/>
    </row>
    <row r="77" spans="1:12">
      <c r="A77" s="27" t="s">
        <v>140</v>
      </c>
      <c r="C77" s="121">
        <f>SUMIFS('Bucket Counts'!$P:$P, 'Bucket Counts'!$F:$F, "224", 'Bucket Counts'!$D:$D, 'Total Larvae to Date'!$A77, 'Bucket Counts'!$A:$A, "&lt;="&amp;'Total Larvae to Date'!C$71)</f>
        <v>0</v>
      </c>
      <c r="D77" s="121">
        <f>SUMIFS('Bucket Counts'!$P:$P, 'Bucket Counts'!$F:$F, "224", 'Bucket Counts'!$D:$D, 'Total Larvae to Date'!$A77, 'Bucket Counts'!$A:$A, "&lt;="&amp;'Total Larvae to Date'!D$71)</f>
        <v>271.38888888888891</v>
      </c>
      <c r="E77" s="121">
        <f>SUMIFS('Bucket Counts'!$P:$P, 'Bucket Counts'!$F:$F, "224", 'Bucket Counts'!$D:$D, 'Total Larvae to Date'!$A77, 'Bucket Counts'!$A:$A, "&lt;="&amp;'Total Larvae to Date'!E$71)</f>
        <v>598.05555555555554</v>
      </c>
      <c r="F77" s="121">
        <f>SUMIFS('Bucket Counts'!$P:$P, 'Bucket Counts'!$F:$F, "224", 'Bucket Counts'!$D:$D, 'Total Larvae to Date'!$A77, 'Bucket Counts'!$A:$A, "&lt;="&amp;'Total Larvae to Date'!F$71)</f>
        <v>4348.0555555555557</v>
      </c>
      <c r="G77" s="121">
        <f>SUMIFS('Bucket Counts'!$P:$P, 'Bucket Counts'!$F:$F, "224", 'Bucket Counts'!$D:$D, 'Total Larvae to Date'!$A77, 'Bucket Counts'!$A:$A, "&lt;="&amp;'Total Larvae to Date'!G$71)</f>
        <v>5948.0555555555557</v>
      </c>
      <c r="H77" s="121">
        <f>SUMIFS('Bucket Counts'!$P:$P, 'Bucket Counts'!$F:$F, "224", 'Bucket Counts'!$D:$D, 'Total Larvae to Date'!$A77, 'Bucket Counts'!$A:$A, "&lt;="&amp;'Total Larvae to Date'!H$71)</f>
        <v>6114.7222222222226</v>
      </c>
      <c r="I77" s="121"/>
      <c r="J77" s="121"/>
      <c r="K77" s="121"/>
    </row>
    <row r="78" spans="1:12">
      <c r="A78" s="27" t="s">
        <v>88</v>
      </c>
      <c r="C78" s="121">
        <f>SUMIFS('Bucket Counts'!$P:$P, 'Bucket Counts'!$F:$F, "224", 'Bucket Counts'!$D:$D, 'Total Larvae to Date'!$A78, 'Bucket Counts'!$A:$A, "&lt;="&amp;'Total Larvae to Date'!C$71)</f>
        <v>0</v>
      </c>
      <c r="D78" s="121">
        <f>SUMIFS('Bucket Counts'!$P:$P, 'Bucket Counts'!$F:$F, "224", 'Bucket Counts'!$D:$D, 'Total Larvae to Date'!$A78, 'Bucket Counts'!$A:$A, "&lt;="&amp;'Total Larvae to Date'!D$71)</f>
        <v>123.33333333333333</v>
      </c>
      <c r="E78" s="121">
        <f>SUMIFS('Bucket Counts'!$P:$P, 'Bucket Counts'!$F:$F, "224", 'Bucket Counts'!$D:$D, 'Total Larvae to Date'!$A78, 'Bucket Counts'!$A:$A, "&lt;="&amp;'Total Larvae to Date'!E$71)</f>
        <v>123.33333333333333</v>
      </c>
      <c r="F78" s="121">
        <f>SUMIFS('Bucket Counts'!$P:$P, 'Bucket Counts'!$F:$F, "224", 'Bucket Counts'!$D:$D, 'Total Larvae to Date'!$A78, 'Bucket Counts'!$A:$A, "&lt;="&amp;'Total Larvae to Date'!F$71)</f>
        <v>123.33333333333333</v>
      </c>
      <c r="G78" s="121">
        <f>SUMIFS('Bucket Counts'!$P:$P, 'Bucket Counts'!$F:$F, "224", 'Bucket Counts'!$D:$D, 'Total Larvae to Date'!$A78, 'Bucket Counts'!$A:$A, "&lt;="&amp;'Total Larvae to Date'!G$71)</f>
        <v>473.33333333333331</v>
      </c>
      <c r="H78" s="121">
        <f>SUMIFS('Bucket Counts'!$P:$P, 'Bucket Counts'!$F:$F, "224", 'Bucket Counts'!$D:$D, 'Total Larvae to Date'!$A78, 'Bucket Counts'!$A:$A, "&lt;="&amp;'Total Larvae to Date'!H$71)</f>
        <v>5640</v>
      </c>
      <c r="I78" s="121"/>
      <c r="J78" s="121"/>
      <c r="K78" s="121"/>
    </row>
    <row r="79" spans="1:12">
      <c r="A79" s="27" t="s">
        <v>78</v>
      </c>
      <c r="C79" s="121">
        <f>SUMIFS('Bucket Counts'!$P:$P, 'Bucket Counts'!$F:$F, "224", 'Bucket Counts'!$D:$D, 'Total Larvae to Date'!$A79, 'Bucket Counts'!$A:$A, "&lt;="&amp;'Total Larvae to Date'!C$71)</f>
        <v>0</v>
      </c>
      <c r="D79" s="121">
        <f>SUMIFS('Bucket Counts'!$P:$P, 'Bucket Counts'!$F:$F, "224", 'Bucket Counts'!$D:$D, 'Total Larvae to Date'!$A79, 'Bucket Counts'!$A:$A, "&lt;="&amp;'Total Larvae to Date'!D$71)</f>
        <v>27.222222222222221</v>
      </c>
      <c r="E79" s="121">
        <f>SUMIFS('Bucket Counts'!$P:$P, 'Bucket Counts'!$F:$F, "224", 'Bucket Counts'!$D:$D, 'Total Larvae to Date'!$A79, 'Bucket Counts'!$A:$A, "&lt;="&amp;'Total Larvae to Date'!E$71)</f>
        <v>527.22222222222217</v>
      </c>
      <c r="F79" s="121">
        <f>SUMIFS('Bucket Counts'!$P:$P, 'Bucket Counts'!$F:$F, "224", 'Bucket Counts'!$D:$D, 'Total Larvae to Date'!$A79, 'Bucket Counts'!$A:$A, "&lt;="&amp;'Total Larvae to Date'!F$71)</f>
        <v>787.22222222222217</v>
      </c>
      <c r="G79" s="244">
        <f>SUMIFS('Bucket Counts'!$P:$P, 'Bucket Counts'!$F:$F, "224", 'Bucket Counts'!$D:$D, 'Total Larvae to Date'!$A79, 'Bucket Counts'!$A:$A, "&lt;="&amp;'Total Larvae to Date'!G$71)</f>
        <v>2787.2222222222222</v>
      </c>
      <c r="H79" s="244">
        <f>SUMIFS('Bucket Counts'!$P:$P, 'Bucket Counts'!$F:$F, "224", 'Bucket Counts'!$D:$D, 'Total Larvae to Date'!$A79, 'Bucket Counts'!$A:$A, "&lt;="&amp;'Total Larvae to Date'!H$71)</f>
        <v>5040.5555555555547</v>
      </c>
      <c r="I79" s="121"/>
      <c r="J79" s="121"/>
      <c r="K79" s="121"/>
    </row>
    <row r="80" spans="1:12">
      <c r="A80" s="27" t="s">
        <v>89</v>
      </c>
      <c r="C80" s="121">
        <f>SUMIFS('Bucket Counts'!$P:$P, 'Bucket Counts'!$F:$F, "224", 'Bucket Counts'!$D:$D, 'Total Larvae to Date'!$A80, 'Bucket Counts'!$A:$A, "&lt;="&amp;'Total Larvae to Date'!C$71)</f>
        <v>0</v>
      </c>
      <c r="D80" s="121">
        <f>SUMIFS('Bucket Counts'!$P:$P, 'Bucket Counts'!$F:$F, "224", 'Bucket Counts'!$D:$D, 'Total Larvae to Date'!$A80, 'Bucket Counts'!$A:$A, "&lt;="&amp;'Total Larvae to Date'!D$71)</f>
        <v>0</v>
      </c>
      <c r="E80" s="121">
        <f>SUMIFS('Bucket Counts'!$P:$P, 'Bucket Counts'!$F:$F, "224", 'Bucket Counts'!$D:$D, 'Total Larvae to Date'!$A80, 'Bucket Counts'!$A:$A, "&lt;="&amp;'Total Larvae to Date'!E$71)</f>
        <v>30.555555555555554</v>
      </c>
      <c r="F80" s="121">
        <f>SUMIFS('Bucket Counts'!$P:$P, 'Bucket Counts'!$F:$F, "224", 'Bucket Counts'!$D:$D, 'Total Larvae to Date'!$A80, 'Bucket Counts'!$A:$A, "&lt;="&amp;'Total Larvae to Date'!F$71)</f>
        <v>1680.5555555555557</v>
      </c>
      <c r="G80" s="121">
        <f>SUMIFS('Bucket Counts'!$P:$P, 'Bucket Counts'!$F:$F, "224", 'Bucket Counts'!$D:$D, 'Total Larvae to Date'!$A80, 'Bucket Counts'!$A:$A, "&lt;="&amp;'Total Larvae to Date'!G$71)</f>
        <v>3197.2222222222226</v>
      </c>
      <c r="H80" s="121">
        <f>SUMIFS('Bucket Counts'!$P:$P, 'Bucket Counts'!$F:$F, "224", 'Bucket Counts'!$D:$D, 'Total Larvae to Date'!$A80, 'Bucket Counts'!$A:$A, "&lt;="&amp;'Total Larvae to Date'!H$71)</f>
        <v>6530.5555555555566</v>
      </c>
      <c r="I80" s="121"/>
      <c r="J80" s="121"/>
      <c r="K80" s="121"/>
    </row>
    <row r="81" spans="1:12">
      <c r="A81" s="27" t="s">
        <v>139</v>
      </c>
      <c r="C81" s="121">
        <f>SUMIFS('Bucket Counts'!$P:$P, 'Bucket Counts'!$F:$F, "224", 'Bucket Counts'!$D:$D, 'Total Larvae to Date'!$A81, 'Bucket Counts'!$A:$A, "&lt;="&amp;'Total Larvae to Date'!C$71)</f>
        <v>0</v>
      </c>
      <c r="D81" s="121">
        <f>SUMIFS('Bucket Counts'!$P:$P, 'Bucket Counts'!$F:$F, "224", 'Bucket Counts'!$D:$D, 'Total Larvae to Date'!$A81, 'Bucket Counts'!$A:$A, "&lt;="&amp;'Total Larvae to Date'!D$71)</f>
        <v>0</v>
      </c>
      <c r="E81" s="121">
        <f>SUMIFS('Bucket Counts'!$P:$P, 'Bucket Counts'!$F:$F, "224", 'Bucket Counts'!$D:$D, 'Total Larvae to Date'!$A81, 'Bucket Counts'!$A:$A, "&lt;="&amp;'Total Larvae to Date'!E$71)</f>
        <v>87.5</v>
      </c>
      <c r="F81" s="121">
        <f>SUMIFS('Bucket Counts'!$P:$P, 'Bucket Counts'!$F:$F, "224", 'Bucket Counts'!$D:$D, 'Total Larvae to Date'!$A81, 'Bucket Counts'!$A:$A, "&lt;="&amp;'Total Larvae to Date'!F$71)</f>
        <v>3497.5</v>
      </c>
      <c r="G81" s="121">
        <f>SUMIFS('Bucket Counts'!$P:$P, 'Bucket Counts'!$F:$F, "224", 'Bucket Counts'!$D:$D, 'Total Larvae to Date'!$A81, 'Bucket Counts'!$A:$A, "&lt;="&amp;'Total Larvae to Date'!G$71)</f>
        <v>9097.5</v>
      </c>
      <c r="H81" s="121">
        <f>SUMIFS('Bucket Counts'!$P:$P, 'Bucket Counts'!$F:$F, "224", 'Bucket Counts'!$D:$D, 'Total Larvae to Date'!$A81, 'Bucket Counts'!$A:$A, "&lt;="&amp;'Total Larvae to Date'!H$71)</f>
        <v>9930.8333333333339</v>
      </c>
      <c r="I81" s="121"/>
      <c r="J81" s="121"/>
      <c r="K81" s="121"/>
    </row>
    <row r="82" spans="1:12">
      <c r="A82" s="27" t="s">
        <v>120</v>
      </c>
      <c r="C82" s="121">
        <f>SUMIFS('Bucket Counts'!$P:$P, 'Bucket Counts'!$F:$F, "224", 'Bucket Counts'!$D:$D, 'Total Larvae to Date'!$A82, 'Bucket Counts'!$A:$A, "&lt;="&amp;'Total Larvae to Date'!C$71)</f>
        <v>0</v>
      </c>
      <c r="D82" s="121">
        <f>SUMIFS('Bucket Counts'!$P:$P, 'Bucket Counts'!$F:$F, "224", 'Bucket Counts'!$D:$D, 'Total Larvae to Date'!$A82, 'Bucket Counts'!$A:$A, "&lt;="&amp;'Total Larvae to Date'!D$71)</f>
        <v>0</v>
      </c>
      <c r="E82" s="121">
        <f>SUMIFS('Bucket Counts'!$P:$P, 'Bucket Counts'!$F:$F, "224", 'Bucket Counts'!$D:$D, 'Total Larvae to Date'!$A82, 'Bucket Counts'!$A:$A, "&lt;="&amp;'Total Larvae to Date'!E$71)</f>
        <v>0</v>
      </c>
      <c r="F82" s="121">
        <f>SUMIFS('Bucket Counts'!$P:$P, 'Bucket Counts'!$F:$F, "224", 'Bucket Counts'!$D:$D, 'Total Larvae to Date'!$A82, 'Bucket Counts'!$A:$A, "&lt;="&amp;'Total Larvae to Date'!F$71)</f>
        <v>0</v>
      </c>
      <c r="G82" s="121">
        <f>SUMIFS('Bucket Counts'!$P:$P, 'Bucket Counts'!$F:$F, "224", 'Bucket Counts'!$D:$D, 'Total Larvae to Date'!$A82, 'Bucket Counts'!$A:$A, "&lt;="&amp;'Total Larvae to Date'!G$71)</f>
        <v>0</v>
      </c>
      <c r="H82" s="121">
        <f>SUMIFS('Bucket Counts'!$P:$P, 'Bucket Counts'!$F:$F, "224", 'Bucket Counts'!$D:$D, 'Total Larvae to Date'!$A82, 'Bucket Counts'!$A:$A, "&lt;="&amp;'Total Larvae to Date'!H$71)</f>
        <v>0</v>
      </c>
      <c r="I82" s="121"/>
      <c r="J82" s="121"/>
      <c r="K82" s="121"/>
    </row>
    <row r="83" spans="1:12">
      <c r="A83" s="27" t="s">
        <v>21</v>
      </c>
      <c r="C83" s="121">
        <f>SUMIFS('Bucket Counts'!$P:$P, 'Bucket Counts'!$F:$F, "224", 'Bucket Counts'!$D:$D, 'Total Larvae to Date'!$A83, 'Bucket Counts'!$A:$A, "&lt;="&amp;'Total Larvae to Date'!C$71)</f>
        <v>0</v>
      </c>
      <c r="D83" s="121">
        <f>SUMIFS('Bucket Counts'!$P:$P, 'Bucket Counts'!$F:$F, "224", 'Bucket Counts'!$D:$D, 'Total Larvae to Date'!$A83, 'Bucket Counts'!$A:$A, "&lt;="&amp;'Total Larvae to Date'!D$71)</f>
        <v>0</v>
      </c>
      <c r="E83" s="121">
        <f>SUMIFS('Bucket Counts'!$P:$P, 'Bucket Counts'!$F:$F, "224", 'Bucket Counts'!$D:$D, 'Total Larvae to Date'!$A83, 'Bucket Counts'!$A:$A, "&lt;="&amp;'Total Larvae to Date'!E$71)</f>
        <v>0</v>
      </c>
      <c r="F83" s="121">
        <f>SUMIFS('Bucket Counts'!$P:$P, 'Bucket Counts'!$F:$F, "224", 'Bucket Counts'!$D:$D, 'Total Larvae to Date'!$A83, 'Bucket Counts'!$A:$A, "&lt;="&amp;'Total Larvae to Date'!F$71)</f>
        <v>0</v>
      </c>
      <c r="G83" s="121">
        <f>SUMIFS('Bucket Counts'!$P:$P, 'Bucket Counts'!$F:$F, "224", 'Bucket Counts'!$D:$D, 'Total Larvae to Date'!$A83, 'Bucket Counts'!$A:$A, "&lt;="&amp;'Total Larvae to Date'!G$71)</f>
        <v>0</v>
      </c>
      <c r="H83" s="121">
        <f>SUMIFS('Bucket Counts'!$P:$P, 'Bucket Counts'!$F:$F, "224", 'Bucket Counts'!$D:$D, 'Total Larvae to Date'!$A83, 'Bucket Counts'!$A:$A, "&lt;="&amp;'Total Larvae to Date'!H$71)</f>
        <v>0</v>
      </c>
      <c r="I83" s="121"/>
      <c r="J83" s="121"/>
      <c r="K83" s="121"/>
    </row>
    <row r="84" spans="1:12">
      <c r="A84" s="27" t="s">
        <v>17</v>
      </c>
      <c r="C84" s="121">
        <f>SUMIFS('Bucket Counts'!$P:$P, 'Bucket Counts'!$F:$F, "224", 'Bucket Counts'!$D:$D, 'Total Larvae to Date'!$A84, 'Bucket Counts'!$A:$A, "&lt;="&amp;'Total Larvae to Date'!C$71)</f>
        <v>0</v>
      </c>
      <c r="D84" s="121">
        <f>SUMIFS('Bucket Counts'!$P:$P, 'Bucket Counts'!$F:$F, "224", 'Bucket Counts'!$D:$D, 'Total Larvae to Date'!$A84, 'Bucket Counts'!$A:$A, "&lt;="&amp;'Total Larvae to Date'!D$71)</f>
        <v>200</v>
      </c>
      <c r="E84" s="121">
        <f>SUMIFS('Bucket Counts'!$P:$P, 'Bucket Counts'!$F:$F, "224", 'Bucket Counts'!$D:$D, 'Total Larvae to Date'!$A84, 'Bucket Counts'!$A:$A, "&lt;="&amp;'Total Larvae to Date'!E$71)</f>
        <v>2800</v>
      </c>
      <c r="F84" s="121">
        <f>SUMIFS('Bucket Counts'!$P:$P, 'Bucket Counts'!$F:$F, "224", 'Bucket Counts'!$D:$D, 'Total Larvae to Date'!$A84, 'Bucket Counts'!$A:$A, "&lt;="&amp;'Total Larvae to Date'!F$71)</f>
        <v>6416.666666666667</v>
      </c>
      <c r="G84" s="121">
        <f>SUMIFS('Bucket Counts'!$P:$P, 'Bucket Counts'!$F:$F, "224", 'Bucket Counts'!$D:$D, 'Total Larvae to Date'!$A84, 'Bucket Counts'!$A:$A, "&lt;="&amp;'Total Larvae to Date'!G$71)</f>
        <v>8666.6666666666679</v>
      </c>
      <c r="H84" s="121">
        <f>SUMIFS('Bucket Counts'!$P:$P, 'Bucket Counts'!$F:$F, "224", 'Bucket Counts'!$D:$D, 'Total Larvae to Date'!$A84, 'Bucket Counts'!$A:$A, "&lt;="&amp;'Total Larvae to Date'!H$71)</f>
        <v>10833.333333333334</v>
      </c>
      <c r="I84" s="121"/>
      <c r="J84" s="121"/>
      <c r="K84" s="121"/>
    </row>
    <row r="85" spans="1:12">
      <c r="A85" s="27" t="s">
        <v>37</v>
      </c>
      <c r="C85" s="121">
        <f>SUMIFS('Bucket Counts'!$P:$P, 'Bucket Counts'!$F:$F, "224", 'Bucket Counts'!$D:$D, 'Total Larvae to Date'!$A85, 'Bucket Counts'!$A:$A, "&lt;="&amp;'Total Larvae to Date'!C$71)</f>
        <v>0</v>
      </c>
      <c r="D85" s="121">
        <f>SUMIFS('Bucket Counts'!$P:$P, 'Bucket Counts'!$F:$F, "224", 'Bucket Counts'!$D:$D, 'Total Larvae to Date'!$A85, 'Bucket Counts'!$A:$A, "&lt;="&amp;'Total Larvae to Date'!D$71)</f>
        <v>940</v>
      </c>
      <c r="E85" s="121">
        <f>SUMIFS('Bucket Counts'!$P:$P, 'Bucket Counts'!$F:$F, "224", 'Bucket Counts'!$D:$D, 'Total Larvae to Date'!$A85, 'Bucket Counts'!$A:$A, "&lt;="&amp;'Total Larvae to Date'!E$71)</f>
        <v>2340</v>
      </c>
      <c r="F85" s="121">
        <f>SUMIFS('Bucket Counts'!$P:$P, 'Bucket Counts'!$F:$F, "224", 'Bucket Counts'!$D:$D, 'Total Larvae to Date'!$A85, 'Bucket Counts'!$A:$A, "&lt;="&amp;'Total Larvae to Date'!F$71)</f>
        <v>2340</v>
      </c>
      <c r="G85" s="121">
        <f>SUMIFS('Bucket Counts'!$P:$P, 'Bucket Counts'!$F:$F, "224", 'Bucket Counts'!$D:$D, 'Total Larvae to Date'!$A85, 'Bucket Counts'!$A:$A, "&lt;="&amp;'Total Larvae to Date'!G$71)</f>
        <v>2340</v>
      </c>
      <c r="H85" s="121">
        <f>SUMIFS('Bucket Counts'!$P:$P, 'Bucket Counts'!$F:$F, "224", 'Bucket Counts'!$D:$D, 'Total Larvae to Date'!$A85, 'Bucket Counts'!$A:$A, "&lt;="&amp;'Total Larvae to Date'!H$71)</f>
        <v>2440</v>
      </c>
      <c r="I85" s="121"/>
      <c r="J85" s="121"/>
      <c r="K85" s="121"/>
    </row>
    <row r="86" spans="1:12">
      <c r="A86" s="27" t="s">
        <v>38</v>
      </c>
      <c r="C86" s="121">
        <f>SUMIFS('Bucket Counts'!$P:$P, 'Bucket Counts'!$F:$F, "224", 'Bucket Counts'!$D:$D, 'Total Larvae to Date'!$A86, 'Bucket Counts'!$A:$A, "&lt;="&amp;'Total Larvae to Date'!C$71)</f>
        <v>0</v>
      </c>
      <c r="D86" s="121">
        <f>SUMIFS('Bucket Counts'!$P:$P, 'Bucket Counts'!$F:$F, "224", 'Bucket Counts'!$D:$D, 'Total Larvae to Date'!$A86, 'Bucket Counts'!$A:$A, "&lt;="&amp;'Total Larvae to Date'!D$71)</f>
        <v>55.55555555555555</v>
      </c>
      <c r="E86" s="121">
        <f>SUMIFS('Bucket Counts'!$P:$P, 'Bucket Counts'!$F:$F, "224", 'Bucket Counts'!$D:$D, 'Total Larvae to Date'!$A86, 'Bucket Counts'!$A:$A, "&lt;="&amp;'Total Larvae to Date'!E$71)</f>
        <v>1105.5555555555557</v>
      </c>
      <c r="F86" s="121">
        <f>SUMIFS('Bucket Counts'!$P:$P, 'Bucket Counts'!$F:$F, "224", 'Bucket Counts'!$D:$D, 'Total Larvae to Date'!$A86, 'Bucket Counts'!$A:$A, "&lt;="&amp;'Total Larvae to Date'!F$71)</f>
        <v>3238.8888888888887</v>
      </c>
      <c r="G86" s="121">
        <f>SUMIFS('Bucket Counts'!$P:$P, 'Bucket Counts'!$F:$F, "224", 'Bucket Counts'!$D:$D, 'Total Larvae to Date'!$A86, 'Bucket Counts'!$A:$A, "&lt;="&amp;'Total Larvae to Date'!G$71)</f>
        <v>7263.8888888888887</v>
      </c>
      <c r="H86" s="121">
        <f>SUMIFS('Bucket Counts'!$P:$P, 'Bucket Counts'!$F:$F, "224", 'Bucket Counts'!$D:$D, 'Total Larvae to Date'!$A86, 'Bucket Counts'!$A:$A, "&lt;="&amp;'Total Larvae to Date'!H$71)</f>
        <v>13513.888888888889</v>
      </c>
      <c r="I86" s="121"/>
      <c r="J86" s="121"/>
      <c r="K86" s="121"/>
    </row>
    <row r="87" spans="1:12" s="220" customFormat="1" ht="16" thickBot="1">
      <c r="A87" s="223" t="s">
        <v>46</v>
      </c>
      <c r="B87" s="222"/>
      <c r="C87" s="222">
        <f>SUMIFS('Bucket Counts'!$P:$P, 'Bucket Counts'!$F:$F, "224", 'Bucket Counts'!$D:$D, 'Total Larvae to Date'!$A87, 'Bucket Counts'!$A:$A, "&lt;="&amp;'Total Larvae to Date'!C$71)</f>
        <v>0</v>
      </c>
      <c r="D87" s="222">
        <f>SUMIFS('Bucket Counts'!$P:$P, 'Bucket Counts'!$F:$F, "224", 'Bucket Counts'!$D:$D, 'Total Larvae to Date'!$A87, 'Bucket Counts'!$A:$A, "&lt;="&amp;'Total Larvae to Date'!D$71)</f>
        <v>0</v>
      </c>
      <c r="E87" s="222">
        <f>SUMIFS('Bucket Counts'!$P:$P, 'Bucket Counts'!$F:$F, "224", 'Bucket Counts'!$D:$D, 'Total Larvae to Date'!$A87, 'Bucket Counts'!$A:$A, "&lt;="&amp;'Total Larvae to Date'!E$71)</f>
        <v>183.33333333333331</v>
      </c>
      <c r="F87" s="222">
        <f>SUMIFS('Bucket Counts'!$P:$P, 'Bucket Counts'!$F:$F, "224", 'Bucket Counts'!$D:$D, 'Total Larvae to Date'!$A87, 'Bucket Counts'!$A:$A, "&lt;="&amp;'Total Larvae to Date'!F$71)</f>
        <v>995.83333333333326</v>
      </c>
      <c r="G87" s="222">
        <f>SUMIFS('Bucket Counts'!$P:$P, 'Bucket Counts'!$F:$F, "224", 'Bucket Counts'!$D:$D, 'Total Larvae to Date'!$A87, 'Bucket Counts'!$A:$A, "&lt;="&amp;'Total Larvae to Date'!G$71)</f>
        <v>1395.8333333333333</v>
      </c>
      <c r="H87" s="222">
        <f>SUMIFS('Bucket Counts'!$P:$P, 'Bucket Counts'!$F:$F, "224", 'Bucket Counts'!$D:$D, 'Total Larvae to Date'!$A87, 'Bucket Counts'!$A:$A, "&lt;="&amp;'Total Larvae to Date'!H$71)</f>
        <v>1395.8333333333333</v>
      </c>
      <c r="I87" s="222"/>
      <c r="J87" s="222"/>
      <c r="K87" s="222"/>
    </row>
    <row r="88" spans="1:12" s="26" customFormat="1" ht="21" thickTop="1">
      <c r="A88" s="27"/>
      <c r="B88" s="121"/>
      <c r="C88" s="229" t="s">
        <v>229</v>
      </c>
      <c r="D88" s="229"/>
      <c r="E88" s="229"/>
      <c r="F88" s="229"/>
      <c r="G88" s="229"/>
      <c r="H88" s="229"/>
      <c r="I88" s="229"/>
      <c r="J88" s="229"/>
      <c r="K88" s="229"/>
      <c r="L88" s="229"/>
    </row>
    <row r="89" spans="1:12" s="215" customFormat="1" ht="18">
      <c r="B89" s="216"/>
      <c r="C89" s="217">
        <f>C27</f>
        <v>42891</v>
      </c>
      <c r="D89" s="217">
        <f t="shared" ref="D89:K89" si="3">D27</f>
        <v>42895</v>
      </c>
      <c r="E89" s="217">
        <f t="shared" si="3"/>
        <v>42898</v>
      </c>
      <c r="F89" s="217">
        <f t="shared" si="3"/>
        <v>42901</v>
      </c>
      <c r="G89" s="217">
        <f t="shared" si="3"/>
        <v>42905</v>
      </c>
      <c r="H89" s="217">
        <f t="shared" si="3"/>
        <v>42908</v>
      </c>
      <c r="I89" s="217">
        <f t="shared" si="3"/>
        <v>42912</v>
      </c>
      <c r="J89" s="217">
        <f t="shared" si="3"/>
        <v>42915</v>
      </c>
      <c r="K89" s="217">
        <f t="shared" si="3"/>
        <v>42919</v>
      </c>
    </row>
    <row r="90" spans="1:12">
      <c r="A90" s="27" t="s">
        <v>85</v>
      </c>
      <c r="C90" s="108">
        <f>(C72+C54)/(C28+C29)</f>
        <v>0.43136583696024255</v>
      </c>
      <c r="D90" s="108">
        <f>(D72+D54)/(D28+D29)</f>
        <v>0.40889575820024043</v>
      </c>
      <c r="E90" s="108">
        <f>(E72+E54)/(E28+E29)</f>
        <v>0.39314317830546575</v>
      </c>
      <c r="F90" s="108">
        <f>(F72+F54)/(F28+F29)</f>
        <v>0.35009150872710748</v>
      </c>
      <c r="G90" s="108">
        <f>(G72+G54)/(G28+G29)</f>
        <v>0.2356054832277126</v>
      </c>
      <c r="H90" s="108" t="e">
        <f>(H72+H54)/(H28+H29)</f>
        <v>#DIV/0!</v>
      </c>
      <c r="I90" s="108" t="e">
        <f>(I72+I54)/(I28+I29)</f>
        <v>#DIV/0!</v>
      </c>
      <c r="J90" s="108" t="e">
        <f>(J72+J54)/(J28+J29)</f>
        <v>#DIV/0!</v>
      </c>
      <c r="K90" s="108" t="e">
        <f>(K72+K54)/(K28+K29)</f>
        <v>#DIV/0!</v>
      </c>
    </row>
    <row r="91" spans="1:12">
      <c r="A91" s="27" t="s">
        <v>77</v>
      </c>
      <c r="C91" s="108">
        <f>(C73+C55)/(C30+C31)</f>
        <v>0.28244897959183668</v>
      </c>
      <c r="D91" s="108">
        <f>(D73+D55)/(D30+D31)</f>
        <v>0.3461617900172117</v>
      </c>
      <c r="E91" s="108">
        <f>(E73+E55)/(E30+E31)</f>
        <v>0.28254733218588646</v>
      </c>
      <c r="F91" s="108">
        <f>(F73+F55)/(F30+F31)</f>
        <v>0.13671010572903861</v>
      </c>
      <c r="G91" s="108">
        <f>(G73+G55)/(G30+G31)</f>
        <v>2.13031718711581E-2</v>
      </c>
      <c r="H91" s="108" t="e">
        <f>(H73+H55)/(H30+H31)</f>
        <v>#DIV/0!</v>
      </c>
      <c r="I91" s="108" t="e">
        <f>(I73+I55)/(I30+I31)</f>
        <v>#DIV/0!</v>
      </c>
      <c r="J91" s="108" t="e">
        <f>(J73+J55)/(J30+J31)</f>
        <v>#DIV/0!</v>
      </c>
      <c r="K91" s="108" t="e">
        <f>(K73+K55)/(K30+K31)</f>
        <v>#DIV/0!</v>
      </c>
    </row>
    <row r="92" spans="1:12">
      <c r="A92" s="27" t="s">
        <v>86</v>
      </c>
      <c r="C92" s="108">
        <f>(C74+C56)/(C32+C33)</f>
        <v>0.40495030702032025</v>
      </c>
      <c r="D92" s="108">
        <f>(D74+D56)/(D32+D33)</f>
        <v>0.38146483509527118</v>
      </c>
      <c r="E92" s="108">
        <f>(E74+E56)/(E32+E33)</f>
        <v>0.35556118250300689</v>
      </c>
      <c r="F92" s="108">
        <f>(F74+F56)/(F32+F33)</f>
        <v>0.21140722922073807</v>
      </c>
      <c r="G92" s="108">
        <f>(G74+G56)/(G32+G33)</f>
        <v>0.1843894410331075</v>
      </c>
      <c r="H92" s="108" t="e">
        <f>(H74+H56)/(H32+H33)</f>
        <v>#DIV/0!</v>
      </c>
      <c r="I92" s="108" t="e">
        <f>(I74+I56)/(I32+I33)</f>
        <v>#DIV/0!</v>
      </c>
      <c r="J92" s="108" t="e">
        <f>(J74+J56)/(J32+J33)</f>
        <v>#DIV/0!</v>
      </c>
      <c r="K92" s="108" t="e">
        <f>(K74+K56)/(K32+K33)</f>
        <v>#DIV/0!</v>
      </c>
    </row>
    <row r="93" spans="1:12">
      <c r="A93" s="27" t="s">
        <v>106</v>
      </c>
      <c r="C93" s="108">
        <f>(C75+C57)/(C35+C34)</f>
        <v>6.5543278084714551E-2</v>
      </c>
      <c r="D93" s="108">
        <f>(D75+D57)/(D35+D34)</f>
        <v>0.16358892943022402</v>
      </c>
      <c r="E93" s="108">
        <f>(E75+E57)/(E35+E34)</f>
        <v>0.23265726368930317</v>
      </c>
      <c r="F93" s="108">
        <f>(F75+F57)/(F35+F34)</f>
        <v>0.22549188013083402</v>
      </c>
      <c r="G93" s="108">
        <f>(G75+G57)/(G35+G34)</f>
        <v>0.21139573000093045</v>
      </c>
      <c r="H93" s="108" t="e">
        <f>(H75+H57)/(H35+H34)</f>
        <v>#DIV/0!</v>
      </c>
      <c r="I93" s="108" t="e">
        <f>(I75+I57)/(I35+I34)</f>
        <v>#DIV/0!</v>
      </c>
      <c r="J93" s="108" t="e">
        <f>(J75+J57)/(J35+J34)</f>
        <v>#DIV/0!</v>
      </c>
      <c r="K93" s="108" t="e">
        <f>(K75+K57)/(K35+K34)</f>
        <v>#DIV/0!</v>
      </c>
    </row>
    <row r="94" spans="1:12">
      <c r="A94" s="27" t="s">
        <v>87</v>
      </c>
      <c r="C94" s="108">
        <f>(C76+C58)/(C36+C37)</f>
        <v>0.27113420750498513</v>
      </c>
      <c r="D94" s="108">
        <f>(D76+D58)/(D36+D37)</f>
        <v>0.22284830906197758</v>
      </c>
      <c r="E94" s="108">
        <f>(E76+E58)/(E36+E37)</f>
        <v>0.16930781316091606</v>
      </c>
      <c r="F94" s="108">
        <f>(F76+F58)/(F36+F37)</f>
        <v>0.18696026401886937</v>
      </c>
      <c r="G94" s="108">
        <f>(G76+G58)/(G36+G37)</f>
        <v>0.17938580523712691</v>
      </c>
      <c r="H94" s="108" t="e">
        <f>(H76+H58)/(H36+H37)</f>
        <v>#DIV/0!</v>
      </c>
      <c r="I94" s="108" t="e">
        <f>(I76+I58)/(I36+I37)</f>
        <v>#DIV/0!</v>
      </c>
      <c r="J94" s="108" t="e">
        <f>(J76+J58)/(J36+J37)</f>
        <v>#DIV/0!</v>
      </c>
      <c r="K94" s="108" t="e">
        <f>(K76+K58)/(K36+K37)</f>
        <v>#DIV/0!</v>
      </c>
    </row>
    <row r="95" spans="1:12">
      <c r="A95" s="27" t="s">
        <v>140</v>
      </c>
      <c r="C95" s="108">
        <f>(C77+C59)/(C39+C38)</f>
        <v>0.1023120358436138</v>
      </c>
      <c r="D95" s="108">
        <f>(D77+D59)/(D39+D38)</f>
        <v>0.10817467624133062</v>
      </c>
      <c r="E95" s="108">
        <f>(E77+E59)/(E39+E38)</f>
        <v>8.9651384029951514E-2</v>
      </c>
      <c r="F95" s="108">
        <f>(F77+F59)/(F39+F38)</f>
        <v>0.22114326578763302</v>
      </c>
      <c r="G95" s="108">
        <f>(G77+G59)/(G39+G38)</f>
        <v>0.10265694949552799</v>
      </c>
      <c r="H95" s="108" t="e">
        <f>(H77+H59)/(H39+H38)</f>
        <v>#DIV/0!</v>
      </c>
      <c r="I95" s="108" t="e">
        <f>(I77+I59)/(I39+I38)</f>
        <v>#DIV/0!</v>
      </c>
      <c r="J95" s="108" t="e">
        <f>(J77+J59)/(J39+J38)</f>
        <v>#DIV/0!</v>
      </c>
      <c r="K95" s="108" t="e">
        <f>(K77+K59)/(K39+K38)</f>
        <v>#DIV/0!</v>
      </c>
    </row>
    <row r="96" spans="1:12">
      <c r="A96" s="27" t="s">
        <v>88</v>
      </c>
      <c r="C96" s="108">
        <f>(C78+C60)/(C40+C41)</f>
        <v>0.2423597479078417</v>
      </c>
      <c r="D96" s="108">
        <f>(D78+D60)/(D40+D41)</f>
        <v>0.12269410664172123</v>
      </c>
      <c r="E96" s="108">
        <f>(E78+E60)/(E40+E41)</f>
        <v>0.14321172435297788</v>
      </c>
      <c r="F96" s="108">
        <f>(F78+F60)/(F40+F41)</f>
        <v>8.2126598066729006E-2</v>
      </c>
      <c r="G96" s="108">
        <f>(G78+G60)/(G40+G41)</f>
        <v>0.14327811608397567</v>
      </c>
      <c r="H96" s="108" t="e">
        <f>(H78+H60)/(H40+H41)</f>
        <v>#DIV/0!</v>
      </c>
      <c r="I96" s="108" t="e">
        <f>(I78+I60)/(I40+I41)</f>
        <v>#DIV/0!</v>
      </c>
      <c r="J96" s="108" t="e">
        <f>(J78+J60)/(J40+J41)</f>
        <v>#DIV/0!</v>
      </c>
      <c r="K96" s="108" t="e">
        <f>(K78+K60)/(K40+K41)</f>
        <v>#DIV/0!</v>
      </c>
    </row>
    <row r="97" spans="1:11">
      <c r="A97" s="27" t="s">
        <v>78</v>
      </c>
      <c r="C97" s="108">
        <f>(C79+C61)/(C43+C42)</f>
        <v>0.32767245164862435</v>
      </c>
      <c r="D97" s="108">
        <f>(D79+D61)/(D43+D42)</f>
        <v>0.14689462932203065</v>
      </c>
      <c r="E97" s="108">
        <f>(E79+E61)/(E43+E42)</f>
        <v>0.18947438761288346</v>
      </c>
      <c r="F97" s="108">
        <f>(F79+F61)/(F43+F42)</f>
        <v>0.23285994823976172</v>
      </c>
      <c r="G97" s="108">
        <f>(G79+G61)/(G43+G42)</f>
        <v>9.4400793029686458E-2</v>
      </c>
      <c r="H97" s="108" t="e">
        <f>(H79+H61)/(H43+H42)</f>
        <v>#DIV/0!</v>
      </c>
      <c r="I97" s="108" t="e">
        <f>(I79+I61)/(I43+I42)</f>
        <v>#DIV/0!</v>
      </c>
      <c r="J97" s="108" t="e">
        <f>(J79+J61)/(J43+J42)</f>
        <v>#DIV/0!</v>
      </c>
      <c r="K97" s="108" t="e">
        <f>(K79+K61)/(K43+K42)</f>
        <v>#DIV/0!</v>
      </c>
    </row>
    <row r="98" spans="1:11">
      <c r="A98" s="27" t="s">
        <v>89</v>
      </c>
      <c r="C98" s="108">
        <f>(C80+C62)/(C44)</f>
        <v>0.57519123783032</v>
      </c>
      <c r="D98" s="108">
        <f>(D80+D62)/(D44)</f>
        <v>0.60955247450162264</v>
      </c>
      <c r="E98" s="108">
        <f>(E80+E62)/(E44)</f>
        <v>0.5041760836810385</v>
      </c>
      <c r="F98" s="108">
        <f>(F80+F62)/(F44)</f>
        <v>0.35059906699119148</v>
      </c>
      <c r="G98" s="108">
        <f>(G80+G62)/(G44)</f>
        <v>0.19056777352804818</v>
      </c>
      <c r="H98" s="108" t="e">
        <f>(H80+H62)/(H44)</f>
        <v>#DIV/0!</v>
      </c>
      <c r="I98" s="108" t="e">
        <f>(I80+I62)/(I44)</f>
        <v>#DIV/0!</v>
      </c>
      <c r="J98" s="108" t="e">
        <f>(J80+J62)/(J44)</f>
        <v>#DIV/0!</v>
      </c>
      <c r="K98" s="108" t="e">
        <f>(K80+K62)/(K44)</f>
        <v>#DIV/0!</v>
      </c>
    </row>
    <row r="99" spans="1:11">
      <c r="A99" s="27" t="s">
        <v>139</v>
      </c>
      <c r="C99" s="108">
        <f>(C81+C63)/(C45)</f>
        <v>0.43539695598519118</v>
      </c>
      <c r="D99" s="108">
        <f>(D81+D63)/(D45)</f>
        <v>0.34867852735499788</v>
      </c>
      <c r="E99" s="108">
        <f>(E81+E63)/(E45)</f>
        <v>0.4001502774352651</v>
      </c>
      <c r="F99" s="108">
        <f>(F81+F63)/(F45)</f>
        <v>0.50354537586547976</v>
      </c>
      <c r="G99" s="108">
        <f>(G81+G63)/(G45)</f>
        <v>0.36217511776115263</v>
      </c>
      <c r="H99" s="108" t="e">
        <f>(H81+H63)/(H45)</f>
        <v>#DIV/0!</v>
      </c>
      <c r="I99" s="108" t="e">
        <f>(I81+I63)/(I45)</f>
        <v>#DIV/0!</v>
      </c>
      <c r="J99" s="108" t="e">
        <f>(J81+J63)/(J45)</f>
        <v>#DIV/0!</v>
      </c>
      <c r="K99" s="108" t="e">
        <f>(K81+K63)/(K45)</f>
        <v>#DIV/0!</v>
      </c>
    </row>
    <row r="100" spans="1:11">
      <c r="A100" s="27" t="s">
        <v>120</v>
      </c>
      <c r="C100" s="108" t="e">
        <f>(C82+C64)/(C46)</f>
        <v>#DIV/0!</v>
      </c>
      <c r="D100" s="108" t="e">
        <f>(D82+D64)/(D46)</f>
        <v>#DIV/0!</v>
      </c>
      <c r="E100" s="108" t="e">
        <f>(E82+E64)/(E46)</f>
        <v>#DIV/0!</v>
      </c>
      <c r="F100" s="108">
        <f>(F82+F64)/(F46)</f>
        <v>0.97868020304568526</v>
      </c>
      <c r="G100" s="108">
        <f>(G82+G64)/(G46)</f>
        <v>0.57208121827411174</v>
      </c>
      <c r="H100" s="108" t="e">
        <f>(H82+H64)/(H46)</f>
        <v>#DIV/0!</v>
      </c>
      <c r="I100" s="108" t="e">
        <f>(I82+I64)/(I46)</f>
        <v>#DIV/0!</v>
      </c>
      <c r="J100" s="108" t="e">
        <f>(J82+J64)/(J46)</f>
        <v>#DIV/0!</v>
      </c>
      <c r="K100" s="108" t="e">
        <f>(K82+K64)/(K46)</f>
        <v>#DIV/0!</v>
      </c>
    </row>
    <row r="101" spans="1:11">
      <c r="A101" s="27" t="s">
        <v>21</v>
      </c>
      <c r="C101" s="108" t="e">
        <f>(C83+C65)/(C47)</f>
        <v>#DIV/0!</v>
      </c>
      <c r="D101" s="108">
        <f>(D83+D65)/(D47)</f>
        <v>0.69721797064914015</v>
      </c>
      <c r="E101" s="108">
        <f>(E83+E65)/(E47)</f>
        <v>0.76856036733591415</v>
      </c>
      <c r="F101" s="108">
        <f>(F83+F65)/(F47)</f>
        <v>0.30611326190690552</v>
      </c>
      <c r="G101" s="108">
        <f>(G83+G65)/(G47)</f>
        <v>0.50316004077471976</v>
      </c>
      <c r="H101" s="108" t="e">
        <f>(H83+H65)/(H47)</f>
        <v>#DIV/0!</v>
      </c>
      <c r="I101" s="108" t="e">
        <f>(I83+I65)/(I47)</f>
        <v>#DIV/0!</v>
      </c>
      <c r="J101" s="108" t="e">
        <f>(J83+J65)/(J47)</f>
        <v>#DIV/0!</v>
      </c>
      <c r="K101" s="108" t="e">
        <f>(K83+K65)/(K47)</f>
        <v>#DIV/0!</v>
      </c>
    </row>
    <row r="102" spans="1:11">
      <c r="A102" s="27" t="s">
        <v>17</v>
      </c>
      <c r="C102" s="108">
        <f>(C84+C66)/(C48)</f>
        <v>0.3338162779273593</v>
      </c>
      <c r="D102" s="108">
        <f>(D84+D66)/(D48)</f>
        <v>0.30656154252809525</v>
      </c>
      <c r="E102" s="108">
        <f>(E84+E66)/(E48)</f>
        <v>0.23876897890506424</v>
      </c>
      <c r="F102" s="108">
        <f>(F84+F66)/(F48)</f>
        <v>0.20748185244345405</v>
      </c>
      <c r="G102" s="108">
        <f>(G84+G66)/(G48)</f>
        <v>0.13676162859449145</v>
      </c>
      <c r="H102" s="108" t="e">
        <f>(H84+H66)/(H48)</f>
        <v>#DIV/0!</v>
      </c>
      <c r="I102" s="108" t="e">
        <f>(I84+I66)/(I48)</f>
        <v>#DIV/0!</v>
      </c>
      <c r="J102" s="108" t="e">
        <f>(J84+J66)/(J48)</f>
        <v>#DIV/0!</v>
      </c>
      <c r="K102" s="108" t="e">
        <f>(K84+K66)/(K48)</f>
        <v>#DIV/0!</v>
      </c>
    </row>
    <row r="103" spans="1:11">
      <c r="A103" s="27" t="s">
        <v>37</v>
      </c>
      <c r="C103" s="108">
        <f>(C85+C67)/(C49)</f>
        <v>0.49575592295892273</v>
      </c>
      <c r="D103" s="108">
        <f>(D85+D67)/(D49)</f>
        <v>9.6301399893520392E-2</v>
      </c>
      <c r="E103" s="108">
        <f>(E85+E67)/(E49)</f>
        <v>0.1244558579436911</v>
      </c>
      <c r="F103" s="108">
        <f>(F85+F67)/(F49)</f>
        <v>2.9117472049105884E-2</v>
      </c>
      <c r="G103" s="108">
        <f>(G85+G67)/(G49)</f>
        <v>1.6942782875575459E-2</v>
      </c>
      <c r="H103" s="108" t="e">
        <f>(H85+H67)/(H49)</f>
        <v>#DIV/0!</v>
      </c>
      <c r="I103" s="108" t="e">
        <f>(I85+I67)/(I49)</f>
        <v>#DIV/0!</v>
      </c>
      <c r="J103" s="108" t="e">
        <f>(J85+J67)/(J49)</f>
        <v>#DIV/0!</v>
      </c>
      <c r="K103" s="108" t="e">
        <f>(K85+K67)/(K49)</f>
        <v>#DIV/0!</v>
      </c>
    </row>
    <row r="104" spans="1:11">
      <c r="A104" s="27" t="s">
        <v>38</v>
      </c>
      <c r="C104" s="108">
        <f>(C86+C68)/(C50)</f>
        <v>0.33093348207262485</v>
      </c>
      <c r="D104" s="108">
        <f>(D86+D68)/(D50)</f>
        <v>0.24483059452811029</v>
      </c>
      <c r="E104" s="108">
        <f>(E86+E68)/(E50)</f>
        <v>0.38267023934696837</v>
      </c>
      <c r="F104" s="108">
        <f>(F86+F68)/(F50)</f>
        <v>0.31044341436844852</v>
      </c>
      <c r="G104" s="108">
        <f>(G86+G68)/(G50)</f>
        <v>0.19049810473427375</v>
      </c>
      <c r="H104" s="108" t="e">
        <f>(H86+H68)/(H50)</f>
        <v>#DIV/0!</v>
      </c>
      <c r="I104" s="108" t="e">
        <f>(I86+I68)/(I50)</f>
        <v>#DIV/0!</v>
      </c>
      <c r="J104" s="108" t="e">
        <f>(J86+J68)/(J50)</f>
        <v>#DIV/0!</v>
      </c>
      <c r="K104" s="108" t="e">
        <f>(K86+K68)/(K50)</f>
        <v>#DIV/0!</v>
      </c>
    </row>
    <row r="105" spans="1:11" s="220" customFormat="1" ht="16" thickBot="1">
      <c r="A105" s="223" t="s">
        <v>46</v>
      </c>
      <c r="B105" s="222"/>
      <c r="C105" s="228">
        <f>(C87+C69)/(C51)</f>
        <v>1.6489764973464747E-2</v>
      </c>
      <c r="D105" s="228">
        <f>(D87+D69)/(D51)</f>
        <v>0.31336362793285732</v>
      </c>
      <c r="E105" s="228">
        <f>(E87+E69)/(E51)</f>
        <v>0.27641194472781233</v>
      </c>
      <c r="F105" s="228">
        <f>(F87+F69)/(F51)</f>
        <v>0.19059167207641664</v>
      </c>
      <c r="G105" s="228">
        <f>(G87+G69)/(G51)</f>
        <v>0.20427988500417324</v>
      </c>
      <c r="H105" s="228" t="e">
        <f>(H87+H69)/(H51)</f>
        <v>#DIV/0!</v>
      </c>
      <c r="I105" s="228" t="e">
        <f>(I87+I69)/(I51)</f>
        <v>#DIV/0!</v>
      </c>
      <c r="J105" s="228" t="e">
        <f>(J87+J69)/(J51)</f>
        <v>#DIV/0!</v>
      </c>
      <c r="K105" s="228" t="e">
        <f>(K87+K69)/(K51)</f>
        <v>#DIV/0!</v>
      </c>
    </row>
    <row r="106" spans="1:11" ht="16" thickTop="1"/>
  </sheetData>
  <sortState ref="A41:A44">
    <sortCondition ref="A15"/>
  </sortState>
  <mergeCells count="4">
    <mergeCell ref="C52:K52"/>
    <mergeCell ref="C26:K26"/>
    <mergeCell ref="C70:K70"/>
    <mergeCell ref="C88:L88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1"/>
  <sheetViews>
    <sheetView showRuler="0" topLeftCell="A5" zoomScale="80" zoomScaleNormal="80" zoomScalePageLayoutView="80" workbookViewId="0">
      <selection activeCell="AB85" sqref="AB85"/>
    </sheetView>
  </sheetViews>
  <sheetFormatPr baseColWidth="10" defaultRowHeight="15" x14ac:dyDescent="0"/>
  <cols>
    <col min="1" max="1" width="10.83203125" style="33"/>
    <col min="2" max="2" width="15.33203125" style="33" bestFit="1" customWidth="1"/>
    <col min="3" max="3" width="10.6640625" style="33" customWidth="1"/>
    <col min="4" max="4" width="14.33203125" style="33" bestFit="1" customWidth="1"/>
    <col min="5" max="5" width="9.6640625" style="33" customWidth="1"/>
    <col min="6" max="6" width="11.83203125" style="33" customWidth="1"/>
    <col min="7" max="7" width="13.1640625" style="33" customWidth="1"/>
    <col min="8" max="8" width="10.83203125" style="33" customWidth="1"/>
    <col min="9" max="9" width="9.5" style="33" customWidth="1"/>
    <col min="10" max="10" width="11.5" style="33" bestFit="1" customWidth="1"/>
    <col min="11" max="11" width="9.5" style="33" customWidth="1"/>
    <col min="12" max="12" width="11.5" style="33" bestFit="1" customWidth="1"/>
    <col min="13" max="13" width="10.83203125" style="33" customWidth="1"/>
    <col min="14" max="14" width="11.5" style="33" bestFit="1" customWidth="1"/>
    <col min="15" max="15" width="12" style="33" customWidth="1"/>
    <col min="16" max="16" width="15.33203125" style="33" bestFit="1" customWidth="1"/>
    <col min="17" max="17" width="15.1640625" style="33" bestFit="1" customWidth="1"/>
    <col min="18" max="18" width="13.5" style="33" bestFit="1" customWidth="1"/>
    <col min="19" max="19" width="11.5" style="33" bestFit="1" customWidth="1"/>
    <col min="20" max="20" width="14.1640625" style="33" bestFit="1" customWidth="1"/>
    <col min="21" max="21" width="11.5" style="33" bestFit="1" customWidth="1"/>
    <col min="22" max="22" width="13.33203125" style="33" customWidth="1"/>
    <col min="23" max="23" width="10.83203125" style="33" customWidth="1"/>
    <col min="24" max="24" width="9.1640625" style="33" customWidth="1"/>
    <col min="25" max="25" width="12.5" style="33" bestFit="1" customWidth="1"/>
    <col min="26" max="26" width="10.83203125" style="33"/>
    <col min="27" max="27" width="16.83203125" style="33" customWidth="1"/>
    <col min="28" max="28" width="14.33203125" style="33" customWidth="1"/>
    <col min="29" max="29" width="19.1640625" style="33" customWidth="1"/>
    <col min="30" max="30" width="13.5" style="33" customWidth="1"/>
    <col min="31" max="16384" width="10.83203125" style="33"/>
  </cols>
  <sheetData>
    <row r="1" spans="1:30">
      <c r="A1" s="33" t="s">
        <v>124</v>
      </c>
    </row>
    <row r="2" spans="1:30" s="34" customFormat="1" ht="47" customHeight="1">
      <c r="B2" s="35" t="s">
        <v>27</v>
      </c>
      <c r="C2" s="36" t="s">
        <v>34</v>
      </c>
      <c r="D2" s="36" t="s">
        <v>25</v>
      </c>
      <c r="E2" s="36" t="s">
        <v>98</v>
      </c>
      <c r="F2" s="35" t="s">
        <v>23</v>
      </c>
      <c r="G2" s="35" t="s">
        <v>36</v>
      </c>
      <c r="H2" s="35" t="s">
        <v>24</v>
      </c>
      <c r="I2" s="35" t="s">
        <v>48</v>
      </c>
      <c r="J2" s="35" t="s">
        <v>20</v>
      </c>
      <c r="K2" s="35" t="s">
        <v>44</v>
      </c>
      <c r="L2" s="36" t="s">
        <v>110</v>
      </c>
      <c r="M2" s="35" t="s">
        <v>47</v>
      </c>
      <c r="N2" s="35" t="s">
        <v>46</v>
      </c>
      <c r="O2" s="36" t="s">
        <v>17</v>
      </c>
      <c r="P2" s="36" t="s">
        <v>99</v>
      </c>
      <c r="Q2" s="35" t="s">
        <v>31</v>
      </c>
      <c r="R2" s="36" t="s">
        <v>89</v>
      </c>
      <c r="S2" s="35" t="s">
        <v>21</v>
      </c>
      <c r="T2" s="36" t="s">
        <v>39</v>
      </c>
      <c r="U2" s="35" t="s">
        <v>38</v>
      </c>
      <c r="V2" s="35" t="s">
        <v>50</v>
      </c>
      <c r="W2" s="36" t="s">
        <v>49</v>
      </c>
      <c r="X2" s="35" t="s">
        <v>122</v>
      </c>
      <c r="Y2" s="36" t="s">
        <v>120</v>
      </c>
      <c r="AA2" s="34" t="s">
        <v>125</v>
      </c>
      <c r="AB2" s="34" t="s">
        <v>126</v>
      </c>
      <c r="AC2" s="34" t="s">
        <v>127</v>
      </c>
      <c r="AD2" s="34" t="s">
        <v>128</v>
      </c>
    </row>
    <row r="3" spans="1:30">
      <c r="A3" s="37">
        <v>42866</v>
      </c>
      <c r="B3" s="52">
        <f>SUMIFS(Collection!$J:$J, Collection!$A:$A, $A3, Collection!$B:$B, B$2)</f>
        <v>0</v>
      </c>
      <c r="C3" s="52">
        <f>SUMIFS(Collection!$J:$J, Collection!$A:$A, $A3, Collection!$B:$B, C$2)</f>
        <v>0</v>
      </c>
      <c r="D3" s="52">
        <f>SUMIFS(Collection!$J:$J, Collection!$A:$A, $A3, Collection!$B:$B, D$2)</f>
        <v>0</v>
      </c>
      <c r="E3" s="52">
        <f>SUMIFS(Collection!$J:$J, Collection!$A:$A, $A3, Collection!$B:$B, E$2)</f>
        <v>0</v>
      </c>
      <c r="F3" s="52">
        <f>SUMIFS(Collection!$J:$J, Collection!$A:$A, $A3, Collection!$B:$B, F$2)</f>
        <v>0</v>
      </c>
      <c r="G3" s="52">
        <f>SUMIFS(Collection!$J:$J, Collection!$A:$A, $A3, Collection!$B:$B, G$2)</f>
        <v>0</v>
      </c>
      <c r="H3" s="52">
        <f>SUMIFS(Collection!$J:$J, Collection!$A:$A, $A3, Collection!$B:$B, H$2)</f>
        <v>0</v>
      </c>
      <c r="I3" s="52">
        <f>SUMIFS(Collection!$J:$J, Collection!$A:$A, $A3, Collection!$B:$B, I$2)</f>
        <v>0</v>
      </c>
      <c r="J3" s="52">
        <f>SUMIFS(Collection!$J:$J, Collection!$A:$A, $A3, Collection!$B:$B, J$2)</f>
        <v>37200</v>
      </c>
      <c r="K3" s="52">
        <f>SUMIFS(Collection!$J:$J, Collection!$A:$A, $A3, Collection!$B:$B, K$2)</f>
        <v>0</v>
      </c>
      <c r="L3" s="52">
        <f>SUMIFS(Collection!$J:$J, Collection!$A:$A, $A3, Collection!$B:$B, L$2)</f>
        <v>0</v>
      </c>
      <c r="M3" s="52">
        <f>SUMIFS(Collection!$J:$J, Collection!$A:$A, $A3, Collection!$B:$B, M$2)</f>
        <v>0</v>
      </c>
      <c r="N3" s="52">
        <f>SUMIFS(Collection!$J:$J, Collection!$A:$A, $A3, Collection!$B:$B, N$2)</f>
        <v>0</v>
      </c>
      <c r="O3" s="52">
        <f>SUMIFS(Collection!$J:$J, Collection!$A:$A, $A3, Collection!$B:$B, O$2)</f>
        <v>47400</v>
      </c>
      <c r="P3" s="52">
        <f>SUMIFS(Collection!$J:$J, Collection!$A:$A, $A3, Collection!$B:$B, P$2)</f>
        <v>0</v>
      </c>
      <c r="Q3" s="52">
        <f>SUMIFS(Collection!$J:$J, Collection!$A:$A, $A3, Collection!$B:$B, Q$2)</f>
        <v>0</v>
      </c>
      <c r="R3" s="52">
        <f>SUMIFS(Collection!$J:$J, Collection!$A:$A, $A3, Collection!$B:$B, R$2)</f>
        <v>0</v>
      </c>
      <c r="S3" s="52">
        <f>SUMIFS(Collection!$J:$J, Collection!$A:$A, $A3, Collection!$B:$B, S$2)</f>
        <v>0</v>
      </c>
      <c r="T3" s="52">
        <f>SUMIFS(Collection!$J:$J, Collection!$A:$A, $A3, Collection!$B:$B, T$2)</f>
        <v>0</v>
      </c>
      <c r="U3" s="52">
        <f>SUMIFS(Collection!$J:$J, Collection!$A:$A, $A3, Collection!$B:$B, U$2)</f>
        <v>0</v>
      </c>
      <c r="V3" s="52">
        <f>SUMIFS(Collection!$J:$J, Collection!$A:$A, $A3, Collection!$B:$B, V$2)</f>
        <v>0</v>
      </c>
      <c r="W3" s="52">
        <f>SUMIFS(Collection!$J:$J, Collection!$A:$A, $A3, Collection!$B:$B, W$2)</f>
        <v>0</v>
      </c>
      <c r="X3" s="52">
        <f>SUMIFS(Collection!$J:$J, Collection!$A:$A, $A3, Collection!$B:$B, X$2)</f>
        <v>0</v>
      </c>
      <c r="Y3" s="52">
        <f>SUMIFS(Collection!$J:$J, Collection!$A:$A, $A3, Collection!$B:$B, Y$2)</f>
        <v>0</v>
      </c>
    </row>
    <row r="4" spans="1:30">
      <c r="A4" s="37">
        <f>1+A3</f>
        <v>42867</v>
      </c>
      <c r="B4" s="52">
        <f>SUMIFS(Collection!$J:$J, Collection!$A:$A, $A4, Collection!$B:$B, B$2)</f>
        <v>0</v>
      </c>
      <c r="C4" s="52">
        <f>SUMIFS(Collection!$J:$J, Collection!$A:$A, $A4, Collection!$B:$B, C$2)</f>
        <v>0</v>
      </c>
      <c r="D4" s="52">
        <f>SUMIFS(Collection!$J:$J, Collection!$A:$A, $A4, Collection!$B:$B, D$2)</f>
        <v>0</v>
      </c>
      <c r="E4" s="52">
        <f>SUMIFS(Collection!$J:$J, Collection!$A:$A, $A4, Collection!$B:$B, E$2)</f>
        <v>0</v>
      </c>
      <c r="F4" s="52">
        <f>SUMIFS(Collection!$J:$J, Collection!$A:$A, $A4, Collection!$B:$B, F$2)</f>
        <v>0</v>
      </c>
      <c r="G4" s="52">
        <f>SUMIFS(Collection!$J:$J, Collection!$A:$A, $A4, Collection!$B:$B, G$2)</f>
        <v>0</v>
      </c>
      <c r="H4" s="52">
        <f>SUMIFS(Collection!$J:$J, Collection!$A:$A, $A4, Collection!$B:$B, H$2)</f>
        <v>0</v>
      </c>
      <c r="I4" s="52">
        <f>SUMIFS(Collection!$J:$J, Collection!$A:$A, $A4, Collection!$B:$B, I$2)</f>
        <v>0</v>
      </c>
      <c r="J4" s="52">
        <f>SUMIFS(Collection!$J:$J, Collection!$A:$A, $A4, Collection!$B:$B, J$2)</f>
        <v>0</v>
      </c>
      <c r="K4" s="52">
        <f>SUMIFS(Collection!$J:$J, Collection!$A:$A, $A4, Collection!$B:$B, K$2)</f>
        <v>0</v>
      </c>
      <c r="L4" s="52">
        <f>SUMIFS(Collection!$J:$J, Collection!$A:$A, $A4, Collection!$B:$B, L$2)</f>
        <v>0</v>
      </c>
      <c r="M4" s="52">
        <f>SUMIFS(Collection!$J:$J, Collection!$A:$A, $A4, Collection!$B:$B, M$2)</f>
        <v>0</v>
      </c>
      <c r="N4" s="52">
        <f>SUMIFS(Collection!$J:$J, Collection!$A:$A, $A4, Collection!$B:$B, N$2)</f>
        <v>0</v>
      </c>
      <c r="O4" s="52">
        <f>SUMIFS(Collection!$J:$J, Collection!$A:$A, $A4, Collection!$B:$B, O$2)</f>
        <v>0</v>
      </c>
      <c r="P4" s="52">
        <f>SUMIFS(Collection!$J:$J, Collection!$A:$A, $A4, Collection!$B:$B, P$2)</f>
        <v>0</v>
      </c>
      <c r="Q4" s="52">
        <f>SUMIFS(Collection!$J:$J, Collection!$A:$A, $A4, Collection!$B:$B, Q$2)</f>
        <v>0</v>
      </c>
      <c r="R4" s="52">
        <f>SUMIFS(Collection!$J:$J, Collection!$A:$A, $A4, Collection!$B:$B, R$2)</f>
        <v>0</v>
      </c>
      <c r="S4" s="52">
        <f>SUMIFS(Collection!$J:$J, Collection!$A:$A, $A4, Collection!$B:$B, S$2)</f>
        <v>0</v>
      </c>
      <c r="T4" s="52">
        <f>SUMIFS(Collection!$J:$J, Collection!$A:$A, $A4, Collection!$B:$B, T$2)</f>
        <v>0</v>
      </c>
      <c r="U4" s="52">
        <f>SUMIFS(Collection!$J:$J, Collection!$A:$A, $A4, Collection!$B:$B, U$2)</f>
        <v>0</v>
      </c>
      <c r="V4" s="52">
        <f>SUMIFS(Collection!$J:$J, Collection!$A:$A, $A4, Collection!$B:$B, V$2)</f>
        <v>0</v>
      </c>
      <c r="W4" s="52">
        <f>SUMIFS(Collection!$J:$J, Collection!$A:$A, $A4, Collection!$B:$B, W$2)</f>
        <v>0</v>
      </c>
      <c r="X4" s="52">
        <f>SUMIFS(Collection!$J:$J, Collection!$A:$A, $A4, Collection!$B:$B, X$2)</f>
        <v>0</v>
      </c>
      <c r="Y4" s="52">
        <f>SUMIFS(Collection!$J:$J, Collection!$A:$A, $A4, Collection!$B:$B, Y$2)</f>
        <v>0</v>
      </c>
    </row>
    <row r="5" spans="1:30">
      <c r="A5" s="37">
        <f t="shared" ref="A5:A70" si="0">1+A4</f>
        <v>42868</v>
      </c>
      <c r="B5" s="52">
        <f>SUMIFS(Collection!$J:$J, Collection!$A:$A, $A5, Collection!$B:$B, B$2)</f>
        <v>0</v>
      </c>
      <c r="C5" s="52">
        <f>SUMIFS(Collection!$J:$J, Collection!$A:$A, $A5, Collection!$B:$B, C$2)</f>
        <v>0</v>
      </c>
      <c r="D5" s="52">
        <f>SUMIFS(Collection!$J:$J, Collection!$A:$A, $A5, Collection!$B:$B, D$2)</f>
        <v>0</v>
      </c>
      <c r="E5" s="52">
        <f>SUMIFS(Collection!$J:$J, Collection!$A:$A, $A5, Collection!$B:$B, E$2)</f>
        <v>0</v>
      </c>
      <c r="F5" s="52">
        <f>SUMIFS(Collection!$J:$J, Collection!$A:$A, $A5, Collection!$B:$B, F$2)</f>
        <v>0</v>
      </c>
      <c r="G5" s="52">
        <f>SUMIFS(Collection!$J:$J, Collection!$A:$A, $A5, Collection!$B:$B, G$2)</f>
        <v>0</v>
      </c>
      <c r="H5" s="52">
        <f>SUMIFS(Collection!$J:$J, Collection!$A:$A, $A5, Collection!$B:$B, H$2)</f>
        <v>0</v>
      </c>
      <c r="I5" s="52">
        <f>SUMIFS(Collection!$J:$J, Collection!$A:$A, $A5, Collection!$B:$B, I$2)</f>
        <v>0</v>
      </c>
      <c r="J5" s="52">
        <f>SUMIFS(Collection!$J:$J, Collection!$A:$A, $A5, Collection!$B:$B, J$2)</f>
        <v>0</v>
      </c>
      <c r="K5" s="52">
        <f>SUMIFS(Collection!$J:$J, Collection!$A:$A, $A5, Collection!$B:$B, K$2)</f>
        <v>0</v>
      </c>
      <c r="L5" s="52">
        <f>SUMIFS(Collection!$J:$J, Collection!$A:$A, $A5, Collection!$B:$B, L$2)</f>
        <v>0</v>
      </c>
      <c r="M5" s="52">
        <f>SUMIFS(Collection!$J:$J, Collection!$A:$A, $A5, Collection!$B:$B, M$2)</f>
        <v>0</v>
      </c>
      <c r="N5" s="52">
        <f>SUMIFS(Collection!$J:$J, Collection!$A:$A, $A5, Collection!$B:$B, N$2)</f>
        <v>0</v>
      </c>
      <c r="O5" s="52">
        <f>SUMIFS(Collection!$J:$J, Collection!$A:$A, $A5, Collection!$B:$B, O$2)</f>
        <v>0</v>
      </c>
      <c r="P5" s="52">
        <f>SUMIFS(Collection!$J:$J, Collection!$A:$A, $A5, Collection!$B:$B, P$2)</f>
        <v>0</v>
      </c>
      <c r="Q5" s="52">
        <f>SUMIFS(Collection!$J:$J, Collection!$A:$A, $A5, Collection!$B:$B, Q$2)</f>
        <v>0</v>
      </c>
      <c r="R5" s="52">
        <f>SUMIFS(Collection!$J:$J, Collection!$A:$A, $A5, Collection!$B:$B, R$2)</f>
        <v>0</v>
      </c>
      <c r="S5" s="52">
        <f>SUMIFS(Collection!$J:$J, Collection!$A:$A, $A5, Collection!$B:$B, S$2)</f>
        <v>3483.3333333333335</v>
      </c>
      <c r="T5" s="52">
        <f>SUMIFS(Collection!$J:$J, Collection!$A:$A, $A5, Collection!$B:$B, T$2)</f>
        <v>0</v>
      </c>
      <c r="U5" s="52">
        <f>SUMIFS(Collection!$J:$J, Collection!$A:$A, $A5, Collection!$B:$B, U$2)</f>
        <v>0</v>
      </c>
      <c r="V5" s="52">
        <f>SUMIFS(Collection!$J:$J, Collection!$A:$A, $A5, Collection!$B:$B, V$2)</f>
        <v>0</v>
      </c>
      <c r="W5" s="52">
        <f>SUMIFS(Collection!$J:$J, Collection!$A:$A, $A5, Collection!$B:$B, W$2)</f>
        <v>0</v>
      </c>
      <c r="X5" s="52">
        <f>SUMIFS(Collection!$J:$J, Collection!$A:$A, $A5, Collection!$B:$B, X$2)</f>
        <v>0</v>
      </c>
      <c r="Y5" s="52">
        <f>SUMIFS(Collection!$J:$J, Collection!$A:$A, $A5, Collection!$B:$B, Y$2)</f>
        <v>0</v>
      </c>
    </row>
    <row r="6" spans="1:30">
      <c r="A6" s="37">
        <f t="shared" si="0"/>
        <v>42869</v>
      </c>
      <c r="B6" s="52">
        <f>SUMIFS(Collection!$J:$J, Collection!$A:$A, $A6, Collection!$B:$B, B$2)</f>
        <v>0</v>
      </c>
      <c r="C6" s="52">
        <f>SUMIFS(Collection!$J:$J, Collection!$A:$A, $A6, Collection!$B:$B, C$2)</f>
        <v>0</v>
      </c>
      <c r="D6" s="52">
        <f>SUMIFS(Collection!$J:$J, Collection!$A:$A, $A6, Collection!$B:$B, D$2)</f>
        <v>69066.666666666657</v>
      </c>
      <c r="E6" s="52">
        <f>SUMIFS(Collection!$J:$J, Collection!$A:$A, $A6, Collection!$B:$B, E$2)</f>
        <v>0</v>
      </c>
      <c r="F6" s="52">
        <f>SUMIFS(Collection!$J:$J, Collection!$A:$A, $A6, Collection!$B:$B, F$2)</f>
        <v>80666.666666666657</v>
      </c>
      <c r="G6" s="52">
        <f>SUMIFS(Collection!$J:$J, Collection!$A:$A, $A6, Collection!$B:$B, G$2)</f>
        <v>0</v>
      </c>
      <c r="H6" s="52">
        <f>SUMIFS(Collection!$J:$J, Collection!$A:$A, $A6, Collection!$B:$B, H$2)</f>
        <v>98000</v>
      </c>
      <c r="I6" s="52">
        <f>SUMIFS(Collection!$J:$J, Collection!$A:$A, $A6, Collection!$B:$B, I$2)</f>
        <v>0</v>
      </c>
      <c r="J6" s="52">
        <f>SUMIFS(Collection!$J:$J, Collection!$A:$A, $A6, Collection!$B:$B, J$2)</f>
        <v>52266.666666666657</v>
      </c>
      <c r="K6" s="52">
        <f>SUMIFS(Collection!$J:$J, Collection!$A:$A, $A6, Collection!$B:$B, K$2)</f>
        <v>0</v>
      </c>
      <c r="L6" s="52">
        <f>SUMIFS(Collection!$J:$J, Collection!$A:$A, $A6, Collection!$B:$B, L$2)</f>
        <v>0</v>
      </c>
      <c r="M6" s="52">
        <f>SUMIFS(Collection!$J:$J, Collection!$A:$A, $A6, Collection!$B:$B, M$2)</f>
        <v>0</v>
      </c>
      <c r="N6" s="52">
        <f>SUMIFS(Collection!$J:$J, Collection!$A:$A, $A6, Collection!$B:$B, N$2)</f>
        <v>0</v>
      </c>
      <c r="O6" s="52">
        <f>SUMIFS(Collection!$J:$J, Collection!$A:$A, $A6, Collection!$B:$B, O$2)</f>
        <v>66800</v>
      </c>
      <c r="P6" s="52">
        <f>SUMIFS(Collection!$J:$J, Collection!$A:$A, $A6, Collection!$B:$B, P$2)</f>
        <v>0</v>
      </c>
      <c r="Q6" s="52">
        <f>SUMIFS(Collection!$J:$J, Collection!$A:$A, $A6, Collection!$B:$B, Q$2)</f>
        <v>0</v>
      </c>
      <c r="R6" s="52">
        <f>SUMIFS(Collection!$J:$J, Collection!$A:$A, $A6, Collection!$B:$B, R$2)</f>
        <v>0</v>
      </c>
      <c r="S6" s="52">
        <f>SUMIFS(Collection!$J:$J, Collection!$A:$A, $A6, Collection!$B:$B, S$2)</f>
        <v>3844.4444444444443</v>
      </c>
      <c r="T6" s="52">
        <f>SUMIFS(Collection!$J:$J, Collection!$A:$A, $A6, Collection!$B:$B, T$2)</f>
        <v>0</v>
      </c>
      <c r="U6" s="52">
        <f>SUMIFS(Collection!$J:$J, Collection!$A:$A, $A6, Collection!$B:$B, U$2)</f>
        <v>0</v>
      </c>
      <c r="V6" s="52">
        <f>SUMIFS(Collection!$J:$J, Collection!$A:$A, $A6, Collection!$B:$B, V$2)</f>
        <v>0</v>
      </c>
      <c r="W6" s="52">
        <f>SUMIFS(Collection!$J:$J, Collection!$A:$A, $A6, Collection!$B:$B, W$2)</f>
        <v>0</v>
      </c>
      <c r="X6" s="52">
        <f>SUMIFS(Collection!$J:$J, Collection!$A:$A, $A6, Collection!$B:$B, X$2)</f>
        <v>0</v>
      </c>
      <c r="Y6" s="52">
        <f>SUMIFS(Collection!$J:$J, Collection!$A:$A, $A6, Collection!$B:$B, Y$2)</f>
        <v>0</v>
      </c>
    </row>
    <row r="7" spans="1:30">
      <c r="A7" s="37">
        <f t="shared" si="0"/>
        <v>42870</v>
      </c>
      <c r="B7" s="52">
        <f>SUMIFS(Collection!$J:$J, Collection!$A:$A, $A7, Collection!$B:$B, B$2)</f>
        <v>554500</v>
      </c>
      <c r="C7" s="52">
        <f>SUMIFS(Collection!$J:$J, Collection!$A:$A, $A7, Collection!$B:$B, C$2)</f>
        <v>0</v>
      </c>
      <c r="D7" s="52">
        <f>SUMIFS(Collection!$J:$J, Collection!$A:$A, $A7, Collection!$B:$B, D$2)</f>
        <v>461500</v>
      </c>
      <c r="E7" s="52">
        <f>SUMIFS(Collection!$J:$J, Collection!$A:$A, $A7, Collection!$B:$B, E$2)</f>
        <v>0</v>
      </c>
      <c r="F7" s="52">
        <f>SUMIFS(Collection!$J:$J, Collection!$A:$A, $A7, Collection!$B:$B, F$2)</f>
        <v>0</v>
      </c>
      <c r="G7" s="52">
        <f>SUMIFS(Collection!$J:$J, Collection!$A:$A, $A7, Collection!$B:$B, G$2)</f>
        <v>0</v>
      </c>
      <c r="H7" s="52">
        <f>SUMIFS(Collection!$J:$J, Collection!$A:$A, $A7, Collection!$B:$B, H$2)</f>
        <v>77250</v>
      </c>
      <c r="I7" s="52">
        <f>SUMIFS(Collection!$J:$J, Collection!$A:$A, $A7, Collection!$B:$B, I$2)</f>
        <v>0</v>
      </c>
      <c r="J7" s="52">
        <f>SUMIFS(Collection!$J:$J, Collection!$A:$A, $A7, Collection!$B:$B, J$2)</f>
        <v>0</v>
      </c>
      <c r="K7" s="52">
        <f>SUMIFS(Collection!$J:$J, Collection!$A:$A, $A7, Collection!$B:$B, K$2)</f>
        <v>0</v>
      </c>
      <c r="L7" s="52">
        <f>SUMIFS(Collection!$J:$J, Collection!$A:$A, $A7, Collection!$B:$B, L$2)</f>
        <v>0</v>
      </c>
      <c r="M7" s="52">
        <f>SUMIFS(Collection!$J:$J, Collection!$A:$A, $A7, Collection!$B:$B, M$2)</f>
        <v>0</v>
      </c>
      <c r="N7" s="52">
        <f>SUMIFS(Collection!$J:$J, Collection!$A:$A, $A7, Collection!$B:$B, N$2)</f>
        <v>0</v>
      </c>
      <c r="O7" s="52">
        <f>SUMIFS(Collection!$J:$J, Collection!$A:$A, $A7, Collection!$B:$B, O$2)</f>
        <v>0</v>
      </c>
      <c r="P7" s="52">
        <f>SUMIFS(Collection!$J:$J, Collection!$A:$A, $A7, Collection!$B:$B, P$2)</f>
        <v>0</v>
      </c>
      <c r="Q7" s="52">
        <f>SUMIFS(Collection!$J:$J, Collection!$A:$A, $A7, Collection!$B:$B, Q$2)</f>
        <v>0</v>
      </c>
      <c r="R7" s="52">
        <f>SUMIFS(Collection!$J:$J, Collection!$A:$A, $A7, Collection!$B:$B, R$2)</f>
        <v>0</v>
      </c>
      <c r="S7" s="52">
        <f>SUMIFS(Collection!$J:$J, Collection!$A:$A, $A7, Collection!$B:$B, S$2)</f>
        <v>0</v>
      </c>
      <c r="T7" s="52">
        <f>SUMIFS(Collection!$J:$J, Collection!$A:$A, $A7, Collection!$B:$B, T$2)</f>
        <v>0</v>
      </c>
      <c r="U7" s="52">
        <f>SUMIFS(Collection!$J:$J, Collection!$A:$A, $A7, Collection!$B:$B, U$2)</f>
        <v>0</v>
      </c>
      <c r="V7" s="52">
        <f>SUMIFS(Collection!$J:$J, Collection!$A:$A, $A7, Collection!$B:$B, V$2)</f>
        <v>0</v>
      </c>
      <c r="W7" s="52">
        <f>SUMIFS(Collection!$J:$J, Collection!$A:$A, $A7, Collection!$B:$B, W$2)</f>
        <v>0</v>
      </c>
      <c r="X7" s="52">
        <f>SUMIFS(Collection!$J:$J, Collection!$A:$A, $A7, Collection!$B:$B, X$2)</f>
        <v>0</v>
      </c>
      <c r="Y7" s="52">
        <f>SUMIFS(Collection!$J:$J, Collection!$A:$A, $A7, Collection!$B:$B, Y$2)</f>
        <v>0</v>
      </c>
    </row>
    <row r="8" spans="1:30">
      <c r="A8" s="37">
        <f t="shared" si="0"/>
        <v>42871</v>
      </c>
      <c r="B8" s="52">
        <f>SUMIFS(Collection!$J:$J, Collection!$A:$A, $A8, Collection!$B:$B, B$2)</f>
        <v>0</v>
      </c>
      <c r="C8" s="52">
        <f>SUMIFS(Collection!$J:$J, Collection!$A:$A, $A8, Collection!$B:$B, C$2)</f>
        <v>0</v>
      </c>
      <c r="D8" s="52">
        <f>SUMIFS(Collection!$J:$J, Collection!$A:$A, $A8, Collection!$B:$B, D$2)</f>
        <v>0</v>
      </c>
      <c r="E8" s="52">
        <f>SUMIFS(Collection!$J:$J, Collection!$A:$A, $A8, Collection!$B:$B, E$2)</f>
        <v>0</v>
      </c>
      <c r="F8" s="52">
        <f>SUMIFS(Collection!$J:$J, Collection!$A:$A, $A8, Collection!$B:$B, F$2)</f>
        <v>0</v>
      </c>
      <c r="G8" s="52">
        <f>SUMIFS(Collection!$J:$J, Collection!$A:$A, $A8, Collection!$B:$B, G$2)</f>
        <v>0</v>
      </c>
      <c r="H8" s="52">
        <f>SUMIFS(Collection!$J:$J, Collection!$A:$A, $A8, Collection!$B:$B, H$2)</f>
        <v>0</v>
      </c>
      <c r="I8" s="52">
        <f>SUMIFS(Collection!$J:$J, Collection!$A:$A, $A8, Collection!$B:$B, I$2)</f>
        <v>0</v>
      </c>
      <c r="J8" s="52">
        <f>SUMIFS(Collection!$J:$J, Collection!$A:$A, $A8, Collection!$B:$B, J$2)</f>
        <v>0</v>
      </c>
      <c r="K8" s="52">
        <f>SUMIFS(Collection!$J:$J, Collection!$A:$A, $A8, Collection!$B:$B, K$2)</f>
        <v>0</v>
      </c>
      <c r="L8" s="52">
        <f>SUMIFS(Collection!$J:$J, Collection!$A:$A, $A8, Collection!$B:$B, L$2)</f>
        <v>0</v>
      </c>
      <c r="M8" s="52">
        <f>SUMIFS(Collection!$J:$J, Collection!$A:$A, $A8, Collection!$B:$B, M$2)</f>
        <v>0</v>
      </c>
      <c r="N8" s="52">
        <f>SUMIFS(Collection!$J:$J, Collection!$A:$A, $A8, Collection!$B:$B, N$2)</f>
        <v>0</v>
      </c>
      <c r="O8" s="52">
        <f>SUMIFS(Collection!$J:$J, Collection!$A:$A, $A8, Collection!$B:$B, O$2)</f>
        <v>0</v>
      </c>
      <c r="P8" s="52">
        <f>SUMIFS(Collection!$J:$J, Collection!$A:$A, $A8, Collection!$B:$B, P$2)</f>
        <v>0</v>
      </c>
      <c r="Q8" s="52">
        <f>SUMIFS(Collection!$J:$J, Collection!$A:$A, $A8, Collection!$B:$B, Q$2)</f>
        <v>0</v>
      </c>
      <c r="R8" s="52">
        <f>SUMIFS(Collection!$J:$J, Collection!$A:$A, $A8, Collection!$B:$B, R$2)</f>
        <v>0</v>
      </c>
      <c r="S8" s="52">
        <f>SUMIFS(Collection!$J:$J, Collection!$A:$A, $A8, Collection!$B:$B, S$2)</f>
        <v>0</v>
      </c>
      <c r="T8" s="52">
        <f>SUMIFS(Collection!$J:$J, Collection!$A:$A, $A8, Collection!$B:$B, T$2)</f>
        <v>0</v>
      </c>
      <c r="U8" s="52">
        <f>SUMIFS(Collection!$J:$J, Collection!$A:$A, $A8, Collection!$B:$B, U$2)</f>
        <v>0</v>
      </c>
      <c r="V8" s="52">
        <f>SUMIFS(Collection!$J:$J, Collection!$A:$A, $A8, Collection!$B:$B, V$2)</f>
        <v>0</v>
      </c>
      <c r="W8" s="52">
        <f>SUMIFS(Collection!$J:$J, Collection!$A:$A, $A8, Collection!$B:$B, W$2)</f>
        <v>0</v>
      </c>
      <c r="X8" s="52">
        <f>SUMIFS(Collection!$J:$J, Collection!$A:$A, $A8, Collection!$B:$B, X$2)</f>
        <v>0</v>
      </c>
      <c r="Y8" s="52">
        <f>SUMIFS(Collection!$J:$J, Collection!$A:$A, $A8, Collection!$B:$B, Y$2)</f>
        <v>0</v>
      </c>
    </row>
    <row r="9" spans="1:30">
      <c r="A9" s="37">
        <f t="shared" si="0"/>
        <v>42872</v>
      </c>
      <c r="B9" s="52">
        <f>SUMIFS(Collection!$J:$J, Collection!$A:$A, $A9, Collection!$B:$B, B$2)</f>
        <v>53000</v>
      </c>
      <c r="C9" s="52">
        <f>SUMIFS(Collection!$J:$J, Collection!$A:$A, $A9, Collection!$B:$B, C$2)</f>
        <v>404466.66666666669</v>
      </c>
      <c r="D9" s="52">
        <f>SUMIFS(Collection!$J:$J, Collection!$A:$A, $A9, Collection!$B:$B, D$2)</f>
        <v>1416.6666666666667</v>
      </c>
      <c r="E9" s="52">
        <f>SUMIFS(Collection!$J:$J, Collection!$A:$A, $A9, Collection!$B:$B, E$2)</f>
        <v>0</v>
      </c>
      <c r="F9" s="52">
        <f>SUMIFS(Collection!$J:$J, Collection!$A:$A, $A9, Collection!$B:$B, F$2)</f>
        <v>9400</v>
      </c>
      <c r="G9" s="52">
        <f>SUMIFS(Collection!$J:$J, Collection!$A:$A, $A9, Collection!$B:$B, G$2)</f>
        <v>218033.33333333331</v>
      </c>
      <c r="H9" s="52">
        <f>SUMIFS(Collection!$J:$J, Collection!$A:$A, $A9, Collection!$B:$B, H$2)</f>
        <v>2666.6666666666665</v>
      </c>
      <c r="I9" s="52">
        <f>SUMIFS(Collection!$J:$J, Collection!$A:$A, $A9, Collection!$B:$B, I$2)</f>
        <v>0</v>
      </c>
      <c r="J9" s="52">
        <f>SUMIFS(Collection!$J:$J, Collection!$A:$A, $A9, Collection!$B:$B, J$2)</f>
        <v>0</v>
      </c>
      <c r="K9" s="52">
        <f>SUMIFS(Collection!$J:$J, Collection!$A:$A, $A9, Collection!$B:$B, K$2)</f>
        <v>0</v>
      </c>
      <c r="L9" s="52">
        <f>SUMIFS(Collection!$J:$J, Collection!$A:$A, $A9, Collection!$B:$B, L$2)</f>
        <v>0</v>
      </c>
      <c r="M9" s="52">
        <f>SUMIFS(Collection!$J:$J, Collection!$A:$A, $A9, Collection!$B:$B, M$2)</f>
        <v>0</v>
      </c>
      <c r="N9" s="52">
        <f>SUMIFS(Collection!$J:$J, Collection!$A:$A, $A9, Collection!$B:$B, N$2)</f>
        <v>0</v>
      </c>
      <c r="O9" s="52">
        <f>SUMIFS(Collection!$J:$J, Collection!$A:$A, $A9, Collection!$B:$B, O$2)</f>
        <v>0</v>
      </c>
      <c r="P9" s="52">
        <f>SUMIFS(Collection!$J:$J, Collection!$A:$A, $A9, Collection!$B:$B, P$2)</f>
        <v>0</v>
      </c>
      <c r="Q9" s="52">
        <f>SUMIFS(Collection!$J:$J, Collection!$A:$A, $A9, Collection!$B:$B, Q$2)</f>
        <v>245666.66666666666</v>
      </c>
      <c r="R9" s="52">
        <f>SUMIFS(Collection!$J:$J, Collection!$A:$A, $A9, Collection!$B:$B, R$2)</f>
        <v>0</v>
      </c>
      <c r="S9" s="52">
        <f>SUMIFS(Collection!$J:$J, Collection!$A:$A, $A9, Collection!$B:$B, S$2)</f>
        <v>142666.66666666666</v>
      </c>
      <c r="T9" s="52">
        <f>SUMIFS(Collection!$J:$J, Collection!$A:$A, $A9, Collection!$B:$B, T$2)</f>
        <v>0</v>
      </c>
      <c r="U9" s="52">
        <f>SUMIFS(Collection!$J:$J, Collection!$A:$A, $A9, Collection!$B:$B, U$2)</f>
        <v>0</v>
      </c>
      <c r="V9" s="52">
        <f>SUMIFS(Collection!$J:$J, Collection!$A:$A, $A9, Collection!$B:$B, V$2)</f>
        <v>0</v>
      </c>
      <c r="W9" s="52">
        <f>SUMIFS(Collection!$J:$J, Collection!$A:$A, $A9, Collection!$B:$B, W$2)</f>
        <v>0</v>
      </c>
      <c r="X9" s="52">
        <f>SUMIFS(Collection!$J:$J, Collection!$A:$A, $A9, Collection!$B:$B, X$2)</f>
        <v>0</v>
      </c>
      <c r="Y9" s="52">
        <f>SUMIFS(Collection!$J:$J, Collection!$A:$A, $A9, Collection!$B:$B, Y$2)</f>
        <v>0</v>
      </c>
    </row>
    <row r="10" spans="1:30" s="55" customFormat="1" ht="16" thickBot="1">
      <c r="A10" s="53">
        <f t="shared" si="0"/>
        <v>42873</v>
      </c>
      <c r="B10" s="54">
        <f>SUMIFS(Collection!$J:$J, Collection!$A:$A, $A10, Collection!$B:$B, B$2)</f>
        <v>250</v>
      </c>
      <c r="C10" s="54">
        <f>SUMIFS(Collection!$J:$J, Collection!$A:$A, $A10, Collection!$B:$B, C$2)</f>
        <v>11200</v>
      </c>
      <c r="D10" s="54">
        <f>SUMIFS(Collection!$J:$J, Collection!$A:$A, $A10, Collection!$B:$B, D$2)</f>
        <v>0</v>
      </c>
      <c r="E10" s="54">
        <f>SUMIFS(Collection!$J:$J, Collection!$A:$A, $A10, Collection!$B:$B, E$2)</f>
        <v>0</v>
      </c>
      <c r="F10" s="54">
        <f>SUMIFS(Collection!$J:$J, Collection!$A:$A, $A10, Collection!$B:$B, F$2)</f>
        <v>5750</v>
      </c>
      <c r="G10" s="54">
        <f>SUMIFS(Collection!$J:$J, Collection!$A:$A, $A10, Collection!$B:$B, G$2)</f>
        <v>3583.3333333333335</v>
      </c>
      <c r="H10" s="54">
        <f>SUMIFS(Collection!$J:$J, Collection!$A:$A, $A10, Collection!$B:$B, H$2)</f>
        <v>200</v>
      </c>
      <c r="I10" s="54">
        <f>SUMIFS(Collection!$J:$J, Collection!$A:$A, $A10, Collection!$B:$B, I$2)</f>
        <v>0</v>
      </c>
      <c r="J10" s="54">
        <f>SUMIFS(Collection!$J:$J, Collection!$A:$A, $A10, Collection!$B:$B, J$2)</f>
        <v>0</v>
      </c>
      <c r="K10" s="54">
        <f>SUMIFS(Collection!$J:$J, Collection!$A:$A, $A10, Collection!$B:$B, K$2)</f>
        <v>0</v>
      </c>
      <c r="L10" s="54">
        <f>SUMIFS(Collection!$J:$J, Collection!$A:$A, $A10, Collection!$B:$B, L$2)</f>
        <v>0</v>
      </c>
      <c r="M10" s="54">
        <f>SUMIFS(Collection!$J:$J, Collection!$A:$A, $A10, Collection!$B:$B, M$2)</f>
        <v>0</v>
      </c>
      <c r="N10" s="54">
        <f>SUMIFS(Collection!$J:$J, Collection!$A:$A, $A10, Collection!$B:$B, N$2)</f>
        <v>0</v>
      </c>
      <c r="O10" s="54">
        <f>SUMIFS(Collection!$J:$J, Collection!$A:$A, $A10, Collection!$B:$B, O$2)</f>
        <v>0</v>
      </c>
      <c r="P10" s="54">
        <f>SUMIFS(Collection!$J:$J, Collection!$A:$A, $A10, Collection!$B:$B, P$2)</f>
        <v>0</v>
      </c>
      <c r="Q10" s="54">
        <f>SUMIFS(Collection!$J:$J, Collection!$A:$A, $A10, Collection!$B:$B, Q$2)</f>
        <v>1000</v>
      </c>
      <c r="R10" s="54">
        <f>SUMIFS(Collection!$J:$J, Collection!$A:$A, $A10, Collection!$B:$B, R$2)</f>
        <v>0</v>
      </c>
      <c r="S10" s="54">
        <f>SUMIFS(Collection!$J:$J, Collection!$A:$A, $A10, Collection!$B:$B, S$2)</f>
        <v>0</v>
      </c>
      <c r="T10" s="54">
        <f>SUMIFS(Collection!$J:$J, Collection!$A:$A, $A10, Collection!$B:$B, T$2)</f>
        <v>0</v>
      </c>
      <c r="U10" s="54">
        <f>SUMIFS(Collection!$J:$J, Collection!$A:$A, $A10, Collection!$B:$B, U$2)</f>
        <v>0</v>
      </c>
      <c r="V10" s="54">
        <f>SUMIFS(Collection!$J:$J, Collection!$A:$A, $A10, Collection!$B:$B, V$2)</f>
        <v>0</v>
      </c>
      <c r="W10" s="54">
        <f>SUMIFS(Collection!$J:$J, Collection!$A:$A, $A10, Collection!$B:$B, W$2)</f>
        <v>0</v>
      </c>
      <c r="X10" s="54">
        <f>SUMIFS(Collection!$J:$J, Collection!$A:$A, $A10, Collection!$B:$B, X$2)</f>
        <v>0</v>
      </c>
      <c r="Y10" s="54">
        <f>SUMIFS(Collection!$J:$J, Collection!$A:$A, $A10, Collection!$B:$B, Y$2)</f>
        <v>0</v>
      </c>
    </row>
    <row r="11" spans="1:30" ht="16" thickTop="1">
      <c r="A11" s="37">
        <f t="shared" si="0"/>
        <v>42874</v>
      </c>
      <c r="B11" s="52">
        <f>SUMIFS(Collection!$J:$J, Collection!$A:$A, $A11, Collection!$B:$B, B$2)</f>
        <v>0</v>
      </c>
      <c r="C11" s="52">
        <f>SUMIFS(Collection!$J:$J, Collection!$A:$A, $A11, Collection!$B:$B, C$2)</f>
        <v>0</v>
      </c>
      <c r="D11" s="52">
        <f>SUMIFS(Collection!$J:$J, Collection!$A:$A, $A11, Collection!$B:$B, D$2)</f>
        <v>0</v>
      </c>
      <c r="E11" s="52">
        <f>SUMIFS(Collection!$J:$J, Collection!$A:$A, $A11, Collection!$B:$B, E$2)</f>
        <v>0</v>
      </c>
      <c r="F11" s="52">
        <f>SUMIFS(Collection!$J:$J, Collection!$A:$A, $A11, Collection!$B:$B, F$2)</f>
        <v>201600</v>
      </c>
      <c r="G11" s="52">
        <f>SUMIFS(Collection!$J:$J, Collection!$A:$A, $A11, Collection!$B:$B, G$2)</f>
        <v>0</v>
      </c>
      <c r="H11" s="52">
        <f>SUMIFS(Collection!$J:$J, Collection!$A:$A, $A11, Collection!$B:$B, H$2)</f>
        <v>0</v>
      </c>
      <c r="I11" s="52">
        <f>SUMIFS(Collection!$J:$J, Collection!$A:$A, $A11, Collection!$B:$B, I$2)</f>
        <v>0</v>
      </c>
      <c r="J11" s="52">
        <f>SUMIFS(Collection!$J:$J, Collection!$A:$A, $A11, Collection!$B:$B, J$2)</f>
        <v>0</v>
      </c>
      <c r="K11" s="52">
        <f>SUMIFS(Collection!$J:$J, Collection!$A:$A, $A11, Collection!$B:$B, K$2)</f>
        <v>0</v>
      </c>
      <c r="L11" s="52">
        <f>SUMIFS(Collection!$J:$J, Collection!$A:$A, $A11, Collection!$B:$B, L$2)</f>
        <v>0</v>
      </c>
      <c r="M11" s="52">
        <f>SUMIFS(Collection!$J:$J, Collection!$A:$A, $A11, Collection!$B:$B, M$2)</f>
        <v>0</v>
      </c>
      <c r="N11" s="52">
        <f>SUMIFS(Collection!$J:$J, Collection!$A:$A, $A11, Collection!$B:$B, N$2)</f>
        <v>0</v>
      </c>
      <c r="O11" s="52">
        <f>SUMIFS(Collection!$J:$J, Collection!$A:$A, $A11, Collection!$B:$B, O$2)</f>
        <v>0</v>
      </c>
      <c r="P11" s="52">
        <f>SUMIFS(Collection!$J:$J, Collection!$A:$A, $A11, Collection!$B:$B, P$2)</f>
        <v>0</v>
      </c>
      <c r="Q11" s="52">
        <f>SUMIFS(Collection!$J:$J, Collection!$A:$A, $A11, Collection!$B:$B, Q$2)</f>
        <v>0</v>
      </c>
      <c r="R11" s="52">
        <f>SUMIFS(Collection!$J:$J, Collection!$A:$A, $A11, Collection!$B:$B, R$2)</f>
        <v>0</v>
      </c>
      <c r="S11" s="52">
        <f>SUMIFS(Collection!$J:$J, Collection!$A:$A, $A11, Collection!$B:$B, S$2)</f>
        <v>0</v>
      </c>
      <c r="T11" s="52">
        <f>SUMIFS(Collection!$J:$J, Collection!$A:$A, $A11, Collection!$B:$B, T$2)</f>
        <v>350</v>
      </c>
      <c r="U11" s="52">
        <f>SUMIFS(Collection!$J:$J, Collection!$A:$A, $A11, Collection!$B:$B, U$2)</f>
        <v>2041.6666666666665</v>
      </c>
      <c r="V11" s="52">
        <f>SUMIFS(Collection!$J:$J, Collection!$A:$A, $A11, Collection!$B:$B, V$2)</f>
        <v>0</v>
      </c>
      <c r="W11" s="52">
        <f>SUMIFS(Collection!$J:$J, Collection!$A:$A, $A11, Collection!$B:$B, W$2)</f>
        <v>0</v>
      </c>
      <c r="X11" s="52">
        <f>SUMIFS(Collection!$J:$J, Collection!$A:$A, $A11, Collection!$B:$B, X$2)</f>
        <v>0</v>
      </c>
      <c r="Y11" s="52">
        <f>SUMIFS(Collection!$J:$J, Collection!$A:$A, $A11, Collection!$B:$B, Y$2)</f>
        <v>0</v>
      </c>
    </row>
    <row r="12" spans="1:30">
      <c r="A12" s="37">
        <f t="shared" si="0"/>
        <v>42875</v>
      </c>
      <c r="B12" s="52">
        <f>SUMIFS(Collection!$J:$J, Collection!$A:$A, $A12, Collection!$B:$B, B$2)</f>
        <v>309333.33333333337</v>
      </c>
      <c r="C12" s="52">
        <f>SUMIFS(Collection!$J:$J, Collection!$A:$A, $A12, Collection!$B:$B, C$2)</f>
        <v>0</v>
      </c>
      <c r="D12" s="52">
        <f>SUMIFS(Collection!$J:$J, Collection!$A:$A, $A12, Collection!$B:$B, D$2)</f>
        <v>0</v>
      </c>
      <c r="E12" s="52">
        <f>SUMIFS(Collection!$J:$J, Collection!$A:$A, $A12, Collection!$B:$B, E$2)</f>
        <v>0</v>
      </c>
      <c r="F12" s="52">
        <f>SUMIFS(Collection!$J:$J, Collection!$A:$A, $A12, Collection!$B:$B, F$2)</f>
        <v>8960</v>
      </c>
      <c r="G12" s="52">
        <f>SUMIFS(Collection!$J:$J, Collection!$A:$A, $A12, Collection!$B:$B, G$2)</f>
        <v>0</v>
      </c>
      <c r="H12" s="52">
        <f>SUMIFS(Collection!$J:$J, Collection!$A:$A, $A12, Collection!$B:$B, H$2)</f>
        <v>281000</v>
      </c>
      <c r="I12" s="52">
        <f>SUMIFS(Collection!$J:$J, Collection!$A:$A, $A12, Collection!$B:$B, I$2)</f>
        <v>0</v>
      </c>
      <c r="J12" s="52">
        <f>SUMIFS(Collection!$J:$J, Collection!$A:$A, $A12, Collection!$B:$B, J$2)</f>
        <v>0</v>
      </c>
      <c r="K12" s="52">
        <f>SUMIFS(Collection!$J:$J, Collection!$A:$A, $A12, Collection!$B:$B, K$2)</f>
        <v>11866.666666666668</v>
      </c>
      <c r="L12" s="52">
        <f>SUMIFS(Collection!$J:$J, Collection!$A:$A, $A12, Collection!$B:$B, L$2)</f>
        <v>0</v>
      </c>
      <c r="M12" s="52">
        <f>SUMIFS(Collection!$J:$J, Collection!$A:$A, $A12, Collection!$B:$B, M$2)</f>
        <v>0</v>
      </c>
      <c r="N12" s="52">
        <f>SUMIFS(Collection!$J:$J, Collection!$A:$A, $A12, Collection!$B:$B, N$2)</f>
        <v>0</v>
      </c>
      <c r="O12" s="52">
        <f>SUMIFS(Collection!$J:$J, Collection!$A:$A, $A12, Collection!$B:$B, O$2)</f>
        <v>108000</v>
      </c>
      <c r="P12" s="52">
        <f>SUMIFS(Collection!$J:$J, Collection!$A:$A, $A12, Collection!$B:$B, P$2)</f>
        <v>0</v>
      </c>
      <c r="Q12" s="52">
        <f>SUMIFS(Collection!$J:$J, Collection!$A:$A, $A12, Collection!$B:$B, Q$2)</f>
        <v>0</v>
      </c>
      <c r="R12" s="52">
        <f>SUMIFS(Collection!$J:$J, Collection!$A:$A, $A12, Collection!$B:$B, R$2)</f>
        <v>0</v>
      </c>
      <c r="S12" s="52">
        <f>SUMIFS(Collection!$J:$J, Collection!$A:$A, $A12, Collection!$B:$B, S$2)</f>
        <v>0</v>
      </c>
      <c r="T12" s="52">
        <f>SUMIFS(Collection!$J:$J, Collection!$A:$A, $A12, Collection!$B:$B, T$2)</f>
        <v>0</v>
      </c>
      <c r="U12" s="52">
        <f>SUMIFS(Collection!$J:$J, Collection!$A:$A, $A12, Collection!$B:$B, U$2)</f>
        <v>89666.666666666672</v>
      </c>
      <c r="V12" s="52">
        <f>SUMIFS(Collection!$J:$J, Collection!$A:$A, $A12, Collection!$B:$B, V$2)</f>
        <v>0</v>
      </c>
      <c r="W12" s="52">
        <f>SUMIFS(Collection!$J:$J, Collection!$A:$A, $A12, Collection!$B:$B, W$2)</f>
        <v>0</v>
      </c>
      <c r="X12" s="52">
        <f>SUMIFS(Collection!$J:$J, Collection!$A:$A, $A12, Collection!$B:$B, X$2)</f>
        <v>0</v>
      </c>
      <c r="Y12" s="52">
        <f>SUMIFS(Collection!$J:$J, Collection!$A:$A, $A12, Collection!$B:$B, Y$2)</f>
        <v>0</v>
      </c>
    </row>
    <row r="13" spans="1:30">
      <c r="A13" s="37">
        <f t="shared" si="0"/>
        <v>42876</v>
      </c>
      <c r="B13" s="52">
        <f>SUMIFS(Collection!$J:$J, Collection!$A:$A, $A13, Collection!$B:$B, B$2)</f>
        <v>447466.66666666669</v>
      </c>
      <c r="C13" s="52">
        <f>SUMIFS(Collection!$J:$J, Collection!$A:$A, $A13, Collection!$B:$B, C$2)</f>
        <v>172266.66666666669</v>
      </c>
      <c r="D13" s="52">
        <f>SUMIFS(Collection!$J:$J, Collection!$A:$A, $A13, Collection!$B:$B, D$2)</f>
        <v>0</v>
      </c>
      <c r="E13" s="52">
        <f>SUMIFS(Collection!$J:$J, Collection!$A:$A, $A13, Collection!$B:$B, E$2)</f>
        <v>0</v>
      </c>
      <c r="F13" s="52">
        <f>SUMIFS(Collection!$J:$J, Collection!$A:$A, $A13, Collection!$B:$B, F$2)</f>
        <v>194666.66666666669</v>
      </c>
      <c r="G13" s="52">
        <f>SUMIFS(Collection!$J:$J, Collection!$A:$A, $A13, Collection!$B:$B, G$2)</f>
        <v>8166.6666666666661</v>
      </c>
      <c r="H13" s="52">
        <f>SUMIFS(Collection!$J:$J, Collection!$A:$A, $A13, Collection!$B:$B, H$2)</f>
        <v>0</v>
      </c>
      <c r="I13" s="52">
        <f>SUMIFS(Collection!$J:$J, Collection!$A:$A, $A13, Collection!$B:$B, I$2)</f>
        <v>210133.33333333334</v>
      </c>
      <c r="J13" s="52">
        <f>SUMIFS(Collection!$J:$J, Collection!$A:$A, $A13, Collection!$B:$B, J$2)</f>
        <v>0</v>
      </c>
      <c r="K13" s="52">
        <f>SUMIFS(Collection!$J:$J, Collection!$A:$A, $A13, Collection!$B:$B, K$2)</f>
        <v>250133.33333333334</v>
      </c>
      <c r="L13" s="52">
        <f>SUMIFS(Collection!$J:$J, Collection!$A:$A, $A13, Collection!$B:$B, L$2)</f>
        <v>0</v>
      </c>
      <c r="M13" s="52">
        <f>SUMIFS(Collection!$J:$J, Collection!$A:$A, $A13, Collection!$B:$B, M$2)</f>
        <v>126400</v>
      </c>
      <c r="N13" s="52">
        <f>SUMIFS(Collection!$J:$J, Collection!$A:$A, $A13, Collection!$B:$B, N$2)</f>
        <v>123200</v>
      </c>
      <c r="O13" s="52">
        <f>SUMIFS(Collection!$J:$J, Collection!$A:$A, $A13, Collection!$B:$B, O$2)</f>
        <v>13250</v>
      </c>
      <c r="P13" s="52">
        <f>SUMIFS(Collection!$J:$J, Collection!$A:$A, $A13, Collection!$B:$B, P$2)</f>
        <v>0</v>
      </c>
      <c r="Q13" s="52">
        <f>SUMIFS(Collection!$J:$J, Collection!$A:$A, $A13, Collection!$B:$B, Q$2)</f>
        <v>0</v>
      </c>
      <c r="R13" s="52">
        <f>SUMIFS(Collection!$J:$J, Collection!$A:$A, $A13, Collection!$B:$B, R$2)</f>
        <v>0</v>
      </c>
      <c r="S13" s="52">
        <f>SUMIFS(Collection!$J:$J, Collection!$A:$A, $A13, Collection!$B:$B, S$2)</f>
        <v>0</v>
      </c>
      <c r="T13" s="52">
        <f>SUMIFS(Collection!$J:$J, Collection!$A:$A, $A13, Collection!$B:$B, T$2)</f>
        <v>0</v>
      </c>
      <c r="U13" s="52">
        <f>SUMIFS(Collection!$J:$J, Collection!$A:$A, $A13, Collection!$B:$B, U$2)</f>
        <v>0</v>
      </c>
      <c r="V13" s="52">
        <f>SUMIFS(Collection!$J:$J, Collection!$A:$A, $A13, Collection!$B:$B, V$2)</f>
        <v>0</v>
      </c>
      <c r="W13" s="52">
        <f>SUMIFS(Collection!$J:$J, Collection!$A:$A, $A13, Collection!$B:$B, W$2)</f>
        <v>0</v>
      </c>
      <c r="X13" s="52">
        <f>SUMIFS(Collection!$J:$J, Collection!$A:$A, $A13, Collection!$B:$B, X$2)</f>
        <v>0</v>
      </c>
      <c r="Y13" s="52">
        <f>SUMIFS(Collection!$J:$J, Collection!$A:$A, $A13, Collection!$B:$B, Y$2)</f>
        <v>0</v>
      </c>
    </row>
    <row r="14" spans="1:30">
      <c r="A14" s="37">
        <f t="shared" si="0"/>
        <v>42877</v>
      </c>
      <c r="B14" s="52">
        <f>SUMIFS(Collection!$J:$J, Collection!$A:$A, $A14, Collection!$B:$B, B$2)</f>
        <v>0</v>
      </c>
      <c r="C14" s="52">
        <f>SUMIFS(Collection!$J:$J, Collection!$A:$A, $A14, Collection!$B:$B, C$2)</f>
        <v>0</v>
      </c>
      <c r="D14" s="52">
        <f>SUMIFS(Collection!$J:$J, Collection!$A:$A, $A14, Collection!$B:$B, D$2)</f>
        <v>0</v>
      </c>
      <c r="E14" s="52">
        <f>SUMIFS(Collection!$J:$J, Collection!$A:$A, $A14, Collection!$B:$B, E$2)</f>
        <v>0</v>
      </c>
      <c r="F14" s="52">
        <f>SUMIFS(Collection!$J:$J, Collection!$A:$A, $A14, Collection!$B:$B, F$2)</f>
        <v>3400</v>
      </c>
      <c r="G14" s="52">
        <f>SUMIFS(Collection!$J:$J, Collection!$A:$A, $A14, Collection!$B:$B, G$2)</f>
        <v>24500</v>
      </c>
      <c r="H14" s="52">
        <f>SUMIFS(Collection!$J:$J, Collection!$A:$A, $A14, Collection!$B:$B, H$2)</f>
        <v>0</v>
      </c>
      <c r="I14" s="52">
        <f>SUMIFS(Collection!$J:$J, Collection!$A:$A, $A14, Collection!$B:$B, I$2)</f>
        <v>0</v>
      </c>
      <c r="J14" s="52">
        <f>SUMIFS(Collection!$J:$J, Collection!$A:$A, $A14, Collection!$B:$B, J$2)</f>
        <v>0</v>
      </c>
      <c r="K14" s="52">
        <f>SUMIFS(Collection!$J:$J, Collection!$A:$A, $A14, Collection!$B:$B, K$2)</f>
        <v>136000</v>
      </c>
      <c r="L14" s="52">
        <f>SUMIFS(Collection!$J:$J, Collection!$A:$A, $A14, Collection!$B:$B, L$2)</f>
        <v>0</v>
      </c>
      <c r="M14" s="52">
        <f>SUMIFS(Collection!$J:$J, Collection!$A:$A, $A14, Collection!$B:$B, M$2)</f>
        <v>0</v>
      </c>
      <c r="N14" s="52">
        <f>SUMIFS(Collection!$J:$J, Collection!$A:$A, $A14, Collection!$B:$B, N$2)</f>
        <v>1800</v>
      </c>
      <c r="O14" s="52">
        <f>SUMIFS(Collection!$J:$J, Collection!$A:$A, $A14, Collection!$B:$B, O$2)</f>
        <v>625</v>
      </c>
      <c r="P14" s="52">
        <f>SUMIFS(Collection!$J:$J, Collection!$A:$A, $A14, Collection!$B:$B, P$2)</f>
        <v>0</v>
      </c>
      <c r="Q14" s="52">
        <f>SUMIFS(Collection!$J:$J, Collection!$A:$A, $A14, Collection!$B:$B, Q$2)</f>
        <v>0</v>
      </c>
      <c r="R14" s="52">
        <f>SUMIFS(Collection!$J:$J, Collection!$A:$A, $A14, Collection!$B:$B, R$2)</f>
        <v>0</v>
      </c>
      <c r="S14" s="52">
        <f>SUMIFS(Collection!$J:$J, Collection!$A:$A, $A14, Collection!$B:$B, S$2)</f>
        <v>0</v>
      </c>
      <c r="T14" s="52">
        <f>SUMIFS(Collection!$J:$J, Collection!$A:$A, $A14, Collection!$B:$B, T$2)</f>
        <v>0</v>
      </c>
      <c r="U14" s="52">
        <f>SUMIFS(Collection!$J:$J, Collection!$A:$A, $A14, Collection!$B:$B, U$2)</f>
        <v>0</v>
      </c>
      <c r="V14" s="52">
        <f>SUMIFS(Collection!$J:$J, Collection!$A:$A, $A14, Collection!$B:$B, V$2)</f>
        <v>466.66666666666663</v>
      </c>
      <c r="W14" s="52">
        <f>SUMIFS(Collection!$J:$J, Collection!$A:$A, $A14, Collection!$B:$B, W$2)</f>
        <v>583.33333333333337</v>
      </c>
      <c r="X14" s="52">
        <f>SUMIFS(Collection!$J:$J, Collection!$A:$A, $A14, Collection!$B:$B, X$2)</f>
        <v>0</v>
      </c>
      <c r="Y14" s="52">
        <f>SUMIFS(Collection!$J:$J, Collection!$A:$A, $A14, Collection!$B:$B, Y$2)</f>
        <v>0</v>
      </c>
    </row>
    <row r="15" spans="1:30">
      <c r="A15" s="37">
        <f t="shared" si="0"/>
        <v>42878</v>
      </c>
      <c r="B15" s="52">
        <f>SUMIFS(Collection!$J:$J, Collection!$A:$A, $A15, Collection!$B:$B, B$2)</f>
        <v>38266.666666666664</v>
      </c>
      <c r="C15" s="52">
        <f>SUMIFS(Collection!$J:$J, Collection!$A:$A, $A15, Collection!$B:$B, C$2)</f>
        <v>67600</v>
      </c>
      <c r="D15" s="52">
        <f>SUMIFS(Collection!$J:$J, Collection!$A:$A, $A15, Collection!$B:$B, D$2)</f>
        <v>0</v>
      </c>
      <c r="E15" s="52">
        <f>SUMIFS(Collection!$J:$J, Collection!$A:$A, $A15, Collection!$B:$B, E$2)</f>
        <v>0</v>
      </c>
      <c r="F15" s="52">
        <f>SUMIFS(Collection!$J:$J, Collection!$A:$A, $A15, Collection!$B:$B, F$2)</f>
        <v>0</v>
      </c>
      <c r="G15" s="52">
        <f>SUMIFS(Collection!$J:$J, Collection!$A:$A, $A15, Collection!$B:$B, G$2)</f>
        <v>209066.66666666669</v>
      </c>
      <c r="H15" s="52">
        <f>SUMIFS(Collection!$J:$J, Collection!$A:$A, $A15, Collection!$B:$B, H$2)</f>
        <v>0</v>
      </c>
      <c r="I15" s="52">
        <f>SUMIFS(Collection!$J:$J, Collection!$A:$A, $A15, Collection!$B:$B, I$2)</f>
        <v>0</v>
      </c>
      <c r="J15" s="52">
        <f>SUMIFS(Collection!$J:$J, Collection!$A:$A, $A15, Collection!$B:$B, J$2)</f>
        <v>241066.66666666666</v>
      </c>
      <c r="K15" s="52">
        <f>SUMIFS(Collection!$J:$J, Collection!$A:$A, $A15, Collection!$B:$B, K$2)</f>
        <v>1000</v>
      </c>
      <c r="L15" s="52">
        <f>SUMIFS(Collection!$J:$J, Collection!$A:$A, $A15, Collection!$B:$B, L$2)</f>
        <v>0</v>
      </c>
      <c r="M15" s="52">
        <f>SUMIFS(Collection!$J:$J, Collection!$A:$A, $A15, Collection!$B:$B, M$2)</f>
        <v>0</v>
      </c>
      <c r="N15" s="52">
        <f>SUMIFS(Collection!$J:$J, Collection!$A:$A, $A15, Collection!$B:$B, N$2)</f>
        <v>130933.33333333333</v>
      </c>
      <c r="O15" s="52">
        <f>SUMIFS(Collection!$J:$J, Collection!$A:$A, $A15, Collection!$B:$B, O$2)</f>
        <v>0</v>
      </c>
      <c r="P15" s="52">
        <f>SUMIFS(Collection!$J:$J, Collection!$A:$A, $A15, Collection!$B:$B, P$2)</f>
        <v>0</v>
      </c>
      <c r="Q15" s="52">
        <f>SUMIFS(Collection!$J:$J, Collection!$A:$A, $A15, Collection!$B:$B, Q$2)</f>
        <v>0</v>
      </c>
      <c r="R15" s="52">
        <f>SUMIFS(Collection!$J:$J, Collection!$A:$A, $A15, Collection!$B:$B, R$2)</f>
        <v>0</v>
      </c>
      <c r="S15" s="52">
        <f>SUMIFS(Collection!$J:$J, Collection!$A:$A, $A15, Collection!$B:$B, S$2)</f>
        <v>0</v>
      </c>
      <c r="T15" s="52">
        <f>SUMIFS(Collection!$J:$J, Collection!$A:$A, $A15, Collection!$B:$B, T$2)</f>
        <v>0</v>
      </c>
      <c r="U15" s="52">
        <f>SUMIFS(Collection!$J:$J, Collection!$A:$A, $A15, Collection!$B:$B, U$2)</f>
        <v>0</v>
      </c>
      <c r="V15" s="52">
        <f>SUMIFS(Collection!$J:$J, Collection!$A:$A, $A15, Collection!$B:$B, V$2)</f>
        <v>0</v>
      </c>
      <c r="W15" s="52">
        <f>SUMIFS(Collection!$J:$J, Collection!$A:$A, $A15, Collection!$B:$B, W$2)</f>
        <v>2266.666666666667</v>
      </c>
      <c r="X15" s="52">
        <f>SUMIFS(Collection!$J:$J, Collection!$A:$A, $A15, Collection!$B:$B, X$2)</f>
        <v>0</v>
      </c>
      <c r="Y15" s="52">
        <f>SUMIFS(Collection!$J:$J, Collection!$A:$A, $A15, Collection!$B:$B, Y$2)</f>
        <v>0</v>
      </c>
    </row>
    <row r="16" spans="1:30">
      <c r="A16" s="37">
        <f t="shared" si="0"/>
        <v>42879</v>
      </c>
      <c r="B16" s="52">
        <f>SUMIFS(Collection!$J:$J, Collection!$A:$A, $A16, Collection!$B:$B, B$2)</f>
        <v>0</v>
      </c>
      <c r="C16" s="52">
        <f>SUMIFS(Collection!$J:$J, Collection!$A:$A, $A16, Collection!$B:$B, C$2)</f>
        <v>0</v>
      </c>
      <c r="D16" s="52">
        <f>SUMIFS(Collection!$J:$J, Collection!$A:$A, $A16, Collection!$B:$B, D$2)</f>
        <v>0</v>
      </c>
      <c r="E16" s="52">
        <f>SUMIFS(Collection!$J:$J, Collection!$A:$A, $A16, Collection!$B:$B, E$2)</f>
        <v>0</v>
      </c>
      <c r="F16" s="52">
        <f>SUMIFS(Collection!$J:$J, Collection!$A:$A, $A16, Collection!$B:$B, F$2)</f>
        <v>0</v>
      </c>
      <c r="G16" s="52">
        <f>SUMIFS(Collection!$J:$J, Collection!$A:$A, $A16, Collection!$B:$B, G$2)</f>
        <v>4500</v>
      </c>
      <c r="H16" s="52">
        <f>SUMIFS(Collection!$J:$J, Collection!$A:$A, $A16, Collection!$B:$B, H$2)</f>
        <v>0</v>
      </c>
      <c r="I16" s="52">
        <f>SUMIFS(Collection!$J:$J, Collection!$A:$A, $A16, Collection!$B:$B, I$2)</f>
        <v>0</v>
      </c>
      <c r="J16" s="52">
        <f>SUMIFS(Collection!$J:$J, Collection!$A:$A, $A16, Collection!$B:$B, J$2)</f>
        <v>66666.666666666672</v>
      </c>
      <c r="K16" s="52">
        <f>SUMIFS(Collection!$J:$J, Collection!$A:$A, $A16, Collection!$B:$B, K$2)</f>
        <v>0</v>
      </c>
      <c r="L16" s="52">
        <f>SUMIFS(Collection!$J:$J, Collection!$A:$A, $A16, Collection!$B:$B, L$2)</f>
        <v>0</v>
      </c>
      <c r="M16" s="52">
        <f>SUMIFS(Collection!$J:$J, Collection!$A:$A, $A16, Collection!$B:$B, M$2)</f>
        <v>186133.33333333331</v>
      </c>
      <c r="N16" s="52">
        <f>SUMIFS(Collection!$J:$J, Collection!$A:$A, $A16, Collection!$B:$B, N$2)</f>
        <v>48406.666666666664</v>
      </c>
      <c r="O16" s="52">
        <f>SUMIFS(Collection!$J:$J, Collection!$A:$A, $A16, Collection!$B:$B, O$2)</f>
        <v>37566.666666666664</v>
      </c>
      <c r="P16" s="52">
        <f>SUMIFS(Collection!$J:$J, Collection!$A:$A, $A16, Collection!$B:$B, P$2)</f>
        <v>0</v>
      </c>
      <c r="Q16" s="52">
        <f>SUMIFS(Collection!$J:$J, Collection!$A:$A, $A16, Collection!$B:$B, Q$2)</f>
        <v>0</v>
      </c>
      <c r="R16" s="52">
        <f>SUMIFS(Collection!$J:$J, Collection!$A:$A, $A16, Collection!$B:$B, R$2)</f>
        <v>205866.66666666666</v>
      </c>
      <c r="S16" s="52">
        <f>SUMIFS(Collection!$J:$J, Collection!$A:$A, $A16, Collection!$B:$B, S$2)</f>
        <v>0</v>
      </c>
      <c r="T16" s="52">
        <f>SUMIFS(Collection!$J:$J, Collection!$A:$A, $A16, Collection!$B:$B, T$2)</f>
        <v>0</v>
      </c>
      <c r="U16" s="52">
        <f>SUMIFS(Collection!$J:$J, Collection!$A:$A, $A16, Collection!$B:$B, U$2)</f>
        <v>0</v>
      </c>
      <c r="V16" s="52">
        <f>SUMIFS(Collection!$J:$J, Collection!$A:$A, $A16, Collection!$B:$B, V$2)</f>
        <v>0</v>
      </c>
      <c r="W16" s="52">
        <f>SUMIFS(Collection!$J:$J, Collection!$A:$A, $A16, Collection!$B:$B, W$2)</f>
        <v>0</v>
      </c>
      <c r="X16" s="52">
        <f>SUMIFS(Collection!$J:$J, Collection!$A:$A, $A16, Collection!$B:$B, X$2)</f>
        <v>0</v>
      </c>
      <c r="Y16" s="52">
        <f>SUMIFS(Collection!$J:$J, Collection!$A:$A, $A16, Collection!$B:$B, Y$2)</f>
        <v>0</v>
      </c>
    </row>
    <row r="17" spans="1:25">
      <c r="A17" s="37">
        <f t="shared" si="0"/>
        <v>42880</v>
      </c>
      <c r="B17" s="52">
        <f>SUMIFS(Collection!$J:$J, Collection!$A:$A, $A17, Collection!$B:$B, B$2)</f>
        <v>0</v>
      </c>
      <c r="C17" s="52">
        <f>SUMIFS(Collection!$J:$J, Collection!$A:$A, $A17, Collection!$B:$B, C$2)</f>
        <v>0</v>
      </c>
      <c r="D17" s="52">
        <f>SUMIFS(Collection!$J:$J, Collection!$A:$A, $A17, Collection!$B:$B, D$2)</f>
        <v>0</v>
      </c>
      <c r="E17" s="52">
        <f>SUMIFS(Collection!$J:$J, Collection!$A:$A, $A17, Collection!$B:$B, E$2)</f>
        <v>307800</v>
      </c>
      <c r="F17" s="52">
        <f>SUMIFS(Collection!$J:$J, Collection!$A:$A, $A17, Collection!$B:$B, F$2)</f>
        <v>0</v>
      </c>
      <c r="G17" s="52">
        <f>SUMIFS(Collection!$J:$J, Collection!$A:$A, $A17, Collection!$B:$B, G$2)</f>
        <v>0</v>
      </c>
      <c r="H17" s="52">
        <f>SUMIFS(Collection!$J:$J, Collection!$A:$A, $A17, Collection!$B:$B, H$2)</f>
        <v>0</v>
      </c>
      <c r="I17" s="52">
        <f>SUMIFS(Collection!$J:$J, Collection!$A:$A, $A17, Collection!$B:$B, I$2)</f>
        <v>0</v>
      </c>
      <c r="J17" s="52">
        <f>SUMIFS(Collection!$J:$J, Collection!$A:$A, $A17, Collection!$B:$B, J$2)</f>
        <v>3400</v>
      </c>
      <c r="K17" s="52">
        <f>SUMIFS(Collection!$J:$J, Collection!$A:$A, $A17, Collection!$B:$B, K$2)</f>
        <v>0</v>
      </c>
      <c r="L17" s="52">
        <f>SUMIFS(Collection!$J:$J, Collection!$A:$A, $A17, Collection!$B:$B, L$2)</f>
        <v>0</v>
      </c>
      <c r="M17" s="52">
        <f>SUMIFS(Collection!$J:$J, Collection!$A:$A, $A17, Collection!$B:$B, M$2)</f>
        <v>0</v>
      </c>
      <c r="N17" s="52">
        <f>SUMIFS(Collection!$J:$J, Collection!$A:$A, $A17, Collection!$B:$B, N$2)</f>
        <v>0</v>
      </c>
      <c r="O17" s="52">
        <f>SUMIFS(Collection!$J:$J, Collection!$A:$A, $A17, Collection!$B:$B, O$2)</f>
        <v>31206.666666666668</v>
      </c>
      <c r="P17" s="52">
        <f>SUMIFS(Collection!$J:$J, Collection!$A:$A, $A17, Collection!$B:$B, P$2)</f>
        <v>248000</v>
      </c>
      <c r="Q17" s="52">
        <f>SUMIFS(Collection!$J:$J, Collection!$A:$A, $A17, Collection!$B:$B, Q$2)</f>
        <v>0</v>
      </c>
      <c r="R17" s="52">
        <f>SUMIFS(Collection!$J:$J, Collection!$A:$A, $A17, Collection!$B:$B, R$2)</f>
        <v>26320</v>
      </c>
      <c r="S17" s="52">
        <f>SUMIFS(Collection!$J:$J, Collection!$A:$A, $A17, Collection!$B:$B, S$2)</f>
        <v>0</v>
      </c>
      <c r="T17" s="52">
        <f>SUMIFS(Collection!$J:$J, Collection!$A:$A, $A17, Collection!$B:$B, T$2)</f>
        <v>0</v>
      </c>
      <c r="U17" s="52">
        <f>SUMIFS(Collection!$J:$J, Collection!$A:$A, $A17, Collection!$B:$B, U$2)</f>
        <v>0</v>
      </c>
      <c r="V17" s="52">
        <f>SUMIFS(Collection!$J:$J, Collection!$A:$A, $A17, Collection!$B:$B, V$2)</f>
        <v>10800</v>
      </c>
      <c r="W17" s="52">
        <f>SUMIFS(Collection!$J:$J, Collection!$A:$A, $A17, Collection!$B:$B, W$2)</f>
        <v>0</v>
      </c>
      <c r="X17" s="52">
        <f>SUMIFS(Collection!$J:$J, Collection!$A:$A, $A17, Collection!$B:$B, X$2)</f>
        <v>0</v>
      </c>
      <c r="Y17" s="52">
        <f>SUMIFS(Collection!$J:$J, Collection!$A:$A, $A17, Collection!$B:$B, Y$2)</f>
        <v>0</v>
      </c>
    </row>
    <row r="18" spans="1:25">
      <c r="A18" s="37">
        <f t="shared" si="0"/>
        <v>42881</v>
      </c>
      <c r="B18" s="52">
        <f>SUMIFS(Collection!$J:$J, Collection!$A:$A, $A18, Collection!$B:$B, B$2)</f>
        <v>0</v>
      </c>
      <c r="C18" s="52">
        <f>SUMIFS(Collection!$J:$J, Collection!$A:$A, $A18, Collection!$B:$B, C$2)</f>
        <v>115733.33333333333</v>
      </c>
      <c r="D18" s="52">
        <f>SUMIFS(Collection!$J:$J, Collection!$A:$A, $A18, Collection!$B:$B, D$2)</f>
        <v>0</v>
      </c>
      <c r="E18" s="52">
        <f>SUMIFS(Collection!$J:$J, Collection!$A:$A, $A18, Collection!$B:$B, E$2)</f>
        <v>190400</v>
      </c>
      <c r="F18" s="52">
        <f>SUMIFS(Collection!$J:$J, Collection!$A:$A, $A18, Collection!$B:$B, F$2)</f>
        <v>0</v>
      </c>
      <c r="G18" s="52">
        <f>SUMIFS(Collection!$J:$J, Collection!$A:$A, $A18, Collection!$B:$B, G$2)</f>
        <v>0</v>
      </c>
      <c r="H18" s="52">
        <f>SUMIFS(Collection!$J:$J, Collection!$A:$A, $A18, Collection!$B:$B, H$2)</f>
        <v>0</v>
      </c>
      <c r="I18" s="52">
        <f>SUMIFS(Collection!$J:$J, Collection!$A:$A, $A18, Collection!$B:$B, I$2)</f>
        <v>0</v>
      </c>
      <c r="J18" s="52">
        <f>SUMIFS(Collection!$J:$J, Collection!$A:$A, $A18, Collection!$B:$B, J$2)</f>
        <v>10000</v>
      </c>
      <c r="K18" s="52">
        <f>SUMIFS(Collection!$J:$J, Collection!$A:$A, $A18, Collection!$B:$B, K$2)</f>
        <v>0</v>
      </c>
      <c r="L18" s="52">
        <f>SUMIFS(Collection!$J:$J, Collection!$A:$A, $A18, Collection!$B:$B, L$2)</f>
        <v>54400</v>
      </c>
      <c r="M18" s="52">
        <f>SUMIFS(Collection!$J:$J, Collection!$A:$A, $A18, Collection!$B:$B, M$2)</f>
        <v>0</v>
      </c>
      <c r="N18" s="52">
        <f>SUMIFS(Collection!$J:$J, Collection!$A:$A, $A18, Collection!$B:$B, N$2)</f>
        <v>4266.6666666666661</v>
      </c>
      <c r="O18" s="52">
        <f>SUMIFS(Collection!$J:$J, Collection!$A:$A, $A18, Collection!$B:$B, O$2)</f>
        <v>0</v>
      </c>
      <c r="P18" s="52">
        <f>SUMIFS(Collection!$J:$J, Collection!$A:$A, $A18, Collection!$B:$B, P$2)</f>
        <v>0</v>
      </c>
      <c r="Q18" s="52">
        <f>SUMIFS(Collection!$J:$J, Collection!$A:$A, $A18, Collection!$B:$B, Q$2)</f>
        <v>0</v>
      </c>
      <c r="R18" s="52">
        <f>SUMIFS(Collection!$J:$J, Collection!$A:$A, $A18, Collection!$B:$B, R$2)</f>
        <v>2800</v>
      </c>
      <c r="S18" s="52">
        <f>SUMIFS(Collection!$J:$J, Collection!$A:$A, $A18, Collection!$B:$B, S$2)</f>
        <v>0</v>
      </c>
      <c r="T18" s="52">
        <f>SUMIFS(Collection!$J:$J, Collection!$A:$A, $A18, Collection!$B:$B, T$2)</f>
        <v>139800</v>
      </c>
      <c r="U18" s="52">
        <f>SUMIFS(Collection!$J:$J, Collection!$A:$A, $A18, Collection!$B:$B, U$2)</f>
        <v>0</v>
      </c>
      <c r="V18" s="52">
        <f>SUMIFS(Collection!$J:$J, Collection!$A:$A, $A18, Collection!$B:$B, V$2)</f>
        <v>0</v>
      </c>
      <c r="W18" s="52">
        <f>SUMIFS(Collection!$J:$J, Collection!$A:$A, $A18, Collection!$B:$B, W$2)</f>
        <v>0</v>
      </c>
      <c r="X18" s="52">
        <f>SUMIFS(Collection!$J:$J, Collection!$A:$A, $A18, Collection!$B:$B, X$2)</f>
        <v>0</v>
      </c>
      <c r="Y18" s="52">
        <f>SUMIFS(Collection!$J:$J, Collection!$A:$A, $A18, Collection!$B:$B, Y$2)</f>
        <v>0</v>
      </c>
    </row>
    <row r="19" spans="1:25">
      <c r="A19" s="37">
        <f t="shared" si="0"/>
        <v>42882</v>
      </c>
      <c r="B19" s="52">
        <f>SUMIFS(Collection!$J:$J, Collection!$A:$A, $A19, Collection!$B:$B, B$2)</f>
        <v>0</v>
      </c>
      <c r="C19" s="52">
        <f>SUMIFS(Collection!$J:$J, Collection!$A:$A, $A19, Collection!$B:$B, C$2)</f>
        <v>156750</v>
      </c>
      <c r="D19" s="52">
        <f>SUMIFS(Collection!$J:$J, Collection!$A:$A, $A19, Collection!$B:$B, D$2)</f>
        <v>1400</v>
      </c>
      <c r="E19" s="52">
        <f>SUMIFS(Collection!$J:$J, Collection!$A:$A, $A19, Collection!$B:$B, E$2)</f>
        <v>8016.666666666667</v>
      </c>
      <c r="F19" s="52">
        <f>SUMIFS(Collection!$J:$J, Collection!$A:$A, $A19, Collection!$B:$B, F$2)</f>
        <v>0</v>
      </c>
      <c r="G19" s="52">
        <f>SUMIFS(Collection!$J:$J, Collection!$A:$A, $A19, Collection!$B:$B, G$2)</f>
        <v>0</v>
      </c>
      <c r="H19" s="52">
        <f>SUMIFS(Collection!$J:$J, Collection!$A:$A, $A19, Collection!$B:$B, H$2)</f>
        <v>0</v>
      </c>
      <c r="I19" s="52">
        <f>SUMIFS(Collection!$J:$J, Collection!$A:$A, $A19, Collection!$B:$B, I$2)</f>
        <v>245660</v>
      </c>
      <c r="J19" s="52">
        <f>SUMIFS(Collection!$J:$J, Collection!$A:$A, $A19, Collection!$B:$B, J$2)</f>
        <v>21600</v>
      </c>
      <c r="K19" s="52">
        <f>SUMIFS(Collection!$J:$J, Collection!$A:$A, $A19, Collection!$B:$B, K$2)</f>
        <v>0</v>
      </c>
      <c r="L19" s="52">
        <f>SUMIFS(Collection!$J:$J, Collection!$A:$A, $A19, Collection!$B:$B, L$2)</f>
        <v>268146.66666666669</v>
      </c>
      <c r="M19" s="52">
        <f>SUMIFS(Collection!$J:$J, Collection!$A:$A, $A19, Collection!$B:$B, M$2)</f>
        <v>2625</v>
      </c>
      <c r="N19" s="52">
        <f>SUMIFS(Collection!$J:$J, Collection!$A:$A, $A19, Collection!$B:$B, N$2)</f>
        <v>0</v>
      </c>
      <c r="O19" s="52">
        <f>SUMIFS(Collection!$J:$J, Collection!$A:$A, $A19, Collection!$B:$B, O$2)</f>
        <v>0</v>
      </c>
      <c r="P19" s="52">
        <f>SUMIFS(Collection!$J:$J, Collection!$A:$A, $A19, Collection!$B:$B, P$2)</f>
        <v>4916.666666666667</v>
      </c>
      <c r="Q19" s="52">
        <f>SUMIFS(Collection!$J:$J, Collection!$A:$A, $A19, Collection!$B:$B, Q$2)</f>
        <v>0</v>
      </c>
      <c r="R19" s="52">
        <f>SUMIFS(Collection!$J:$J, Collection!$A:$A, $A19, Collection!$B:$B, R$2)</f>
        <v>0</v>
      </c>
      <c r="S19" s="52">
        <f>SUMIFS(Collection!$J:$J, Collection!$A:$A, $A19, Collection!$B:$B, S$2)</f>
        <v>0</v>
      </c>
      <c r="T19" s="52">
        <f>SUMIFS(Collection!$J:$J, Collection!$A:$A, $A19, Collection!$B:$B, T$2)</f>
        <v>7050</v>
      </c>
      <c r="U19" s="52">
        <f>SUMIFS(Collection!$J:$J, Collection!$A:$A, $A19, Collection!$B:$B, U$2)</f>
        <v>0</v>
      </c>
      <c r="V19" s="52">
        <f>SUMIFS(Collection!$J:$J, Collection!$A:$A, $A19, Collection!$B:$B, V$2)</f>
        <v>3575</v>
      </c>
      <c r="W19" s="52">
        <f>SUMIFS(Collection!$J:$J, Collection!$A:$A, $A19, Collection!$B:$B, W$2)</f>
        <v>2333.333333333333</v>
      </c>
      <c r="X19" s="52">
        <f>SUMIFS(Collection!$J:$J, Collection!$A:$A, $A19, Collection!$B:$B, X$2)</f>
        <v>0</v>
      </c>
      <c r="Y19" s="52">
        <f>SUMIFS(Collection!$J:$J, Collection!$A:$A, $A19, Collection!$B:$B, Y$2)</f>
        <v>0</v>
      </c>
    </row>
    <row r="20" spans="1:25">
      <c r="A20" s="37">
        <f t="shared" si="0"/>
        <v>42883</v>
      </c>
      <c r="B20" s="52">
        <f>SUMIFS(Collection!$J:$J, Collection!$A:$A, $A20, Collection!$B:$B, B$2)</f>
        <v>0</v>
      </c>
      <c r="C20" s="52">
        <f>SUMIFS(Collection!$J:$J, Collection!$A:$A, $A20, Collection!$B:$B, C$2)</f>
        <v>0</v>
      </c>
      <c r="D20" s="52">
        <f>SUMIFS(Collection!$J:$J, Collection!$A:$A, $A20, Collection!$B:$B, D$2)</f>
        <v>0</v>
      </c>
      <c r="E20" s="52">
        <f>SUMIFS(Collection!$J:$J, Collection!$A:$A, $A20, Collection!$B:$B, E$2)</f>
        <v>0</v>
      </c>
      <c r="F20" s="52">
        <f>SUMIFS(Collection!$J:$J, Collection!$A:$A, $A20, Collection!$B:$B, F$2)</f>
        <v>0</v>
      </c>
      <c r="G20" s="52">
        <f>SUMIFS(Collection!$J:$J, Collection!$A:$A, $A20, Collection!$B:$B, G$2)</f>
        <v>0</v>
      </c>
      <c r="H20" s="52">
        <f>SUMIFS(Collection!$J:$J, Collection!$A:$A, $A20, Collection!$B:$B, H$2)</f>
        <v>0</v>
      </c>
      <c r="I20" s="52">
        <f>SUMIFS(Collection!$J:$J, Collection!$A:$A, $A20, Collection!$B:$B, I$2)</f>
        <v>0</v>
      </c>
      <c r="J20" s="52">
        <f>SUMIFS(Collection!$J:$J, Collection!$A:$A, $A20, Collection!$B:$B, J$2)</f>
        <v>0</v>
      </c>
      <c r="K20" s="52">
        <f>SUMIFS(Collection!$J:$J, Collection!$A:$A, $A20, Collection!$B:$B, K$2)</f>
        <v>0</v>
      </c>
      <c r="L20" s="52">
        <f>SUMIFS(Collection!$J:$J, Collection!$A:$A, $A20, Collection!$B:$B, L$2)</f>
        <v>0</v>
      </c>
      <c r="M20" s="52">
        <f>SUMIFS(Collection!$J:$J, Collection!$A:$A, $A20, Collection!$B:$B, M$2)</f>
        <v>0</v>
      </c>
      <c r="N20" s="52">
        <f>SUMIFS(Collection!$J:$J, Collection!$A:$A, $A20, Collection!$B:$B, N$2)</f>
        <v>0</v>
      </c>
      <c r="O20" s="52">
        <f>SUMIFS(Collection!$J:$J, Collection!$A:$A, $A20, Collection!$B:$B, O$2)</f>
        <v>0</v>
      </c>
      <c r="P20" s="52">
        <f>SUMIFS(Collection!$J:$J, Collection!$A:$A, $A20, Collection!$B:$B, P$2)</f>
        <v>0</v>
      </c>
      <c r="Q20" s="52">
        <f>SUMIFS(Collection!$J:$J, Collection!$A:$A, $A20, Collection!$B:$B, Q$2)</f>
        <v>0</v>
      </c>
      <c r="R20" s="52">
        <f>SUMIFS(Collection!$J:$J, Collection!$A:$A, $A20, Collection!$B:$B, R$2)</f>
        <v>0</v>
      </c>
      <c r="S20" s="52">
        <f>SUMIFS(Collection!$J:$J, Collection!$A:$A, $A20, Collection!$B:$B, S$2)</f>
        <v>0</v>
      </c>
      <c r="T20" s="52">
        <f>SUMIFS(Collection!$J:$J, Collection!$A:$A, $A20, Collection!$B:$B, T$2)</f>
        <v>0</v>
      </c>
      <c r="U20" s="52">
        <f>SUMIFS(Collection!$J:$J, Collection!$A:$A, $A20, Collection!$B:$B, U$2)</f>
        <v>0</v>
      </c>
      <c r="V20" s="52">
        <f>SUMIFS(Collection!$J:$J, Collection!$A:$A, $A20, Collection!$B:$B, V$2)</f>
        <v>0</v>
      </c>
      <c r="W20" s="52">
        <f>SUMIFS(Collection!$J:$J, Collection!$A:$A, $A20, Collection!$B:$B, W$2)</f>
        <v>0</v>
      </c>
      <c r="X20" s="52">
        <f>SUMIFS(Collection!$J:$J, Collection!$A:$A, $A20, Collection!$B:$B, X$2)</f>
        <v>0</v>
      </c>
      <c r="Y20" s="52">
        <f>SUMIFS(Collection!$J:$J, Collection!$A:$A, $A20, Collection!$B:$B, Y$2)</f>
        <v>0</v>
      </c>
    </row>
    <row r="21" spans="1:25">
      <c r="A21" s="37">
        <f t="shared" si="0"/>
        <v>42884</v>
      </c>
      <c r="B21" s="52">
        <f>SUMIFS(Collection!$J:$J, Collection!$A:$A, $A21, Collection!$B:$B, B$2)</f>
        <v>0</v>
      </c>
      <c r="C21" s="52">
        <f>SUMIFS(Collection!$J:$J, Collection!$A:$A, $A21, Collection!$B:$B, C$2)</f>
        <v>4500</v>
      </c>
      <c r="D21" s="52">
        <f>SUMIFS(Collection!$J:$J, Collection!$A:$A, $A21, Collection!$B:$B, D$2)</f>
        <v>0</v>
      </c>
      <c r="E21" s="52">
        <f>SUMIFS(Collection!$J:$J, Collection!$A:$A, $A21, Collection!$B:$B, E$2)</f>
        <v>0</v>
      </c>
      <c r="F21" s="52">
        <f>SUMIFS(Collection!$J:$J, Collection!$A:$A, $A21, Collection!$B:$B, F$2)</f>
        <v>0</v>
      </c>
      <c r="G21" s="52">
        <f>SUMIFS(Collection!$J:$J, Collection!$A:$A, $A21, Collection!$B:$B, G$2)</f>
        <v>0</v>
      </c>
      <c r="H21" s="52">
        <f>SUMIFS(Collection!$J:$J, Collection!$A:$A, $A21, Collection!$B:$B, H$2)</f>
        <v>0</v>
      </c>
      <c r="I21" s="52">
        <f>SUMIFS(Collection!$J:$J, Collection!$A:$A, $A21, Collection!$B:$B, I$2)</f>
        <v>7900</v>
      </c>
      <c r="J21" s="52">
        <f>SUMIFS(Collection!$J:$J, Collection!$A:$A, $A21, Collection!$B:$B, J$2)</f>
        <v>0</v>
      </c>
      <c r="K21" s="52">
        <f>SUMIFS(Collection!$J:$J, Collection!$A:$A, $A21, Collection!$B:$B, K$2)</f>
        <v>0</v>
      </c>
      <c r="L21" s="52">
        <f>SUMIFS(Collection!$J:$J, Collection!$A:$A, $A21, Collection!$B:$B, L$2)</f>
        <v>0</v>
      </c>
      <c r="M21" s="52">
        <f>SUMIFS(Collection!$J:$J, Collection!$A:$A, $A21, Collection!$B:$B, M$2)</f>
        <v>0</v>
      </c>
      <c r="N21" s="52">
        <f>SUMIFS(Collection!$J:$J, Collection!$A:$A, $A21, Collection!$B:$B, N$2)</f>
        <v>0</v>
      </c>
      <c r="O21" s="52">
        <f>SUMIFS(Collection!$J:$J, Collection!$A:$A, $A21, Collection!$B:$B, O$2)</f>
        <v>0</v>
      </c>
      <c r="P21" s="52">
        <f>SUMIFS(Collection!$J:$J, Collection!$A:$A, $A21, Collection!$B:$B, P$2)</f>
        <v>0</v>
      </c>
      <c r="Q21" s="52">
        <f>SUMIFS(Collection!$J:$J, Collection!$A:$A, $A21, Collection!$B:$B, Q$2)</f>
        <v>0</v>
      </c>
      <c r="R21" s="52">
        <f>SUMIFS(Collection!$J:$J, Collection!$A:$A, $A21, Collection!$B:$B, R$2)</f>
        <v>0</v>
      </c>
      <c r="S21" s="52">
        <f>SUMIFS(Collection!$J:$J, Collection!$A:$A, $A21, Collection!$B:$B, S$2)</f>
        <v>0</v>
      </c>
      <c r="T21" s="52">
        <f>SUMIFS(Collection!$J:$J, Collection!$A:$A, $A21, Collection!$B:$B, T$2)</f>
        <v>3200</v>
      </c>
      <c r="U21" s="52">
        <f>SUMIFS(Collection!$J:$J, Collection!$A:$A, $A21, Collection!$B:$B, U$2)</f>
        <v>0</v>
      </c>
      <c r="V21" s="52">
        <f>SUMIFS(Collection!$J:$J, Collection!$A:$A, $A21, Collection!$B:$B, V$2)</f>
        <v>111099.99999999999</v>
      </c>
      <c r="W21" s="52">
        <f>SUMIFS(Collection!$J:$J, Collection!$A:$A, $A21, Collection!$B:$B, W$2)</f>
        <v>0</v>
      </c>
      <c r="X21" s="52">
        <f>SUMIFS(Collection!$J:$J, Collection!$A:$A, $A21, Collection!$B:$B, X$2)</f>
        <v>0</v>
      </c>
      <c r="Y21" s="52">
        <f>SUMIFS(Collection!$J:$J, Collection!$A:$A, $A21, Collection!$B:$B, Y$2)</f>
        <v>0</v>
      </c>
    </row>
    <row r="22" spans="1:25">
      <c r="A22" s="37">
        <f t="shared" si="0"/>
        <v>42885</v>
      </c>
      <c r="B22" s="52">
        <f>SUMIFS(Collection!$J:$J, Collection!$A:$A, $A22, Collection!$B:$B, B$2)</f>
        <v>0</v>
      </c>
      <c r="C22" s="52">
        <f>SUMIFS(Collection!$J:$J, Collection!$A:$A, $A22, Collection!$B:$B, C$2)</f>
        <v>0</v>
      </c>
      <c r="D22" s="52">
        <f>SUMIFS(Collection!$J:$J, Collection!$A:$A, $A22, Collection!$B:$B, D$2)</f>
        <v>0</v>
      </c>
      <c r="E22" s="52">
        <f>SUMIFS(Collection!$J:$J, Collection!$A:$A, $A22, Collection!$B:$B, E$2)</f>
        <v>0</v>
      </c>
      <c r="F22" s="52">
        <f>SUMIFS(Collection!$J:$J, Collection!$A:$A, $A22, Collection!$B:$B, F$2)</f>
        <v>0</v>
      </c>
      <c r="G22" s="52">
        <f>SUMIFS(Collection!$J:$J, Collection!$A:$A, $A22, Collection!$B:$B, G$2)</f>
        <v>0</v>
      </c>
      <c r="H22" s="52">
        <f>SUMIFS(Collection!$J:$J, Collection!$A:$A, $A22, Collection!$B:$B, H$2)</f>
        <v>0</v>
      </c>
      <c r="I22" s="52">
        <f>SUMIFS(Collection!$J:$J, Collection!$A:$A, $A22, Collection!$B:$B, I$2)</f>
        <v>0</v>
      </c>
      <c r="J22" s="52">
        <f>SUMIFS(Collection!$J:$J, Collection!$A:$A, $A22, Collection!$B:$B, J$2)</f>
        <v>0</v>
      </c>
      <c r="K22" s="52">
        <f>SUMIFS(Collection!$J:$J, Collection!$A:$A, $A22, Collection!$B:$B, K$2)</f>
        <v>0</v>
      </c>
      <c r="L22" s="52">
        <f>SUMIFS(Collection!$J:$J, Collection!$A:$A, $A22, Collection!$B:$B, L$2)</f>
        <v>0</v>
      </c>
      <c r="M22" s="52">
        <f>SUMIFS(Collection!$J:$J, Collection!$A:$A, $A22, Collection!$B:$B, M$2)</f>
        <v>0</v>
      </c>
      <c r="N22" s="52">
        <f>SUMIFS(Collection!$J:$J, Collection!$A:$A, $A22, Collection!$B:$B, N$2)</f>
        <v>0</v>
      </c>
      <c r="O22" s="52">
        <f>SUMIFS(Collection!$J:$J, Collection!$A:$A, $A22, Collection!$B:$B, O$2)</f>
        <v>0</v>
      </c>
      <c r="P22" s="52">
        <f>SUMIFS(Collection!$J:$J, Collection!$A:$A, $A22, Collection!$B:$B, P$2)</f>
        <v>0</v>
      </c>
      <c r="Q22" s="52">
        <f>SUMIFS(Collection!$J:$J, Collection!$A:$A, $A22, Collection!$B:$B, Q$2)</f>
        <v>0</v>
      </c>
      <c r="R22" s="52">
        <f>SUMIFS(Collection!$J:$J, Collection!$A:$A, $A22, Collection!$B:$B, R$2)</f>
        <v>0</v>
      </c>
      <c r="S22" s="52">
        <f>SUMIFS(Collection!$J:$J, Collection!$A:$A, $A22, Collection!$B:$B, S$2)</f>
        <v>0</v>
      </c>
      <c r="T22" s="52">
        <f>SUMIFS(Collection!$J:$J, Collection!$A:$A, $A22, Collection!$B:$B, T$2)</f>
        <v>0</v>
      </c>
      <c r="U22" s="52">
        <f>SUMIFS(Collection!$J:$J, Collection!$A:$A, $A22, Collection!$B:$B, U$2)</f>
        <v>0</v>
      </c>
      <c r="V22" s="52">
        <f>SUMIFS(Collection!$J:$J, Collection!$A:$A, $A22, Collection!$B:$B, V$2)</f>
        <v>0</v>
      </c>
      <c r="W22" s="52">
        <f>SUMIFS(Collection!$J:$J, Collection!$A:$A, $A22, Collection!$B:$B, W$2)</f>
        <v>0</v>
      </c>
      <c r="X22" s="52">
        <f>SUMIFS(Collection!$J:$J, Collection!$A:$A, $A22, Collection!$B:$B, X$2)</f>
        <v>0</v>
      </c>
      <c r="Y22" s="52">
        <f>SUMIFS(Collection!$J:$J, Collection!$A:$A, $A22, Collection!$B:$B, Y$2)</f>
        <v>0</v>
      </c>
    </row>
    <row r="23" spans="1:25">
      <c r="A23" s="37">
        <f t="shared" si="0"/>
        <v>42886</v>
      </c>
      <c r="B23" s="52">
        <f>SUMIFS(Collection!$J:$J, Collection!$A:$A, $A23, Collection!$B:$B, B$2)</f>
        <v>0</v>
      </c>
      <c r="C23" s="52">
        <f>SUMIFS(Collection!$J:$J, Collection!$A:$A, $A23, Collection!$B:$B, C$2)</f>
        <v>0</v>
      </c>
      <c r="D23" s="52">
        <f>SUMIFS(Collection!$J:$J, Collection!$A:$A, $A23, Collection!$B:$B, D$2)</f>
        <v>0</v>
      </c>
      <c r="E23" s="52">
        <f>SUMIFS(Collection!$J:$J, Collection!$A:$A, $A23, Collection!$B:$B, E$2)</f>
        <v>0</v>
      </c>
      <c r="F23" s="52">
        <f>SUMIFS(Collection!$J:$J, Collection!$A:$A, $A23, Collection!$B:$B, F$2)</f>
        <v>0</v>
      </c>
      <c r="G23" s="52">
        <f>SUMIFS(Collection!$J:$J, Collection!$A:$A, $A23, Collection!$B:$B, G$2)</f>
        <v>0</v>
      </c>
      <c r="H23" s="52">
        <f>SUMIFS(Collection!$J:$J, Collection!$A:$A, $A23, Collection!$B:$B, H$2)</f>
        <v>378000</v>
      </c>
      <c r="I23" s="52">
        <f>SUMIFS(Collection!$J:$J, Collection!$A:$A, $A23, Collection!$B:$B, I$2)</f>
        <v>0</v>
      </c>
      <c r="J23" s="52">
        <f>SUMIFS(Collection!$J:$J, Collection!$A:$A, $A23, Collection!$B:$B, J$2)</f>
        <v>0</v>
      </c>
      <c r="K23" s="52">
        <f>SUMIFS(Collection!$J:$J, Collection!$A:$A, $A23, Collection!$B:$B, K$2)</f>
        <v>164266.66666666669</v>
      </c>
      <c r="L23" s="52">
        <f>SUMIFS(Collection!$J:$J, Collection!$A:$A, $A23, Collection!$B:$B, L$2)</f>
        <v>0</v>
      </c>
      <c r="M23" s="52">
        <f>SUMIFS(Collection!$J:$J, Collection!$A:$A, $A23, Collection!$B:$B, M$2)</f>
        <v>0</v>
      </c>
      <c r="N23" s="52">
        <f>SUMIFS(Collection!$J:$J, Collection!$A:$A, $A23, Collection!$B:$B, N$2)</f>
        <v>0</v>
      </c>
      <c r="O23" s="52">
        <f>SUMIFS(Collection!$J:$J, Collection!$A:$A, $A23, Collection!$B:$B, O$2)</f>
        <v>0</v>
      </c>
      <c r="P23" s="52">
        <f>SUMIFS(Collection!$J:$J, Collection!$A:$A, $A23, Collection!$B:$B, P$2)</f>
        <v>0</v>
      </c>
      <c r="Q23" s="52">
        <f>SUMIFS(Collection!$J:$J, Collection!$A:$A, $A23, Collection!$B:$B, Q$2)</f>
        <v>0</v>
      </c>
      <c r="R23" s="52">
        <f>SUMIFS(Collection!$J:$J, Collection!$A:$A, $A23, Collection!$B:$B, R$2)</f>
        <v>436800</v>
      </c>
      <c r="S23" s="52">
        <f>SUMIFS(Collection!$J:$J, Collection!$A:$A, $A23, Collection!$B:$B, S$2)</f>
        <v>0</v>
      </c>
      <c r="T23" s="52">
        <f>SUMIFS(Collection!$J:$J, Collection!$A:$A, $A23, Collection!$B:$B, T$2)</f>
        <v>0</v>
      </c>
      <c r="U23" s="52">
        <f>SUMIFS(Collection!$J:$J, Collection!$A:$A, $A23, Collection!$B:$B, U$2)</f>
        <v>0</v>
      </c>
      <c r="V23" s="52">
        <f>SUMIFS(Collection!$J:$J, Collection!$A:$A, $A23, Collection!$B:$B, V$2)</f>
        <v>1333.3333333333335</v>
      </c>
      <c r="W23" s="52">
        <f>SUMIFS(Collection!$J:$J, Collection!$A:$A, $A23, Collection!$B:$B, W$2)</f>
        <v>0</v>
      </c>
      <c r="X23" s="52">
        <f>SUMIFS(Collection!$J:$J, Collection!$A:$A, $A23, Collection!$B:$B, X$2)</f>
        <v>0</v>
      </c>
      <c r="Y23" s="52">
        <f>SUMIFS(Collection!$J:$J, Collection!$A:$A, $A23, Collection!$B:$B, Y$2)</f>
        <v>0</v>
      </c>
    </row>
    <row r="24" spans="1:25">
      <c r="A24" s="37">
        <f t="shared" si="0"/>
        <v>42887</v>
      </c>
      <c r="B24" s="52">
        <f>SUMIFS(Collection!$J:$J, Collection!$A:$A, $A24, Collection!$B:$B, B$2)</f>
        <v>0</v>
      </c>
      <c r="C24" s="52">
        <f>SUMIFS(Collection!$J:$J, Collection!$A:$A, $A24, Collection!$B:$B, C$2)</f>
        <v>0</v>
      </c>
      <c r="D24" s="52">
        <f>SUMIFS(Collection!$J:$J, Collection!$A:$A, $A24, Collection!$B:$B, D$2)</f>
        <v>0</v>
      </c>
      <c r="E24" s="52">
        <f>SUMIFS(Collection!$J:$J, Collection!$A:$A, $A24, Collection!$B:$B, E$2)</f>
        <v>0</v>
      </c>
      <c r="F24" s="52">
        <f>SUMIFS(Collection!$J:$J, Collection!$A:$A, $A24, Collection!$B:$B, F$2)</f>
        <v>406800</v>
      </c>
      <c r="G24" s="52">
        <f>SUMIFS(Collection!$J:$J, Collection!$A:$A, $A24, Collection!$B:$B, G$2)</f>
        <v>0</v>
      </c>
      <c r="H24" s="52">
        <f>SUMIFS(Collection!$J:$J, Collection!$A:$A, $A24, Collection!$B:$B, H$2)</f>
        <v>0</v>
      </c>
      <c r="I24" s="52">
        <f>SUMIFS(Collection!$J:$J, Collection!$A:$A, $A24, Collection!$B:$B, I$2)</f>
        <v>0</v>
      </c>
      <c r="J24" s="52">
        <f>SUMIFS(Collection!$J:$J, Collection!$A:$A, $A24, Collection!$B:$B, J$2)</f>
        <v>0</v>
      </c>
      <c r="K24" s="52">
        <f>SUMIFS(Collection!$J:$J, Collection!$A:$A, $A24, Collection!$B:$B, K$2)</f>
        <v>750</v>
      </c>
      <c r="L24" s="52">
        <f>SUMIFS(Collection!$J:$J, Collection!$A:$A, $A24, Collection!$B:$B, L$2)</f>
        <v>0</v>
      </c>
      <c r="M24" s="52">
        <f>SUMIFS(Collection!$J:$J, Collection!$A:$A, $A24, Collection!$B:$B, M$2)</f>
        <v>1466.6666666666665</v>
      </c>
      <c r="N24" s="52">
        <f>SUMIFS(Collection!$J:$J, Collection!$A:$A, $A24, Collection!$B:$B, N$2)</f>
        <v>0</v>
      </c>
      <c r="O24" s="52">
        <f>SUMIFS(Collection!$J:$J, Collection!$A:$A, $A24, Collection!$B:$B, O$2)</f>
        <v>40533.333333333328</v>
      </c>
      <c r="P24" s="52">
        <f>SUMIFS(Collection!$J:$J, Collection!$A:$A, $A24, Collection!$B:$B, P$2)</f>
        <v>0</v>
      </c>
      <c r="Q24" s="52">
        <f>SUMIFS(Collection!$J:$J, Collection!$A:$A, $A24, Collection!$B:$B, Q$2)</f>
        <v>0</v>
      </c>
      <c r="R24" s="52">
        <f>SUMIFS(Collection!$J:$J, Collection!$A:$A, $A24, Collection!$B:$B, R$2)</f>
        <v>0</v>
      </c>
      <c r="S24" s="52">
        <f>SUMIFS(Collection!$J:$J, Collection!$A:$A, $A24, Collection!$B:$B, S$2)</f>
        <v>0</v>
      </c>
      <c r="T24" s="52">
        <f>SUMIFS(Collection!$J:$J, Collection!$A:$A, $A24, Collection!$B:$B, T$2)</f>
        <v>0</v>
      </c>
      <c r="U24" s="52">
        <f>SUMIFS(Collection!$J:$J, Collection!$A:$A, $A24, Collection!$B:$B, U$2)</f>
        <v>99733.333333333343</v>
      </c>
      <c r="V24" s="52">
        <f>SUMIFS(Collection!$J:$J, Collection!$A:$A, $A24, Collection!$B:$B, V$2)</f>
        <v>0</v>
      </c>
      <c r="W24" s="52">
        <f>SUMIFS(Collection!$J:$J, Collection!$A:$A, $A24, Collection!$B:$B, W$2)</f>
        <v>0</v>
      </c>
      <c r="X24" s="52">
        <f>SUMIFS(Collection!$J:$J, Collection!$A:$A, $A24, Collection!$B:$B, X$2)</f>
        <v>0</v>
      </c>
      <c r="Y24" s="52">
        <f>SUMIFS(Collection!$J:$J, Collection!$A:$A, $A24, Collection!$B:$B, Y$2)</f>
        <v>0</v>
      </c>
    </row>
    <row r="25" spans="1:25">
      <c r="A25" s="37">
        <f t="shared" si="0"/>
        <v>42888</v>
      </c>
      <c r="B25" s="52">
        <f>SUMIFS(Collection!$J:$J, Collection!$A:$A, $A25, Collection!$B:$B, B$2)</f>
        <v>0</v>
      </c>
      <c r="C25" s="52">
        <f>SUMIFS(Collection!$J:$J, Collection!$A:$A, $A25, Collection!$B:$B, C$2)</f>
        <v>0</v>
      </c>
      <c r="D25" s="52">
        <f>SUMIFS(Collection!$J:$J, Collection!$A:$A, $A25, Collection!$B:$B, D$2)</f>
        <v>0</v>
      </c>
      <c r="E25" s="52">
        <f>SUMIFS(Collection!$J:$J, Collection!$A:$A, $A25, Collection!$B:$B, E$2)</f>
        <v>0</v>
      </c>
      <c r="F25" s="52">
        <f>SUMIFS(Collection!$J:$J, Collection!$A:$A, $A25, Collection!$B:$B, F$2)</f>
        <v>0</v>
      </c>
      <c r="G25" s="52">
        <f>SUMIFS(Collection!$J:$J, Collection!$A:$A, $A25, Collection!$B:$B, G$2)</f>
        <v>0</v>
      </c>
      <c r="H25" s="52">
        <f>SUMIFS(Collection!$J:$J, Collection!$A:$A, $A25, Collection!$B:$B, H$2)</f>
        <v>0</v>
      </c>
      <c r="I25" s="52">
        <f>SUMIFS(Collection!$J:$J, Collection!$A:$A, $A25, Collection!$B:$B, I$2)</f>
        <v>0</v>
      </c>
      <c r="J25" s="52">
        <f>SUMIFS(Collection!$J:$J, Collection!$A:$A, $A25, Collection!$B:$B, J$2)</f>
        <v>0</v>
      </c>
      <c r="K25" s="52">
        <f>SUMIFS(Collection!$J:$J, Collection!$A:$A, $A25, Collection!$B:$B, K$2)</f>
        <v>0</v>
      </c>
      <c r="L25" s="52">
        <f>SUMIFS(Collection!$J:$J, Collection!$A:$A, $A25, Collection!$B:$B, L$2)</f>
        <v>0</v>
      </c>
      <c r="M25" s="52">
        <f>SUMIFS(Collection!$J:$J, Collection!$A:$A, $A25, Collection!$B:$B, M$2)</f>
        <v>0</v>
      </c>
      <c r="N25" s="52">
        <f>SUMIFS(Collection!$J:$J, Collection!$A:$A, $A25, Collection!$B:$B, N$2)</f>
        <v>0</v>
      </c>
      <c r="O25" s="52">
        <f>SUMIFS(Collection!$J:$J, Collection!$A:$A, $A25, Collection!$B:$B, O$2)</f>
        <v>0</v>
      </c>
      <c r="P25" s="52">
        <f>SUMIFS(Collection!$J:$J, Collection!$A:$A, $A25, Collection!$B:$B, P$2)</f>
        <v>0</v>
      </c>
      <c r="Q25" s="52">
        <f>SUMIFS(Collection!$J:$J, Collection!$A:$A, $A25, Collection!$B:$B, Q$2)</f>
        <v>0</v>
      </c>
      <c r="R25" s="52">
        <f>SUMIFS(Collection!$J:$J, Collection!$A:$A, $A25, Collection!$B:$B, R$2)</f>
        <v>0</v>
      </c>
      <c r="S25" s="52">
        <f>SUMIFS(Collection!$J:$J, Collection!$A:$A, $A25, Collection!$B:$B, S$2)</f>
        <v>0</v>
      </c>
      <c r="T25" s="52">
        <f>SUMIFS(Collection!$J:$J, Collection!$A:$A, $A25, Collection!$B:$B, T$2)</f>
        <v>0</v>
      </c>
      <c r="U25" s="52">
        <f>SUMIFS(Collection!$J:$J, Collection!$A:$A, $A25, Collection!$B:$B, U$2)</f>
        <v>0</v>
      </c>
      <c r="V25" s="52">
        <f>SUMIFS(Collection!$J:$J, Collection!$A:$A, $A25, Collection!$B:$B, V$2)</f>
        <v>0</v>
      </c>
      <c r="W25" s="52">
        <f>SUMIFS(Collection!$J:$J, Collection!$A:$A, $A25, Collection!$B:$B, W$2)</f>
        <v>0</v>
      </c>
      <c r="X25" s="52">
        <f>SUMIFS(Collection!$J:$J, Collection!$A:$A, $A25, Collection!$B:$B, X$2)</f>
        <v>0</v>
      </c>
      <c r="Y25" s="52">
        <f>SUMIFS(Collection!$J:$J, Collection!$A:$A, $A25, Collection!$B:$B, Y$2)</f>
        <v>0</v>
      </c>
    </row>
    <row r="26" spans="1:25">
      <c r="A26" s="37">
        <f t="shared" si="0"/>
        <v>42889</v>
      </c>
      <c r="B26" s="52">
        <f>SUMIFS(Collection!$J:$J, Collection!$A:$A, $A26, Collection!$B:$B, B$2)</f>
        <v>326906.66666666669</v>
      </c>
      <c r="C26" s="52">
        <f>SUMIFS(Collection!$J:$J, Collection!$A:$A, $A26, Collection!$B:$B, C$2)</f>
        <v>0</v>
      </c>
      <c r="D26" s="52">
        <f>SUMIFS(Collection!$J:$J, Collection!$A:$A, $A26, Collection!$B:$B, D$2)</f>
        <v>0</v>
      </c>
      <c r="E26" s="52">
        <f>SUMIFS(Collection!$J:$J, Collection!$A:$A, $A26, Collection!$B:$B, E$2)</f>
        <v>0</v>
      </c>
      <c r="F26" s="52">
        <f>SUMIFS(Collection!$J:$J, Collection!$A:$A, $A26, Collection!$B:$B, F$2)</f>
        <v>177173.33333333334</v>
      </c>
      <c r="G26" s="52">
        <f>SUMIFS(Collection!$J:$J, Collection!$A:$A, $A26, Collection!$B:$B, G$2)</f>
        <v>150166.66666666666</v>
      </c>
      <c r="H26" s="52">
        <f>SUMIFS(Collection!$J:$J, Collection!$A:$A, $A26, Collection!$B:$B, H$2)</f>
        <v>0</v>
      </c>
      <c r="I26" s="52">
        <f>SUMIFS(Collection!$J:$J, Collection!$A:$A, $A26, Collection!$B:$B, I$2)</f>
        <v>0</v>
      </c>
      <c r="J26" s="52">
        <f>SUMIFS(Collection!$J:$J, Collection!$A:$A, $A26, Collection!$B:$B, J$2)</f>
        <v>0</v>
      </c>
      <c r="K26" s="52">
        <f>SUMIFS(Collection!$J:$J, Collection!$A:$A, $A26, Collection!$B:$B, K$2)</f>
        <v>0</v>
      </c>
      <c r="L26" s="52">
        <f>SUMIFS(Collection!$J:$J, Collection!$A:$A, $A26, Collection!$B:$B, L$2)</f>
        <v>0</v>
      </c>
      <c r="M26" s="52">
        <f>SUMIFS(Collection!$J:$J, Collection!$A:$A, $A26, Collection!$B:$B, M$2)</f>
        <v>74666.666666666657</v>
      </c>
      <c r="N26" s="52">
        <f>SUMIFS(Collection!$J:$J, Collection!$A:$A, $A26, Collection!$B:$B, N$2)</f>
        <v>0</v>
      </c>
      <c r="O26" s="52">
        <f>SUMIFS(Collection!$J:$J, Collection!$A:$A, $A26, Collection!$B:$B, O$2)</f>
        <v>63413.333333333328</v>
      </c>
      <c r="P26" s="52">
        <f>SUMIFS(Collection!$J:$J, Collection!$A:$A, $A26, Collection!$B:$B, P$2)</f>
        <v>214480</v>
      </c>
      <c r="Q26" s="52">
        <f>SUMIFS(Collection!$J:$J, Collection!$A:$A, $A26, Collection!$B:$B, Q$2)</f>
        <v>0</v>
      </c>
      <c r="R26" s="52">
        <f>SUMIFS(Collection!$J:$J, Collection!$A:$A, $A26, Collection!$B:$B, R$2)</f>
        <v>0</v>
      </c>
      <c r="S26" s="52">
        <f>SUMIFS(Collection!$J:$J, Collection!$A:$A, $A26, Collection!$B:$B, S$2)</f>
        <v>0</v>
      </c>
      <c r="T26" s="52">
        <f>SUMIFS(Collection!$J:$J, Collection!$A:$A, $A26, Collection!$B:$B, T$2)</f>
        <v>0</v>
      </c>
      <c r="U26" s="52">
        <f>SUMIFS(Collection!$J:$J, Collection!$A:$A, $A26, Collection!$B:$B, U$2)</f>
        <v>132840</v>
      </c>
      <c r="V26" s="52">
        <f>SUMIFS(Collection!$J:$J, Collection!$A:$A, $A26, Collection!$B:$B, V$2)</f>
        <v>0</v>
      </c>
      <c r="W26" s="52">
        <f>SUMIFS(Collection!$J:$J, Collection!$A:$A, $A26, Collection!$B:$B, W$2)</f>
        <v>0</v>
      </c>
      <c r="X26" s="52">
        <f>SUMIFS(Collection!$J:$J, Collection!$A:$A, $A26, Collection!$B:$B, X$2)</f>
        <v>0</v>
      </c>
      <c r="Y26" s="52">
        <f>SUMIFS(Collection!$J:$J, Collection!$A:$A, $A26, Collection!$B:$B, Y$2)</f>
        <v>0</v>
      </c>
    </row>
    <row r="27" spans="1:25">
      <c r="A27" s="37">
        <f t="shared" si="0"/>
        <v>42890</v>
      </c>
      <c r="B27" s="52">
        <f>SUMIFS(Collection!$J:$J, Collection!$A:$A, $A27, Collection!$B:$B, B$2)</f>
        <v>182050</v>
      </c>
      <c r="C27" s="52">
        <f>SUMIFS(Collection!$J:$J, Collection!$A:$A, $A27, Collection!$B:$B, C$2)</f>
        <v>0</v>
      </c>
      <c r="D27" s="52">
        <f>SUMIFS(Collection!$J:$J, Collection!$A:$A, $A27, Collection!$B:$B, D$2)</f>
        <v>0</v>
      </c>
      <c r="E27" s="52">
        <f>SUMIFS(Collection!$J:$J, Collection!$A:$A, $A27, Collection!$B:$B, E$2)</f>
        <v>0</v>
      </c>
      <c r="F27" s="52">
        <f>SUMIFS(Collection!$J:$J, Collection!$A:$A, $A27, Collection!$B:$B, F$2)</f>
        <v>0</v>
      </c>
      <c r="G27" s="52">
        <f>SUMIFS(Collection!$J:$J, Collection!$A:$A, $A27, Collection!$B:$B, G$2)</f>
        <v>0</v>
      </c>
      <c r="H27" s="52">
        <f>SUMIFS(Collection!$J:$J, Collection!$A:$A, $A27, Collection!$B:$B, H$2)</f>
        <v>0</v>
      </c>
      <c r="I27" s="52">
        <f>SUMIFS(Collection!$J:$J, Collection!$A:$A, $A27, Collection!$B:$B, I$2)</f>
        <v>0</v>
      </c>
      <c r="J27" s="52">
        <f>SUMIFS(Collection!$J:$J, Collection!$A:$A, $A27, Collection!$B:$B, J$2)</f>
        <v>190850</v>
      </c>
      <c r="K27" s="52">
        <f>SUMIFS(Collection!$J:$J, Collection!$A:$A, $A27, Collection!$B:$B, K$2)</f>
        <v>0</v>
      </c>
      <c r="L27" s="52">
        <f>SUMIFS(Collection!$J:$J, Collection!$A:$A, $A27, Collection!$B:$B, L$2)</f>
        <v>0</v>
      </c>
      <c r="M27" s="52">
        <f>SUMIFS(Collection!$J:$J, Collection!$A:$A, $A27, Collection!$B:$B, M$2)</f>
        <v>1200</v>
      </c>
      <c r="N27" s="52">
        <f>SUMIFS(Collection!$J:$J, Collection!$A:$A, $A27, Collection!$B:$B, N$2)</f>
        <v>0</v>
      </c>
      <c r="O27" s="52">
        <f>SUMIFS(Collection!$J:$J, Collection!$A:$A, $A27, Collection!$B:$B, O$2)</f>
        <v>0</v>
      </c>
      <c r="P27" s="52">
        <f>SUMIFS(Collection!$J:$J, Collection!$A:$A, $A27, Collection!$B:$B, P$2)</f>
        <v>2933.333333333333</v>
      </c>
      <c r="Q27" s="52">
        <f>SUMIFS(Collection!$J:$J, Collection!$A:$A, $A27, Collection!$B:$B, Q$2)</f>
        <v>0</v>
      </c>
      <c r="R27" s="52">
        <f>SUMIFS(Collection!$J:$J, Collection!$A:$A, $A27, Collection!$B:$B, R$2)</f>
        <v>0</v>
      </c>
      <c r="S27" s="52">
        <f>SUMIFS(Collection!$J:$J, Collection!$A:$A, $A27, Collection!$B:$B, S$2)</f>
        <v>0</v>
      </c>
      <c r="T27" s="52">
        <f>SUMIFS(Collection!$J:$J, Collection!$A:$A, $A27, Collection!$B:$B, T$2)</f>
        <v>0</v>
      </c>
      <c r="U27" s="52">
        <f>SUMIFS(Collection!$J:$J, Collection!$A:$A, $A27, Collection!$B:$B, U$2)</f>
        <v>0</v>
      </c>
      <c r="V27" s="52">
        <f>SUMIFS(Collection!$J:$J, Collection!$A:$A, $A27, Collection!$B:$B, V$2)</f>
        <v>0</v>
      </c>
      <c r="W27" s="52">
        <f>SUMIFS(Collection!$J:$J, Collection!$A:$A, $A27, Collection!$B:$B, W$2)</f>
        <v>0</v>
      </c>
      <c r="X27" s="52">
        <f>SUMIFS(Collection!$J:$J, Collection!$A:$A, $A27, Collection!$B:$B, X$2)</f>
        <v>0</v>
      </c>
      <c r="Y27" s="52">
        <f>SUMIFS(Collection!$J:$J, Collection!$A:$A, $A27, Collection!$B:$B, Y$2)</f>
        <v>0</v>
      </c>
    </row>
    <row r="28" spans="1:25">
      <c r="A28" s="37">
        <f t="shared" si="0"/>
        <v>42891</v>
      </c>
      <c r="B28" s="52">
        <f>SUMIFS(Collection!$J:$J, Collection!$A:$A, $A28, Collection!$B:$B, B$2)</f>
        <v>0</v>
      </c>
      <c r="C28" s="52">
        <f>SUMIFS(Collection!$J:$J, Collection!$A:$A, $A28, Collection!$B:$B, C$2)</f>
        <v>0</v>
      </c>
      <c r="D28" s="52">
        <f>SUMIFS(Collection!$J:$J, Collection!$A:$A, $A28, Collection!$B:$B, D$2)</f>
        <v>0</v>
      </c>
      <c r="E28" s="52">
        <f>SUMIFS(Collection!$J:$J, Collection!$A:$A, $A28, Collection!$B:$B, E$2)</f>
        <v>81600</v>
      </c>
      <c r="F28" s="52">
        <f>SUMIFS(Collection!$J:$J, Collection!$A:$A, $A28, Collection!$B:$B, F$2)</f>
        <v>0</v>
      </c>
      <c r="G28" s="52">
        <f>SUMIFS(Collection!$J:$J, Collection!$A:$A, $A28, Collection!$B:$B, G$2)</f>
        <v>484266.66666666669</v>
      </c>
      <c r="H28" s="52">
        <f>SUMIFS(Collection!$J:$J, Collection!$A:$A, $A28, Collection!$B:$B, H$2)</f>
        <v>0</v>
      </c>
      <c r="I28" s="52">
        <f>SUMIFS(Collection!$J:$J, Collection!$A:$A, $A28, Collection!$B:$B, I$2)</f>
        <v>0</v>
      </c>
      <c r="J28" s="52">
        <f>SUMIFS(Collection!$J:$J, Collection!$A:$A, $A28, Collection!$B:$B, J$2)</f>
        <v>17306.666666666668</v>
      </c>
      <c r="K28" s="52">
        <f>SUMIFS(Collection!$J:$J, Collection!$A:$A, $A28, Collection!$B:$B, K$2)</f>
        <v>0</v>
      </c>
      <c r="L28" s="52">
        <f>SUMIFS(Collection!$J:$J, Collection!$A:$A, $A28, Collection!$B:$B, L$2)</f>
        <v>0</v>
      </c>
      <c r="M28" s="52">
        <f>SUMIFS(Collection!$J:$J, Collection!$A:$A, $A28, Collection!$B:$B, M$2)</f>
        <v>0</v>
      </c>
      <c r="N28" s="52">
        <f>SUMIFS(Collection!$J:$J, Collection!$A:$A, $A28, Collection!$B:$B, N$2)</f>
        <v>0</v>
      </c>
      <c r="O28" s="52">
        <f>SUMIFS(Collection!$J:$J, Collection!$A:$A, $A28, Collection!$B:$B, O$2)</f>
        <v>0</v>
      </c>
      <c r="P28" s="52">
        <f>SUMIFS(Collection!$J:$J, Collection!$A:$A, $A28, Collection!$B:$B, P$2)</f>
        <v>0</v>
      </c>
      <c r="Q28" s="52">
        <f>SUMIFS(Collection!$J:$J, Collection!$A:$A, $A28, Collection!$B:$B, Q$2)</f>
        <v>0</v>
      </c>
      <c r="R28" s="52">
        <f>SUMIFS(Collection!$J:$J, Collection!$A:$A, $A28, Collection!$B:$B, R$2)</f>
        <v>0</v>
      </c>
      <c r="S28" s="52">
        <f>SUMIFS(Collection!$J:$J, Collection!$A:$A, $A28, Collection!$B:$B, S$2)</f>
        <v>0</v>
      </c>
      <c r="T28" s="52">
        <f>SUMIFS(Collection!$J:$J, Collection!$A:$A, $A28, Collection!$B:$B, T$2)</f>
        <v>0</v>
      </c>
      <c r="U28" s="52">
        <f>SUMIFS(Collection!$J:$J, Collection!$A:$A, $A28, Collection!$B:$B, U$2)</f>
        <v>0</v>
      </c>
      <c r="V28" s="52">
        <f>SUMIFS(Collection!$J:$J, Collection!$A:$A, $A28, Collection!$B:$B, V$2)</f>
        <v>0</v>
      </c>
      <c r="W28" s="52">
        <f>SUMIFS(Collection!$J:$J, Collection!$A:$A, $A28, Collection!$B:$B, W$2)</f>
        <v>0</v>
      </c>
      <c r="X28" s="52">
        <f>SUMIFS(Collection!$J:$J, Collection!$A:$A, $A28, Collection!$B:$B, X$2)</f>
        <v>88200</v>
      </c>
      <c r="Y28" s="52">
        <f>SUMIFS(Collection!$J:$J, Collection!$A:$A, $A28, Collection!$B:$B, Y$2)</f>
        <v>0</v>
      </c>
    </row>
    <row r="29" spans="1:25">
      <c r="A29" s="37">
        <f t="shared" si="0"/>
        <v>42892</v>
      </c>
      <c r="B29" s="52">
        <f>SUMIFS(Collection!$J:$J, Collection!$A:$A, $A29, Collection!$B:$B, B$2)</f>
        <v>6300</v>
      </c>
      <c r="C29" s="52">
        <f>SUMIFS(Collection!$J:$J, Collection!$A:$A, $A29, Collection!$B:$B, C$2)</f>
        <v>0</v>
      </c>
      <c r="D29" s="52">
        <f>SUMIFS(Collection!$J:$J, Collection!$A:$A, $A29, Collection!$B:$B, D$2)</f>
        <v>0</v>
      </c>
      <c r="E29" s="52">
        <f>SUMIFS(Collection!$J:$J, Collection!$A:$A, $A29, Collection!$B:$B, E$2)</f>
        <v>1586.6666666666667</v>
      </c>
      <c r="F29" s="52">
        <f>SUMIFS(Collection!$J:$J, Collection!$A:$A, $A29, Collection!$B:$B, F$2)</f>
        <v>0</v>
      </c>
      <c r="G29" s="52">
        <f>SUMIFS(Collection!$J:$J, Collection!$A:$A, $A29, Collection!$B:$B, G$2)</f>
        <v>9866.6666666666679</v>
      </c>
      <c r="H29" s="52">
        <f>SUMIFS(Collection!$J:$J, Collection!$A:$A, $A29, Collection!$B:$B, H$2)</f>
        <v>0</v>
      </c>
      <c r="I29" s="52">
        <f>SUMIFS(Collection!$J:$J, Collection!$A:$A, $A29, Collection!$B:$B, I$2)</f>
        <v>0</v>
      </c>
      <c r="J29" s="52">
        <f>SUMIFS(Collection!$J:$J, Collection!$A:$A, $A29, Collection!$B:$B, J$2)</f>
        <v>0</v>
      </c>
      <c r="K29" s="52">
        <f>SUMIFS(Collection!$J:$J, Collection!$A:$A, $A29, Collection!$B:$B, K$2)</f>
        <v>0</v>
      </c>
      <c r="L29" s="52">
        <f>SUMIFS(Collection!$J:$J, Collection!$A:$A, $A29, Collection!$B:$B, L$2)</f>
        <v>0</v>
      </c>
      <c r="M29" s="52">
        <f>SUMIFS(Collection!$J:$J, Collection!$A:$A, $A29, Collection!$B:$B, M$2)</f>
        <v>0</v>
      </c>
      <c r="N29" s="52">
        <f>SUMIFS(Collection!$J:$J, Collection!$A:$A, $A29, Collection!$B:$B, N$2)</f>
        <v>0</v>
      </c>
      <c r="O29" s="52">
        <f>SUMIFS(Collection!$J:$J, Collection!$A:$A, $A29, Collection!$B:$B, O$2)</f>
        <v>0</v>
      </c>
      <c r="P29" s="52">
        <f>SUMIFS(Collection!$J:$J, Collection!$A:$A, $A29, Collection!$B:$B, P$2)</f>
        <v>0</v>
      </c>
      <c r="Q29" s="52">
        <f>SUMIFS(Collection!$J:$J, Collection!$A:$A, $A29, Collection!$B:$B, Q$2)</f>
        <v>0</v>
      </c>
      <c r="R29" s="52">
        <f>SUMIFS(Collection!$J:$J, Collection!$A:$A, $A29, Collection!$B:$B, R$2)</f>
        <v>0</v>
      </c>
      <c r="S29" s="52">
        <f>SUMIFS(Collection!$J:$J, Collection!$A:$A, $A29, Collection!$B:$B, S$2)</f>
        <v>0</v>
      </c>
      <c r="T29" s="52">
        <f>SUMIFS(Collection!$J:$J, Collection!$A:$A, $A29, Collection!$B:$B, T$2)</f>
        <v>0</v>
      </c>
      <c r="U29" s="52">
        <f>SUMIFS(Collection!$J:$J, Collection!$A:$A, $A29, Collection!$B:$B, U$2)</f>
        <v>0</v>
      </c>
      <c r="V29" s="52">
        <f>SUMIFS(Collection!$J:$J, Collection!$A:$A, $A29, Collection!$B:$B, V$2)</f>
        <v>0</v>
      </c>
      <c r="W29" s="52">
        <f>SUMIFS(Collection!$J:$J, Collection!$A:$A, $A29, Collection!$B:$B, W$2)</f>
        <v>0</v>
      </c>
      <c r="X29" s="52">
        <f>SUMIFS(Collection!$J:$J, Collection!$A:$A, $A29, Collection!$B:$B, X$2)</f>
        <v>47025</v>
      </c>
      <c r="Y29" s="52">
        <f>SUMIFS(Collection!$J:$J, Collection!$A:$A, $A29, Collection!$B:$B, Y$2)</f>
        <v>0</v>
      </c>
    </row>
    <row r="30" spans="1:25">
      <c r="A30" s="37">
        <f t="shared" si="0"/>
        <v>42893</v>
      </c>
      <c r="B30" s="52">
        <f>SUMIFS(Collection!$J:$J, Collection!$A:$A, $A30, Collection!$B:$B, B$2)</f>
        <v>0</v>
      </c>
      <c r="C30" s="52">
        <f>SUMIFS(Collection!$J:$J, Collection!$A:$A, $A30, Collection!$B:$B, C$2)</f>
        <v>0</v>
      </c>
      <c r="D30" s="52">
        <f>SUMIFS(Collection!$J:$J, Collection!$A:$A, $A30, Collection!$B:$B, D$2)</f>
        <v>0</v>
      </c>
      <c r="E30" s="52">
        <f>SUMIFS(Collection!$J:$J, Collection!$A:$A, $A30, Collection!$B:$B, E$2)</f>
        <v>0</v>
      </c>
      <c r="F30" s="52">
        <f>SUMIFS(Collection!$J:$J, Collection!$A:$A, $A30, Collection!$B:$B, F$2)</f>
        <v>0</v>
      </c>
      <c r="G30" s="52">
        <f>SUMIFS(Collection!$J:$J, Collection!$A:$A, $A30, Collection!$B:$B, G$2)</f>
        <v>0</v>
      </c>
      <c r="H30" s="52">
        <f>SUMIFS(Collection!$J:$J, Collection!$A:$A, $A30, Collection!$B:$B, H$2)</f>
        <v>0</v>
      </c>
      <c r="I30" s="52">
        <f>SUMIFS(Collection!$J:$J, Collection!$A:$A, $A30, Collection!$B:$B, I$2)</f>
        <v>0</v>
      </c>
      <c r="J30" s="52">
        <f>SUMIFS(Collection!$J:$J, Collection!$A:$A, $A30, Collection!$B:$B, J$2)</f>
        <v>0</v>
      </c>
      <c r="K30" s="52">
        <f>SUMIFS(Collection!$J:$J, Collection!$A:$A, $A30, Collection!$B:$B, K$2)</f>
        <v>0</v>
      </c>
      <c r="L30" s="52">
        <f>SUMIFS(Collection!$J:$J, Collection!$A:$A, $A30, Collection!$B:$B, L$2)</f>
        <v>0</v>
      </c>
      <c r="M30" s="52">
        <f>SUMIFS(Collection!$J:$J, Collection!$A:$A, $A30, Collection!$B:$B, M$2)</f>
        <v>0</v>
      </c>
      <c r="N30" s="52">
        <f>SUMIFS(Collection!$J:$J, Collection!$A:$A, $A30, Collection!$B:$B, N$2)</f>
        <v>49600</v>
      </c>
      <c r="O30" s="52">
        <f>SUMIFS(Collection!$J:$J, Collection!$A:$A, $A30, Collection!$B:$B, O$2)</f>
        <v>0</v>
      </c>
      <c r="P30" s="52">
        <f>SUMIFS(Collection!$J:$J, Collection!$A:$A, $A30, Collection!$B:$B, P$2)</f>
        <v>224533.33333333334</v>
      </c>
      <c r="Q30" s="52">
        <f>SUMIFS(Collection!$J:$J, Collection!$A:$A, $A30, Collection!$B:$B, Q$2)</f>
        <v>0</v>
      </c>
      <c r="R30" s="52">
        <f>SUMIFS(Collection!$J:$J, Collection!$A:$A, $A30, Collection!$B:$B, R$2)</f>
        <v>0</v>
      </c>
      <c r="S30" s="52">
        <f>SUMIFS(Collection!$J:$J, Collection!$A:$A, $A30, Collection!$B:$B, S$2)</f>
        <v>282133.33333333337</v>
      </c>
      <c r="T30" s="52">
        <f>SUMIFS(Collection!$J:$J, Collection!$A:$A, $A30, Collection!$B:$B, T$2)</f>
        <v>0</v>
      </c>
      <c r="U30" s="52">
        <f>SUMIFS(Collection!$J:$J, Collection!$A:$A, $A30, Collection!$B:$B, U$2)</f>
        <v>0</v>
      </c>
      <c r="V30" s="52">
        <f>SUMIFS(Collection!$J:$J, Collection!$A:$A, $A30, Collection!$B:$B, V$2)</f>
        <v>0</v>
      </c>
      <c r="W30" s="52">
        <f>SUMIFS(Collection!$J:$J, Collection!$A:$A, $A30, Collection!$B:$B, W$2)</f>
        <v>0</v>
      </c>
      <c r="X30" s="52">
        <f>SUMIFS(Collection!$J:$J, Collection!$A:$A, $A30, Collection!$B:$B, X$2)</f>
        <v>0</v>
      </c>
      <c r="Y30" s="52">
        <f>SUMIFS(Collection!$J:$J, Collection!$A:$A, $A30, Collection!$B:$B, Y$2)</f>
        <v>0</v>
      </c>
    </row>
    <row r="31" spans="1:25">
      <c r="A31" s="37">
        <f t="shared" si="0"/>
        <v>42894</v>
      </c>
      <c r="B31" s="52">
        <f>SUMIFS(Collection!$J:$J, Collection!$A:$A, $A31, Collection!$B:$B, B$2)</f>
        <v>0</v>
      </c>
      <c r="C31" s="52">
        <f>SUMIFS(Collection!$J:$J, Collection!$A:$A, $A31, Collection!$B:$B, C$2)</f>
        <v>0</v>
      </c>
      <c r="D31" s="52">
        <f>SUMIFS(Collection!$J:$J, Collection!$A:$A, $A31, Collection!$B:$B, D$2)</f>
        <v>0</v>
      </c>
      <c r="E31" s="52">
        <f>SUMIFS(Collection!$J:$J, Collection!$A:$A, $A31, Collection!$B:$B, E$2)</f>
        <v>0</v>
      </c>
      <c r="F31" s="52">
        <f>SUMIFS(Collection!$J:$J, Collection!$A:$A, $A31, Collection!$B:$B, F$2)</f>
        <v>0</v>
      </c>
      <c r="G31" s="52">
        <f>SUMIFS(Collection!$J:$J, Collection!$A:$A, $A31, Collection!$B:$B, G$2)</f>
        <v>0</v>
      </c>
      <c r="H31" s="52">
        <f>SUMIFS(Collection!$J:$J, Collection!$A:$A, $A31, Collection!$B:$B, H$2)</f>
        <v>0</v>
      </c>
      <c r="I31" s="52">
        <f>SUMIFS(Collection!$J:$J, Collection!$A:$A, $A31, Collection!$B:$B, I$2)</f>
        <v>0</v>
      </c>
      <c r="J31" s="52">
        <f>SUMIFS(Collection!$J:$J, Collection!$A:$A, $A31, Collection!$B:$B, J$2)</f>
        <v>0</v>
      </c>
      <c r="K31" s="52">
        <f>SUMIFS(Collection!$J:$J, Collection!$A:$A, $A31, Collection!$B:$B, K$2)</f>
        <v>0</v>
      </c>
      <c r="L31" s="52">
        <f>SUMIFS(Collection!$J:$J, Collection!$A:$A, $A31, Collection!$B:$B, L$2)</f>
        <v>0</v>
      </c>
      <c r="M31" s="52">
        <f>SUMIFS(Collection!$J:$J, Collection!$A:$A, $A31, Collection!$B:$B, M$2)</f>
        <v>0</v>
      </c>
      <c r="N31" s="52">
        <f>SUMIFS(Collection!$J:$J, Collection!$A:$A, $A31, Collection!$B:$B, N$2)</f>
        <v>9066.6666666666679</v>
      </c>
      <c r="O31" s="52">
        <f>SUMIFS(Collection!$J:$J, Collection!$A:$A, $A31, Collection!$B:$B, O$2)</f>
        <v>25166.666666666668</v>
      </c>
      <c r="P31" s="52">
        <f>SUMIFS(Collection!$J:$J, Collection!$A:$A, $A31, Collection!$B:$B, P$2)</f>
        <v>0</v>
      </c>
      <c r="Q31" s="52">
        <f>SUMIFS(Collection!$J:$J, Collection!$A:$A, $A31, Collection!$B:$B, Q$2)</f>
        <v>0</v>
      </c>
      <c r="R31" s="52">
        <f>SUMIFS(Collection!$J:$J, Collection!$A:$A, $A31, Collection!$B:$B, R$2)</f>
        <v>0</v>
      </c>
      <c r="S31" s="52">
        <f>SUMIFS(Collection!$J:$J, Collection!$A:$A, $A31, Collection!$B:$B, S$2)</f>
        <v>4391.666666666667</v>
      </c>
      <c r="T31" s="52">
        <f>SUMIFS(Collection!$J:$J, Collection!$A:$A, $A31, Collection!$B:$B, T$2)</f>
        <v>0</v>
      </c>
      <c r="U31" s="52">
        <f>SUMIFS(Collection!$J:$J, Collection!$A:$A, $A31, Collection!$B:$B, U$2)</f>
        <v>0</v>
      </c>
      <c r="V31" s="52">
        <f>SUMIFS(Collection!$J:$J, Collection!$A:$A, $A31, Collection!$B:$B, V$2)</f>
        <v>0</v>
      </c>
      <c r="W31" s="52">
        <f>SUMIFS(Collection!$J:$J, Collection!$A:$A, $A31, Collection!$B:$B, W$2)</f>
        <v>0</v>
      </c>
      <c r="X31" s="52">
        <f>SUMIFS(Collection!$J:$J, Collection!$A:$A, $A31, Collection!$B:$B, X$2)</f>
        <v>0</v>
      </c>
      <c r="Y31" s="52">
        <f>SUMIFS(Collection!$J:$J, Collection!$A:$A, $A31, Collection!$B:$B, Y$2)</f>
        <v>0</v>
      </c>
    </row>
    <row r="32" spans="1:25">
      <c r="A32" s="37">
        <f t="shared" si="0"/>
        <v>42895</v>
      </c>
      <c r="B32" s="52">
        <f>SUMIFS(Collection!$J:$J, Collection!$A:$A, $A32, Collection!$B:$B, B$2)</f>
        <v>0</v>
      </c>
      <c r="C32" s="52">
        <f>SUMIFS(Collection!$J:$J, Collection!$A:$A, $A32, Collection!$B:$B, C$2)</f>
        <v>0</v>
      </c>
      <c r="D32" s="52">
        <f>SUMIFS(Collection!$J:$J, Collection!$A:$A, $A32, Collection!$B:$B, D$2)</f>
        <v>0</v>
      </c>
      <c r="E32" s="52">
        <f>SUMIFS(Collection!$J:$J, Collection!$A:$A, $A32, Collection!$B:$B, E$2)</f>
        <v>0</v>
      </c>
      <c r="F32" s="52">
        <f>SUMIFS(Collection!$J:$J, Collection!$A:$A, $A32, Collection!$B:$B, F$2)</f>
        <v>0</v>
      </c>
      <c r="G32" s="52">
        <f>SUMIFS(Collection!$J:$J, Collection!$A:$A, $A32, Collection!$B:$B, G$2)</f>
        <v>0</v>
      </c>
      <c r="H32" s="52">
        <f>SUMIFS(Collection!$J:$J, Collection!$A:$A, $A32, Collection!$B:$B, H$2)</f>
        <v>0</v>
      </c>
      <c r="I32" s="52">
        <f>SUMIFS(Collection!$J:$J, Collection!$A:$A, $A32, Collection!$B:$B, I$2)</f>
        <v>0</v>
      </c>
      <c r="J32" s="52">
        <f>SUMIFS(Collection!$J:$J, Collection!$A:$A, $A32, Collection!$B:$B, J$2)</f>
        <v>0</v>
      </c>
      <c r="K32" s="52">
        <f>SUMIFS(Collection!$J:$J, Collection!$A:$A, $A32, Collection!$B:$B, K$2)</f>
        <v>0</v>
      </c>
      <c r="L32" s="52">
        <f>SUMIFS(Collection!$J:$J, Collection!$A:$A, $A32, Collection!$B:$B, L$2)</f>
        <v>0</v>
      </c>
      <c r="M32" s="52">
        <f>SUMIFS(Collection!$J:$J, Collection!$A:$A, $A32, Collection!$B:$B, M$2)</f>
        <v>0</v>
      </c>
      <c r="N32" s="52">
        <f>SUMIFS(Collection!$J:$J, Collection!$A:$A, $A32, Collection!$B:$B, N$2)</f>
        <v>0</v>
      </c>
      <c r="O32" s="52">
        <f>SUMIFS(Collection!$J:$J, Collection!$A:$A, $A32, Collection!$B:$B, O$2)</f>
        <v>0</v>
      </c>
      <c r="P32" s="52">
        <f>SUMIFS(Collection!$J:$J, Collection!$A:$A, $A32, Collection!$B:$B, P$2)</f>
        <v>0</v>
      </c>
      <c r="Q32" s="52">
        <f>SUMIFS(Collection!$J:$J, Collection!$A:$A, $A32, Collection!$B:$B, Q$2)</f>
        <v>0</v>
      </c>
      <c r="R32" s="52">
        <f>SUMIFS(Collection!$J:$J, Collection!$A:$A, $A32, Collection!$B:$B, R$2)</f>
        <v>0</v>
      </c>
      <c r="S32" s="52">
        <f>SUMIFS(Collection!$J:$J, Collection!$A:$A, $A32, Collection!$B:$B, S$2)</f>
        <v>0</v>
      </c>
      <c r="T32" s="52">
        <f>SUMIFS(Collection!$J:$J, Collection!$A:$A, $A32, Collection!$B:$B, T$2)</f>
        <v>0</v>
      </c>
      <c r="U32" s="52">
        <f>SUMIFS(Collection!$J:$J, Collection!$A:$A, $A32, Collection!$B:$B, U$2)</f>
        <v>0</v>
      </c>
      <c r="V32" s="52">
        <f>SUMIFS(Collection!$J:$J, Collection!$A:$A, $A32, Collection!$B:$B, V$2)</f>
        <v>0</v>
      </c>
      <c r="W32" s="52">
        <f>SUMIFS(Collection!$J:$J, Collection!$A:$A, $A32, Collection!$B:$B, W$2)</f>
        <v>0</v>
      </c>
      <c r="X32" s="52">
        <f>SUMIFS(Collection!$J:$J, Collection!$A:$A, $A32, Collection!$B:$B, X$2)</f>
        <v>0</v>
      </c>
      <c r="Y32" s="52">
        <f>SUMIFS(Collection!$J:$J, Collection!$A:$A, $A32, Collection!$B:$B, Y$2)</f>
        <v>0</v>
      </c>
    </row>
    <row r="33" spans="1:25">
      <c r="A33" s="37">
        <f t="shared" si="0"/>
        <v>42896</v>
      </c>
      <c r="B33" s="52">
        <f>SUMIFS(Collection!$J:$J, Collection!$A:$A, $A33, Collection!$B:$B, B$2)</f>
        <v>0</v>
      </c>
      <c r="C33" s="52">
        <f>SUMIFS(Collection!$J:$J, Collection!$A:$A, $A33, Collection!$B:$B, C$2)</f>
        <v>0</v>
      </c>
      <c r="D33" s="52">
        <f>SUMIFS(Collection!$J:$J, Collection!$A:$A, $A33, Collection!$B:$B, D$2)</f>
        <v>0</v>
      </c>
      <c r="E33" s="52">
        <f>SUMIFS(Collection!$J:$J, Collection!$A:$A, $A33, Collection!$B:$B, E$2)</f>
        <v>0</v>
      </c>
      <c r="F33" s="52">
        <f>SUMIFS(Collection!$J:$J, Collection!$A:$A, $A33, Collection!$B:$B, F$2)</f>
        <v>0</v>
      </c>
      <c r="G33" s="52">
        <f>SUMIFS(Collection!$J:$J, Collection!$A:$A, $A33, Collection!$B:$B, G$2)</f>
        <v>0</v>
      </c>
      <c r="H33" s="52">
        <f>SUMIFS(Collection!$J:$J, Collection!$A:$A, $A33, Collection!$B:$B, H$2)</f>
        <v>0</v>
      </c>
      <c r="I33" s="52">
        <f>SUMIFS(Collection!$J:$J, Collection!$A:$A, $A33, Collection!$B:$B, I$2)</f>
        <v>0</v>
      </c>
      <c r="J33" s="52">
        <f>SUMIFS(Collection!$J:$J, Collection!$A:$A, $A33, Collection!$B:$B, J$2)</f>
        <v>0</v>
      </c>
      <c r="K33" s="52">
        <f>SUMIFS(Collection!$J:$J, Collection!$A:$A, $A33, Collection!$B:$B, K$2)</f>
        <v>0</v>
      </c>
      <c r="L33" s="52">
        <f>SUMIFS(Collection!$J:$J, Collection!$A:$A, $A33, Collection!$B:$B, L$2)</f>
        <v>149050</v>
      </c>
      <c r="M33" s="52">
        <f>SUMIFS(Collection!$J:$J, Collection!$A:$A, $A33, Collection!$B:$B, M$2)</f>
        <v>0</v>
      </c>
      <c r="N33" s="52">
        <f>SUMIFS(Collection!$J:$J, Collection!$A:$A, $A33, Collection!$B:$B, N$2)</f>
        <v>2800</v>
      </c>
      <c r="O33" s="52">
        <f>SUMIFS(Collection!$J:$J, Collection!$A:$A, $A33, Collection!$B:$B, O$2)</f>
        <v>1280</v>
      </c>
      <c r="P33" s="52">
        <f>SUMIFS(Collection!$J:$J, Collection!$A:$A, $A33, Collection!$B:$B, P$2)</f>
        <v>0</v>
      </c>
      <c r="Q33" s="52">
        <f>SUMIFS(Collection!$J:$J, Collection!$A:$A, $A33, Collection!$B:$B, Q$2)</f>
        <v>0</v>
      </c>
      <c r="R33" s="52">
        <f>SUMIFS(Collection!$J:$J, Collection!$A:$A, $A33, Collection!$B:$B, R$2)</f>
        <v>0</v>
      </c>
      <c r="S33" s="52">
        <f>SUMIFS(Collection!$J:$J, Collection!$A:$A, $A33, Collection!$B:$B, S$2)</f>
        <v>0</v>
      </c>
      <c r="T33" s="52">
        <f>SUMIFS(Collection!$J:$J, Collection!$A:$A, $A33, Collection!$B:$B, T$2)</f>
        <v>0</v>
      </c>
      <c r="U33" s="52">
        <f>SUMIFS(Collection!$J:$J, Collection!$A:$A, $A33, Collection!$B:$B, U$2)</f>
        <v>72053.333333333328</v>
      </c>
      <c r="V33" s="52">
        <f>SUMIFS(Collection!$J:$J, Collection!$A:$A, $A33, Collection!$B:$B, V$2)</f>
        <v>0</v>
      </c>
      <c r="W33" s="52">
        <f>SUMIFS(Collection!$J:$J, Collection!$A:$A, $A33, Collection!$B:$B, W$2)</f>
        <v>0</v>
      </c>
      <c r="X33" s="52">
        <f>SUMIFS(Collection!$J:$J, Collection!$A:$A, $A33, Collection!$B:$B, X$2)</f>
        <v>246933.33333333334</v>
      </c>
      <c r="Y33" s="52">
        <f>SUMIFS(Collection!$J:$J, Collection!$A:$A, $A33, Collection!$B:$B, Y$2)</f>
        <v>0</v>
      </c>
    </row>
    <row r="34" spans="1:25">
      <c r="A34" s="37">
        <f t="shared" si="0"/>
        <v>42897</v>
      </c>
      <c r="B34" s="52">
        <f>SUMIFS(Collection!$J:$J, Collection!$A:$A, $A34, Collection!$B:$B, B$2)</f>
        <v>0</v>
      </c>
      <c r="C34" s="52">
        <f>SUMIFS(Collection!$J:$J, Collection!$A:$A, $A34, Collection!$B:$B, C$2)</f>
        <v>0</v>
      </c>
      <c r="D34" s="52">
        <f>SUMIFS(Collection!$J:$J, Collection!$A:$A, $A34, Collection!$B:$B, D$2)</f>
        <v>0</v>
      </c>
      <c r="E34" s="52">
        <f>SUMIFS(Collection!$J:$J, Collection!$A:$A, $A34, Collection!$B:$B, E$2)</f>
        <v>0</v>
      </c>
      <c r="F34" s="52">
        <f>SUMIFS(Collection!$J:$J, Collection!$A:$A, $A34, Collection!$B:$B, F$2)</f>
        <v>0</v>
      </c>
      <c r="G34" s="52">
        <f>SUMIFS(Collection!$J:$J, Collection!$A:$A, $A34, Collection!$B:$B, G$2)</f>
        <v>0</v>
      </c>
      <c r="H34" s="52">
        <f>SUMIFS(Collection!$J:$J, Collection!$A:$A, $A34, Collection!$B:$B, H$2)</f>
        <v>0</v>
      </c>
      <c r="I34" s="52">
        <f>SUMIFS(Collection!$J:$J, Collection!$A:$A, $A34, Collection!$B:$B, I$2)</f>
        <v>0</v>
      </c>
      <c r="J34" s="52">
        <f>SUMIFS(Collection!$J:$J, Collection!$A:$A, $A34, Collection!$B:$B, J$2)</f>
        <v>0</v>
      </c>
      <c r="K34" s="52">
        <f>SUMIFS(Collection!$J:$J, Collection!$A:$A, $A34, Collection!$B:$B, K$2)</f>
        <v>0</v>
      </c>
      <c r="L34" s="52">
        <f>SUMIFS(Collection!$J:$J, Collection!$A:$A, $A34, Collection!$B:$B, L$2)</f>
        <v>0</v>
      </c>
      <c r="M34" s="52">
        <f>SUMIFS(Collection!$J:$J, Collection!$A:$A, $A34, Collection!$B:$B, M$2)</f>
        <v>0</v>
      </c>
      <c r="N34" s="52">
        <f>SUMIFS(Collection!$J:$J, Collection!$A:$A, $A34, Collection!$B:$B, N$2)</f>
        <v>0</v>
      </c>
      <c r="O34" s="52">
        <f>SUMIFS(Collection!$J:$J, Collection!$A:$A, $A34, Collection!$B:$B, O$2)</f>
        <v>0</v>
      </c>
      <c r="P34" s="52">
        <f>SUMIFS(Collection!$J:$J, Collection!$A:$A, $A34, Collection!$B:$B, P$2)</f>
        <v>0</v>
      </c>
      <c r="Q34" s="52">
        <f>SUMIFS(Collection!$J:$J, Collection!$A:$A, $A34, Collection!$B:$B, Q$2)</f>
        <v>0</v>
      </c>
      <c r="R34" s="52">
        <f>SUMIFS(Collection!$J:$J, Collection!$A:$A, $A34, Collection!$B:$B, R$2)</f>
        <v>0</v>
      </c>
      <c r="S34" s="52">
        <f>SUMIFS(Collection!$J:$J, Collection!$A:$A, $A34, Collection!$B:$B, S$2)</f>
        <v>0</v>
      </c>
      <c r="T34" s="52">
        <f>SUMIFS(Collection!$J:$J, Collection!$A:$A, $A34, Collection!$B:$B, T$2)</f>
        <v>0</v>
      </c>
      <c r="U34" s="52">
        <f>SUMIFS(Collection!$J:$J, Collection!$A:$A, $A34, Collection!$B:$B, U$2)</f>
        <v>0</v>
      </c>
      <c r="V34" s="52">
        <f>SUMIFS(Collection!$J:$J, Collection!$A:$A, $A34, Collection!$B:$B, V$2)</f>
        <v>0</v>
      </c>
      <c r="W34" s="52">
        <f>SUMIFS(Collection!$J:$J, Collection!$A:$A, $A34, Collection!$B:$B, W$2)</f>
        <v>0</v>
      </c>
      <c r="X34" s="52">
        <f>SUMIFS(Collection!$J:$J, Collection!$A:$A, $A34, Collection!$B:$B, X$2)</f>
        <v>0</v>
      </c>
      <c r="Y34" s="52">
        <f>SUMIFS(Collection!$J:$J, Collection!$A:$A, $A34, Collection!$B:$B, Y$2)</f>
        <v>0</v>
      </c>
    </row>
    <row r="35" spans="1:25">
      <c r="A35" s="37">
        <f t="shared" si="0"/>
        <v>42898</v>
      </c>
      <c r="B35" s="52">
        <f>SUMIFS(Collection!$J:$J, Collection!$A:$A, $A35, Collection!$B:$B, B$2)</f>
        <v>0</v>
      </c>
      <c r="C35" s="52">
        <f>SUMIFS(Collection!$J:$J, Collection!$A:$A, $A35, Collection!$B:$B, C$2)</f>
        <v>0</v>
      </c>
      <c r="D35" s="52">
        <f>SUMIFS(Collection!$J:$J, Collection!$A:$A, $A35, Collection!$B:$B, D$2)</f>
        <v>0</v>
      </c>
      <c r="E35" s="52">
        <f>SUMIFS(Collection!$J:$J, Collection!$A:$A, $A35, Collection!$B:$B, E$2)</f>
        <v>0</v>
      </c>
      <c r="F35" s="52">
        <f>SUMIFS(Collection!$J:$J, Collection!$A:$A, $A35, Collection!$B:$B, F$2)</f>
        <v>0</v>
      </c>
      <c r="G35" s="52">
        <f>SUMIFS(Collection!$J:$J, Collection!$A:$A, $A35, Collection!$B:$B, G$2)</f>
        <v>0</v>
      </c>
      <c r="H35" s="52">
        <f>SUMIFS(Collection!$J:$J, Collection!$A:$A, $A35, Collection!$B:$B, H$2)</f>
        <v>0</v>
      </c>
      <c r="I35" s="52">
        <f>SUMIFS(Collection!$J:$J, Collection!$A:$A, $A35, Collection!$B:$B, I$2)</f>
        <v>1400</v>
      </c>
      <c r="J35" s="52">
        <f>SUMIFS(Collection!$J:$J, Collection!$A:$A, $A35, Collection!$B:$B, J$2)</f>
        <v>0</v>
      </c>
      <c r="K35" s="52">
        <f>SUMIFS(Collection!$J:$J, Collection!$A:$A, $A35, Collection!$B:$B, K$2)</f>
        <v>0</v>
      </c>
      <c r="L35" s="52">
        <f>SUMIFS(Collection!$J:$J, Collection!$A:$A, $A35, Collection!$B:$B, L$2)</f>
        <v>176000</v>
      </c>
      <c r="M35" s="52">
        <f>SUMIFS(Collection!$J:$J, Collection!$A:$A, $A35, Collection!$B:$B, M$2)</f>
        <v>0</v>
      </c>
      <c r="N35" s="52">
        <f>SUMIFS(Collection!$J:$J, Collection!$A:$A, $A35, Collection!$B:$B, N$2)</f>
        <v>0</v>
      </c>
      <c r="O35" s="52">
        <f>SUMIFS(Collection!$J:$J, Collection!$A:$A, $A35, Collection!$B:$B, O$2)</f>
        <v>0</v>
      </c>
      <c r="P35" s="52">
        <f>SUMIFS(Collection!$J:$J, Collection!$A:$A, $A35, Collection!$B:$B, P$2)</f>
        <v>0</v>
      </c>
      <c r="Q35" s="52">
        <f>SUMIFS(Collection!$J:$J, Collection!$A:$A, $A35, Collection!$B:$B, Q$2)</f>
        <v>0</v>
      </c>
      <c r="R35" s="52">
        <f>SUMIFS(Collection!$J:$J, Collection!$A:$A, $A35, Collection!$B:$B, R$2)</f>
        <v>0</v>
      </c>
      <c r="S35" s="52">
        <f>SUMIFS(Collection!$J:$J, Collection!$A:$A, $A35, Collection!$B:$B, S$2)</f>
        <v>0</v>
      </c>
      <c r="T35" s="52">
        <f>SUMIFS(Collection!$J:$J, Collection!$A:$A, $A35, Collection!$B:$B, T$2)</f>
        <v>0</v>
      </c>
      <c r="U35" s="52">
        <f>SUMIFS(Collection!$J:$J, Collection!$A:$A, $A35, Collection!$B:$B, U$2)</f>
        <v>4200</v>
      </c>
      <c r="V35" s="52">
        <f>SUMIFS(Collection!$J:$J, Collection!$A:$A, $A35, Collection!$B:$B, V$2)</f>
        <v>0</v>
      </c>
      <c r="W35" s="52">
        <f>SUMIFS(Collection!$J:$J, Collection!$A:$A, $A35, Collection!$B:$B, W$2)</f>
        <v>0</v>
      </c>
      <c r="X35" s="52">
        <f>SUMIFS(Collection!$J:$J, Collection!$A:$A, $A35, Collection!$B:$B, X$2)</f>
        <v>9400</v>
      </c>
      <c r="Y35" s="52">
        <f>SUMIFS(Collection!$J:$J, Collection!$A:$A, $A35, Collection!$B:$B, Y$2)</f>
        <v>105066.66666666667</v>
      </c>
    </row>
    <row r="36" spans="1:25">
      <c r="A36" s="37">
        <f t="shared" si="0"/>
        <v>42899</v>
      </c>
      <c r="B36" s="52">
        <f>SUMIFS(Collection!$J:$J, Collection!$A:$A, $A36, Collection!$B:$B, B$2)</f>
        <v>0</v>
      </c>
      <c r="C36" s="52">
        <f>SUMIFS(Collection!$J:$J, Collection!$A:$A, $A36, Collection!$B:$B, C$2)</f>
        <v>0</v>
      </c>
      <c r="D36" s="52">
        <f>SUMIFS(Collection!$J:$J, Collection!$A:$A, $A36, Collection!$B:$B, D$2)</f>
        <v>0</v>
      </c>
      <c r="E36" s="52">
        <f>SUMIFS(Collection!$J:$J, Collection!$A:$A, $A36, Collection!$B:$B, E$2)</f>
        <v>0</v>
      </c>
      <c r="F36" s="52">
        <f>SUMIFS(Collection!$J:$J, Collection!$A:$A, $A36, Collection!$B:$B, F$2)</f>
        <v>0</v>
      </c>
      <c r="G36" s="52">
        <f>SUMIFS(Collection!$J:$J, Collection!$A:$A, $A36, Collection!$B:$B, G$2)</f>
        <v>0</v>
      </c>
      <c r="H36" s="52">
        <f>SUMIFS(Collection!$J:$J, Collection!$A:$A, $A36, Collection!$B:$B, H$2)</f>
        <v>0</v>
      </c>
      <c r="I36" s="52">
        <f>SUMIFS(Collection!$J:$J, Collection!$A:$A, $A36, Collection!$B:$B, I$2)</f>
        <v>0</v>
      </c>
      <c r="J36" s="52">
        <f>SUMIFS(Collection!$J:$J, Collection!$A:$A, $A36, Collection!$B:$B, J$2)</f>
        <v>0</v>
      </c>
      <c r="K36" s="52">
        <f>SUMIFS(Collection!$J:$J, Collection!$A:$A, $A36, Collection!$B:$B, K$2)</f>
        <v>0</v>
      </c>
      <c r="L36" s="52">
        <f>SUMIFS(Collection!$J:$J, Collection!$A:$A, $A36, Collection!$B:$B, L$2)</f>
        <v>0</v>
      </c>
      <c r="M36" s="52">
        <f>SUMIFS(Collection!$J:$J, Collection!$A:$A, $A36, Collection!$B:$B, M$2)</f>
        <v>0</v>
      </c>
      <c r="N36" s="52">
        <f>SUMIFS(Collection!$J:$J, Collection!$A:$A, $A36, Collection!$B:$B, N$2)</f>
        <v>0</v>
      </c>
      <c r="O36" s="52">
        <f>SUMIFS(Collection!$J:$J, Collection!$A:$A, $A36, Collection!$B:$B, O$2)</f>
        <v>0</v>
      </c>
      <c r="P36" s="52">
        <f>SUMIFS(Collection!$J:$J, Collection!$A:$A, $A36, Collection!$B:$B, P$2)</f>
        <v>0</v>
      </c>
      <c r="Q36" s="52">
        <f>SUMIFS(Collection!$J:$J, Collection!$A:$A, $A36, Collection!$B:$B, Q$2)</f>
        <v>0</v>
      </c>
      <c r="R36" s="52">
        <f>SUMIFS(Collection!$J:$J, Collection!$A:$A, $A36, Collection!$B:$B, R$2)</f>
        <v>0</v>
      </c>
      <c r="S36" s="52">
        <f>SUMIFS(Collection!$J:$J, Collection!$A:$A, $A36, Collection!$B:$B, S$2)</f>
        <v>0</v>
      </c>
      <c r="T36" s="52">
        <f>SUMIFS(Collection!$J:$J, Collection!$A:$A, $A36, Collection!$B:$B, T$2)</f>
        <v>0</v>
      </c>
      <c r="U36" s="52">
        <f>SUMIFS(Collection!$J:$J, Collection!$A:$A, $A36, Collection!$B:$B, U$2)</f>
        <v>0</v>
      </c>
      <c r="V36" s="52">
        <f>SUMIFS(Collection!$J:$J, Collection!$A:$A, $A36, Collection!$B:$B, V$2)</f>
        <v>0</v>
      </c>
      <c r="W36" s="52">
        <f>SUMIFS(Collection!$J:$J, Collection!$A:$A, $A36, Collection!$B:$B, W$2)</f>
        <v>0</v>
      </c>
      <c r="X36" s="52">
        <f>SUMIFS(Collection!$J:$J, Collection!$A:$A, $A36, Collection!$B:$B, X$2)</f>
        <v>0</v>
      </c>
      <c r="Y36" s="52">
        <f>SUMIFS(Collection!$J:$J, Collection!$A:$A, $A36, Collection!$B:$B, Y$2)</f>
        <v>0</v>
      </c>
    </row>
    <row r="37" spans="1:25">
      <c r="A37" s="37">
        <f t="shared" si="0"/>
        <v>42900</v>
      </c>
      <c r="B37" s="52">
        <f>SUMIFS(Collection!$J:$J, Collection!$A:$A, $A37, Collection!$B:$B, B$2)</f>
        <v>0</v>
      </c>
      <c r="C37" s="52">
        <f>SUMIFS(Collection!$J:$J, Collection!$A:$A, $A37, Collection!$B:$B, C$2)</f>
        <v>377373.33333333337</v>
      </c>
      <c r="D37" s="52">
        <f>SUMIFS(Collection!$J:$J, Collection!$A:$A, $A37, Collection!$B:$B, D$2)</f>
        <v>0</v>
      </c>
      <c r="E37" s="52">
        <f>SUMIFS(Collection!$J:$J, Collection!$A:$A, $A37, Collection!$B:$B, E$2)</f>
        <v>0</v>
      </c>
      <c r="F37" s="52">
        <f>SUMIFS(Collection!$J:$J, Collection!$A:$A, $A37, Collection!$B:$B, F$2)</f>
        <v>68250</v>
      </c>
      <c r="G37" s="52">
        <f>SUMIFS(Collection!$J:$J, Collection!$A:$A, $A37, Collection!$B:$B, G$2)</f>
        <v>0</v>
      </c>
      <c r="H37" s="52">
        <f>SUMIFS(Collection!$J:$J, Collection!$A:$A, $A37, Collection!$B:$B, H$2)</f>
        <v>0</v>
      </c>
      <c r="I37" s="52">
        <f>SUMIFS(Collection!$J:$J, Collection!$A:$A, $A37, Collection!$B:$B, I$2)</f>
        <v>808800</v>
      </c>
      <c r="J37" s="52">
        <f>SUMIFS(Collection!$J:$J, Collection!$A:$A, $A37, Collection!$B:$B, J$2)</f>
        <v>0</v>
      </c>
      <c r="K37" s="52">
        <f>SUMIFS(Collection!$J:$J, Collection!$A:$A, $A37, Collection!$B:$B, K$2)</f>
        <v>0</v>
      </c>
      <c r="L37" s="52">
        <f>SUMIFS(Collection!$J:$J, Collection!$A:$A, $A37, Collection!$B:$B, L$2)</f>
        <v>0</v>
      </c>
      <c r="M37" s="52">
        <f>SUMIFS(Collection!$J:$J, Collection!$A:$A, $A37, Collection!$B:$B, M$2)</f>
        <v>0</v>
      </c>
      <c r="N37" s="52">
        <f>SUMIFS(Collection!$J:$J, Collection!$A:$A, $A37, Collection!$B:$B, N$2)</f>
        <v>0</v>
      </c>
      <c r="O37" s="52">
        <f>SUMIFS(Collection!$J:$J, Collection!$A:$A, $A37, Collection!$B:$B, O$2)</f>
        <v>0</v>
      </c>
      <c r="P37" s="52">
        <f>SUMIFS(Collection!$J:$J, Collection!$A:$A, $A37, Collection!$B:$B, P$2)</f>
        <v>0</v>
      </c>
      <c r="Q37" s="52">
        <f>SUMIFS(Collection!$J:$J, Collection!$A:$A, $A37, Collection!$B:$B, Q$2)</f>
        <v>115733.33333333333</v>
      </c>
      <c r="R37" s="52">
        <f>SUMIFS(Collection!$J:$J, Collection!$A:$A, $A37, Collection!$B:$B, R$2)</f>
        <v>0</v>
      </c>
      <c r="S37" s="52">
        <f>SUMIFS(Collection!$J:$J, Collection!$A:$A, $A37, Collection!$B:$B, S$2)</f>
        <v>0</v>
      </c>
      <c r="T37" s="52">
        <f>SUMIFS(Collection!$J:$J, Collection!$A:$A, $A37, Collection!$B:$B, T$2)</f>
        <v>0</v>
      </c>
      <c r="U37" s="52">
        <f>SUMIFS(Collection!$J:$J, Collection!$A:$A, $A37, Collection!$B:$B, U$2)</f>
        <v>0</v>
      </c>
      <c r="V37" s="52">
        <f>SUMIFS(Collection!$J:$J, Collection!$A:$A, $A37, Collection!$B:$B, V$2)</f>
        <v>0</v>
      </c>
      <c r="W37" s="52">
        <f>SUMIFS(Collection!$J:$J, Collection!$A:$A, $A37, Collection!$B:$B, W$2)</f>
        <v>0</v>
      </c>
      <c r="X37" s="52">
        <f>SUMIFS(Collection!$J:$J, Collection!$A:$A, $A37, Collection!$B:$B, X$2)</f>
        <v>0</v>
      </c>
      <c r="Y37" s="52">
        <f>SUMIFS(Collection!$J:$J, Collection!$A:$A, $A37, Collection!$B:$B, Y$2)</f>
        <v>0</v>
      </c>
    </row>
    <row r="38" spans="1:25">
      <c r="A38" s="37">
        <f t="shared" si="0"/>
        <v>42901</v>
      </c>
      <c r="B38" s="52">
        <f>SUMIFS(Collection!$J:$J, Collection!$A:$A, $A38, Collection!$B:$B, B$2)</f>
        <v>0</v>
      </c>
      <c r="C38" s="52">
        <f>SUMIFS(Collection!$J:$J, Collection!$A:$A, $A38, Collection!$B:$B, C$2)</f>
        <v>128000</v>
      </c>
      <c r="D38" s="52">
        <f>SUMIFS(Collection!$J:$J, Collection!$A:$A, $A38, Collection!$B:$B, D$2)</f>
        <v>0</v>
      </c>
      <c r="E38" s="52">
        <f>SUMIFS(Collection!$J:$J, Collection!$A:$A, $A38, Collection!$B:$B, E$2)</f>
        <v>0</v>
      </c>
      <c r="F38" s="52">
        <f>SUMIFS(Collection!$J:$J, Collection!$A:$A, $A38, Collection!$B:$B, F$2)</f>
        <v>77866.666666666657</v>
      </c>
      <c r="G38" s="52">
        <f>SUMIFS(Collection!$J:$J, Collection!$A:$A, $A38, Collection!$B:$B, G$2)</f>
        <v>235200</v>
      </c>
      <c r="H38" s="52">
        <f>SUMIFS(Collection!$J:$J, Collection!$A:$A, $A38, Collection!$B:$B, H$2)</f>
        <v>0</v>
      </c>
      <c r="I38" s="52">
        <f>SUMIFS(Collection!$J:$J, Collection!$A:$A, $A38, Collection!$B:$B, I$2)</f>
        <v>121066.66666666667</v>
      </c>
      <c r="J38" s="52">
        <f>SUMIFS(Collection!$J:$J, Collection!$A:$A, $A38, Collection!$B:$B, J$2)</f>
        <v>0</v>
      </c>
      <c r="K38" s="52">
        <f>SUMIFS(Collection!$J:$J, Collection!$A:$A, $A38, Collection!$B:$B, K$2)</f>
        <v>0</v>
      </c>
      <c r="L38" s="52">
        <f>SUMIFS(Collection!$J:$J, Collection!$A:$A, $A38, Collection!$B:$B, L$2)</f>
        <v>0</v>
      </c>
      <c r="M38" s="52">
        <f>SUMIFS(Collection!$J:$J, Collection!$A:$A, $A38, Collection!$B:$B, M$2)</f>
        <v>0</v>
      </c>
      <c r="N38" s="52">
        <f>SUMIFS(Collection!$J:$J, Collection!$A:$A, $A38, Collection!$B:$B, N$2)</f>
        <v>0</v>
      </c>
      <c r="O38" s="52">
        <f>SUMIFS(Collection!$J:$J, Collection!$A:$A, $A38, Collection!$B:$B, O$2)</f>
        <v>18166.666666666668</v>
      </c>
      <c r="P38" s="52">
        <f>SUMIFS(Collection!$J:$J, Collection!$A:$A, $A38, Collection!$B:$B, P$2)</f>
        <v>0</v>
      </c>
      <c r="Q38" s="52">
        <f>SUMIFS(Collection!$J:$J, Collection!$A:$A, $A38, Collection!$B:$B, Q$2)</f>
        <v>58133.333333333336</v>
      </c>
      <c r="R38" s="52">
        <f>SUMIFS(Collection!$J:$J, Collection!$A:$A, $A38, Collection!$B:$B, R$2)</f>
        <v>0</v>
      </c>
      <c r="S38" s="52">
        <f>SUMIFS(Collection!$J:$J, Collection!$A:$A, $A38, Collection!$B:$B, S$2)</f>
        <v>483.33333333333337</v>
      </c>
      <c r="T38" s="52">
        <f>SUMIFS(Collection!$J:$J, Collection!$A:$A, $A38, Collection!$B:$B, T$2)</f>
        <v>0</v>
      </c>
      <c r="U38" s="52">
        <f>SUMIFS(Collection!$J:$J, Collection!$A:$A, $A38, Collection!$B:$B, U$2)</f>
        <v>0</v>
      </c>
      <c r="V38" s="52">
        <f>SUMIFS(Collection!$J:$J, Collection!$A:$A, $A38, Collection!$B:$B, V$2)</f>
        <v>0</v>
      </c>
      <c r="W38" s="52">
        <f>SUMIFS(Collection!$J:$J, Collection!$A:$A, $A38, Collection!$B:$B, W$2)</f>
        <v>0</v>
      </c>
      <c r="X38" s="52">
        <f>SUMIFS(Collection!$J:$J, Collection!$A:$A, $A38, Collection!$B:$B, X$2)</f>
        <v>0</v>
      </c>
      <c r="Y38" s="52">
        <f>SUMIFS(Collection!$J:$J, Collection!$A:$A, $A38, Collection!$B:$B, Y$2)</f>
        <v>0</v>
      </c>
    </row>
    <row r="39" spans="1:25">
      <c r="A39" s="37">
        <f t="shared" si="0"/>
        <v>42902</v>
      </c>
      <c r="B39" s="52">
        <f>SUMIFS(Collection!$J:$J, Collection!$A:$A, $A39, Collection!$B:$B, B$2)</f>
        <v>0</v>
      </c>
      <c r="C39" s="52">
        <f>SUMIFS(Collection!$J:$J, Collection!$A:$A, $A39, Collection!$B:$B, C$2)</f>
        <v>0</v>
      </c>
      <c r="D39" s="52">
        <f>SUMIFS(Collection!$J:$J, Collection!$A:$A, $A39, Collection!$B:$B, D$2)</f>
        <v>0</v>
      </c>
      <c r="E39" s="52">
        <f>SUMIFS(Collection!$J:$J, Collection!$A:$A, $A39, Collection!$B:$B, E$2)</f>
        <v>0</v>
      </c>
      <c r="F39" s="52">
        <f>SUMIFS(Collection!$J:$J, Collection!$A:$A, $A39, Collection!$B:$B, F$2)</f>
        <v>0</v>
      </c>
      <c r="G39" s="52">
        <f>SUMIFS(Collection!$J:$J, Collection!$A:$A, $A39, Collection!$B:$B, G$2)</f>
        <v>0</v>
      </c>
      <c r="H39" s="52">
        <f>SUMIFS(Collection!$J:$J, Collection!$A:$A, $A39, Collection!$B:$B, H$2)</f>
        <v>0</v>
      </c>
      <c r="I39" s="52">
        <f>SUMIFS(Collection!$J:$J, Collection!$A:$A, $A39, Collection!$B:$B, I$2)</f>
        <v>0</v>
      </c>
      <c r="J39" s="52">
        <f>SUMIFS(Collection!$J:$J, Collection!$A:$A, $A39, Collection!$B:$B, J$2)</f>
        <v>0</v>
      </c>
      <c r="K39" s="52">
        <f>SUMIFS(Collection!$J:$J, Collection!$A:$A, $A39, Collection!$B:$B, K$2)</f>
        <v>0</v>
      </c>
      <c r="L39" s="52">
        <f>SUMIFS(Collection!$J:$J, Collection!$A:$A, $A39, Collection!$B:$B, L$2)</f>
        <v>0</v>
      </c>
      <c r="M39" s="52">
        <f>SUMIFS(Collection!$J:$J, Collection!$A:$A, $A39, Collection!$B:$B, M$2)</f>
        <v>0</v>
      </c>
      <c r="N39" s="52">
        <f>SUMIFS(Collection!$J:$J, Collection!$A:$A, $A39, Collection!$B:$B, N$2)</f>
        <v>0</v>
      </c>
      <c r="O39" s="52">
        <f>SUMIFS(Collection!$J:$J, Collection!$A:$A, $A39, Collection!$B:$B, O$2)</f>
        <v>0</v>
      </c>
      <c r="P39" s="52">
        <f>SUMIFS(Collection!$J:$J, Collection!$A:$A, $A39, Collection!$B:$B, P$2)</f>
        <v>0</v>
      </c>
      <c r="Q39" s="52">
        <f>SUMIFS(Collection!$J:$J, Collection!$A:$A, $A39, Collection!$B:$B, Q$2)</f>
        <v>0</v>
      </c>
      <c r="R39" s="52">
        <f>SUMIFS(Collection!$J:$J, Collection!$A:$A, $A39, Collection!$B:$B, R$2)</f>
        <v>0</v>
      </c>
      <c r="S39" s="52">
        <f>SUMIFS(Collection!$J:$J, Collection!$A:$A, $A39, Collection!$B:$B, S$2)</f>
        <v>0</v>
      </c>
      <c r="T39" s="52">
        <f>SUMIFS(Collection!$J:$J, Collection!$A:$A, $A39, Collection!$B:$B, T$2)</f>
        <v>0</v>
      </c>
      <c r="U39" s="52">
        <f>SUMIFS(Collection!$J:$J, Collection!$A:$A, $A39, Collection!$B:$B, U$2)</f>
        <v>0</v>
      </c>
      <c r="V39" s="52">
        <f>SUMIFS(Collection!$J:$J, Collection!$A:$A, $A39, Collection!$B:$B, V$2)</f>
        <v>0</v>
      </c>
      <c r="W39" s="52">
        <f>SUMIFS(Collection!$J:$J, Collection!$A:$A, $A39, Collection!$B:$B, W$2)</f>
        <v>0</v>
      </c>
      <c r="X39" s="52">
        <f>SUMIFS(Collection!$J:$J, Collection!$A:$A, $A39, Collection!$B:$B, X$2)</f>
        <v>0</v>
      </c>
      <c r="Y39" s="52">
        <f>SUMIFS(Collection!$J:$J, Collection!$A:$A, $A39, Collection!$B:$B, Y$2)</f>
        <v>0</v>
      </c>
    </row>
    <row r="40" spans="1:25">
      <c r="A40" s="37">
        <f t="shared" si="0"/>
        <v>42903</v>
      </c>
      <c r="B40" s="52">
        <f>SUMIFS(Collection!$J:$J, Collection!$A:$A, $A40, Collection!$B:$B, B$2)</f>
        <v>0</v>
      </c>
      <c r="C40" s="52">
        <f>SUMIFS(Collection!$J:$J, Collection!$A:$A, $A40, Collection!$B:$B, C$2)</f>
        <v>1866.6666666666665</v>
      </c>
      <c r="D40" s="52">
        <f>SUMIFS(Collection!$J:$J, Collection!$A:$A, $A40, Collection!$B:$B, D$2)</f>
        <v>0</v>
      </c>
      <c r="E40" s="52">
        <f>SUMIFS(Collection!$J:$J, Collection!$A:$A, $A40, Collection!$B:$B, E$2)</f>
        <v>0</v>
      </c>
      <c r="F40" s="52">
        <f>SUMIFS(Collection!$J:$J, Collection!$A:$A, $A40, Collection!$B:$B, F$2)</f>
        <v>1166.6666666666667</v>
      </c>
      <c r="G40" s="52">
        <f>SUMIFS(Collection!$J:$J, Collection!$A:$A, $A40, Collection!$B:$B, G$2)</f>
        <v>104533.33333333333</v>
      </c>
      <c r="H40" s="52">
        <f>SUMIFS(Collection!$J:$J, Collection!$A:$A, $A40, Collection!$B:$B, H$2)</f>
        <v>0</v>
      </c>
      <c r="I40" s="52">
        <f>SUMIFS(Collection!$J:$J, Collection!$A:$A, $A40, Collection!$B:$B, I$2)</f>
        <v>1833.3333333333333</v>
      </c>
      <c r="J40" s="52">
        <f>SUMIFS(Collection!$J:$J, Collection!$A:$A, $A40, Collection!$B:$B, J$2)</f>
        <v>0</v>
      </c>
      <c r="K40" s="52">
        <f>SUMIFS(Collection!$J:$J, Collection!$A:$A, $A40, Collection!$B:$B, K$2)</f>
        <v>154666.66666666669</v>
      </c>
      <c r="L40" s="52">
        <f>SUMIFS(Collection!$J:$J, Collection!$A:$A, $A40, Collection!$B:$B, L$2)</f>
        <v>47466.666666666672</v>
      </c>
      <c r="M40" s="52">
        <f>SUMIFS(Collection!$J:$J, Collection!$A:$A, $A40, Collection!$B:$B, M$2)</f>
        <v>0</v>
      </c>
      <c r="N40" s="52">
        <f>SUMIFS(Collection!$J:$J, Collection!$A:$A, $A40, Collection!$B:$B, N$2)</f>
        <v>0</v>
      </c>
      <c r="O40" s="52">
        <f>SUMIFS(Collection!$J:$J, Collection!$A:$A, $A40, Collection!$B:$B, O$2)</f>
        <v>12800</v>
      </c>
      <c r="P40" s="52">
        <f>SUMIFS(Collection!$J:$J, Collection!$A:$A, $A40, Collection!$B:$B, P$2)</f>
        <v>0</v>
      </c>
      <c r="Q40" s="52">
        <f>SUMIFS(Collection!$J:$J, Collection!$A:$A, $A40, Collection!$B:$B, Q$2)</f>
        <v>666.66666666666663</v>
      </c>
      <c r="R40" s="52">
        <f>SUMIFS(Collection!$J:$J, Collection!$A:$A, $A40, Collection!$B:$B, R$2)</f>
        <v>0</v>
      </c>
      <c r="S40" s="52">
        <f>SUMIFS(Collection!$J:$J, Collection!$A:$A, $A40, Collection!$B:$B, S$2)</f>
        <v>356266.66666666663</v>
      </c>
      <c r="T40" s="52">
        <f>SUMIFS(Collection!$J:$J, Collection!$A:$A, $A40, Collection!$B:$B, T$2)</f>
        <v>0</v>
      </c>
      <c r="U40" s="52">
        <f>SUMIFS(Collection!$J:$J, Collection!$A:$A, $A40, Collection!$B:$B, U$2)</f>
        <v>0</v>
      </c>
      <c r="V40" s="52">
        <f>SUMIFS(Collection!$J:$J, Collection!$A:$A, $A40, Collection!$B:$B, V$2)</f>
        <v>0</v>
      </c>
      <c r="W40" s="52">
        <f>SUMIFS(Collection!$J:$J, Collection!$A:$A, $A40, Collection!$B:$B, W$2)</f>
        <v>0</v>
      </c>
      <c r="X40" s="52">
        <f>SUMIFS(Collection!$J:$J, Collection!$A:$A, $A40, Collection!$B:$B, X$2)</f>
        <v>0</v>
      </c>
      <c r="Y40" s="52">
        <f>SUMIFS(Collection!$J:$J, Collection!$A:$A, $A40, Collection!$B:$B, Y$2)</f>
        <v>0</v>
      </c>
    </row>
    <row r="41" spans="1:25">
      <c r="A41" s="37">
        <f t="shared" si="0"/>
        <v>42904</v>
      </c>
      <c r="B41" s="52">
        <f>SUMIFS(Collection!$J:$J, Collection!$A:$A, $A41, Collection!$B:$B, B$2)</f>
        <v>0</v>
      </c>
      <c r="C41" s="52">
        <f>SUMIFS(Collection!$J:$J, Collection!$A:$A, $A41, Collection!$B:$B, C$2)</f>
        <v>0</v>
      </c>
      <c r="D41" s="52">
        <f>SUMIFS(Collection!$J:$J, Collection!$A:$A, $A41, Collection!$B:$B, D$2)</f>
        <v>0</v>
      </c>
      <c r="E41" s="52">
        <f>SUMIFS(Collection!$J:$J, Collection!$A:$A, $A41, Collection!$B:$B, E$2)</f>
        <v>0</v>
      </c>
      <c r="F41" s="52">
        <f>SUMIFS(Collection!$J:$J, Collection!$A:$A, $A41, Collection!$B:$B, F$2)</f>
        <v>0</v>
      </c>
      <c r="G41" s="52">
        <f>SUMIFS(Collection!$J:$J, Collection!$A:$A, $A41, Collection!$B:$B, G$2)</f>
        <v>0</v>
      </c>
      <c r="H41" s="52">
        <f>SUMIFS(Collection!$J:$J, Collection!$A:$A, $A41, Collection!$B:$B, H$2)</f>
        <v>0</v>
      </c>
      <c r="I41" s="52">
        <f>SUMIFS(Collection!$J:$J, Collection!$A:$A, $A41, Collection!$B:$B, I$2)</f>
        <v>0</v>
      </c>
      <c r="J41" s="52">
        <f>SUMIFS(Collection!$J:$J, Collection!$A:$A, $A41, Collection!$B:$B, J$2)</f>
        <v>0</v>
      </c>
      <c r="K41" s="52">
        <f>SUMIFS(Collection!$J:$J, Collection!$A:$A, $A41, Collection!$B:$B, K$2)</f>
        <v>0</v>
      </c>
      <c r="L41" s="52">
        <f>SUMIFS(Collection!$J:$J, Collection!$A:$A, $A41, Collection!$B:$B, L$2)</f>
        <v>0</v>
      </c>
      <c r="M41" s="52">
        <f>SUMIFS(Collection!$J:$J, Collection!$A:$A, $A41, Collection!$B:$B, M$2)</f>
        <v>0</v>
      </c>
      <c r="N41" s="52">
        <f>SUMIFS(Collection!$J:$J, Collection!$A:$A, $A41, Collection!$B:$B, N$2)</f>
        <v>0</v>
      </c>
      <c r="O41" s="52">
        <f>SUMIFS(Collection!$J:$J, Collection!$A:$A, $A41, Collection!$B:$B, O$2)</f>
        <v>0</v>
      </c>
      <c r="P41" s="52">
        <f>SUMIFS(Collection!$J:$J, Collection!$A:$A, $A41, Collection!$B:$B, P$2)</f>
        <v>0</v>
      </c>
      <c r="Q41" s="52">
        <f>SUMIFS(Collection!$J:$J, Collection!$A:$A, $A41, Collection!$B:$B, Q$2)</f>
        <v>0</v>
      </c>
      <c r="R41" s="52">
        <f>SUMIFS(Collection!$J:$J, Collection!$A:$A, $A41, Collection!$B:$B, R$2)</f>
        <v>0</v>
      </c>
      <c r="S41" s="52">
        <f>SUMIFS(Collection!$J:$J, Collection!$A:$A, $A41, Collection!$B:$B, S$2)</f>
        <v>0</v>
      </c>
      <c r="T41" s="52">
        <f>SUMIFS(Collection!$J:$J, Collection!$A:$A, $A41, Collection!$B:$B, T$2)</f>
        <v>0</v>
      </c>
      <c r="U41" s="52">
        <f>SUMIFS(Collection!$J:$J, Collection!$A:$A, $A41, Collection!$B:$B, U$2)</f>
        <v>0</v>
      </c>
      <c r="V41" s="52">
        <f>SUMIFS(Collection!$J:$J, Collection!$A:$A, $A41, Collection!$B:$B, V$2)</f>
        <v>0</v>
      </c>
      <c r="W41" s="52">
        <f>SUMIFS(Collection!$J:$J, Collection!$A:$A, $A41, Collection!$B:$B, W$2)</f>
        <v>0</v>
      </c>
      <c r="X41" s="52">
        <f>SUMIFS(Collection!$J:$J, Collection!$A:$A, $A41, Collection!$B:$B, X$2)</f>
        <v>0</v>
      </c>
      <c r="Y41" s="52">
        <f>SUMIFS(Collection!$J:$J, Collection!$A:$A, $A41, Collection!$B:$B, Y$2)</f>
        <v>0</v>
      </c>
    </row>
    <row r="42" spans="1:25">
      <c r="A42" s="37">
        <f t="shared" si="0"/>
        <v>42905</v>
      </c>
      <c r="B42" s="52">
        <f>SUMIFS(Collection!$J:$J, Collection!$A:$A, $A42, Collection!$B:$B, B$2)</f>
        <v>0</v>
      </c>
      <c r="C42" s="52">
        <f>SUMIFS(Collection!$J:$J, Collection!$A:$A, $A42, Collection!$B:$B, C$2)</f>
        <v>0</v>
      </c>
      <c r="D42" s="52">
        <f>SUMIFS(Collection!$J:$J, Collection!$A:$A, $A42, Collection!$B:$B, D$2)</f>
        <v>163200</v>
      </c>
      <c r="E42" s="52">
        <f>SUMIFS(Collection!$J:$J, Collection!$A:$A, $A42, Collection!$B:$B, E$2)</f>
        <v>0</v>
      </c>
      <c r="F42" s="52">
        <f>SUMIFS(Collection!$J:$J, Collection!$A:$A, $A42, Collection!$B:$B, F$2)</f>
        <v>0</v>
      </c>
      <c r="G42" s="52">
        <f>SUMIFS(Collection!$J:$J, Collection!$A:$A, $A42, Collection!$B:$B, G$2)</f>
        <v>29920</v>
      </c>
      <c r="H42" s="52">
        <f>SUMIFS(Collection!$J:$J, Collection!$A:$A, $A42, Collection!$B:$B, H$2)</f>
        <v>0</v>
      </c>
      <c r="I42" s="52">
        <f>SUMIFS(Collection!$J:$J, Collection!$A:$A, $A42, Collection!$B:$B, I$2)</f>
        <v>0</v>
      </c>
      <c r="J42" s="52">
        <f>SUMIFS(Collection!$J:$J, Collection!$A:$A, $A42, Collection!$B:$B, J$2)</f>
        <v>13000</v>
      </c>
      <c r="K42" s="52">
        <f>SUMIFS(Collection!$J:$J, Collection!$A:$A, $A42, Collection!$B:$B, K$2)</f>
        <v>0</v>
      </c>
      <c r="L42" s="52">
        <f>SUMIFS(Collection!$J:$J, Collection!$A:$A, $A42, Collection!$B:$B, L$2)</f>
        <v>125</v>
      </c>
      <c r="M42" s="52">
        <f>SUMIFS(Collection!$J:$J, Collection!$A:$A, $A42, Collection!$B:$B, M$2)</f>
        <v>0</v>
      </c>
      <c r="N42" s="52">
        <f>SUMIFS(Collection!$J:$J, Collection!$A:$A, $A42, Collection!$B:$B, N$2)</f>
        <v>0</v>
      </c>
      <c r="O42" s="52">
        <f>SUMIFS(Collection!$J:$J, Collection!$A:$A, $A42, Collection!$B:$B, O$2)</f>
        <v>0</v>
      </c>
      <c r="P42" s="52">
        <f>SUMIFS(Collection!$J:$J, Collection!$A:$A, $A42, Collection!$B:$B, P$2)</f>
        <v>0</v>
      </c>
      <c r="Q42" s="52">
        <f>SUMIFS(Collection!$J:$J, Collection!$A:$A, $A42, Collection!$B:$B, Q$2)</f>
        <v>0</v>
      </c>
      <c r="R42" s="52">
        <f>SUMIFS(Collection!$J:$J, Collection!$A:$A, $A42, Collection!$B:$B, R$2)</f>
        <v>67666.666666666672</v>
      </c>
      <c r="S42" s="52">
        <f>SUMIFS(Collection!$J:$J, Collection!$A:$A, $A42, Collection!$B:$B, S$2)</f>
        <v>165000</v>
      </c>
      <c r="T42" s="52">
        <f>SUMIFS(Collection!$J:$J, Collection!$A:$A, $A42, Collection!$B:$B, T$2)</f>
        <v>0</v>
      </c>
      <c r="U42" s="52">
        <f>SUMIFS(Collection!$J:$J, Collection!$A:$A, $A42, Collection!$B:$B, U$2)</f>
        <v>51150</v>
      </c>
      <c r="V42" s="52">
        <f>SUMIFS(Collection!$J:$J, Collection!$A:$A, $A42, Collection!$B:$B, V$2)</f>
        <v>0</v>
      </c>
      <c r="W42" s="52">
        <f>SUMIFS(Collection!$J:$J, Collection!$A:$A, $A42, Collection!$B:$B, W$2)</f>
        <v>0</v>
      </c>
      <c r="X42" s="52">
        <f>SUMIFS(Collection!$J:$J, Collection!$A:$A, $A42, Collection!$B:$B, X$2)</f>
        <v>142000</v>
      </c>
      <c r="Y42" s="52">
        <f>SUMIFS(Collection!$J:$J, Collection!$A:$A, $A42, Collection!$B:$B, Y$2)</f>
        <v>0</v>
      </c>
    </row>
    <row r="43" spans="1:25">
      <c r="A43" s="37">
        <f t="shared" si="0"/>
        <v>42906</v>
      </c>
      <c r="B43" s="52">
        <f>SUMIFS(Collection!$J:$J, Collection!$A:$A, $A43, Collection!$B:$B, B$2)</f>
        <v>0</v>
      </c>
      <c r="C43" s="52">
        <f>SUMIFS(Collection!$J:$J, Collection!$A:$A, $A43, Collection!$B:$B, C$2)</f>
        <v>0</v>
      </c>
      <c r="D43" s="52">
        <f>SUMIFS(Collection!$J:$J, Collection!$A:$A, $A43, Collection!$B:$B, D$2)</f>
        <v>0</v>
      </c>
      <c r="E43" s="52">
        <f>SUMIFS(Collection!$J:$J, Collection!$A:$A, $A43, Collection!$B:$B, E$2)</f>
        <v>0</v>
      </c>
      <c r="F43" s="52">
        <f>SUMIFS(Collection!$J:$J, Collection!$A:$A, $A43, Collection!$B:$B, F$2)</f>
        <v>0</v>
      </c>
      <c r="G43" s="52">
        <f>SUMIFS(Collection!$J:$J, Collection!$A:$A, $A43, Collection!$B:$B, G$2)</f>
        <v>0</v>
      </c>
      <c r="H43" s="52">
        <f>SUMIFS(Collection!$J:$J, Collection!$A:$A, $A43, Collection!$B:$B, H$2)</f>
        <v>0</v>
      </c>
      <c r="I43" s="52">
        <f>SUMIFS(Collection!$J:$J, Collection!$A:$A, $A43, Collection!$B:$B, I$2)</f>
        <v>0</v>
      </c>
      <c r="J43" s="52">
        <f>SUMIFS(Collection!$J:$J, Collection!$A:$A, $A43, Collection!$B:$B, J$2)</f>
        <v>0</v>
      </c>
      <c r="K43" s="52">
        <f>SUMIFS(Collection!$J:$J, Collection!$A:$A, $A43, Collection!$B:$B, K$2)</f>
        <v>0</v>
      </c>
      <c r="L43" s="52">
        <f>SUMIFS(Collection!$J:$J, Collection!$A:$A, $A43, Collection!$B:$B, L$2)</f>
        <v>0</v>
      </c>
      <c r="M43" s="52">
        <f>SUMIFS(Collection!$J:$J, Collection!$A:$A, $A43, Collection!$B:$B, M$2)</f>
        <v>0</v>
      </c>
      <c r="N43" s="52">
        <f>SUMIFS(Collection!$J:$J, Collection!$A:$A, $A43, Collection!$B:$B, N$2)</f>
        <v>0</v>
      </c>
      <c r="O43" s="52">
        <f>SUMIFS(Collection!$J:$J, Collection!$A:$A, $A43, Collection!$B:$B, O$2)</f>
        <v>0</v>
      </c>
      <c r="P43" s="52">
        <f>SUMIFS(Collection!$J:$J, Collection!$A:$A, $A43, Collection!$B:$B, P$2)</f>
        <v>0</v>
      </c>
      <c r="Q43" s="52">
        <f>SUMIFS(Collection!$J:$J, Collection!$A:$A, $A43, Collection!$B:$B, Q$2)</f>
        <v>0</v>
      </c>
      <c r="R43" s="52">
        <f>SUMIFS(Collection!$J:$J, Collection!$A:$A, $A43, Collection!$B:$B, R$2)</f>
        <v>0</v>
      </c>
      <c r="S43" s="52">
        <f>SUMIFS(Collection!$J:$J, Collection!$A:$A, $A43, Collection!$B:$B, S$2)</f>
        <v>0</v>
      </c>
      <c r="T43" s="52">
        <f>SUMIFS(Collection!$J:$J, Collection!$A:$A, $A43, Collection!$B:$B, T$2)</f>
        <v>0</v>
      </c>
      <c r="U43" s="52">
        <f>SUMIFS(Collection!$J:$J, Collection!$A:$A, $A43, Collection!$B:$B, U$2)</f>
        <v>0</v>
      </c>
      <c r="V43" s="52">
        <f>SUMIFS(Collection!$J:$J, Collection!$A:$A, $A43, Collection!$B:$B, V$2)</f>
        <v>0</v>
      </c>
      <c r="W43" s="52">
        <f>SUMIFS(Collection!$J:$J, Collection!$A:$A, $A43, Collection!$B:$B, W$2)</f>
        <v>0</v>
      </c>
      <c r="X43" s="52">
        <f>SUMIFS(Collection!$J:$J, Collection!$A:$A, $A43, Collection!$B:$B, X$2)</f>
        <v>0</v>
      </c>
      <c r="Y43" s="52">
        <f>SUMIFS(Collection!$J:$J, Collection!$A:$A, $A43, Collection!$B:$B, Y$2)</f>
        <v>0</v>
      </c>
    </row>
    <row r="44" spans="1:25">
      <c r="A44" s="37">
        <f t="shared" si="0"/>
        <v>42907</v>
      </c>
      <c r="B44" s="52">
        <f>SUMIFS(Collection!$J:$J, Collection!$A:$A, $A44, Collection!$B:$B, B$2)</f>
        <v>0</v>
      </c>
      <c r="C44" s="52">
        <f>SUMIFS(Collection!$J:$J, Collection!$A:$A, $A44, Collection!$B:$B, C$2)</f>
        <v>0</v>
      </c>
      <c r="D44" s="52">
        <f>SUMIFS(Collection!$J:$J, Collection!$A:$A, $A44, Collection!$B:$B, D$2)</f>
        <v>0</v>
      </c>
      <c r="E44" s="52">
        <f>SUMIFS(Collection!$J:$J, Collection!$A:$A, $A44, Collection!$B:$B, E$2)</f>
        <v>0</v>
      </c>
      <c r="F44" s="52">
        <f>SUMIFS(Collection!$J:$J, Collection!$A:$A, $A44, Collection!$B:$B, F$2)</f>
        <v>0</v>
      </c>
      <c r="G44" s="52">
        <f>SUMIFS(Collection!$J:$J, Collection!$A:$A, $A44, Collection!$B:$B, G$2)</f>
        <v>0</v>
      </c>
      <c r="H44" s="52">
        <f>SUMIFS(Collection!$J:$J, Collection!$A:$A, $A44, Collection!$B:$B, H$2)</f>
        <v>0</v>
      </c>
      <c r="I44" s="52">
        <f>SUMIFS(Collection!$J:$J, Collection!$A:$A, $A44, Collection!$B:$B, I$2)</f>
        <v>0</v>
      </c>
      <c r="J44" s="52">
        <f>SUMIFS(Collection!$J:$J, Collection!$A:$A, $A44, Collection!$B:$B, J$2)</f>
        <v>0</v>
      </c>
      <c r="K44" s="52">
        <f>SUMIFS(Collection!$J:$J, Collection!$A:$A, $A44, Collection!$B:$B, K$2)</f>
        <v>0</v>
      </c>
      <c r="L44" s="52">
        <f>SUMIFS(Collection!$J:$J, Collection!$A:$A, $A44, Collection!$B:$B, L$2)</f>
        <v>0</v>
      </c>
      <c r="M44" s="52">
        <f>SUMIFS(Collection!$J:$J, Collection!$A:$A, $A44, Collection!$B:$B, M$2)</f>
        <v>0</v>
      </c>
      <c r="N44" s="52">
        <f>SUMIFS(Collection!$J:$J, Collection!$A:$A, $A44, Collection!$B:$B, N$2)</f>
        <v>0</v>
      </c>
      <c r="O44" s="52">
        <f>SUMIFS(Collection!$J:$J, Collection!$A:$A, $A44, Collection!$B:$B, O$2)</f>
        <v>0</v>
      </c>
      <c r="P44" s="52">
        <f>SUMIFS(Collection!$J:$J, Collection!$A:$A, $A44, Collection!$B:$B, P$2)</f>
        <v>0</v>
      </c>
      <c r="Q44" s="52">
        <f>SUMIFS(Collection!$J:$J, Collection!$A:$A, $A44, Collection!$B:$B, Q$2)</f>
        <v>0</v>
      </c>
      <c r="R44" s="52">
        <f>SUMIFS(Collection!$J:$J, Collection!$A:$A, $A44, Collection!$B:$B, R$2)</f>
        <v>0</v>
      </c>
      <c r="S44" s="52">
        <f>SUMIFS(Collection!$J:$J, Collection!$A:$A, $A44, Collection!$B:$B, S$2)</f>
        <v>0</v>
      </c>
      <c r="T44" s="52">
        <f>SUMIFS(Collection!$J:$J, Collection!$A:$A, $A44, Collection!$B:$B, T$2)</f>
        <v>0</v>
      </c>
      <c r="U44" s="52">
        <f>SUMIFS(Collection!$J:$J, Collection!$A:$A, $A44, Collection!$B:$B, U$2)</f>
        <v>0</v>
      </c>
      <c r="V44" s="52">
        <f>SUMIFS(Collection!$J:$J, Collection!$A:$A, $A44, Collection!$B:$B, V$2)</f>
        <v>0</v>
      </c>
      <c r="W44" s="52">
        <f>SUMIFS(Collection!$J:$J, Collection!$A:$A, $A44, Collection!$B:$B, W$2)</f>
        <v>0</v>
      </c>
      <c r="X44" s="52">
        <f>SUMIFS(Collection!$J:$J, Collection!$A:$A, $A44, Collection!$B:$B, X$2)</f>
        <v>0</v>
      </c>
      <c r="Y44" s="52">
        <f>SUMIFS(Collection!$J:$J, Collection!$A:$A, $A44, Collection!$B:$B, Y$2)</f>
        <v>0</v>
      </c>
    </row>
    <row r="45" spans="1:25">
      <c r="A45" s="37">
        <f t="shared" si="0"/>
        <v>42908</v>
      </c>
      <c r="B45" s="52">
        <f>SUMIFS(Collection!$J:$J, Collection!$A:$A, $A45, Collection!$B:$B, B$2)</f>
        <v>0</v>
      </c>
      <c r="C45" s="52">
        <f>SUMIFS(Collection!$J:$J, Collection!$A:$A, $A45, Collection!$B:$B, C$2)</f>
        <v>0</v>
      </c>
      <c r="D45" s="52">
        <f>SUMIFS(Collection!$J:$J, Collection!$A:$A, $A45, Collection!$B:$B, D$2)</f>
        <v>0</v>
      </c>
      <c r="E45" s="52">
        <f>SUMIFS(Collection!$J:$J, Collection!$A:$A, $A45, Collection!$B:$B, E$2)</f>
        <v>0</v>
      </c>
      <c r="F45" s="52">
        <f>SUMIFS(Collection!$J:$J, Collection!$A:$A, $A45, Collection!$B:$B, F$2)</f>
        <v>0</v>
      </c>
      <c r="G45" s="52">
        <f>SUMIFS(Collection!$J:$J, Collection!$A:$A, $A45, Collection!$B:$B, G$2)</f>
        <v>0</v>
      </c>
      <c r="H45" s="52">
        <f>SUMIFS(Collection!$J:$J, Collection!$A:$A, $A45, Collection!$B:$B, H$2)</f>
        <v>0</v>
      </c>
      <c r="I45" s="52">
        <f>SUMIFS(Collection!$J:$J, Collection!$A:$A, $A45, Collection!$B:$B, I$2)</f>
        <v>0</v>
      </c>
      <c r="J45" s="52">
        <f>SUMIFS(Collection!$J:$J, Collection!$A:$A, $A45, Collection!$B:$B, J$2)</f>
        <v>0</v>
      </c>
      <c r="K45" s="52">
        <f>SUMIFS(Collection!$J:$J, Collection!$A:$A, $A45, Collection!$B:$B, K$2)</f>
        <v>0</v>
      </c>
      <c r="L45" s="52">
        <f>SUMIFS(Collection!$J:$J, Collection!$A:$A, $A45, Collection!$B:$B, L$2)</f>
        <v>0</v>
      </c>
      <c r="M45" s="52">
        <f>SUMIFS(Collection!$J:$J, Collection!$A:$A, $A45, Collection!$B:$B, M$2)</f>
        <v>0</v>
      </c>
      <c r="N45" s="52">
        <f>SUMIFS(Collection!$J:$J, Collection!$A:$A, $A45, Collection!$B:$B, N$2)</f>
        <v>0</v>
      </c>
      <c r="O45" s="52">
        <f>SUMIFS(Collection!$J:$J, Collection!$A:$A, $A45, Collection!$B:$B, O$2)</f>
        <v>0</v>
      </c>
      <c r="P45" s="52">
        <f>SUMIFS(Collection!$J:$J, Collection!$A:$A, $A45, Collection!$B:$B, P$2)</f>
        <v>0</v>
      </c>
      <c r="Q45" s="52">
        <f>SUMIFS(Collection!$J:$J, Collection!$A:$A, $A45, Collection!$B:$B, Q$2)</f>
        <v>0</v>
      </c>
      <c r="R45" s="52">
        <f>SUMIFS(Collection!$J:$J, Collection!$A:$A, $A45, Collection!$B:$B, R$2)</f>
        <v>0</v>
      </c>
      <c r="S45" s="52">
        <f>SUMIFS(Collection!$J:$J, Collection!$A:$A, $A45, Collection!$B:$B, S$2)</f>
        <v>0</v>
      </c>
      <c r="T45" s="52">
        <f>SUMIFS(Collection!$J:$J, Collection!$A:$A, $A45, Collection!$B:$B, T$2)</f>
        <v>0</v>
      </c>
      <c r="U45" s="52">
        <f>SUMIFS(Collection!$J:$J, Collection!$A:$A, $A45, Collection!$B:$B, U$2)</f>
        <v>0</v>
      </c>
      <c r="V45" s="52">
        <f>SUMIFS(Collection!$J:$J, Collection!$A:$A, $A45, Collection!$B:$B, V$2)</f>
        <v>0</v>
      </c>
      <c r="W45" s="52">
        <f>SUMIFS(Collection!$J:$J, Collection!$A:$A, $A45, Collection!$B:$B, W$2)</f>
        <v>0</v>
      </c>
      <c r="X45" s="52">
        <f>SUMIFS(Collection!$J:$J, Collection!$A:$A, $A45, Collection!$B:$B, X$2)</f>
        <v>0</v>
      </c>
      <c r="Y45" s="52">
        <f>SUMIFS(Collection!$J:$J, Collection!$A:$A, $A45, Collection!$B:$B, Y$2)</f>
        <v>0</v>
      </c>
    </row>
    <row r="46" spans="1:25">
      <c r="A46" s="37">
        <f t="shared" si="0"/>
        <v>42909</v>
      </c>
      <c r="B46" s="52">
        <f>SUMIFS(Collection!$J:$J, Collection!$A:$A, $A46, Collection!$B:$B, B$2)</f>
        <v>0</v>
      </c>
      <c r="C46" s="52">
        <f>SUMIFS(Collection!$J:$J, Collection!$A:$A, $A46, Collection!$B:$B, C$2)</f>
        <v>0</v>
      </c>
      <c r="D46" s="52">
        <f>SUMIFS(Collection!$J:$J, Collection!$A:$A, $A46, Collection!$B:$B, D$2)</f>
        <v>0</v>
      </c>
      <c r="E46" s="52">
        <f>SUMIFS(Collection!$J:$J, Collection!$A:$A, $A46, Collection!$B:$B, E$2)</f>
        <v>0</v>
      </c>
      <c r="F46" s="52">
        <f>SUMIFS(Collection!$J:$J, Collection!$A:$A, $A46, Collection!$B:$B, F$2)</f>
        <v>0</v>
      </c>
      <c r="G46" s="52">
        <f>SUMIFS(Collection!$J:$J, Collection!$A:$A, $A46, Collection!$B:$B, G$2)</f>
        <v>0</v>
      </c>
      <c r="H46" s="52">
        <f>SUMIFS(Collection!$J:$J, Collection!$A:$A, $A46, Collection!$B:$B, H$2)</f>
        <v>0</v>
      </c>
      <c r="I46" s="52">
        <f>SUMIFS(Collection!$J:$J, Collection!$A:$A, $A46, Collection!$B:$B, I$2)</f>
        <v>0</v>
      </c>
      <c r="J46" s="52">
        <f>SUMIFS(Collection!$J:$J, Collection!$A:$A, $A46, Collection!$B:$B, J$2)</f>
        <v>0</v>
      </c>
      <c r="K46" s="52">
        <f>SUMIFS(Collection!$J:$J, Collection!$A:$A, $A46, Collection!$B:$B, K$2)</f>
        <v>0</v>
      </c>
      <c r="L46" s="52">
        <f>SUMIFS(Collection!$J:$J, Collection!$A:$A, $A46, Collection!$B:$B, L$2)</f>
        <v>0</v>
      </c>
      <c r="M46" s="52">
        <f>SUMIFS(Collection!$J:$J, Collection!$A:$A, $A46, Collection!$B:$B, M$2)</f>
        <v>0</v>
      </c>
      <c r="N46" s="52">
        <f>SUMIFS(Collection!$J:$J, Collection!$A:$A, $A46, Collection!$B:$B, N$2)</f>
        <v>0</v>
      </c>
      <c r="O46" s="52">
        <f>SUMIFS(Collection!$J:$J, Collection!$A:$A, $A46, Collection!$B:$B, O$2)</f>
        <v>0</v>
      </c>
      <c r="P46" s="52">
        <f>SUMIFS(Collection!$J:$J, Collection!$A:$A, $A46, Collection!$B:$B, P$2)</f>
        <v>0</v>
      </c>
      <c r="Q46" s="52">
        <f>SUMIFS(Collection!$J:$J, Collection!$A:$A, $A46, Collection!$B:$B, Q$2)</f>
        <v>0</v>
      </c>
      <c r="R46" s="52">
        <f>SUMIFS(Collection!$J:$J, Collection!$A:$A, $A46, Collection!$B:$B, R$2)</f>
        <v>0</v>
      </c>
      <c r="S46" s="52">
        <f>SUMIFS(Collection!$J:$J, Collection!$A:$A, $A46, Collection!$B:$B, S$2)</f>
        <v>0</v>
      </c>
      <c r="T46" s="52">
        <f>SUMIFS(Collection!$J:$J, Collection!$A:$A, $A46, Collection!$B:$B, T$2)</f>
        <v>0</v>
      </c>
      <c r="U46" s="52">
        <f>SUMIFS(Collection!$J:$J, Collection!$A:$A, $A46, Collection!$B:$B, U$2)</f>
        <v>0</v>
      </c>
      <c r="V46" s="52">
        <f>SUMIFS(Collection!$J:$J, Collection!$A:$A, $A46, Collection!$B:$B, V$2)</f>
        <v>0</v>
      </c>
      <c r="W46" s="52">
        <f>SUMIFS(Collection!$J:$J, Collection!$A:$A, $A46, Collection!$B:$B, W$2)</f>
        <v>0</v>
      </c>
      <c r="X46" s="52">
        <f>SUMIFS(Collection!$J:$J, Collection!$A:$A, $A46, Collection!$B:$B, X$2)</f>
        <v>0</v>
      </c>
      <c r="Y46" s="52">
        <f>SUMIFS(Collection!$J:$J, Collection!$A:$A, $A46, Collection!$B:$B, Y$2)</f>
        <v>0</v>
      </c>
    </row>
    <row r="47" spans="1:25">
      <c r="A47" s="37">
        <f t="shared" si="0"/>
        <v>42910</v>
      </c>
      <c r="B47" s="52">
        <f>SUMIFS(Collection!$J:$J, Collection!$A:$A, $A47, Collection!$B:$B, B$2)</f>
        <v>0</v>
      </c>
      <c r="C47" s="52">
        <f>SUMIFS(Collection!$J:$J, Collection!$A:$A, $A47, Collection!$B:$B, C$2)</f>
        <v>0</v>
      </c>
      <c r="D47" s="52">
        <f>SUMIFS(Collection!$J:$J, Collection!$A:$A, $A47, Collection!$B:$B, D$2)</f>
        <v>0</v>
      </c>
      <c r="E47" s="52">
        <f>SUMIFS(Collection!$J:$J, Collection!$A:$A, $A47, Collection!$B:$B, E$2)</f>
        <v>0</v>
      </c>
      <c r="F47" s="52">
        <f>SUMIFS(Collection!$J:$J, Collection!$A:$A, $A47, Collection!$B:$B, F$2)</f>
        <v>0</v>
      </c>
      <c r="G47" s="52">
        <f>SUMIFS(Collection!$J:$J, Collection!$A:$A, $A47, Collection!$B:$B, G$2)</f>
        <v>0</v>
      </c>
      <c r="H47" s="52">
        <f>SUMIFS(Collection!$J:$J, Collection!$A:$A, $A47, Collection!$B:$B, H$2)</f>
        <v>0</v>
      </c>
      <c r="I47" s="52">
        <f>SUMIFS(Collection!$J:$J, Collection!$A:$A, $A47, Collection!$B:$B, I$2)</f>
        <v>0</v>
      </c>
      <c r="J47" s="52">
        <f>SUMIFS(Collection!$J:$J, Collection!$A:$A, $A47, Collection!$B:$B, J$2)</f>
        <v>0</v>
      </c>
      <c r="K47" s="52">
        <f>SUMIFS(Collection!$J:$J, Collection!$A:$A, $A47, Collection!$B:$B, K$2)</f>
        <v>0</v>
      </c>
      <c r="L47" s="52">
        <f>SUMIFS(Collection!$J:$J, Collection!$A:$A, $A47, Collection!$B:$B, L$2)</f>
        <v>0</v>
      </c>
      <c r="M47" s="52">
        <f>SUMIFS(Collection!$J:$J, Collection!$A:$A, $A47, Collection!$B:$B, M$2)</f>
        <v>0</v>
      </c>
      <c r="N47" s="52">
        <f>SUMIFS(Collection!$J:$J, Collection!$A:$A, $A47, Collection!$B:$B, N$2)</f>
        <v>0</v>
      </c>
      <c r="O47" s="52">
        <f>SUMIFS(Collection!$J:$J, Collection!$A:$A, $A47, Collection!$B:$B, O$2)</f>
        <v>0</v>
      </c>
      <c r="P47" s="52">
        <f>SUMIFS(Collection!$J:$J, Collection!$A:$A, $A47, Collection!$B:$B, P$2)</f>
        <v>0</v>
      </c>
      <c r="Q47" s="52">
        <f>SUMIFS(Collection!$J:$J, Collection!$A:$A, $A47, Collection!$B:$B, Q$2)</f>
        <v>0</v>
      </c>
      <c r="R47" s="52">
        <f>SUMIFS(Collection!$J:$J, Collection!$A:$A, $A47, Collection!$B:$B, R$2)</f>
        <v>0</v>
      </c>
      <c r="S47" s="52">
        <f>SUMIFS(Collection!$J:$J, Collection!$A:$A, $A47, Collection!$B:$B, S$2)</f>
        <v>0</v>
      </c>
      <c r="T47" s="52">
        <f>SUMIFS(Collection!$J:$J, Collection!$A:$A, $A47, Collection!$B:$B, T$2)</f>
        <v>0</v>
      </c>
      <c r="U47" s="52">
        <f>SUMIFS(Collection!$J:$J, Collection!$A:$A, $A47, Collection!$B:$B, U$2)</f>
        <v>0</v>
      </c>
      <c r="V47" s="52">
        <f>SUMIFS(Collection!$J:$J, Collection!$A:$A, $A47, Collection!$B:$B, V$2)</f>
        <v>0</v>
      </c>
      <c r="W47" s="52">
        <f>SUMIFS(Collection!$J:$J, Collection!$A:$A, $A47, Collection!$B:$B, W$2)</f>
        <v>0</v>
      </c>
      <c r="X47" s="52">
        <f>SUMIFS(Collection!$J:$J, Collection!$A:$A, $A47, Collection!$B:$B, X$2)</f>
        <v>0</v>
      </c>
      <c r="Y47" s="52">
        <f>SUMIFS(Collection!$J:$J, Collection!$A:$A, $A47, Collection!$B:$B, Y$2)</f>
        <v>0</v>
      </c>
    </row>
    <row r="48" spans="1:25">
      <c r="A48" s="37">
        <f t="shared" si="0"/>
        <v>42911</v>
      </c>
      <c r="B48" s="52">
        <f>SUMIFS(Collection!$J:$J, Collection!$A:$A, $A48, Collection!$B:$B, B$2)</f>
        <v>0</v>
      </c>
      <c r="C48" s="52">
        <f>SUMIFS(Collection!$J:$J, Collection!$A:$A, $A48, Collection!$B:$B, C$2)</f>
        <v>0</v>
      </c>
      <c r="D48" s="52">
        <f>SUMIFS(Collection!$J:$J, Collection!$A:$A, $A48, Collection!$B:$B, D$2)</f>
        <v>0</v>
      </c>
      <c r="E48" s="52">
        <f>SUMIFS(Collection!$J:$J, Collection!$A:$A, $A48, Collection!$B:$B, E$2)</f>
        <v>0</v>
      </c>
      <c r="F48" s="52">
        <f>SUMIFS(Collection!$J:$J, Collection!$A:$A, $A48, Collection!$B:$B, F$2)</f>
        <v>0</v>
      </c>
      <c r="G48" s="52">
        <f>SUMIFS(Collection!$J:$J, Collection!$A:$A, $A48, Collection!$B:$B, G$2)</f>
        <v>0</v>
      </c>
      <c r="H48" s="52">
        <f>SUMIFS(Collection!$J:$J, Collection!$A:$A, $A48, Collection!$B:$B, H$2)</f>
        <v>0</v>
      </c>
      <c r="I48" s="52">
        <f>SUMIFS(Collection!$J:$J, Collection!$A:$A, $A48, Collection!$B:$B, I$2)</f>
        <v>0</v>
      </c>
      <c r="J48" s="52">
        <f>SUMIFS(Collection!$J:$J, Collection!$A:$A, $A48, Collection!$B:$B, J$2)</f>
        <v>0</v>
      </c>
      <c r="K48" s="52">
        <f>SUMIFS(Collection!$J:$J, Collection!$A:$A, $A48, Collection!$B:$B, K$2)</f>
        <v>0</v>
      </c>
      <c r="L48" s="52">
        <f>SUMIFS(Collection!$J:$J, Collection!$A:$A, $A48, Collection!$B:$B, L$2)</f>
        <v>0</v>
      </c>
      <c r="M48" s="52">
        <f>SUMIFS(Collection!$J:$J, Collection!$A:$A, $A48, Collection!$B:$B, M$2)</f>
        <v>0</v>
      </c>
      <c r="N48" s="52">
        <f>SUMIFS(Collection!$J:$J, Collection!$A:$A, $A48, Collection!$B:$B, N$2)</f>
        <v>0</v>
      </c>
      <c r="O48" s="52">
        <f>SUMIFS(Collection!$J:$J, Collection!$A:$A, $A48, Collection!$B:$B, O$2)</f>
        <v>0</v>
      </c>
      <c r="P48" s="52">
        <f>SUMIFS(Collection!$J:$J, Collection!$A:$A, $A48, Collection!$B:$B, P$2)</f>
        <v>0</v>
      </c>
      <c r="Q48" s="52">
        <f>SUMIFS(Collection!$J:$J, Collection!$A:$A, $A48, Collection!$B:$B, Q$2)</f>
        <v>0</v>
      </c>
      <c r="R48" s="52">
        <f>SUMIFS(Collection!$J:$J, Collection!$A:$A, $A48, Collection!$B:$B, R$2)</f>
        <v>0</v>
      </c>
      <c r="S48" s="52">
        <f>SUMIFS(Collection!$J:$J, Collection!$A:$A, $A48, Collection!$B:$B, S$2)</f>
        <v>0</v>
      </c>
      <c r="T48" s="52">
        <f>SUMIFS(Collection!$J:$J, Collection!$A:$A, $A48, Collection!$B:$B, T$2)</f>
        <v>0</v>
      </c>
      <c r="U48" s="52">
        <f>SUMIFS(Collection!$J:$J, Collection!$A:$A, $A48, Collection!$B:$B, U$2)</f>
        <v>0</v>
      </c>
      <c r="V48" s="52">
        <f>SUMIFS(Collection!$J:$J, Collection!$A:$A, $A48, Collection!$B:$B, V$2)</f>
        <v>0</v>
      </c>
      <c r="W48" s="52">
        <f>SUMIFS(Collection!$J:$J, Collection!$A:$A, $A48, Collection!$B:$B, W$2)</f>
        <v>0</v>
      </c>
      <c r="X48" s="52">
        <f>SUMIFS(Collection!$J:$J, Collection!$A:$A, $A48, Collection!$B:$B, X$2)</f>
        <v>0</v>
      </c>
      <c r="Y48" s="52">
        <f>SUMIFS(Collection!$J:$J, Collection!$A:$A, $A48, Collection!$B:$B, Y$2)</f>
        <v>0</v>
      </c>
    </row>
    <row r="49" spans="1:25">
      <c r="A49" s="37">
        <f t="shared" si="0"/>
        <v>42912</v>
      </c>
      <c r="B49" s="52">
        <f>SUMIFS(Collection!$J:$J, Collection!$A:$A, $A49, Collection!$B:$B, B$2)</f>
        <v>0</v>
      </c>
      <c r="C49" s="52">
        <f>SUMIFS(Collection!$J:$J, Collection!$A:$A, $A49, Collection!$B:$B, C$2)</f>
        <v>0</v>
      </c>
      <c r="D49" s="52">
        <f>SUMIFS(Collection!$J:$J, Collection!$A:$A, $A49, Collection!$B:$B, D$2)</f>
        <v>0</v>
      </c>
      <c r="E49" s="52">
        <f>SUMIFS(Collection!$J:$J, Collection!$A:$A, $A49, Collection!$B:$B, E$2)</f>
        <v>0</v>
      </c>
      <c r="F49" s="52">
        <f>SUMIFS(Collection!$J:$J, Collection!$A:$A, $A49, Collection!$B:$B, F$2)</f>
        <v>0</v>
      </c>
      <c r="G49" s="52">
        <f>SUMIFS(Collection!$J:$J, Collection!$A:$A, $A49, Collection!$B:$B, G$2)</f>
        <v>0</v>
      </c>
      <c r="H49" s="52">
        <f>SUMIFS(Collection!$J:$J, Collection!$A:$A, $A49, Collection!$B:$B, H$2)</f>
        <v>0</v>
      </c>
      <c r="I49" s="52">
        <f>SUMIFS(Collection!$J:$J, Collection!$A:$A, $A49, Collection!$B:$B, I$2)</f>
        <v>0</v>
      </c>
      <c r="J49" s="52">
        <f>SUMIFS(Collection!$J:$J, Collection!$A:$A, $A49, Collection!$B:$B, J$2)</f>
        <v>0</v>
      </c>
      <c r="K49" s="52">
        <f>SUMIFS(Collection!$J:$J, Collection!$A:$A, $A49, Collection!$B:$B, K$2)</f>
        <v>0</v>
      </c>
      <c r="L49" s="52">
        <f>SUMIFS(Collection!$J:$J, Collection!$A:$A, $A49, Collection!$B:$B, L$2)</f>
        <v>0</v>
      </c>
      <c r="M49" s="52">
        <f>SUMIFS(Collection!$J:$J, Collection!$A:$A, $A49, Collection!$B:$B, M$2)</f>
        <v>0</v>
      </c>
      <c r="N49" s="52">
        <f>SUMIFS(Collection!$J:$J, Collection!$A:$A, $A49, Collection!$B:$B, N$2)</f>
        <v>0</v>
      </c>
      <c r="O49" s="52">
        <f>SUMIFS(Collection!$J:$J, Collection!$A:$A, $A49, Collection!$B:$B, O$2)</f>
        <v>0</v>
      </c>
      <c r="P49" s="52">
        <f>SUMIFS(Collection!$J:$J, Collection!$A:$A, $A49, Collection!$B:$B, P$2)</f>
        <v>0</v>
      </c>
      <c r="Q49" s="52">
        <f>SUMIFS(Collection!$J:$J, Collection!$A:$A, $A49, Collection!$B:$B, Q$2)</f>
        <v>0</v>
      </c>
      <c r="R49" s="52">
        <f>SUMIFS(Collection!$J:$J, Collection!$A:$A, $A49, Collection!$B:$B, R$2)</f>
        <v>0</v>
      </c>
      <c r="S49" s="52">
        <f>SUMIFS(Collection!$J:$J, Collection!$A:$A, $A49, Collection!$B:$B, S$2)</f>
        <v>0</v>
      </c>
      <c r="T49" s="52">
        <f>SUMIFS(Collection!$J:$J, Collection!$A:$A, $A49, Collection!$B:$B, T$2)</f>
        <v>0</v>
      </c>
      <c r="U49" s="52">
        <f>SUMIFS(Collection!$J:$J, Collection!$A:$A, $A49, Collection!$B:$B, U$2)</f>
        <v>0</v>
      </c>
      <c r="V49" s="52">
        <f>SUMIFS(Collection!$J:$J, Collection!$A:$A, $A49, Collection!$B:$B, V$2)</f>
        <v>0</v>
      </c>
      <c r="W49" s="52">
        <f>SUMIFS(Collection!$J:$J, Collection!$A:$A, $A49, Collection!$B:$B, W$2)</f>
        <v>0</v>
      </c>
      <c r="X49" s="52">
        <f>SUMIFS(Collection!$J:$J, Collection!$A:$A, $A49, Collection!$B:$B, X$2)</f>
        <v>0</v>
      </c>
      <c r="Y49" s="52">
        <f>SUMIFS(Collection!$J:$J, Collection!$A:$A, $A49, Collection!$B:$B, Y$2)</f>
        <v>0</v>
      </c>
    </row>
    <row r="50" spans="1:25">
      <c r="A50" s="37">
        <f t="shared" si="0"/>
        <v>42913</v>
      </c>
      <c r="B50" s="52">
        <f>SUMIFS(Collection!$J:$J, Collection!$A:$A, $A50, Collection!$B:$B, B$2)</f>
        <v>0</v>
      </c>
      <c r="C50" s="52">
        <f>SUMIFS(Collection!$J:$J, Collection!$A:$A, $A50, Collection!$B:$B, C$2)</f>
        <v>0</v>
      </c>
      <c r="D50" s="52">
        <f>SUMIFS(Collection!$J:$J, Collection!$A:$A, $A50, Collection!$B:$B, D$2)</f>
        <v>0</v>
      </c>
      <c r="E50" s="52">
        <f>SUMIFS(Collection!$J:$J, Collection!$A:$A, $A50, Collection!$B:$B, E$2)</f>
        <v>0</v>
      </c>
      <c r="F50" s="52">
        <f>SUMIFS(Collection!$J:$J, Collection!$A:$A, $A50, Collection!$B:$B, F$2)</f>
        <v>0</v>
      </c>
      <c r="G50" s="52">
        <f>SUMIFS(Collection!$J:$J, Collection!$A:$A, $A50, Collection!$B:$B, G$2)</f>
        <v>0</v>
      </c>
      <c r="H50" s="52">
        <f>SUMIFS(Collection!$J:$J, Collection!$A:$A, $A50, Collection!$B:$B, H$2)</f>
        <v>0</v>
      </c>
      <c r="I50" s="52">
        <f>SUMIFS(Collection!$J:$J, Collection!$A:$A, $A50, Collection!$B:$B, I$2)</f>
        <v>0</v>
      </c>
      <c r="J50" s="52">
        <f>SUMIFS(Collection!$J:$J, Collection!$A:$A, $A50, Collection!$B:$B, J$2)</f>
        <v>0</v>
      </c>
      <c r="K50" s="52">
        <f>SUMIFS(Collection!$J:$J, Collection!$A:$A, $A50, Collection!$B:$B, K$2)</f>
        <v>0</v>
      </c>
      <c r="L50" s="52">
        <f>SUMIFS(Collection!$J:$J, Collection!$A:$A, $A50, Collection!$B:$B, L$2)</f>
        <v>0</v>
      </c>
      <c r="M50" s="52">
        <f>SUMIFS(Collection!$J:$J, Collection!$A:$A, $A50, Collection!$B:$B, M$2)</f>
        <v>0</v>
      </c>
      <c r="N50" s="52">
        <f>SUMIFS(Collection!$J:$J, Collection!$A:$A, $A50, Collection!$B:$B, N$2)</f>
        <v>0</v>
      </c>
      <c r="O50" s="52">
        <f>SUMIFS(Collection!$J:$J, Collection!$A:$A, $A50, Collection!$B:$B, O$2)</f>
        <v>0</v>
      </c>
      <c r="P50" s="52">
        <f>SUMIFS(Collection!$J:$J, Collection!$A:$A, $A50, Collection!$B:$B, P$2)</f>
        <v>0</v>
      </c>
      <c r="Q50" s="52">
        <f>SUMIFS(Collection!$J:$J, Collection!$A:$A, $A50, Collection!$B:$B, Q$2)</f>
        <v>0</v>
      </c>
      <c r="R50" s="52">
        <f>SUMIFS(Collection!$J:$J, Collection!$A:$A, $A50, Collection!$B:$B, R$2)</f>
        <v>0</v>
      </c>
      <c r="S50" s="52">
        <f>SUMIFS(Collection!$J:$J, Collection!$A:$A, $A50, Collection!$B:$B, S$2)</f>
        <v>0</v>
      </c>
      <c r="T50" s="52">
        <f>SUMIFS(Collection!$J:$J, Collection!$A:$A, $A50, Collection!$B:$B, T$2)</f>
        <v>0</v>
      </c>
      <c r="U50" s="52">
        <f>SUMIFS(Collection!$J:$J, Collection!$A:$A, $A50, Collection!$B:$B, U$2)</f>
        <v>0</v>
      </c>
      <c r="V50" s="52">
        <f>SUMIFS(Collection!$J:$J, Collection!$A:$A, $A50, Collection!$B:$B, V$2)</f>
        <v>0</v>
      </c>
      <c r="W50" s="52">
        <f>SUMIFS(Collection!$J:$J, Collection!$A:$A, $A50, Collection!$B:$B, W$2)</f>
        <v>0</v>
      </c>
      <c r="X50" s="52">
        <f>SUMIFS(Collection!$J:$J, Collection!$A:$A, $A50, Collection!$B:$B, X$2)</f>
        <v>0</v>
      </c>
      <c r="Y50" s="52">
        <f>SUMIFS(Collection!$J:$J, Collection!$A:$A, $A50, Collection!$B:$B, Y$2)</f>
        <v>0</v>
      </c>
    </row>
    <row r="51" spans="1:25">
      <c r="A51" s="37">
        <f t="shared" si="0"/>
        <v>42914</v>
      </c>
      <c r="B51" s="52">
        <f>SUMIFS(Collection!$J:$J, Collection!$A:$A, $A51, Collection!$B:$B, B$2)</f>
        <v>0</v>
      </c>
      <c r="C51" s="52">
        <f>SUMIFS(Collection!$J:$J, Collection!$A:$A, $A51, Collection!$B:$B, C$2)</f>
        <v>0</v>
      </c>
      <c r="D51" s="52">
        <f>SUMIFS(Collection!$J:$J, Collection!$A:$A, $A51, Collection!$B:$B, D$2)</f>
        <v>0</v>
      </c>
      <c r="E51" s="52">
        <f>SUMIFS(Collection!$J:$J, Collection!$A:$A, $A51, Collection!$B:$B, E$2)</f>
        <v>0</v>
      </c>
      <c r="F51" s="52">
        <f>SUMIFS(Collection!$J:$J, Collection!$A:$A, $A51, Collection!$B:$B, F$2)</f>
        <v>0</v>
      </c>
      <c r="G51" s="52">
        <f>SUMIFS(Collection!$J:$J, Collection!$A:$A, $A51, Collection!$B:$B, G$2)</f>
        <v>0</v>
      </c>
      <c r="H51" s="52">
        <f>SUMIFS(Collection!$J:$J, Collection!$A:$A, $A51, Collection!$B:$B, H$2)</f>
        <v>0</v>
      </c>
      <c r="I51" s="52">
        <f>SUMIFS(Collection!$J:$J, Collection!$A:$A, $A51, Collection!$B:$B, I$2)</f>
        <v>0</v>
      </c>
      <c r="J51" s="52">
        <f>SUMIFS(Collection!$J:$J, Collection!$A:$A, $A51, Collection!$B:$B, J$2)</f>
        <v>0</v>
      </c>
      <c r="K51" s="52">
        <f>SUMIFS(Collection!$J:$J, Collection!$A:$A, $A51, Collection!$B:$B, K$2)</f>
        <v>0</v>
      </c>
      <c r="L51" s="52">
        <f>SUMIFS(Collection!$J:$J, Collection!$A:$A, $A51, Collection!$B:$B, L$2)</f>
        <v>0</v>
      </c>
      <c r="M51" s="52">
        <f>SUMIFS(Collection!$J:$J, Collection!$A:$A, $A51, Collection!$B:$B, M$2)</f>
        <v>0</v>
      </c>
      <c r="N51" s="52">
        <f>SUMIFS(Collection!$J:$J, Collection!$A:$A, $A51, Collection!$B:$B, N$2)</f>
        <v>0</v>
      </c>
      <c r="O51" s="52">
        <f>SUMIFS(Collection!$J:$J, Collection!$A:$A, $A51, Collection!$B:$B, O$2)</f>
        <v>0</v>
      </c>
      <c r="P51" s="52">
        <f>SUMIFS(Collection!$J:$J, Collection!$A:$A, $A51, Collection!$B:$B, P$2)</f>
        <v>0</v>
      </c>
      <c r="Q51" s="52">
        <f>SUMIFS(Collection!$J:$J, Collection!$A:$A, $A51, Collection!$B:$B, Q$2)</f>
        <v>0</v>
      </c>
      <c r="R51" s="52">
        <f>SUMIFS(Collection!$J:$J, Collection!$A:$A, $A51, Collection!$B:$B, R$2)</f>
        <v>0</v>
      </c>
      <c r="S51" s="52">
        <f>SUMIFS(Collection!$J:$J, Collection!$A:$A, $A51, Collection!$B:$B, S$2)</f>
        <v>0</v>
      </c>
      <c r="T51" s="52">
        <f>SUMIFS(Collection!$J:$J, Collection!$A:$A, $A51, Collection!$B:$B, T$2)</f>
        <v>0</v>
      </c>
      <c r="U51" s="52">
        <f>SUMIFS(Collection!$J:$J, Collection!$A:$A, $A51, Collection!$B:$B, U$2)</f>
        <v>0</v>
      </c>
      <c r="V51" s="52">
        <f>SUMIFS(Collection!$J:$J, Collection!$A:$A, $A51, Collection!$B:$B, V$2)</f>
        <v>0</v>
      </c>
      <c r="W51" s="52">
        <f>SUMIFS(Collection!$J:$J, Collection!$A:$A, $A51, Collection!$B:$B, W$2)</f>
        <v>0</v>
      </c>
      <c r="X51" s="52">
        <f>SUMIFS(Collection!$J:$J, Collection!$A:$A, $A51, Collection!$B:$B, X$2)</f>
        <v>0</v>
      </c>
      <c r="Y51" s="52">
        <f>SUMIFS(Collection!$J:$J, Collection!$A:$A, $A51, Collection!$B:$B, Y$2)</f>
        <v>0</v>
      </c>
    </row>
    <row r="52" spans="1:25">
      <c r="A52" s="37">
        <f t="shared" si="0"/>
        <v>42915</v>
      </c>
      <c r="B52" s="52">
        <f>SUMIFS(Collection!$J:$J, Collection!$A:$A, $A52, Collection!$B:$B, B$2)</f>
        <v>0</v>
      </c>
      <c r="C52" s="52">
        <f>SUMIFS(Collection!$J:$J, Collection!$A:$A, $A52, Collection!$B:$B, C$2)</f>
        <v>0</v>
      </c>
      <c r="D52" s="52">
        <f>SUMIFS(Collection!$J:$J, Collection!$A:$A, $A52, Collection!$B:$B, D$2)</f>
        <v>0</v>
      </c>
      <c r="E52" s="52">
        <f>SUMIFS(Collection!$J:$J, Collection!$A:$A, $A52, Collection!$B:$B, E$2)</f>
        <v>0</v>
      </c>
      <c r="F52" s="52">
        <f>SUMIFS(Collection!$J:$J, Collection!$A:$A, $A52, Collection!$B:$B, F$2)</f>
        <v>0</v>
      </c>
      <c r="G52" s="52">
        <f>SUMIFS(Collection!$J:$J, Collection!$A:$A, $A52, Collection!$B:$B, G$2)</f>
        <v>0</v>
      </c>
      <c r="H52" s="52">
        <f>SUMIFS(Collection!$J:$J, Collection!$A:$A, $A52, Collection!$B:$B, H$2)</f>
        <v>0</v>
      </c>
      <c r="I52" s="52">
        <f>SUMIFS(Collection!$J:$J, Collection!$A:$A, $A52, Collection!$B:$B, I$2)</f>
        <v>0</v>
      </c>
      <c r="J52" s="52">
        <f>SUMIFS(Collection!$J:$J, Collection!$A:$A, $A52, Collection!$B:$B, J$2)</f>
        <v>0</v>
      </c>
      <c r="K52" s="52">
        <f>SUMIFS(Collection!$J:$J, Collection!$A:$A, $A52, Collection!$B:$B, K$2)</f>
        <v>0</v>
      </c>
      <c r="L52" s="52">
        <f>SUMIFS(Collection!$J:$J, Collection!$A:$A, $A52, Collection!$B:$B, L$2)</f>
        <v>0</v>
      </c>
      <c r="M52" s="52">
        <f>SUMIFS(Collection!$J:$J, Collection!$A:$A, $A52, Collection!$B:$B, M$2)</f>
        <v>0</v>
      </c>
      <c r="N52" s="52">
        <f>SUMIFS(Collection!$J:$J, Collection!$A:$A, $A52, Collection!$B:$B, N$2)</f>
        <v>0</v>
      </c>
      <c r="O52" s="52">
        <f>SUMIFS(Collection!$J:$J, Collection!$A:$A, $A52, Collection!$B:$B, O$2)</f>
        <v>0</v>
      </c>
      <c r="P52" s="52">
        <f>SUMIFS(Collection!$J:$J, Collection!$A:$A, $A52, Collection!$B:$B, P$2)</f>
        <v>0</v>
      </c>
      <c r="Q52" s="52">
        <f>SUMIFS(Collection!$J:$J, Collection!$A:$A, $A52, Collection!$B:$B, Q$2)</f>
        <v>0</v>
      </c>
      <c r="R52" s="52">
        <f>SUMIFS(Collection!$J:$J, Collection!$A:$A, $A52, Collection!$B:$B, R$2)</f>
        <v>0</v>
      </c>
      <c r="S52" s="52">
        <f>SUMIFS(Collection!$J:$J, Collection!$A:$A, $A52, Collection!$B:$B, S$2)</f>
        <v>0</v>
      </c>
      <c r="T52" s="52">
        <f>SUMIFS(Collection!$J:$J, Collection!$A:$A, $A52, Collection!$B:$B, T$2)</f>
        <v>0</v>
      </c>
      <c r="U52" s="52">
        <f>SUMIFS(Collection!$J:$J, Collection!$A:$A, $A52, Collection!$B:$B, U$2)</f>
        <v>0</v>
      </c>
      <c r="V52" s="52">
        <f>SUMIFS(Collection!$J:$J, Collection!$A:$A, $A52, Collection!$B:$B, V$2)</f>
        <v>0</v>
      </c>
      <c r="W52" s="52">
        <f>SUMIFS(Collection!$J:$J, Collection!$A:$A, $A52, Collection!$B:$B, W$2)</f>
        <v>0</v>
      </c>
      <c r="X52" s="52">
        <f>SUMIFS(Collection!$J:$J, Collection!$A:$A, $A52, Collection!$B:$B, X$2)</f>
        <v>0</v>
      </c>
      <c r="Y52" s="52">
        <f>SUMIFS(Collection!$J:$J, Collection!$A:$A, $A52, Collection!$B:$B, Y$2)</f>
        <v>0</v>
      </c>
    </row>
    <row r="53" spans="1:25">
      <c r="A53" s="37">
        <f t="shared" si="0"/>
        <v>42916</v>
      </c>
      <c r="B53" s="52">
        <f>SUMIFS(Collection!$J:$J, Collection!$A:$A, $A53, Collection!$B:$B, B$2)</f>
        <v>0</v>
      </c>
      <c r="C53" s="52">
        <f>SUMIFS(Collection!$J:$J, Collection!$A:$A, $A53, Collection!$B:$B, C$2)</f>
        <v>0</v>
      </c>
      <c r="D53" s="52">
        <f>SUMIFS(Collection!$J:$J, Collection!$A:$A, $A53, Collection!$B:$B, D$2)</f>
        <v>0</v>
      </c>
      <c r="E53" s="52">
        <f>SUMIFS(Collection!$J:$J, Collection!$A:$A, $A53, Collection!$B:$B, E$2)</f>
        <v>0</v>
      </c>
      <c r="F53" s="52">
        <f>SUMIFS(Collection!$J:$J, Collection!$A:$A, $A53, Collection!$B:$B, F$2)</f>
        <v>0</v>
      </c>
      <c r="G53" s="52">
        <f>SUMIFS(Collection!$J:$J, Collection!$A:$A, $A53, Collection!$B:$B, G$2)</f>
        <v>0</v>
      </c>
      <c r="H53" s="52">
        <f>SUMIFS(Collection!$J:$J, Collection!$A:$A, $A53, Collection!$B:$B, H$2)</f>
        <v>0</v>
      </c>
      <c r="I53" s="52">
        <f>SUMIFS(Collection!$J:$J, Collection!$A:$A, $A53, Collection!$B:$B, I$2)</f>
        <v>0</v>
      </c>
      <c r="J53" s="52">
        <f>SUMIFS(Collection!$J:$J, Collection!$A:$A, $A53, Collection!$B:$B, J$2)</f>
        <v>0</v>
      </c>
      <c r="K53" s="52">
        <f>SUMIFS(Collection!$J:$J, Collection!$A:$A, $A53, Collection!$B:$B, K$2)</f>
        <v>0</v>
      </c>
      <c r="L53" s="52">
        <f>SUMIFS(Collection!$J:$J, Collection!$A:$A, $A53, Collection!$B:$B, L$2)</f>
        <v>0</v>
      </c>
      <c r="M53" s="52">
        <f>SUMIFS(Collection!$J:$J, Collection!$A:$A, $A53, Collection!$B:$B, M$2)</f>
        <v>0</v>
      </c>
      <c r="N53" s="52">
        <f>SUMIFS(Collection!$J:$J, Collection!$A:$A, $A53, Collection!$B:$B, N$2)</f>
        <v>0</v>
      </c>
      <c r="O53" s="52">
        <f>SUMIFS(Collection!$J:$J, Collection!$A:$A, $A53, Collection!$B:$B, O$2)</f>
        <v>0</v>
      </c>
      <c r="P53" s="52">
        <f>SUMIFS(Collection!$J:$J, Collection!$A:$A, $A53, Collection!$B:$B, P$2)</f>
        <v>0</v>
      </c>
      <c r="Q53" s="52">
        <f>SUMIFS(Collection!$J:$J, Collection!$A:$A, $A53, Collection!$B:$B, Q$2)</f>
        <v>0</v>
      </c>
      <c r="R53" s="52">
        <f>SUMIFS(Collection!$J:$J, Collection!$A:$A, $A53, Collection!$B:$B, R$2)</f>
        <v>0</v>
      </c>
      <c r="S53" s="52">
        <f>SUMIFS(Collection!$J:$J, Collection!$A:$A, $A53, Collection!$B:$B, S$2)</f>
        <v>0</v>
      </c>
      <c r="T53" s="52">
        <f>SUMIFS(Collection!$J:$J, Collection!$A:$A, $A53, Collection!$B:$B, T$2)</f>
        <v>0</v>
      </c>
      <c r="U53" s="52">
        <f>SUMIFS(Collection!$J:$J, Collection!$A:$A, $A53, Collection!$B:$B, U$2)</f>
        <v>0</v>
      </c>
      <c r="V53" s="52">
        <f>SUMIFS(Collection!$J:$J, Collection!$A:$A, $A53, Collection!$B:$B, V$2)</f>
        <v>0</v>
      </c>
      <c r="W53" s="52">
        <f>SUMIFS(Collection!$J:$J, Collection!$A:$A, $A53, Collection!$B:$B, W$2)</f>
        <v>0</v>
      </c>
      <c r="X53" s="52">
        <f>SUMIFS(Collection!$J:$J, Collection!$A:$A, $A53, Collection!$B:$B, X$2)</f>
        <v>0</v>
      </c>
      <c r="Y53" s="52">
        <f>SUMIFS(Collection!$J:$J, Collection!$A:$A, $A53, Collection!$B:$B, Y$2)</f>
        <v>0</v>
      </c>
    </row>
    <row r="54" spans="1:25">
      <c r="A54" s="37">
        <f t="shared" si="0"/>
        <v>42917</v>
      </c>
      <c r="B54" s="52">
        <f>SUMIFS(Collection!$J:$J, Collection!$A:$A, $A54, Collection!$B:$B, B$2)</f>
        <v>0</v>
      </c>
      <c r="C54" s="52">
        <f>SUMIFS(Collection!$J:$J, Collection!$A:$A, $A54, Collection!$B:$B, C$2)</f>
        <v>0</v>
      </c>
      <c r="D54" s="52">
        <f>SUMIFS(Collection!$J:$J, Collection!$A:$A, $A54, Collection!$B:$B, D$2)</f>
        <v>0</v>
      </c>
      <c r="E54" s="52">
        <f>SUMIFS(Collection!$J:$J, Collection!$A:$A, $A54, Collection!$B:$B, E$2)</f>
        <v>0</v>
      </c>
      <c r="F54" s="52">
        <f>SUMIFS(Collection!$J:$J, Collection!$A:$A, $A54, Collection!$B:$B, F$2)</f>
        <v>0</v>
      </c>
      <c r="G54" s="52">
        <f>SUMIFS(Collection!$J:$J, Collection!$A:$A, $A54, Collection!$B:$B, G$2)</f>
        <v>0</v>
      </c>
      <c r="H54" s="52">
        <f>SUMIFS(Collection!$J:$J, Collection!$A:$A, $A54, Collection!$B:$B, H$2)</f>
        <v>0</v>
      </c>
      <c r="I54" s="52">
        <f>SUMIFS(Collection!$J:$J, Collection!$A:$A, $A54, Collection!$B:$B, I$2)</f>
        <v>0</v>
      </c>
      <c r="J54" s="52">
        <f>SUMIFS(Collection!$J:$J, Collection!$A:$A, $A54, Collection!$B:$B, J$2)</f>
        <v>0</v>
      </c>
      <c r="K54" s="52">
        <f>SUMIFS(Collection!$J:$J, Collection!$A:$A, $A54, Collection!$B:$B, K$2)</f>
        <v>0</v>
      </c>
      <c r="L54" s="52">
        <f>SUMIFS(Collection!$J:$J, Collection!$A:$A, $A54, Collection!$B:$B, L$2)</f>
        <v>0</v>
      </c>
      <c r="M54" s="52">
        <f>SUMIFS(Collection!$J:$J, Collection!$A:$A, $A54, Collection!$B:$B, M$2)</f>
        <v>0</v>
      </c>
      <c r="N54" s="52">
        <f>SUMIFS(Collection!$J:$J, Collection!$A:$A, $A54, Collection!$B:$B, N$2)</f>
        <v>0</v>
      </c>
      <c r="O54" s="52">
        <f>SUMIFS(Collection!$J:$J, Collection!$A:$A, $A54, Collection!$B:$B, O$2)</f>
        <v>0</v>
      </c>
      <c r="P54" s="52">
        <f>SUMIFS(Collection!$J:$J, Collection!$A:$A, $A54, Collection!$B:$B, P$2)</f>
        <v>0</v>
      </c>
      <c r="Q54" s="52">
        <f>SUMIFS(Collection!$J:$J, Collection!$A:$A, $A54, Collection!$B:$B, Q$2)</f>
        <v>0</v>
      </c>
      <c r="R54" s="52">
        <f>SUMIFS(Collection!$J:$J, Collection!$A:$A, $A54, Collection!$B:$B, R$2)</f>
        <v>0</v>
      </c>
      <c r="S54" s="52">
        <f>SUMIFS(Collection!$J:$J, Collection!$A:$A, $A54, Collection!$B:$B, S$2)</f>
        <v>0</v>
      </c>
      <c r="T54" s="52">
        <f>SUMIFS(Collection!$J:$J, Collection!$A:$A, $A54, Collection!$B:$B, T$2)</f>
        <v>0</v>
      </c>
      <c r="U54" s="52">
        <f>SUMIFS(Collection!$J:$J, Collection!$A:$A, $A54, Collection!$B:$B, U$2)</f>
        <v>0</v>
      </c>
      <c r="V54" s="52">
        <f>SUMIFS(Collection!$J:$J, Collection!$A:$A, $A54, Collection!$B:$B, V$2)</f>
        <v>0</v>
      </c>
      <c r="W54" s="52">
        <f>SUMIFS(Collection!$J:$J, Collection!$A:$A, $A54, Collection!$B:$B, W$2)</f>
        <v>0</v>
      </c>
      <c r="X54" s="52">
        <f>SUMIFS(Collection!$J:$J, Collection!$A:$A, $A54, Collection!$B:$B, X$2)</f>
        <v>0</v>
      </c>
      <c r="Y54" s="52">
        <f>SUMIFS(Collection!$J:$J, Collection!$A:$A, $A54, Collection!$B:$B, Y$2)</f>
        <v>0</v>
      </c>
    </row>
    <row r="55" spans="1:25">
      <c r="A55" s="37">
        <f t="shared" si="0"/>
        <v>42918</v>
      </c>
      <c r="B55" s="52">
        <f>SUMIFS(Collection!$J:$J, Collection!$A:$A, $A55, Collection!$B:$B, B$2)</f>
        <v>0</v>
      </c>
      <c r="C55" s="52">
        <f>SUMIFS(Collection!$J:$J, Collection!$A:$A, $A55, Collection!$B:$B, C$2)</f>
        <v>0</v>
      </c>
      <c r="D55" s="52">
        <f>SUMIFS(Collection!$J:$J, Collection!$A:$A, $A55, Collection!$B:$B, D$2)</f>
        <v>0</v>
      </c>
      <c r="E55" s="52">
        <f>SUMIFS(Collection!$J:$J, Collection!$A:$A, $A55, Collection!$B:$B, E$2)</f>
        <v>0</v>
      </c>
      <c r="F55" s="52">
        <f>SUMIFS(Collection!$J:$J, Collection!$A:$A, $A55, Collection!$B:$B, F$2)</f>
        <v>0</v>
      </c>
      <c r="G55" s="52">
        <f>SUMIFS(Collection!$J:$J, Collection!$A:$A, $A55, Collection!$B:$B, G$2)</f>
        <v>0</v>
      </c>
      <c r="H55" s="52">
        <f>SUMIFS(Collection!$J:$J, Collection!$A:$A, $A55, Collection!$B:$B, H$2)</f>
        <v>0</v>
      </c>
      <c r="I55" s="52">
        <f>SUMIFS(Collection!$J:$J, Collection!$A:$A, $A55, Collection!$B:$B, I$2)</f>
        <v>0</v>
      </c>
      <c r="J55" s="52">
        <f>SUMIFS(Collection!$J:$J, Collection!$A:$A, $A55, Collection!$B:$B, J$2)</f>
        <v>0</v>
      </c>
      <c r="K55" s="52">
        <f>SUMIFS(Collection!$J:$J, Collection!$A:$A, $A55, Collection!$B:$B, K$2)</f>
        <v>0</v>
      </c>
      <c r="L55" s="52">
        <f>SUMIFS(Collection!$J:$J, Collection!$A:$A, $A55, Collection!$B:$B, L$2)</f>
        <v>0</v>
      </c>
      <c r="M55" s="52">
        <f>SUMIFS(Collection!$J:$J, Collection!$A:$A, $A55, Collection!$B:$B, M$2)</f>
        <v>0</v>
      </c>
      <c r="N55" s="52">
        <f>SUMIFS(Collection!$J:$J, Collection!$A:$A, $A55, Collection!$B:$B, N$2)</f>
        <v>0</v>
      </c>
      <c r="O55" s="52">
        <f>SUMIFS(Collection!$J:$J, Collection!$A:$A, $A55, Collection!$B:$B, O$2)</f>
        <v>0</v>
      </c>
      <c r="P55" s="52">
        <f>SUMIFS(Collection!$J:$J, Collection!$A:$A, $A55, Collection!$B:$B, P$2)</f>
        <v>0</v>
      </c>
      <c r="Q55" s="52">
        <f>SUMIFS(Collection!$J:$J, Collection!$A:$A, $A55, Collection!$B:$B, Q$2)</f>
        <v>0</v>
      </c>
      <c r="R55" s="52">
        <f>SUMIFS(Collection!$J:$J, Collection!$A:$A, $A55, Collection!$B:$B, R$2)</f>
        <v>0</v>
      </c>
      <c r="S55" s="52">
        <f>SUMIFS(Collection!$J:$J, Collection!$A:$A, $A55, Collection!$B:$B, S$2)</f>
        <v>0</v>
      </c>
      <c r="T55" s="52">
        <f>SUMIFS(Collection!$J:$J, Collection!$A:$A, $A55, Collection!$B:$B, T$2)</f>
        <v>0</v>
      </c>
      <c r="U55" s="52">
        <f>SUMIFS(Collection!$J:$J, Collection!$A:$A, $A55, Collection!$B:$B, U$2)</f>
        <v>0</v>
      </c>
      <c r="V55" s="52">
        <f>SUMIFS(Collection!$J:$J, Collection!$A:$A, $A55, Collection!$B:$B, V$2)</f>
        <v>0</v>
      </c>
      <c r="W55" s="52">
        <f>SUMIFS(Collection!$J:$J, Collection!$A:$A, $A55, Collection!$B:$B, W$2)</f>
        <v>0</v>
      </c>
      <c r="X55" s="52">
        <f>SUMIFS(Collection!$J:$J, Collection!$A:$A, $A55, Collection!$B:$B, X$2)</f>
        <v>0</v>
      </c>
      <c r="Y55" s="52">
        <f>SUMIFS(Collection!$J:$J, Collection!$A:$A, $A55, Collection!$B:$B, Y$2)</f>
        <v>0</v>
      </c>
    </row>
    <row r="56" spans="1:25">
      <c r="A56" s="37">
        <f t="shared" si="0"/>
        <v>42919</v>
      </c>
      <c r="B56" s="52">
        <f>SUMIFS(Collection!$J:$J, Collection!$A:$A, $A56, Collection!$B:$B, B$2)</f>
        <v>0</v>
      </c>
      <c r="C56" s="52">
        <f>SUMIFS(Collection!$J:$J, Collection!$A:$A, $A56, Collection!$B:$B, C$2)</f>
        <v>0</v>
      </c>
      <c r="D56" s="52">
        <f>SUMIFS(Collection!$J:$J, Collection!$A:$A, $A56, Collection!$B:$B, D$2)</f>
        <v>0</v>
      </c>
      <c r="E56" s="52">
        <f>SUMIFS(Collection!$J:$J, Collection!$A:$A, $A56, Collection!$B:$B, E$2)</f>
        <v>0</v>
      </c>
      <c r="F56" s="52">
        <f>SUMIFS(Collection!$J:$J, Collection!$A:$A, $A56, Collection!$B:$B, F$2)</f>
        <v>0</v>
      </c>
      <c r="G56" s="52">
        <f>SUMIFS(Collection!$J:$J, Collection!$A:$A, $A56, Collection!$B:$B, G$2)</f>
        <v>0</v>
      </c>
      <c r="H56" s="52">
        <f>SUMIFS(Collection!$J:$J, Collection!$A:$A, $A56, Collection!$B:$B, H$2)</f>
        <v>0</v>
      </c>
      <c r="I56" s="52">
        <f>SUMIFS(Collection!$J:$J, Collection!$A:$A, $A56, Collection!$B:$B, I$2)</f>
        <v>0</v>
      </c>
      <c r="J56" s="52">
        <f>SUMIFS(Collection!$J:$J, Collection!$A:$A, $A56, Collection!$B:$B, J$2)</f>
        <v>0</v>
      </c>
      <c r="K56" s="52">
        <f>SUMIFS(Collection!$J:$J, Collection!$A:$A, $A56, Collection!$B:$B, K$2)</f>
        <v>0</v>
      </c>
      <c r="L56" s="52">
        <f>SUMIFS(Collection!$J:$J, Collection!$A:$A, $A56, Collection!$B:$B, L$2)</f>
        <v>0</v>
      </c>
      <c r="M56" s="52">
        <f>SUMIFS(Collection!$J:$J, Collection!$A:$A, $A56, Collection!$B:$B, M$2)</f>
        <v>0</v>
      </c>
      <c r="N56" s="52">
        <f>SUMIFS(Collection!$J:$J, Collection!$A:$A, $A56, Collection!$B:$B, N$2)</f>
        <v>0</v>
      </c>
      <c r="O56" s="52">
        <f>SUMIFS(Collection!$J:$J, Collection!$A:$A, $A56, Collection!$B:$B, O$2)</f>
        <v>0</v>
      </c>
      <c r="P56" s="52">
        <f>SUMIFS(Collection!$J:$J, Collection!$A:$A, $A56, Collection!$B:$B, P$2)</f>
        <v>0</v>
      </c>
      <c r="Q56" s="52">
        <f>SUMIFS(Collection!$J:$J, Collection!$A:$A, $A56, Collection!$B:$B, Q$2)</f>
        <v>0</v>
      </c>
      <c r="R56" s="52">
        <f>SUMIFS(Collection!$J:$J, Collection!$A:$A, $A56, Collection!$B:$B, R$2)</f>
        <v>0</v>
      </c>
      <c r="S56" s="52">
        <f>SUMIFS(Collection!$J:$J, Collection!$A:$A, $A56, Collection!$B:$B, S$2)</f>
        <v>0</v>
      </c>
      <c r="T56" s="52">
        <f>SUMIFS(Collection!$J:$J, Collection!$A:$A, $A56, Collection!$B:$B, T$2)</f>
        <v>0</v>
      </c>
      <c r="U56" s="52">
        <f>SUMIFS(Collection!$J:$J, Collection!$A:$A, $A56, Collection!$B:$B, U$2)</f>
        <v>0</v>
      </c>
      <c r="V56" s="52">
        <f>SUMIFS(Collection!$J:$J, Collection!$A:$A, $A56, Collection!$B:$B, V$2)</f>
        <v>0</v>
      </c>
      <c r="W56" s="52">
        <f>SUMIFS(Collection!$J:$J, Collection!$A:$A, $A56, Collection!$B:$B, W$2)</f>
        <v>0</v>
      </c>
      <c r="X56" s="52">
        <f>SUMIFS(Collection!$J:$J, Collection!$A:$A, $A56, Collection!$B:$B, X$2)</f>
        <v>0</v>
      </c>
      <c r="Y56" s="52">
        <f>SUMIFS(Collection!$J:$J, Collection!$A:$A, $A56, Collection!$B:$B, Y$2)</f>
        <v>0</v>
      </c>
    </row>
    <row r="57" spans="1:25">
      <c r="A57" s="37">
        <f t="shared" si="0"/>
        <v>42920</v>
      </c>
      <c r="B57" s="52">
        <f>SUMIFS(Collection!$J:$J, Collection!$A:$A, $A57, Collection!$B:$B, B$2)</f>
        <v>0</v>
      </c>
      <c r="C57" s="52">
        <f>SUMIFS(Collection!$J:$J, Collection!$A:$A, $A57, Collection!$B:$B, C$2)</f>
        <v>0</v>
      </c>
      <c r="D57" s="52">
        <f>SUMIFS(Collection!$J:$J, Collection!$A:$A, $A57, Collection!$B:$B, D$2)</f>
        <v>0</v>
      </c>
      <c r="E57" s="52">
        <f>SUMIFS(Collection!$J:$J, Collection!$A:$A, $A57, Collection!$B:$B, E$2)</f>
        <v>0</v>
      </c>
      <c r="F57" s="52">
        <f>SUMIFS(Collection!$J:$J, Collection!$A:$A, $A57, Collection!$B:$B, F$2)</f>
        <v>0</v>
      </c>
      <c r="G57" s="52">
        <f>SUMIFS(Collection!$J:$J, Collection!$A:$A, $A57, Collection!$B:$B, G$2)</f>
        <v>0</v>
      </c>
      <c r="H57" s="52">
        <f>SUMIFS(Collection!$J:$J, Collection!$A:$A, $A57, Collection!$B:$B, H$2)</f>
        <v>0</v>
      </c>
      <c r="I57" s="52">
        <f>SUMIFS(Collection!$J:$J, Collection!$A:$A, $A57, Collection!$B:$B, I$2)</f>
        <v>0</v>
      </c>
      <c r="J57" s="52">
        <f>SUMIFS(Collection!$J:$J, Collection!$A:$A, $A57, Collection!$B:$B, J$2)</f>
        <v>0</v>
      </c>
      <c r="K57" s="52">
        <f>SUMIFS(Collection!$J:$J, Collection!$A:$A, $A57, Collection!$B:$B, K$2)</f>
        <v>0</v>
      </c>
      <c r="L57" s="52">
        <f>SUMIFS(Collection!$J:$J, Collection!$A:$A, $A57, Collection!$B:$B, L$2)</f>
        <v>0</v>
      </c>
      <c r="M57" s="52">
        <f>SUMIFS(Collection!$J:$J, Collection!$A:$A, $A57, Collection!$B:$B, M$2)</f>
        <v>0</v>
      </c>
      <c r="N57" s="52">
        <f>SUMIFS(Collection!$J:$J, Collection!$A:$A, $A57, Collection!$B:$B, N$2)</f>
        <v>0</v>
      </c>
      <c r="O57" s="52">
        <f>SUMIFS(Collection!$J:$J, Collection!$A:$A, $A57, Collection!$B:$B, O$2)</f>
        <v>0</v>
      </c>
      <c r="P57" s="52">
        <f>SUMIFS(Collection!$J:$J, Collection!$A:$A, $A57, Collection!$B:$B, P$2)</f>
        <v>0</v>
      </c>
      <c r="Q57" s="52">
        <f>SUMIFS(Collection!$J:$J, Collection!$A:$A, $A57, Collection!$B:$B, Q$2)</f>
        <v>0</v>
      </c>
      <c r="R57" s="52">
        <f>SUMIFS(Collection!$J:$J, Collection!$A:$A, $A57, Collection!$B:$B, R$2)</f>
        <v>0</v>
      </c>
      <c r="S57" s="52">
        <f>SUMIFS(Collection!$J:$J, Collection!$A:$A, $A57, Collection!$B:$B, S$2)</f>
        <v>0</v>
      </c>
      <c r="T57" s="52">
        <f>SUMIFS(Collection!$J:$J, Collection!$A:$A, $A57, Collection!$B:$B, T$2)</f>
        <v>0</v>
      </c>
      <c r="U57" s="52">
        <f>SUMIFS(Collection!$J:$J, Collection!$A:$A, $A57, Collection!$B:$B, U$2)</f>
        <v>0</v>
      </c>
      <c r="V57" s="52">
        <f>SUMIFS(Collection!$J:$J, Collection!$A:$A, $A57, Collection!$B:$B, V$2)</f>
        <v>0</v>
      </c>
      <c r="W57" s="52">
        <f>SUMIFS(Collection!$J:$J, Collection!$A:$A, $A57, Collection!$B:$B, W$2)</f>
        <v>0</v>
      </c>
      <c r="X57" s="52">
        <f>SUMIFS(Collection!$J:$J, Collection!$A:$A, $A57, Collection!$B:$B, X$2)</f>
        <v>0</v>
      </c>
      <c r="Y57" s="52">
        <f>SUMIFS(Collection!$J:$J, Collection!$A:$A, $A57, Collection!$B:$B, Y$2)</f>
        <v>0</v>
      </c>
    </row>
    <row r="58" spans="1:25">
      <c r="A58" s="37">
        <f t="shared" si="0"/>
        <v>42921</v>
      </c>
      <c r="B58" s="52">
        <f>SUMIFS(Collection!$J:$J, Collection!$A:$A, $A58, Collection!$B:$B, B$2)</f>
        <v>0</v>
      </c>
      <c r="C58" s="52">
        <f>SUMIFS(Collection!$J:$J, Collection!$A:$A, $A58, Collection!$B:$B, C$2)</f>
        <v>0</v>
      </c>
      <c r="D58" s="52">
        <f>SUMIFS(Collection!$J:$J, Collection!$A:$A, $A58, Collection!$B:$B, D$2)</f>
        <v>0</v>
      </c>
      <c r="E58" s="52">
        <f>SUMIFS(Collection!$J:$J, Collection!$A:$A, $A58, Collection!$B:$B, E$2)</f>
        <v>0</v>
      </c>
      <c r="F58" s="52">
        <f>SUMIFS(Collection!$J:$J, Collection!$A:$A, $A58, Collection!$B:$B, F$2)</f>
        <v>0</v>
      </c>
      <c r="G58" s="52">
        <f>SUMIFS(Collection!$J:$J, Collection!$A:$A, $A58, Collection!$B:$B, G$2)</f>
        <v>0</v>
      </c>
      <c r="H58" s="52">
        <f>SUMIFS(Collection!$J:$J, Collection!$A:$A, $A58, Collection!$B:$B, H$2)</f>
        <v>0</v>
      </c>
      <c r="I58" s="52">
        <f>SUMIFS(Collection!$J:$J, Collection!$A:$A, $A58, Collection!$B:$B, I$2)</f>
        <v>0</v>
      </c>
      <c r="J58" s="52">
        <f>SUMIFS(Collection!$J:$J, Collection!$A:$A, $A58, Collection!$B:$B, J$2)</f>
        <v>0</v>
      </c>
      <c r="K58" s="52">
        <f>SUMIFS(Collection!$J:$J, Collection!$A:$A, $A58, Collection!$B:$B, K$2)</f>
        <v>0</v>
      </c>
      <c r="L58" s="52">
        <f>SUMIFS(Collection!$J:$J, Collection!$A:$A, $A58, Collection!$B:$B, L$2)</f>
        <v>0</v>
      </c>
      <c r="M58" s="52">
        <f>SUMIFS(Collection!$J:$J, Collection!$A:$A, $A58, Collection!$B:$B, M$2)</f>
        <v>0</v>
      </c>
      <c r="N58" s="52">
        <f>SUMIFS(Collection!$J:$J, Collection!$A:$A, $A58, Collection!$B:$B, N$2)</f>
        <v>0</v>
      </c>
      <c r="O58" s="52">
        <f>SUMIFS(Collection!$J:$J, Collection!$A:$A, $A58, Collection!$B:$B, O$2)</f>
        <v>0</v>
      </c>
      <c r="P58" s="52">
        <f>SUMIFS(Collection!$J:$J, Collection!$A:$A, $A58, Collection!$B:$B, P$2)</f>
        <v>0</v>
      </c>
      <c r="Q58" s="52">
        <f>SUMIFS(Collection!$J:$J, Collection!$A:$A, $A58, Collection!$B:$B, Q$2)</f>
        <v>0</v>
      </c>
      <c r="R58" s="52">
        <f>SUMIFS(Collection!$J:$J, Collection!$A:$A, $A58, Collection!$B:$B, R$2)</f>
        <v>0</v>
      </c>
      <c r="S58" s="52">
        <f>SUMIFS(Collection!$J:$J, Collection!$A:$A, $A58, Collection!$B:$B, S$2)</f>
        <v>0</v>
      </c>
      <c r="T58" s="52">
        <f>SUMIFS(Collection!$J:$J, Collection!$A:$A, $A58, Collection!$B:$B, T$2)</f>
        <v>0</v>
      </c>
      <c r="U58" s="52">
        <f>SUMIFS(Collection!$J:$J, Collection!$A:$A, $A58, Collection!$B:$B, U$2)</f>
        <v>0</v>
      </c>
      <c r="V58" s="52">
        <f>SUMIFS(Collection!$J:$J, Collection!$A:$A, $A58, Collection!$B:$B, V$2)</f>
        <v>0</v>
      </c>
      <c r="W58" s="52">
        <f>SUMIFS(Collection!$J:$J, Collection!$A:$A, $A58, Collection!$B:$B, W$2)</f>
        <v>0</v>
      </c>
      <c r="X58" s="52">
        <f>SUMIFS(Collection!$J:$J, Collection!$A:$A, $A58, Collection!$B:$B, X$2)</f>
        <v>0</v>
      </c>
      <c r="Y58" s="52">
        <f>SUMIFS(Collection!$J:$J, Collection!$A:$A, $A58, Collection!$B:$B, Y$2)</f>
        <v>0</v>
      </c>
    </row>
    <row r="59" spans="1:25">
      <c r="A59" s="37">
        <f t="shared" si="0"/>
        <v>42922</v>
      </c>
      <c r="B59" s="52">
        <f>SUMIFS(Collection!$J:$J, Collection!$A:$A, $A59, Collection!$B:$B, B$2)</f>
        <v>0</v>
      </c>
      <c r="C59" s="52">
        <f>SUMIFS(Collection!$J:$J, Collection!$A:$A, $A59, Collection!$B:$B, C$2)</f>
        <v>0</v>
      </c>
      <c r="D59" s="52">
        <f>SUMIFS(Collection!$J:$J, Collection!$A:$A, $A59, Collection!$B:$B, D$2)</f>
        <v>0</v>
      </c>
      <c r="E59" s="52">
        <f>SUMIFS(Collection!$J:$J, Collection!$A:$A, $A59, Collection!$B:$B, E$2)</f>
        <v>0</v>
      </c>
      <c r="F59" s="52">
        <f>SUMIFS(Collection!$J:$J, Collection!$A:$A, $A59, Collection!$B:$B, F$2)</f>
        <v>0</v>
      </c>
      <c r="G59" s="52">
        <f>SUMIFS(Collection!$J:$J, Collection!$A:$A, $A59, Collection!$B:$B, G$2)</f>
        <v>0</v>
      </c>
      <c r="H59" s="52">
        <f>SUMIFS(Collection!$J:$J, Collection!$A:$A, $A59, Collection!$B:$B, H$2)</f>
        <v>0</v>
      </c>
      <c r="I59" s="52">
        <f>SUMIFS(Collection!$J:$J, Collection!$A:$A, $A59, Collection!$B:$B, I$2)</f>
        <v>0</v>
      </c>
      <c r="J59" s="52">
        <f>SUMIFS(Collection!$J:$J, Collection!$A:$A, $A59, Collection!$B:$B, J$2)</f>
        <v>0</v>
      </c>
      <c r="K59" s="52">
        <f>SUMIFS(Collection!$J:$J, Collection!$A:$A, $A59, Collection!$B:$B, K$2)</f>
        <v>0</v>
      </c>
      <c r="L59" s="52">
        <f>SUMIFS(Collection!$J:$J, Collection!$A:$A, $A59, Collection!$B:$B, L$2)</f>
        <v>0</v>
      </c>
      <c r="M59" s="52">
        <f>SUMIFS(Collection!$J:$J, Collection!$A:$A, $A59, Collection!$B:$B, M$2)</f>
        <v>0</v>
      </c>
      <c r="N59" s="52">
        <f>SUMIFS(Collection!$J:$J, Collection!$A:$A, $A59, Collection!$B:$B, N$2)</f>
        <v>0</v>
      </c>
      <c r="O59" s="52">
        <f>SUMIFS(Collection!$J:$J, Collection!$A:$A, $A59, Collection!$B:$B, O$2)</f>
        <v>0</v>
      </c>
      <c r="P59" s="52">
        <f>SUMIFS(Collection!$J:$J, Collection!$A:$A, $A59, Collection!$B:$B, P$2)</f>
        <v>0</v>
      </c>
      <c r="Q59" s="52">
        <f>SUMIFS(Collection!$J:$J, Collection!$A:$A, $A59, Collection!$B:$B, Q$2)</f>
        <v>0</v>
      </c>
      <c r="R59" s="52">
        <f>SUMIFS(Collection!$J:$J, Collection!$A:$A, $A59, Collection!$B:$B, R$2)</f>
        <v>0</v>
      </c>
      <c r="S59" s="52">
        <f>SUMIFS(Collection!$J:$J, Collection!$A:$A, $A59, Collection!$B:$B, S$2)</f>
        <v>0</v>
      </c>
      <c r="T59" s="52">
        <f>SUMIFS(Collection!$J:$J, Collection!$A:$A, $A59, Collection!$B:$B, T$2)</f>
        <v>0</v>
      </c>
      <c r="U59" s="52">
        <f>SUMIFS(Collection!$J:$J, Collection!$A:$A, $A59, Collection!$B:$B, U$2)</f>
        <v>0</v>
      </c>
      <c r="V59" s="52">
        <f>SUMIFS(Collection!$J:$J, Collection!$A:$A, $A59, Collection!$B:$B, V$2)</f>
        <v>0</v>
      </c>
      <c r="W59" s="52">
        <f>SUMIFS(Collection!$J:$J, Collection!$A:$A, $A59, Collection!$B:$B, W$2)</f>
        <v>0</v>
      </c>
      <c r="X59" s="52">
        <f>SUMIFS(Collection!$J:$J, Collection!$A:$A, $A59, Collection!$B:$B, X$2)</f>
        <v>0</v>
      </c>
      <c r="Y59" s="52">
        <f>SUMIFS(Collection!$J:$J, Collection!$A:$A, $A59, Collection!$B:$B, Y$2)</f>
        <v>0</v>
      </c>
    </row>
    <row r="60" spans="1:25">
      <c r="A60" s="37">
        <f t="shared" si="0"/>
        <v>42923</v>
      </c>
      <c r="B60" s="52">
        <f>SUMIFS(Collection!$J:$J, Collection!$A:$A, $A60, Collection!$B:$B, B$2)</f>
        <v>0</v>
      </c>
      <c r="C60" s="52">
        <f>SUMIFS(Collection!$J:$J, Collection!$A:$A, $A60, Collection!$B:$B, C$2)</f>
        <v>0</v>
      </c>
      <c r="D60" s="52">
        <f>SUMIFS(Collection!$J:$J, Collection!$A:$A, $A60, Collection!$B:$B, D$2)</f>
        <v>0</v>
      </c>
      <c r="E60" s="52">
        <f>SUMIFS(Collection!$J:$J, Collection!$A:$A, $A60, Collection!$B:$B, E$2)</f>
        <v>0</v>
      </c>
      <c r="F60" s="52">
        <f>SUMIFS(Collection!$J:$J, Collection!$A:$A, $A60, Collection!$B:$B, F$2)</f>
        <v>0</v>
      </c>
      <c r="G60" s="52">
        <f>SUMIFS(Collection!$J:$J, Collection!$A:$A, $A60, Collection!$B:$B, G$2)</f>
        <v>0</v>
      </c>
      <c r="H60" s="52">
        <f>SUMIFS(Collection!$J:$J, Collection!$A:$A, $A60, Collection!$B:$B, H$2)</f>
        <v>0</v>
      </c>
      <c r="I60" s="52">
        <f>SUMIFS(Collection!$J:$J, Collection!$A:$A, $A60, Collection!$B:$B, I$2)</f>
        <v>0</v>
      </c>
      <c r="J60" s="52">
        <f>SUMIFS(Collection!$J:$J, Collection!$A:$A, $A60, Collection!$B:$B, J$2)</f>
        <v>0</v>
      </c>
      <c r="K60" s="52">
        <f>SUMIFS(Collection!$J:$J, Collection!$A:$A, $A60, Collection!$B:$B, K$2)</f>
        <v>0</v>
      </c>
      <c r="L60" s="52">
        <f>SUMIFS(Collection!$J:$J, Collection!$A:$A, $A60, Collection!$B:$B, L$2)</f>
        <v>0</v>
      </c>
      <c r="M60" s="52">
        <f>SUMIFS(Collection!$J:$J, Collection!$A:$A, $A60, Collection!$B:$B, M$2)</f>
        <v>0</v>
      </c>
      <c r="N60" s="52">
        <f>SUMIFS(Collection!$J:$J, Collection!$A:$A, $A60, Collection!$B:$B, N$2)</f>
        <v>0</v>
      </c>
      <c r="O60" s="52">
        <f>SUMIFS(Collection!$J:$J, Collection!$A:$A, $A60, Collection!$B:$B, O$2)</f>
        <v>0</v>
      </c>
      <c r="P60" s="52">
        <f>SUMIFS(Collection!$J:$J, Collection!$A:$A, $A60, Collection!$B:$B, P$2)</f>
        <v>0</v>
      </c>
      <c r="Q60" s="52">
        <f>SUMIFS(Collection!$J:$J, Collection!$A:$A, $A60, Collection!$B:$B, Q$2)</f>
        <v>0</v>
      </c>
      <c r="R60" s="52">
        <f>SUMIFS(Collection!$J:$J, Collection!$A:$A, $A60, Collection!$B:$B, R$2)</f>
        <v>0</v>
      </c>
      <c r="S60" s="52">
        <f>SUMIFS(Collection!$J:$J, Collection!$A:$A, $A60, Collection!$B:$B, S$2)</f>
        <v>0</v>
      </c>
      <c r="T60" s="52">
        <f>SUMIFS(Collection!$J:$J, Collection!$A:$A, $A60, Collection!$B:$B, T$2)</f>
        <v>0</v>
      </c>
      <c r="U60" s="52">
        <f>SUMIFS(Collection!$J:$J, Collection!$A:$A, $A60, Collection!$B:$B, U$2)</f>
        <v>0</v>
      </c>
      <c r="V60" s="52">
        <f>SUMIFS(Collection!$J:$J, Collection!$A:$A, $A60, Collection!$B:$B, V$2)</f>
        <v>0</v>
      </c>
      <c r="W60" s="52">
        <f>SUMIFS(Collection!$J:$J, Collection!$A:$A, $A60, Collection!$B:$B, W$2)</f>
        <v>0</v>
      </c>
      <c r="X60" s="52">
        <f>SUMIFS(Collection!$J:$J, Collection!$A:$A, $A60, Collection!$B:$B, X$2)</f>
        <v>0</v>
      </c>
      <c r="Y60" s="52">
        <f>SUMIFS(Collection!$J:$J, Collection!$A:$A, $A60, Collection!$B:$B, Y$2)</f>
        <v>0</v>
      </c>
    </row>
    <row r="61" spans="1:25">
      <c r="A61" s="37">
        <f t="shared" si="0"/>
        <v>42924</v>
      </c>
      <c r="B61" s="52">
        <f>SUMIFS(Collection!$J:$J, Collection!$A:$A, $A61, Collection!$B:$B, B$2)</f>
        <v>0</v>
      </c>
      <c r="C61" s="52">
        <f>SUMIFS(Collection!$J:$J, Collection!$A:$A, $A61, Collection!$B:$B, C$2)</f>
        <v>0</v>
      </c>
      <c r="D61" s="52">
        <f>SUMIFS(Collection!$J:$J, Collection!$A:$A, $A61, Collection!$B:$B, D$2)</f>
        <v>0</v>
      </c>
      <c r="E61" s="52">
        <f>SUMIFS(Collection!$J:$J, Collection!$A:$A, $A61, Collection!$B:$B, E$2)</f>
        <v>0</v>
      </c>
      <c r="F61" s="52">
        <f>SUMIFS(Collection!$J:$J, Collection!$A:$A, $A61, Collection!$B:$B, F$2)</f>
        <v>0</v>
      </c>
      <c r="G61" s="52">
        <f>SUMIFS(Collection!$J:$J, Collection!$A:$A, $A61, Collection!$B:$B, G$2)</f>
        <v>0</v>
      </c>
      <c r="H61" s="52">
        <f>SUMIFS(Collection!$J:$J, Collection!$A:$A, $A61, Collection!$B:$B, H$2)</f>
        <v>0</v>
      </c>
      <c r="I61" s="52">
        <f>SUMIFS(Collection!$J:$J, Collection!$A:$A, $A61, Collection!$B:$B, I$2)</f>
        <v>0</v>
      </c>
      <c r="J61" s="52">
        <f>SUMIFS(Collection!$J:$J, Collection!$A:$A, $A61, Collection!$B:$B, J$2)</f>
        <v>0</v>
      </c>
      <c r="K61" s="52">
        <f>SUMIFS(Collection!$J:$J, Collection!$A:$A, $A61, Collection!$B:$B, K$2)</f>
        <v>0</v>
      </c>
      <c r="L61" s="52">
        <f>SUMIFS(Collection!$J:$J, Collection!$A:$A, $A61, Collection!$B:$B, L$2)</f>
        <v>0</v>
      </c>
      <c r="M61" s="52">
        <f>SUMIFS(Collection!$J:$J, Collection!$A:$A, $A61, Collection!$B:$B, M$2)</f>
        <v>0</v>
      </c>
      <c r="N61" s="52">
        <f>SUMIFS(Collection!$J:$J, Collection!$A:$A, $A61, Collection!$B:$B, N$2)</f>
        <v>0</v>
      </c>
      <c r="O61" s="52">
        <f>SUMIFS(Collection!$J:$J, Collection!$A:$A, $A61, Collection!$B:$B, O$2)</f>
        <v>0</v>
      </c>
      <c r="P61" s="52">
        <f>SUMIFS(Collection!$J:$J, Collection!$A:$A, $A61, Collection!$B:$B, P$2)</f>
        <v>0</v>
      </c>
      <c r="Q61" s="52">
        <f>SUMIFS(Collection!$J:$J, Collection!$A:$A, $A61, Collection!$B:$B, Q$2)</f>
        <v>0</v>
      </c>
      <c r="R61" s="52">
        <f>SUMIFS(Collection!$J:$J, Collection!$A:$A, $A61, Collection!$B:$B, R$2)</f>
        <v>0</v>
      </c>
      <c r="S61" s="52">
        <f>SUMIFS(Collection!$J:$J, Collection!$A:$A, $A61, Collection!$B:$B, S$2)</f>
        <v>0</v>
      </c>
      <c r="T61" s="52">
        <f>SUMIFS(Collection!$J:$J, Collection!$A:$A, $A61, Collection!$B:$B, T$2)</f>
        <v>0</v>
      </c>
      <c r="U61" s="52">
        <f>SUMIFS(Collection!$J:$J, Collection!$A:$A, $A61, Collection!$B:$B, U$2)</f>
        <v>0</v>
      </c>
      <c r="V61" s="52">
        <f>SUMIFS(Collection!$J:$J, Collection!$A:$A, $A61, Collection!$B:$B, V$2)</f>
        <v>0</v>
      </c>
      <c r="W61" s="52">
        <f>SUMIFS(Collection!$J:$J, Collection!$A:$A, $A61, Collection!$B:$B, W$2)</f>
        <v>0</v>
      </c>
      <c r="X61" s="52">
        <f>SUMIFS(Collection!$J:$J, Collection!$A:$A, $A61, Collection!$B:$B, X$2)</f>
        <v>0</v>
      </c>
      <c r="Y61" s="52">
        <f>SUMIFS(Collection!$J:$J, Collection!$A:$A, $A61, Collection!$B:$B, Y$2)</f>
        <v>0</v>
      </c>
    </row>
    <row r="62" spans="1:25">
      <c r="A62" s="37">
        <f t="shared" si="0"/>
        <v>42925</v>
      </c>
      <c r="B62" s="52">
        <f>SUMIFS(Collection!$J:$J, Collection!$A:$A, $A62, Collection!$B:$B, B$2)</f>
        <v>0</v>
      </c>
      <c r="C62" s="52">
        <f>SUMIFS(Collection!$J:$J, Collection!$A:$A, $A62, Collection!$B:$B, C$2)</f>
        <v>0</v>
      </c>
      <c r="D62" s="52">
        <f>SUMIFS(Collection!$J:$J, Collection!$A:$A, $A62, Collection!$B:$B, D$2)</f>
        <v>0</v>
      </c>
      <c r="E62" s="52">
        <f>SUMIFS(Collection!$J:$J, Collection!$A:$A, $A62, Collection!$B:$B, E$2)</f>
        <v>0</v>
      </c>
      <c r="F62" s="52">
        <f>SUMIFS(Collection!$J:$J, Collection!$A:$A, $A62, Collection!$B:$B, F$2)</f>
        <v>0</v>
      </c>
      <c r="G62" s="52">
        <f>SUMIFS(Collection!$J:$J, Collection!$A:$A, $A62, Collection!$B:$B, G$2)</f>
        <v>0</v>
      </c>
      <c r="H62" s="52">
        <f>SUMIFS(Collection!$J:$J, Collection!$A:$A, $A62, Collection!$B:$B, H$2)</f>
        <v>0</v>
      </c>
      <c r="I62" s="52">
        <f>SUMIFS(Collection!$J:$J, Collection!$A:$A, $A62, Collection!$B:$B, I$2)</f>
        <v>0</v>
      </c>
      <c r="J62" s="52">
        <f>SUMIFS(Collection!$J:$J, Collection!$A:$A, $A62, Collection!$B:$B, J$2)</f>
        <v>0</v>
      </c>
      <c r="K62" s="52">
        <f>SUMIFS(Collection!$J:$J, Collection!$A:$A, $A62, Collection!$B:$B, K$2)</f>
        <v>0</v>
      </c>
      <c r="L62" s="52">
        <f>SUMIFS(Collection!$J:$J, Collection!$A:$A, $A62, Collection!$B:$B, L$2)</f>
        <v>0</v>
      </c>
      <c r="M62" s="52">
        <f>SUMIFS(Collection!$J:$J, Collection!$A:$A, $A62, Collection!$B:$B, M$2)</f>
        <v>0</v>
      </c>
      <c r="N62" s="52">
        <f>SUMIFS(Collection!$J:$J, Collection!$A:$A, $A62, Collection!$B:$B, N$2)</f>
        <v>0</v>
      </c>
      <c r="O62" s="52">
        <f>SUMIFS(Collection!$J:$J, Collection!$A:$A, $A62, Collection!$B:$B, O$2)</f>
        <v>0</v>
      </c>
      <c r="P62" s="52">
        <f>SUMIFS(Collection!$J:$J, Collection!$A:$A, $A62, Collection!$B:$B, P$2)</f>
        <v>0</v>
      </c>
      <c r="Q62" s="52">
        <f>SUMIFS(Collection!$J:$J, Collection!$A:$A, $A62, Collection!$B:$B, Q$2)</f>
        <v>0</v>
      </c>
      <c r="R62" s="52">
        <f>SUMIFS(Collection!$J:$J, Collection!$A:$A, $A62, Collection!$B:$B, R$2)</f>
        <v>0</v>
      </c>
      <c r="S62" s="52">
        <f>SUMIFS(Collection!$J:$J, Collection!$A:$A, $A62, Collection!$B:$B, S$2)</f>
        <v>0</v>
      </c>
      <c r="T62" s="52">
        <f>SUMIFS(Collection!$J:$J, Collection!$A:$A, $A62, Collection!$B:$B, T$2)</f>
        <v>0</v>
      </c>
      <c r="U62" s="52">
        <f>SUMIFS(Collection!$J:$J, Collection!$A:$A, $A62, Collection!$B:$B, U$2)</f>
        <v>0</v>
      </c>
      <c r="V62" s="52">
        <f>SUMIFS(Collection!$J:$J, Collection!$A:$A, $A62, Collection!$B:$B, V$2)</f>
        <v>0</v>
      </c>
      <c r="W62" s="52">
        <f>SUMIFS(Collection!$J:$J, Collection!$A:$A, $A62, Collection!$B:$B, W$2)</f>
        <v>0</v>
      </c>
      <c r="X62" s="52">
        <f>SUMIFS(Collection!$J:$J, Collection!$A:$A, $A62, Collection!$B:$B, X$2)</f>
        <v>0</v>
      </c>
      <c r="Y62" s="52">
        <f>SUMIFS(Collection!$J:$J, Collection!$A:$A, $A62, Collection!$B:$B, Y$2)</f>
        <v>0</v>
      </c>
    </row>
    <row r="63" spans="1:25">
      <c r="A63" s="37">
        <f t="shared" si="0"/>
        <v>42926</v>
      </c>
      <c r="B63" s="52">
        <f>SUMIFS(Collection!$J:$J, Collection!$A:$A, $A63, Collection!$B:$B, B$2)</f>
        <v>0</v>
      </c>
      <c r="C63" s="52">
        <f>SUMIFS(Collection!$J:$J, Collection!$A:$A, $A63, Collection!$B:$B, C$2)</f>
        <v>0</v>
      </c>
      <c r="D63" s="52">
        <f>SUMIFS(Collection!$J:$J, Collection!$A:$A, $A63, Collection!$B:$B, D$2)</f>
        <v>0</v>
      </c>
      <c r="E63" s="52">
        <f>SUMIFS(Collection!$J:$J, Collection!$A:$A, $A63, Collection!$B:$B, E$2)</f>
        <v>0</v>
      </c>
      <c r="F63" s="52">
        <f>SUMIFS(Collection!$J:$J, Collection!$A:$A, $A63, Collection!$B:$B, F$2)</f>
        <v>0</v>
      </c>
      <c r="G63" s="52">
        <f>SUMIFS(Collection!$J:$J, Collection!$A:$A, $A63, Collection!$B:$B, G$2)</f>
        <v>0</v>
      </c>
      <c r="H63" s="52">
        <f>SUMIFS(Collection!$J:$J, Collection!$A:$A, $A63, Collection!$B:$B, H$2)</f>
        <v>0</v>
      </c>
      <c r="I63" s="52">
        <f>SUMIFS(Collection!$J:$J, Collection!$A:$A, $A63, Collection!$B:$B, I$2)</f>
        <v>0</v>
      </c>
      <c r="J63" s="52">
        <f>SUMIFS(Collection!$J:$J, Collection!$A:$A, $A63, Collection!$B:$B, J$2)</f>
        <v>0</v>
      </c>
      <c r="K63" s="52">
        <f>SUMIFS(Collection!$J:$J, Collection!$A:$A, $A63, Collection!$B:$B, K$2)</f>
        <v>0</v>
      </c>
      <c r="L63" s="52">
        <f>SUMIFS(Collection!$J:$J, Collection!$A:$A, $A63, Collection!$B:$B, L$2)</f>
        <v>0</v>
      </c>
      <c r="M63" s="52">
        <f>SUMIFS(Collection!$J:$J, Collection!$A:$A, $A63, Collection!$B:$B, M$2)</f>
        <v>0</v>
      </c>
      <c r="N63" s="52">
        <f>SUMIFS(Collection!$J:$J, Collection!$A:$A, $A63, Collection!$B:$B, N$2)</f>
        <v>0</v>
      </c>
      <c r="O63" s="52">
        <f>SUMIFS(Collection!$J:$J, Collection!$A:$A, $A63, Collection!$B:$B, O$2)</f>
        <v>0</v>
      </c>
      <c r="P63" s="52">
        <f>SUMIFS(Collection!$J:$J, Collection!$A:$A, $A63, Collection!$B:$B, P$2)</f>
        <v>0</v>
      </c>
      <c r="Q63" s="52">
        <f>SUMIFS(Collection!$J:$J, Collection!$A:$A, $A63, Collection!$B:$B, Q$2)</f>
        <v>0</v>
      </c>
      <c r="R63" s="52">
        <f>SUMIFS(Collection!$J:$J, Collection!$A:$A, $A63, Collection!$B:$B, R$2)</f>
        <v>0</v>
      </c>
      <c r="S63" s="52">
        <f>SUMIFS(Collection!$J:$J, Collection!$A:$A, $A63, Collection!$B:$B, S$2)</f>
        <v>0</v>
      </c>
      <c r="T63" s="52">
        <f>SUMIFS(Collection!$J:$J, Collection!$A:$A, $A63, Collection!$B:$B, T$2)</f>
        <v>0</v>
      </c>
      <c r="U63" s="52">
        <f>SUMIFS(Collection!$J:$J, Collection!$A:$A, $A63, Collection!$B:$B, U$2)</f>
        <v>0</v>
      </c>
      <c r="V63" s="52">
        <f>SUMIFS(Collection!$J:$J, Collection!$A:$A, $A63, Collection!$B:$B, V$2)</f>
        <v>0</v>
      </c>
      <c r="W63" s="52">
        <f>SUMIFS(Collection!$J:$J, Collection!$A:$A, $A63, Collection!$B:$B, W$2)</f>
        <v>0</v>
      </c>
      <c r="X63" s="52">
        <f>SUMIFS(Collection!$J:$J, Collection!$A:$A, $A63, Collection!$B:$B, X$2)</f>
        <v>0</v>
      </c>
      <c r="Y63" s="52">
        <f>SUMIFS(Collection!$J:$J, Collection!$A:$A, $A63, Collection!$B:$B, Y$2)</f>
        <v>0</v>
      </c>
    </row>
    <row r="64" spans="1:25">
      <c r="A64" s="37">
        <f t="shared" si="0"/>
        <v>42927</v>
      </c>
      <c r="B64" s="52">
        <f>SUMIFS(Collection!$J:$J, Collection!$A:$A, $A64, Collection!$B:$B, B$2)</f>
        <v>0</v>
      </c>
      <c r="C64" s="52">
        <f>SUMIFS(Collection!$J:$J, Collection!$A:$A, $A64, Collection!$B:$B, C$2)</f>
        <v>0</v>
      </c>
      <c r="D64" s="52">
        <f>SUMIFS(Collection!$J:$J, Collection!$A:$A, $A64, Collection!$B:$B, D$2)</f>
        <v>0</v>
      </c>
      <c r="E64" s="52">
        <f>SUMIFS(Collection!$J:$J, Collection!$A:$A, $A64, Collection!$B:$B, E$2)</f>
        <v>0</v>
      </c>
      <c r="F64" s="52">
        <f>SUMIFS(Collection!$J:$J, Collection!$A:$A, $A64, Collection!$B:$B, F$2)</f>
        <v>0</v>
      </c>
      <c r="G64" s="52">
        <f>SUMIFS(Collection!$J:$J, Collection!$A:$A, $A64, Collection!$B:$B, G$2)</f>
        <v>0</v>
      </c>
      <c r="H64" s="52">
        <f>SUMIFS(Collection!$J:$J, Collection!$A:$A, $A64, Collection!$B:$B, H$2)</f>
        <v>0</v>
      </c>
      <c r="I64" s="52">
        <f>SUMIFS(Collection!$J:$J, Collection!$A:$A, $A64, Collection!$B:$B, I$2)</f>
        <v>0</v>
      </c>
      <c r="J64" s="52">
        <f>SUMIFS(Collection!$J:$J, Collection!$A:$A, $A64, Collection!$B:$B, J$2)</f>
        <v>0</v>
      </c>
      <c r="K64" s="52">
        <f>SUMIFS(Collection!$J:$J, Collection!$A:$A, $A64, Collection!$B:$B, K$2)</f>
        <v>0</v>
      </c>
      <c r="L64" s="52">
        <f>SUMIFS(Collection!$J:$J, Collection!$A:$A, $A64, Collection!$B:$B, L$2)</f>
        <v>0</v>
      </c>
      <c r="M64" s="52">
        <f>SUMIFS(Collection!$J:$J, Collection!$A:$A, $A64, Collection!$B:$B, M$2)</f>
        <v>0</v>
      </c>
      <c r="N64" s="52">
        <f>SUMIFS(Collection!$J:$J, Collection!$A:$A, $A64, Collection!$B:$B, N$2)</f>
        <v>0</v>
      </c>
      <c r="O64" s="52">
        <f>SUMIFS(Collection!$J:$J, Collection!$A:$A, $A64, Collection!$B:$B, O$2)</f>
        <v>0</v>
      </c>
      <c r="P64" s="52">
        <f>SUMIFS(Collection!$J:$J, Collection!$A:$A, $A64, Collection!$B:$B, P$2)</f>
        <v>0</v>
      </c>
      <c r="Q64" s="52">
        <f>SUMIFS(Collection!$J:$J, Collection!$A:$A, $A64, Collection!$B:$B, Q$2)</f>
        <v>0</v>
      </c>
      <c r="R64" s="52">
        <f>SUMIFS(Collection!$J:$J, Collection!$A:$A, $A64, Collection!$B:$B, R$2)</f>
        <v>0</v>
      </c>
      <c r="S64" s="52">
        <f>SUMIFS(Collection!$J:$J, Collection!$A:$A, $A64, Collection!$B:$B, S$2)</f>
        <v>0</v>
      </c>
      <c r="T64" s="52">
        <f>SUMIFS(Collection!$J:$J, Collection!$A:$A, $A64, Collection!$B:$B, T$2)</f>
        <v>0</v>
      </c>
      <c r="U64" s="52">
        <f>SUMIFS(Collection!$J:$J, Collection!$A:$A, $A64, Collection!$B:$B, U$2)</f>
        <v>0</v>
      </c>
      <c r="V64" s="52">
        <f>SUMIFS(Collection!$J:$J, Collection!$A:$A, $A64, Collection!$B:$B, V$2)</f>
        <v>0</v>
      </c>
      <c r="W64" s="52">
        <f>SUMIFS(Collection!$J:$J, Collection!$A:$A, $A64, Collection!$B:$B, W$2)</f>
        <v>0</v>
      </c>
      <c r="X64" s="52">
        <f>SUMIFS(Collection!$J:$J, Collection!$A:$A, $A64, Collection!$B:$B, X$2)</f>
        <v>0</v>
      </c>
      <c r="Y64" s="52">
        <f>SUMIFS(Collection!$J:$J, Collection!$A:$A, $A64, Collection!$B:$B, Y$2)</f>
        <v>0</v>
      </c>
    </row>
    <row r="65" spans="1:25">
      <c r="A65" s="37">
        <f t="shared" si="0"/>
        <v>42928</v>
      </c>
      <c r="B65" s="52">
        <f>SUMIFS(Collection!$J:$J, Collection!$A:$A, $A65, Collection!$B:$B, B$2)</f>
        <v>0</v>
      </c>
      <c r="C65" s="52">
        <f>SUMIFS(Collection!$J:$J, Collection!$A:$A, $A65, Collection!$B:$B, C$2)</f>
        <v>0</v>
      </c>
      <c r="D65" s="52">
        <f>SUMIFS(Collection!$J:$J, Collection!$A:$A, $A65, Collection!$B:$B, D$2)</f>
        <v>0</v>
      </c>
      <c r="E65" s="52">
        <f>SUMIFS(Collection!$J:$J, Collection!$A:$A, $A65, Collection!$B:$B, E$2)</f>
        <v>0</v>
      </c>
      <c r="F65" s="52">
        <f>SUMIFS(Collection!$J:$J, Collection!$A:$A, $A65, Collection!$B:$B, F$2)</f>
        <v>0</v>
      </c>
      <c r="G65" s="52">
        <f>SUMIFS(Collection!$J:$J, Collection!$A:$A, $A65, Collection!$B:$B, G$2)</f>
        <v>0</v>
      </c>
      <c r="H65" s="52">
        <f>SUMIFS(Collection!$J:$J, Collection!$A:$A, $A65, Collection!$B:$B, H$2)</f>
        <v>0</v>
      </c>
      <c r="I65" s="52">
        <f>SUMIFS(Collection!$J:$J, Collection!$A:$A, $A65, Collection!$B:$B, I$2)</f>
        <v>0</v>
      </c>
      <c r="J65" s="52">
        <f>SUMIFS(Collection!$J:$J, Collection!$A:$A, $A65, Collection!$B:$B, J$2)</f>
        <v>0</v>
      </c>
      <c r="K65" s="52">
        <f>SUMIFS(Collection!$J:$J, Collection!$A:$A, $A65, Collection!$B:$B, K$2)</f>
        <v>0</v>
      </c>
      <c r="L65" s="52">
        <f>SUMIFS(Collection!$J:$J, Collection!$A:$A, $A65, Collection!$B:$B, L$2)</f>
        <v>0</v>
      </c>
      <c r="M65" s="52">
        <f>SUMIFS(Collection!$J:$J, Collection!$A:$A, $A65, Collection!$B:$B, M$2)</f>
        <v>0</v>
      </c>
      <c r="N65" s="52">
        <f>SUMIFS(Collection!$J:$J, Collection!$A:$A, $A65, Collection!$B:$B, N$2)</f>
        <v>0</v>
      </c>
      <c r="O65" s="52">
        <f>SUMIFS(Collection!$J:$J, Collection!$A:$A, $A65, Collection!$B:$B, O$2)</f>
        <v>0</v>
      </c>
      <c r="P65" s="52">
        <f>SUMIFS(Collection!$J:$J, Collection!$A:$A, $A65, Collection!$B:$B, P$2)</f>
        <v>0</v>
      </c>
      <c r="Q65" s="52">
        <f>SUMIFS(Collection!$J:$J, Collection!$A:$A, $A65, Collection!$B:$B, Q$2)</f>
        <v>0</v>
      </c>
      <c r="R65" s="52">
        <f>SUMIFS(Collection!$J:$J, Collection!$A:$A, $A65, Collection!$B:$B, R$2)</f>
        <v>0</v>
      </c>
      <c r="S65" s="52">
        <f>SUMIFS(Collection!$J:$J, Collection!$A:$A, $A65, Collection!$B:$B, S$2)</f>
        <v>0</v>
      </c>
      <c r="T65" s="52">
        <f>SUMIFS(Collection!$J:$J, Collection!$A:$A, $A65, Collection!$B:$B, T$2)</f>
        <v>0</v>
      </c>
      <c r="U65" s="52">
        <f>SUMIFS(Collection!$J:$J, Collection!$A:$A, $A65, Collection!$B:$B, U$2)</f>
        <v>0</v>
      </c>
      <c r="V65" s="52">
        <f>SUMIFS(Collection!$J:$J, Collection!$A:$A, $A65, Collection!$B:$B, V$2)</f>
        <v>0</v>
      </c>
      <c r="W65" s="52">
        <f>SUMIFS(Collection!$J:$J, Collection!$A:$A, $A65, Collection!$B:$B, W$2)</f>
        <v>0</v>
      </c>
      <c r="X65" s="52">
        <f>SUMIFS(Collection!$J:$J, Collection!$A:$A, $A65, Collection!$B:$B, X$2)</f>
        <v>0</v>
      </c>
      <c r="Y65" s="52">
        <f>SUMIFS(Collection!$J:$J, Collection!$A:$A, $A65, Collection!$B:$B, Y$2)</f>
        <v>0</v>
      </c>
    </row>
    <row r="66" spans="1:25">
      <c r="A66" s="37">
        <f t="shared" si="0"/>
        <v>42929</v>
      </c>
      <c r="B66" s="52">
        <f>SUMIFS(Collection!$J:$J, Collection!$A:$A, $A66, Collection!$B:$B, B$2)</f>
        <v>0</v>
      </c>
      <c r="C66" s="52">
        <f>SUMIFS(Collection!$J:$J, Collection!$A:$A, $A66, Collection!$B:$B, C$2)</f>
        <v>0</v>
      </c>
      <c r="D66" s="52">
        <f>SUMIFS(Collection!$J:$J, Collection!$A:$A, $A66, Collection!$B:$B, D$2)</f>
        <v>0</v>
      </c>
      <c r="E66" s="52">
        <f>SUMIFS(Collection!$J:$J, Collection!$A:$A, $A66, Collection!$B:$B, E$2)</f>
        <v>0</v>
      </c>
      <c r="F66" s="52">
        <f>SUMIFS(Collection!$J:$J, Collection!$A:$A, $A66, Collection!$B:$B, F$2)</f>
        <v>0</v>
      </c>
      <c r="G66" s="52">
        <f>SUMIFS(Collection!$J:$J, Collection!$A:$A, $A66, Collection!$B:$B, G$2)</f>
        <v>0</v>
      </c>
      <c r="H66" s="52">
        <f>SUMIFS(Collection!$J:$J, Collection!$A:$A, $A66, Collection!$B:$B, H$2)</f>
        <v>0</v>
      </c>
      <c r="I66" s="52">
        <f>SUMIFS(Collection!$J:$J, Collection!$A:$A, $A66, Collection!$B:$B, I$2)</f>
        <v>0</v>
      </c>
      <c r="J66" s="52">
        <f>SUMIFS(Collection!$J:$J, Collection!$A:$A, $A66, Collection!$B:$B, J$2)</f>
        <v>0</v>
      </c>
      <c r="K66" s="52">
        <f>SUMIFS(Collection!$J:$J, Collection!$A:$A, $A66, Collection!$B:$B, K$2)</f>
        <v>0</v>
      </c>
      <c r="L66" s="52">
        <f>SUMIFS(Collection!$J:$J, Collection!$A:$A, $A66, Collection!$B:$B, L$2)</f>
        <v>0</v>
      </c>
      <c r="M66" s="52">
        <f>SUMIFS(Collection!$J:$J, Collection!$A:$A, $A66, Collection!$B:$B, M$2)</f>
        <v>0</v>
      </c>
      <c r="N66" s="52">
        <f>SUMIFS(Collection!$J:$J, Collection!$A:$A, $A66, Collection!$B:$B, N$2)</f>
        <v>0</v>
      </c>
      <c r="O66" s="52">
        <f>SUMIFS(Collection!$J:$J, Collection!$A:$A, $A66, Collection!$B:$B, O$2)</f>
        <v>0</v>
      </c>
      <c r="P66" s="52">
        <f>SUMIFS(Collection!$J:$J, Collection!$A:$A, $A66, Collection!$B:$B, P$2)</f>
        <v>0</v>
      </c>
      <c r="Q66" s="52">
        <f>SUMIFS(Collection!$J:$J, Collection!$A:$A, $A66, Collection!$B:$B, Q$2)</f>
        <v>0</v>
      </c>
      <c r="R66" s="52">
        <f>SUMIFS(Collection!$J:$J, Collection!$A:$A, $A66, Collection!$B:$B, R$2)</f>
        <v>0</v>
      </c>
      <c r="S66" s="52">
        <f>SUMIFS(Collection!$J:$J, Collection!$A:$A, $A66, Collection!$B:$B, S$2)</f>
        <v>0</v>
      </c>
      <c r="T66" s="52">
        <f>SUMIFS(Collection!$J:$J, Collection!$A:$A, $A66, Collection!$B:$B, T$2)</f>
        <v>0</v>
      </c>
      <c r="U66" s="52">
        <f>SUMIFS(Collection!$J:$J, Collection!$A:$A, $A66, Collection!$B:$B, U$2)</f>
        <v>0</v>
      </c>
      <c r="V66" s="52">
        <f>SUMIFS(Collection!$J:$J, Collection!$A:$A, $A66, Collection!$B:$B, V$2)</f>
        <v>0</v>
      </c>
      <c r="W66" s="52">
        <f>SUMIFS(Collection!$J:$J, Collection!$A:$A, $A66, Collection!$B:$B, W$2)</f>
        <v>0</v>
      </c>
      <c r="X66" s="52">
        <f>SUMIFS(Collection!$J:$J, Collection!$A:$A, $A66, Collection!$B:$B, X$2)</f>
        <v>0</v>
      </c>
      <c r="Y66" s="52">
        <f>SUMIFS(Collection!$J:$J, Collection!$A:$A, $A66, Collection!$B:$B, Y$2)</f>
        <v>0</v>
      </c>
    </row>
    <row r="67" spans="1:25">
      <c r="A67" s="37">
        <f t="shared" si="0"/>
        <v>42930</v>
      </c>
      <c r="B67" s="52">
        <f>SUMIFS(Collection!$J:$J, Collection!$A:$A, $A67, Collection!$B:$B, B$2)</f>
        <v>0</v>
      </c>
      <c r="C67" s="52">
        <f>SUMIFS(Collection!$J:$J, Collection!$A:$A, $A67, Collection!$B:$B, C$2)</f>
        <v>0</v>
      </c>
      <c r="D67" s="52">
        <f>SUMIFS(Collection!$J:$J, Collection!$A:$A, $A67, Collection!$B:$B, D$2)</f>
        <v>0</v>
      </c>
      <c r="E67" s="52">
        <f>SUMIFS(Collection!$J:$J, Collection!$A:$A, $A67, Collection!$B:$B, E$2)</f>
        <v>0</v>
      </c>
      <c r="F67" s="52">
        <f>SUMIFS(Collection!$J:$J, Collection!$A:$A, $A67, Collection!$B:$B, F$2)</f>
        <v>0</v>
      </c>
      <c r="G67" s="52">
        <f>SUMIFS(Collection!$J:$J, Collection!$A:$A, $A67, Collection!$B:$B, G$2)</f>
        <v>0</v>
      </c>
      <c r="H67" s="52">
        <f>SUMIFS(Collection!$J:$J, Collection!$A:$A, $A67, Collection!$B:$B, H$2)</f>
        <v>0</v>
      </c>
      <c r="I67" s="52">
        <f>SUMIFS(Collection!$J:$J, Collection!$A:$A, $A67, Collection!$B:$B, I$2)</f>
        <v>0</v>
      </c>
      <c r="J67" s="52">
        <f>SUMIFS(Collection!$J:$J, Collection!$A:$A, $A67, Collection!$B:$B, J$2)</f>
        <v>0</v>
      </c>
      <c r="K67" s="52">
        <f>SUMIFS(Collection!$J:$J, Collection!$A:$A, $A67, Collection!$B:$B, K$2)</f>
        <v>0</v>
      </c>
      <c r="L67" s="52">
        <f>SUMIFS(Collection!$J:$J, Collection!$A:$A, $A67, Collection!$B:$B, L$2)</f>
        <v>0</v>
      </c>
      <c r="M67" s="52">
        <f>SUMIFS(Collection!$J:$J, Collection!$A:$A, $A67, Collection!$B:$B, M$2)</f>
        <v>0</v>
      </c>
      <c r="N67" s="52">
        <f>SUMIFS(Collection!$J:$J, Collection!$A:$A, $A67, Collection!$B:$B, N$2)</f>
        <v>0</v>
      </c>
      <c r="O67" s="52">
        <f>SUMIFS(Collection!$J:$J, Collection!$A:$A, $A67, Collection!$B:$B, O$2)</f>
        <v>0</v>
      </c>
      <c r="P67" s="52">
        <f>SUMIFS(Collection!$J:$J, Collection!$A:$A, $A67, Collection!$B:$B, P$2)</f>
        <v>0</v>
      </c>
      <c r="Q67" s="52">
        <f>SUMIFS(Collection!$J:$J, Collection!$A:$A, $A67, Collection!$B:$B, Q$2)</f>
        <v>0</v>
      </c>
      <c r="R67" s="52">
        <f>SUMIFS(Collection!$J:$J, Collection!$A:$A, $A67, Collection!$B:$B, R$2)</f>
        <v>0</v>
      </c>
      <c r="S67" s="52">
        <f>SUMIFS(Collection!$J:$J, Collection!$A:$A, $A67, Collection!$B:$B, S$2)</f>
        <v>0</v>
      </c>
      <c r="T67" s="52">
        <f>SUMIFS(Collection!$J:$J, Collection!$A:$A, $A67, Collection!$B:$B, T$2)</f>
        <v>0</v>
      </c>
      <c r="U67" s="52">
        <f>SUMIFS(Collection!$J:$J, Collection!$A:$A, $A67, Collection!$B:$B, U$2)</f>
        <v>0</v>
      </c>
      <c r="V67" s="52">
        <f>SUMIFS(Collection!$J:$J, Collection!$A:$A, $A67, Collection!$B:$B, V$2)</f>
        <v>0</v>
      </c>
      <c r="W67" s="52">
        <f>SUMIFS(Collection!$J:$J, Collection!$A:$A, $A67, Collection!$B:$B, W$2)</f>
        <v>0</v>
      </c>
      <c r="X67" s="52">
        <f>SUMIFS(Collection!$J:$J, Collection!$A:$A, $A67, Collection!$B:$B, X$2)</f>
        <v>0</v>
      </c>
      <c r="Y67" s="52">
        <f>SUMIFS(Collection!$J:$J, Collection!$A:$A, $A67, Collection!$B:$B, Y$2)</f>
        <v>0</v>
      </c>
    </row>
    <row r="68" spans="1:25">
      <c r="A68" s="37">
        <f t="shared" si="0"/>
        <v>42931</v>
      </c>
      <c r="B68" s="52">
        <f>SUMIFS(Collection!$J:$J, Collection!$A:$A, $A68, Collection!$B:$B, B$2)</f>
        <v>0</v>
      </c>
      <c r="C68" s="52">
        <f>SUMIFS(Collection!$J:$J, Collection!$A:$A, $A68, Collection!$B:$B, C$2)</f>
        <v>0</v>
      </c>
      <c r="D68" s="52">
        <f>SUMIFS(Collection!$J:$J, Collection!$A:$A, $A68, Collection!$B:$B, D$2)</f>
        <v>0</v>
      </c>
      <c r="E68" s="52">
        <f>SUMIFS(Collection!$J:$J, Collection!$A:$A, $A68, Collection!$B:$B, E$2)</f>
        <v>0</v>
      </c>
      <c r="F68" s="52">
        <f>SUMIFS(Collection!$J:$J, Collection!$A:$A, $A68, Collection!$B:$B, F$2)</f>
        <v>0</v>
      </c>
      <c r="G68" s="52">
        <f>SUMIFS(Collection!$J:$J, Collection!$A:$A, $A68, Collection!$B:$B, G$2)</f>
        <v>0</v>
      </c>
      <c r="H68" s="52">
        <f>SUMIFS(Collection!$J:$J, Collection!$A:$A, $A68, Collection!$B:$B, H$2)</f>
        <v>0</v>
      </c>
      <c r="I68" s="52">
        <f>SUMIFS(Collection!$J:$J, Collection!$A:$A, $A68, Collection!$B:$B, I$2)</f>
        <v>0</v>
      </c>
      <c r="J68" s="52">
        <f>SUMIFS(Collection!$J:$J, Collection!$A:$A, $A68, Collection!$B:$B, J$2)</f>
        <v>0</v>
      </c>
      <c r="K68" s="52">
        <f>SUMIFS(Collection!$J:$J, Collection!$A:$A, $A68, Collection!$B:$B, K$2)</f>
        <v>0</v>
      </c>
      <c r="L68" s="52">
        <f>SUMIFS(Collection!$J:$J, Collection!$A:$A, $A68, Collection!$B:$B, L$2)</f>
        <v>0</v>
      </c>
      <c r="M68" s="52">
        <f>SUMIFS(Collection!$J:$J, Collection!$A:$A, $A68, Collection!$B:$B, M$2)</f>
        <v>0</v>
      </c>
      <c r="N68" s="52">
        <f>SUMIFS(Collection!$J:$J, Collection!$A:$A, $A68, Collection!$B:$B, N$2)</f>
        <v>0</v>
      </c>
      <c r="O68" s="52">
        <f>SUMIFS(Collection!$J:$J, Collection!$A:$A, $A68, Collection!$B:$B, O$2)</f>
        <v>0</v>
      </c>
      <c r="P68" s="52">
        <f>SUMIFS(Collection!$J:$J, Collection!$A:$A, $A68, Collection!$B:$B, P$2)</f>
        <v>0</v>
      </c>
      <c r="Q68" s="52">
        <f>SUMIFS(Collection!$J:$J, Collection!$A:$A, $A68, Collection!$B:$B, Q$2)</f>
        <v>0</v>
      </c>
      <c r="R68" s="52">
        <f>SUMIFS(Collection!$J:$J, Collection!$A:$A, $A68, Collection!$B:$B, R$2)</f>
        <v>0</v>
      </c>
      <c r="S68" s="52">
        <f>SUMIFS(Collection!$J:$J, Collection!$A:$A, $A68, Collection!$B:$B, S$2)</f>
        <v>0</v>
      </c>
      <c r="T68" s="52">
        <f>SUMIFS(Collection!$J:$J, Collection!$A:$A, $A68, Collection!$B:$B, T$2)</f>
        <v>0</v>
      </c>
      <c r="U68" s="52">
        <f>SUMIFS(Collection!$J:$J, Collection!$A:$A, $A68, Collection!$B:$B, U$2)</f>
        <v>0</v>
      </c>
      <c r="V68" s="52">
        <f>SUMIFS(Collection!$J:$J, Collection!$A:$A, $A68, Collection!$B:$B, V$2)</f>
        <v>0</v>
      </c>
      <c r="W68" s="52">
        <f>SUMIFS(Collection!$J:$J, Collection!$A:$A, $A68, Collection!$B:$B, W$2)</f>
        <v>0</v>
      </c>
      <c r="X68" s="52">
        <f>SUMIFS(Collection!$J:$J, Collection!$A:$A, $A68, Collection!$B:$B, X$2)</f>
        <v>0</v>
      </c>
      <c r="Y68" s="52">
        <f>SUMIFS(Collection!$J:$J, Collection!$A:$A, $A68, Collection!$B:$B, Y$2)</f>
        <v>0</v>
      </c>
    </row>
    <row r="69" spans="1:25">
      <c r="A69" s="37">
        <f t="shared" si="0"/>
        <v>42932</v>
      </c>
      <c r="B69" s="52">
        <f>SUMIFS(Collection!$J:$J, Collection!$A:$A, $A69, Collection!$B:$B, B$2)</f>
        <v>0</v>
      </c>
      <c r="C69" s="52">
        <f>SUMIFS(Collection!$J:$J, Collection!$A:$A, $A69, Collection!$B:$B, C$2)</f>
        <v>0</v>
      </c>
      <c r="D69" s="52">
        <f>SUMIFS(Collection!$J:$J, Collection!$A:$A, $A69, Collection!$B:$B, D$2)</f>
        <v>0</v>
      </c>
      <c r="E69" s="52">
        <f>SUMIFS(Collection!$J:$J, Collection!$A:$A, $A69, Collection!$B:$B, E$2)</f>
        <v>0</v>
      </c>
      <c r="F69" s="52">
        <f>SUMIFS(Collection!$J:$J, Collection!$A:$A, $A69, Collection!$B:$B, F$2)</f>
        <v>0</v>
      </c>
      <c r="G69" s="52">
        <f>SUMIFS(Collection!$J:$J, Collection!$A:$A, $A69, Collection!$B:$B, G$2)</f>
        <v>0</v>
      </c>
      <c r="H69" s="52">
        <f>SUMIFS(Collection!$J:$J, Collection!$A:$A, $A69, Collection!$B:$B, H$2)</f>
        <v>0</v>
      </c>
      <c r="I69" s="52">
        <f>SUMIFS(Collection!$J:$J, Collection!$A:$A, $A69, Collection!$B:$B, I$2)</f>
        <v>0</v>
      </c>
      <c r="J69" s="52">
        <f>SUMIFS(Collection!$J:$J, Collection!$A:$A, $A69, Collection!$B:$B, J$2)</f>
        <v>0</v>
      </c>
      <c r="K69" s="52">
        <f>SUMIFS(Collection!$J:$J, Collection!$A:$A, $A69, Collection!$B:$B, K$2)</f>
        <v>0</v>
      </c>
      <c r="L69" s="52">
        <f>SUMIFS(Collection!$J:$J, Collection!$A:$A, $A69, Collection!$B:$B, L$2)</f>
        <v>0</v>
      </c>
      <c r="M69" s="52">
        <f>SUMIFS(Collection!$J:$J, Collection!$A:$A, $A69, Collection!$B:$B, M$2)</f>
        <v>0</v>
      </c>
      <c r="N69" s="52">
        <f>SUMIFS(Collection!$J:$J, Collection!$A:$A, $A69, Collection!$B:$B, N$2)</f>
        <v>0</v>
      </c>
      <c r="O69" s="52">
        <f>SUMIFS(Collection!$J:$J, Collection!$A:$A, $A69, Collection!$B:$B, O$2)</f>
        <v>0</v>
      </c>
      <c r="P69" s="52">
        <f>SUMIFS(Collection!$J:$J, Collection!$A:$A, $A69, Collection!$B:$B, P$2)</f>
        <v>0</v>
      </c>
      <c r="Q69" s="52">
        <f>SUMIFS(Collection!$J:$J, Collection!$A:$A, $A69, Collection!$B:$B, Q$2)</f>
        <v>0</v>
      </c>
      <c r="R69" s="52">
        <f>SUMIFS(Collection!$J:$J, Collection!$A:$A, $A69, Collection!$B:$B, R$2)</f>
        <v>0</v>
      </c>
      <c r="S69" s="52">
        <f>SUMIFS(Collection!$J:$J, Collection!$A:$A, $A69, Collection!$B:$B, S$2)</f>
        <v>0</v>
      </c>
      <c r="T69" s="52">
        <f>SUMIFS(Collection!$J:$J, Collection!$A:$A, $A69, Collection!$B:$B, T$2)</f>
        <v>0</v>
      </c>
      <c r="U69" s="52">
        <f>SUMIFS(Collection!$J:$J, Collection!$A:$A, $A69, Collection!$B:$B, U$2)</f>
        <v>0</v>
      </c>
      <c r="V69" s="52">
        <f>SUMIFS(Collection!$J:$J, Collection!$A:$A, $A69, Collection!$B:$B, V$2)</f>
        <v>0</v>
      </c>
      <c r="W69" s="52">
        <f>SUMIFS(Collection!$J:$J, Collection!$A:$A, $A69, Collection!$B:$B, W$2)</f>
        <v>0</v>
      </c>
      <c r="X69" s="52">
        <f>SUMIFS(Collection!$J:$J, Collection!$A:$A, $A69, Collection!$B:$B, X$2)</f>
        <v>0</v>
      </c>
      <c r="Y69" s="52">
        <f>SUMIFS(Collection!$J:$J, Collection!$A:$A, $A69, Collection!$B:$B, Y$2)</f>
        <v>0</v>
      </c>
    </row>
    <row r="70" spans="1:25">
      <c r="A70" s="37">
        <f t="shared" si="0"/>
        <v>42933</v>
      </c>
      <c r="B70" s="52">
        <f>SUMIFS(Collection!$J:$J, Collection!$A:$A, $A70, Collection!$B:$B, B$2)</f>
        <v>0</v>
      </c>
      <c r="C70" s="52">
        <f>SUMIFS(Collection!$J:$J, Collection!$A:$A, $A70, Collection!$B:$B, C$2)</f>
        <v>0</v>
      </c>
      <c r="D70" s="52">
        <f>SUMIFS(Collection!$J:$J, Collection!$A:$A, $A70, Collection!$B:$B, D$2)</f>
        <v>0</v>
      </c>
      <c r="E70" s="52">
        <f>SUMIFS(Collection!$J:$J, Collection!$A:$A, $A70, Collection!$B:$B, E$2)</f>
        <v>0</v>
      </c>
      <c r="F70" s="52">
        <f>SUMIFS(Collection!$J:$J, Collection!$A:$A, $A70, Collection!$B:$B, F$2)</f>
        <v>0</v>
      </c>
      <c r="G70" s="52">
        <f>SUMIFS(Collection!$J:$J, Collection!$A:$A, $A70, Collection!$B:$B, G$2)</f>
        <v>0</v>
      </c>
      <c r="H70" s="52">
        <f>SUMIFS(Collection!$J:$J, Collection!$A:$A, $A70, Collection!$B:$B, H$2)</f>
        <v>0</v>
      </c>
      <c r="I70" s="52">
        <f>SUMIFS(Collection!$J:$J, Collection!$A:$A, $A70, Collection!$B:$B, I$2)</f>
        <v>0</v>
      </c>
      <c r="J70" s="52">
        <f>SUMIFS(Collection!$J:$J, Collection!$A:$A, $A70, Collection!$B:$B, J$2)</f>
        <v>0</v>
      </c>
      <c r="K70" s="52">
        <f>SUMIFS(Collection!$J:$J, Collection!$A:$A, $A70, Collection!$B:$B, K$2)</f>
        <v>0</v>
      </c>
      <c r="L70" s="52">
        <f>SUMIFS(Collection!$J:$J, Collection!$A:$A, $A70, Collection!$B:$B, L$2)</f>
        <v>0</v>
      </c>
      <c r="M70" s="52">
        <f>SUMIFS(Collection!$J:$J, Collection!$A:$A, $A70, Collection!$B:$B, M$2)</f>
        <v>0</v>
      </c>
      <c r="N70" s="52">
        <f>SUMIFS(Collection!$J:$J, Collection!$A:$A, $A70, Collection!$B:$B, N$2)</f>
        <v>0</v>
      </c>
      <c r="O70" s="52">
        <f>SUMIFS(Collection!$J:$J, Collection!$A:$A, $A70, Collection!$B:$B, O$2)</f>
        <v>0</v>
      </c>
      <c r="P70" s="52">
        <f>SUMIFS(Collection!$J:$J, Collection!$A:$A, $A70, Collection!$B:$B, P$2)</f>
        <v>0</v>
      </c>
      <c r="Q70" s="52">
        <f>SUMIFS(Collection!$J:$J, Collection!$A:$A, $A70, Collection!$B:$B, Q$2)</f>
        <v>0</v>
      </c>
      <c r="R70" s="52">
        <f>SUMIFS(Collection!$J:$J, Collection!$A:$A, $A70, Collection!$B:$B, R$2)</f>
        <v>0</v>
      </c>
      <c r="S70" s="52">
        <f>SUMIFS(Collection!$J:$J, Collection!$A:$A, $A70, Collection!$B:$B, S$2)</f>
        <v>0</v>
      </c>
      <c r="T70" s="52">
        <f>SUMIFS(Collection!$J:$J, Collection!$A:$A, $A70, Collection!$B:$B, T$2)</f>
        <v>0</v>
      </c>
      <c r="U70" s="52">
        <f>SUMIFS(Collection!$J:$J, Collection!$A:$A, $A70, Collection!$B:$B, U$2)</f>
        <v>0</v>
      </c>
      <c r="V70" s="52">
        <f>SUMIFS(Collection!$J:$J, Collection!$A:$A, $A70, Collection!$B:$B, V$2)</f>
        <v>0</v>
      </c>
      <c r="W70" s="52">
        <f>SUMIFS(Collection!$J:$J, Collection!$A:$A, $A70, Collection!$B:$B, W$2)</f>
        <v>0</v>
      </c>
      <c r="X70" s="52">
        <f>SUMIFS(Collection!$J:$J, Collection!$A:$A, $A70, Collection!$B:$B, X$2)</f>
        <v>0</v>
      </c>
      <c r="Y70" s="52">
        <f>SUMIFS(Collection!$J:$J, Collection!$A:$A, $A70, Collection!$B:$B, Y$2)</f>
        <v>0</v>
      </c>
    </row>
    <row r="71" spans="1:25">
      <c r="A71" s="37">
        <f t="shared" ref="A71" si="1">1+A70</f>
        <v>42934</v>
      </c>
      <c r="B71" s="52">
        <f>SUMIFS(Collection!$J:$J, Collection!$A:$A, $A71, Collection!$B:$B, B$2)</f>
        <v>0</v>
      </c>
      <c r="C71" s="52">
        <f>SUMIFS(Collection!$J:$J, Collection!$A:$A, $A71, Collection!$B:$B, C$2)</f>
        <v>0</v>
      </c>
      <c r="D71" s="52">
        <f>SUMIFS(Collection!$J:$J, Collection!$A:$A, $A71, Collection!$B:$B, D$2)</f>
        <v>0</v>
      </c>
      <c r="E71" s="52">
        <f>SUMIFS(Collection!$J:$J, Collection!$A:$A, $A71, Collection!$B:$B, E$2)</f>
        <v>0</v>
      </c>
      <c r="F71" s="52">
        <f>SUMIFS(Collection!$J:$J, Collection!$A:$A, $A71, Collection!$B:$B, F$2)</f>
        <v>0</v>
      </c>
      <c r="G71" s="52">
        <f>SUMIFS(Collection!$J:$J, Collection!$A:$A, $A71, Collection!$B:$B, G$2)</f>
        <v>0</v>
      </c>
      <c r="H71" s="52">
        <f>SUMIFS(Collection!$J:$J, Collection!$A:$A, $A71, Collection!$B:$B, H$2)</f>
        <v>0</v>
      </c>
      <c r="I71" s="52">
        <f>SUMIFS(Collection!$J:$J, Collection!$A:$A, $A71, Collection!$B:$B, I$2)</f>
        <v>0</v>
      </c>
      <c r="J71" s="52">
        <f>SUMIFS(Collection!$J:$J, Collection!$A:$A, $A71, Collection!$B:$B, J$2)</f>
        <v>0</v>
      </c>
      <c r="K71" s="52">
        <f>SUMIFS(Collection!$J:$J, Collection!$A:$A, $A71, Collection!$B:$B, K$2)</f>
        <v>0</v>
      </c>
      <c r="L71" s="52">
        <f>SUMIFS(Collection!$J:$J, Collection!$A:$A, $A71, Collection!$B:$B, L$2)</f>
        <v>0</v>
      </c>
      <c r="M71" s="52">
        <f>SUMIFS(Collection!$J:$J, Collection!$A:$A, $A71, Collection!$B:$B, M$2)</f>
        <v>0</v>
      </c>
      <c r="N71" s="52">
        <f>SUMIFS(Collection!$J:$J, Collection!$A:$A, $A71, Collection!$B:$B, N$2)</f>
        <v>0</v>
      </c>
      <c r="O71" s="52">
        <f>SUMIFS(Collection!$J:$J, Collection!$A:$A, $A71, Collection!$B:$B, O$2)</f>
        <v>0</v>
      </c>
      <c r="P71" s="52">
        <f>SUMIFS(Collection!$J:$J, Collection!$A:$A, $A71, Collection!$B:$B, P$2)</f>
        <v>0</v>
      </c>
      <c r="Q71" s="52">
        <f>SUMIFS(Collection!$J:$J, Collection!$A:$A, $A71, Collection!$B:$B, Q$2)</f>
        <v>0</v>
      </c>
      <c r="R71" s="52">
        <f>SUMIFS(Collection!$J:$J, Collection!$A:$A, $A71, Collection!$B:$B, R$2)</f>
        <v>0</v>
      </c>
      <c r="S71" s="52">
        <f>SUMIFS(Collection!$J:$J, Collection!$A:$A, $A71, Collection!$B:$B, S$2)</f>
        <v>0</v>
      </c>
      <c r="T71" s="52">
        <f>SUMIFS(Collection!$J:$J, Collection!$A:$A, $A71, Collection!$B:$B, T$2)</f>
        <v>0</v>
      </c>
      <c r="U71" s="52">
        <f>SUMIFS(Collection!$J:$J, Collection!$A:$A, $A71, Collection!$B:$B, U$2)</f>
        <v>0</v>
      </c>
      <c r="V71" s="52">
        <f>SUMIFS(Collection!$J:$J, Collection!$A:$A, $A71, Collection!$B:$B, V$2)</f>
        <v>0</v>
      </c>
      <c r="W71" s="52">
        <f>SUMIFS(Collection!$J:$J, Collection!$A:$A, $A71, Collection!$B:$B, W$2)</f>
        <v>0</v>
      </c>
      <c r="X71" s="52">
        <f>SUMIFS(Collection!$J:$J, Collection!$A:$A, $A71, Collection!$B:$B, X$2)</f>
        <v>0</v>
      </c>
      <c r="Y71" s="52">
        <f>SUMIFS(Collection!$J:$J, Collection!$A:$A, $A71, Collection!$B:$B, Y$2)</f>
        <v>0</v>
      </c>
    </row>
  </sheetData>
  <pageMargins left="0.75" right="0.75" top="1" bottom="1" header="0.5" footer="0.5"/>
  <pageSetup orientation="portrait" horizontalDpi="4294967292" verticalDpi="4294967292"/>
  <ignoredErrors>
    <ignoredError sqref="B3:Y71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showRuler="0" workbookViewId="0">
      <selection activeCell="K24" sqref="K24"/>
    </sheetView>
  </sheetViews>
  <sheetFormatPr baseColWidth="10" defaultRowHeight="15" x14ac:dyDescent="0"/>
  <cols>
    <col min="6" max="6" width="19.6640625" customWidth="1"/>
    <col min="7" max="7" width="13.5" style="20" customWidth="1"/>
    <col min="8" max="8" width="11" customWidth="1"/>
    <col min="9" max="9" width="14.33203125" style="108" bestFit="1" customWidth="1"/>
  </cols>
  <sheetData>
    <row r="1" spans="1:9" s="57" customFormat="1">
      <c r="A1" s="57" t="s">
        <v>81</v>
      </c>
      <c r="B1" s="57" t="s">
        <v>10</v>
      </c>
      <c r="C1" s="57" t="s">
        <v>1</v>
      </c>
      <c r="D1" s="57" t="s">
        <v>133</v>
      </c>
      <c r="E1" s="57" t="s">
        <v>134</v>
      </c>
      <c r="F1" s="57" t="s">
        <v>136</v>
      </c>
      <c r="G1" s="58" t="s">
        <v>137</v>
      </c>
      <c r="H1" s="57" t="s">
        <v>138</v>
      </c>
      <c r="I1" s="107" t="s">
        <v>152</v>
      </c>
    </row>
    <row r="2" spans="1:9">
      <c r="A2" s="19">
        <v>42884</v>
      </c>
      <c r="B2" t="s">
        <v>135</v>
      </c>
      <c r="C2" t="s">
        <v>18</v>
      </c>
      <c r="D2">
        <v>91</v>
      </c>
      <c r="E2">
        <v>112</v>
      </c>
      <c r="F2">
        <f t="shared" ref="F2:F9" si="0">AVERAGE(D2:E2)</f>
        <v>101.5</v>
      </c>
      <c r="G2" s="20">
        <f>F2/((0.1*3*3)/1000)</f>
        <v>112777.77777777777</v>
      </c>
      <c r="H2">
        <v>70</v>
      </c>
      <c r="I2" s="108">
        <f>(G2-$G$13)/G2</f>
        <v>-3.1347962382446094E-3</v>
      </c>
    </row>
    <row r="3" spans="1:9">
      <c r="A3" s="19">
        <v>42884</v>
      </c>
      <c r="B3">
        <v>8</v>
      </c>
      <c r="D3">
        <v>92</v>
      </c>
      <c r="E3">
        <v>111</v>
      </c>
      <c r="F3">
        <f t="shared" si="0"/>
        <v>101.5</v>
      </c>
      <c r="G3" s="20">
        <f t="shared" ref="G3:G12" si="1">F3/((0.1*3*3)/1000)</f>
        <v>112777.77777777777</v>
      </c>
      <c r="H3">
        <v>70</v>
      </c>
      <c r="I3" s="108">
        <f t="shared" ref="I3:I12" si="2">(G3-$G$13)/G3</f>
        <v>-3.1347962382446094E-3</v>
      </c>
    </row>
    <row r="4" spans="1:9">
      <c r="A4" s="19">
        <v>42884</v>
      </c>
      <c r="B4">
        <v>13</v>
      </c>
      <c r="D4">
        <v>109</v>
      </c>
      <c r="E4">
        <v>105</v>
      </c>
      <c r="F4">
        <f t="shared" si="0"/>
        <v>107</v>
      </c>
      <c r="G4" s="20">
        <f t="shared" si="1"/>
        <v>118888.88888888888</v>
      </c>
      <c r="H4">
        <v>70</v>
      </c>
      <c r="I4" s="108">
        <f t="shared" si="2"/>
        <v>4.8428207306711879E-2</v>
      </c>
    </row>
    <row r="5" spans="1:9">
      <c r="A5" s="19">
        <v>42884</v>
      </c>
      <c r="B5">
        <v>3</v>
      </c>
      <c r="D5">
        <v>96</v>
      </c>
      <c r="E5">
        <v>118</v>
      </c>
      <c r="F5">
        <f t="shared" si="0"/>
        <v>107</v>
      </c>
      <c r="G5" s="20">
        <f t="shared" si="1"/>
        <v>118888.88888888888</v>
      </c>
      <c r="H5">
        <v>70</v>
      </c>
      <c r="I5" s="108">
        <f t="shared" si="2"/>
        <v>4.8428207306711879E-2</v>
      </c>
    </row>
    <row r="6" spans="1:9">
      <c r="A6" s="19">
        <v>42884</v>
      </c>
      <c r="B6">
        <v>5</v>
      </c>
      <c r="D6">
        <v>91</v>
      </c>
      <c r="E6">
        <v>92</v>
      </c>
      <c r="F6">
        <f t="shared" si="0"/>
        <v>91.5</v>
      </c>
      <c r="G6" s="20">
        <f t="shared" si="1"/>
        <v>101666.66666666666</v>
      </c>
      <c r="H6">
        <v>70</v>
      </c>
      <c r="I6" s="108">
        <f t="shared" si="2"/>
        <v>-0.11276701440635876</v>
      </c>
    </row>
    <row r="7" spans="1:9">
      <c r="A7" s="19">
        <v>42884</v>
      </c>
      <c r="B7">
        <v>16</v>
      </c>
      <c r="D7">
        <v>107</v>
      </c>
      <c r="E7">
        <v>106</v>
      </c>
      <c r="F7">
        <f t="shared" si="0"/>
        <v>106.5</v>
      </c>
      <c r="G7" s="20">
        <f t="shared" si="1"/>
        <v>118333.33333333333</v>
      </c>
      <c r="H7">
        <v>70</v>
      </c>
      <c r="I7" s="108">
        <f t="shared" si="2"/>
        <v>4.3960734101579135E-2</v>
      </c>
    </row>
    <row r="8" spans="1:9">
      <c r="A8" s="19">
        <v>42884</v>
      </c>
      <c r="B8">
        <v>9</v>
      </c>
      <c r="D8">
        <v>113</v>
      </c>
      <c r="E8">
        <v>111</v>
      </c>
      <c r="F8">
        <f t="shared" si="0"/>
        <v>112</v>
      </c>
      <c r="G8" s="20">
        <f t="shared" si="1"/>
        <v>124444.44444444444</v>
      </c>
      <c r="H8">
        <v>70</v>
      </c>
      <c r="I8" s="108">
        <f t="shared" si="2"/>
        <v>9.090909090909087E-2</v>
      </c>
    </row>
    <row r="9" spans="1:9">
      <c r="A9" s="19">
        <v>42884</v>
      </c>
      <c r="B9">
        <v>10</v>
      </c>
      <c r="D9">
        <v>98</v>
      </c>
      <c r="E9">
        <v>100</v>
      </c>
      <c r="F9">
        <f t="shared" si="0"/>
        <v>99</v>
      </c>
      <c r="G9" s="20">
        <f t="shared" si="1"/>
        <v>109999.99999999999</v>
      </c>
      <c r="H9">
        <v>70</v>
      </c>
      <c r="I9" s="108">
        <f t="shared" si="2"/>
        <v>-2.8466483011937688E-2</v>
      </c>
    </row>
    <row r="10" spans="1:9">
      <c r="A10" s="19">
        <v>42884</v>
      </c>
      <c r="B10">
        <v>12</v>
      </c>
      <c r="D10">
        <v>74</v>
      </c>
      <c r="E10">
        <v>113</v>
      </c>
      <c r="F10">
        <f>AVERAGE(D10:E10)</f>
        <v>93.5</v>
      </c>
      <c r="G10" s="20">
        <f t="shared" si="1"/>
        <v>103888.88888888888</v>
      </c>
      <c r="H10">
        <v>70</v>
      </c>
      <c r="I10" s="108">
        <f t="shared" si="2"/>
        <v>-8.8964511424404605E-2</v>
      </c>
    </row>
    <row r="11" spans="1:9">
      <c r="A11" s="19">
        <v>42884</v>
      </c>
      <c r="B11">
        <v>11</v>
      </c>
      <c r="D11">
        <v>96</v>
      </c>
      <c r="E11">
        <v>100</v>
      </c>
      <c r="F11">
        <f>AVERAGE(D11:E11)</f>
        <v>98</v>
      </c>
      <c r="G11" s="20">
        <f t="shared" si="1"/>
        <v>108888.88888888888</v>
      </c>
      <c r="H11">
        <v>70</v>
      </c>
      <c r="I11" s="108">
        <f t="shared" si="2"/>
        <v>-3.8961038961039078E-2</v>
      </c>
    </row>
    <row r="12" spans="1:9">
      <c r="A12" s="19">
        <v>42884</v>
      </c>
      <c r="B12">
        <v>7</v>
      </c>
      <c r="D12">
        <v>110</v>
      </c>
      <c r="E12">
        <v>95</v>
      </c>
      <c r="F12">
        <f>AVERAGE(D12:E12)</f>
        <v>102.5</v>
      </c>
      <c r="G12" s="20">
        <f t="shared" si="1"/>
        <v>113888.88888888888</v>
      </c>
      <c r="H12">
        <v>70</v>
      </c>
      <c r="I12" s="108">
        <f t="shared" si="2"/>
        <v>6.6518847006650809E-3</v>
      </c>
    </row>
    <row r="13" spans="1:9">
      <c r="F13" t="s">
        <v>136</v>
      </c>
      <c r="G13" s="20">
        <f>AVERAGE(G2:G12)</f>
        <v>113131.31313131313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showRuler="0" workbookViewId="0">
      <selection activeCell="A2" sqref="A2:A17"/>
    </sheetView>
  </sheetViews>
  <sheetFormatPr baseColWidth="10" defaultRowHeight="15" x14ac:dyDescent="0"/>
  <cols>
    <col min="1" max="1" width="18.33203125" style="20" customWidth="1"/>
    <col min="2" max="2" width="11.5" bestFit="1" customWidth="1"/>
  </cols>
  <sheetData>
    <row r="1" spans="1:4">
      <c r="A1" s="93" t="s">
        <v>142</v>
      </c>
    </row>
    <row r="2" spans="1:4" ht="17" customHeight="1">
      <c r="A2" t="s">
        <v>106</v>
      </c>
      <c r="B2" s="18"/>
      <c r="C2" s="18"/>
      <c r="D2" s="18"/>
    </row>
    <row r="3" spans="1:4">
      <c r="A3" t="s">
        <v>86</v>
      </c>
      <c r="B3" s="20"/>
    </row>
    <row r="4" spans="1:4">
      <c r="A4" t="s">
        <v>77</v>
      </c>
      <c r="B4" s="20"/>
      <c r="C4" s="56"/>
      <c r="D4" s="56"/>
    </row>
    <row r="5" spans="1:4">
      <c r="A5" t="s">
        <v>85</v>
      </c>
      <c r="B5" s="20"/>
    </row>
    <row r="6" spans="1:4">
      <c r="A6" t="s">
        <v>78</v>
      </c>
      <c r="B6" s="20"/>
      <c r="C6" s="56"/>
      <c r="D6" s="56"/>
    </row>
    <row r="7" spans="1:4">
      <c r="A7" t="s">
        <v>88</v>
      </c>
      <c r="B7" s="20"/>
    </row>
    <row r="8" spans="1:4">
      <c r="A8" t="s">
        <v>140</v>
      </c>
      <c r="B8" s="20"/>
    </row>
    <row r="9" spans="1:4">
      <c r="A9" t="s">
        <v>87</v>
      </c>
      <c r="B9" s="20"/>
    </row>
    <row r="10" spans="1:4">
      <c r="A10" t="s">
        <v>21</v>
      </c>
      <c r="B10" s="20"/>
      <c r="C10" s="56"/>
      <c r="D10" s="56"/>
    </row>
    <row r="11" spans="1:4">
      <c r="A11" t="s">
        <v>120</v>
      </c>
      <c r="B11" s="20"/>
    </row>
    <row r="12" spans="1:4">
      <c r="A12" t="s">
        <v>139</v>
      </c>
      <c r="B12" s="20"/>
    </row>
    <row r="13" spans="1:4">
      <c r="A13" t="s">
        <v>89</v>
      </c>
      <c r="B13" s="20"/>
    </row>
    <row r="14" spans="1:4">
      <c r="A14" t="s">
        <v>46</v>
      </c>
      <c r="B14" s="20"/>
    </row>
    <row r="15" spans="1:4">
      <c r="A15" t="s">
        <v>38</v>
      </c>
      <c r="B15" s="20"/>
    </row>
    <row r="16" spans="1:4">
      <c r="A16" t="s">
        <v>37</v>
      </c>
      <c r="B16" s="20"/>
    </row>
    <row r="17" spans="1:4">
      <c r="A17" t="s">
        <v>17</v>
      </c>
      <c r="B17" s="20"/>
    </row>
    <row r="18" spans="1:4">
      <c r="C18" s="56"/>
      <c r="D18" s="5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showRuler="0" workbookViewId="0">
      <selection activeCell="M12" sqref="M12"/>
    </sheetView>
  </sheetViews>
  <sheetFormatPr baseColWidth="10" defaultRowHeight="15" x14ac:dyDescent="0"/>
  <cols>
    <col min="2" max="2" width="27.83203125" customWidth="1"/>
    <col min="3" max="7" width="7.6640625" bestFit="1" customWidth="1"/>
    <col min="8" max="8" width="13.5" bestFit="1" customWidth="1"/>
    <col min="9" max="9" width="13.1640625" bestFit="1" customWidth="1"/>
    <col min="10" max="10" width="15" style="234" customWidth="1"/>
    <col min="11" max="11" width="12.1640625" style="235" customWidth="1"/>
  </cols>
  <sheetData>
    <row r="1" spans="1:11" s="57" customFormat="1">
      <c r="A1" s="232" t="s">
        <v>235</v>
      </c>
      <c r="J1" s="233"/>
      <c r="K1" s="236"/>
    </row>
    <row r="2" spans="1:11" ht="16" thickBot="1">
      <c r="A2" s="19"/>
    </row>
    <row r="3" spans="1:11" s="57" customFormat="1" ht="30" customHeight="1">
      <c r="A3" s="214" t="s">
        <v>81</v>
      </c>
      <c r="B3" s="57" t="s">
        <v>236</v>
      </c>
      <c r="C3" s="57" t="s">
        <v>133</v>
      </c>
      <c r="D3" s="57" t="s">
        <v>134</v>
      </c>
      <c r="E3" s="57" t="s">
        <v>238</v>
      </c>
      <c r="F3" s="57" t="s">
        <v>239</v>
      </c>
      <c r="G3" s="57" t="s">
        <v>240</v>
      </c>
      <c r="H3" s="57" t="s">
        <v>241</v>
      </c>
      <c r="I3" s="57" t="s">
        <v>242</v>
      </c>
      <c r="J3" s="233" t="s">
        <v>243</v>
      </c>
      <c r="K3" s="237" t="s">
        <v>244</v>
      </c>
    </row>
    <row r="4" spans="1:11" s="57" customFormat="1">
      <c r="A4" s="214"/>
      <c r="J4" s="233"/>
      <c r="K4" s="241" t="s">
        <v>254</v>
      </c>
    </row>
    <row r="5" spans="1:11">
      <c r="A5" s="19">
        <v>42901</v>
      </c>
      <c r="B5" t="s">
        <v>245</v>
      </c>
      <c r="C5">
        <v>250</v>
      </c>
      <c r="D5">
        <v>245</v>
      </c>
      <c r="E5">
        <v>234</v>
      </c>
      <c r="F5">
        <v>247</v>
      </c>
      <c r="G5">
        <v>228</v>
      </c>
      <c r="H5" s="20">
        <f>AVERAGE(C5:G5)</f>
        <v>240.8</v>
      </c>
      <c r="I5" s="20">
        <f>(H5*9)/0.0009</f>
        <v>2408000.0000000005</v>
      </c>
      <c r="J5" s="235">
        <f>(100000*800)/I5</f>
        <v>33.222591362126238</v>
      </c>
      <c r="K5" s="238">
        <f>13*J5</f>
        <v>431.89368770764111</v>
      </c>
    </row>
    <row r="6" spans="1:11">
      <c r="A6" s="19">
        <v>42902</v>
      </c>
      <c r="B6" t="s">
        <v>245</v>
      </c>
      <c r="C6">
        <v>232</v>
      </c>
      <c r="D6">
        <v>224</v>
      </c>
      <c r="E6">
        <v>243</v>
      </c>
      <c r="F6">
        <v>249</v>
      </c>
      <c r="G6">
        <v>240</v>
      </c>
      <c r="H6" s="20">
        <f>AVERAGE(C6:G6)</f>
        <v>237.6</v>
      </c>
      <c r="I6" s="20">
        <f>(H6*9)/0.0009</f>
        <v>2376000</v>
      </c>
      <c r="J6" s="235">
        <f>(100000*800)/I6</f>
        <v>33.670033670033668</v>
      </c>
      <c r="K6" s="238">
        <f>13*J6</f>
        <v>437.7104377104377</v>
      </c>
    </row>
    <row r="7" spans="1:11">
      <c r="A7" s="19">
        <v>42903</v>
      </c>
      <c r="B7" t="s">
        <v>237</v>
      </c>
      <c r="C7">
        <v>145</v>
      </c>
      <c r="D7">
        <v>164</v>
      </c>
      <c r="E7">
        <v>161</v>
      </c>
      <c r="F7">
        <v>185</v>
      </c>
      <c r="G7">
        <v>171</v>
      </c>
      <c r="H7" s="20">
        <f>AVERAGE(C7:G7)</f>
        <v>165.2</v>
      </c>
      <c r="I7" s="20">
        <f>(H7*9)/0.0009</f>
        <v>1652000</v>
      </c>
      <c r="J7" s="235">
        <f>(100000*800)/I7</f>
        <v>48.426150121065376</v>
      </c>
      <c r="K7" s="238">
        <f>13*J7</f>
        <v>629.53995157384986</v>
      </c>
    </row>
    <row r="8" spans="1:11">
      <c r="A8" s="19">
        <v>42904</v>
      </c>
      <c r="B8" t="s">
        <v>246</v>
      </c>
      <c r="C8">
        <v>128</v>
      </c>
      <c r="D8">
        <v>170</v>
      </c>
      <c r="E8">
        <v>172</v>
      </c>
      <c r="F8">
        <v>152</v>
      </c>
      <c r="G8">
        <v>135</v>
      </c>
      <c r="H8" s="20">
        <f t="shared" ref="H8:H17" si="0">AVERAGE(C8:G8)</f>
        <v>151.4</v>
      </c>
      <c r="I8" s="20">
        <f t="shared" ref="I8:I17" si="1">(H8*9)/0.0009</f>
        <v>1514000.0000000002</v>
      </c>
      <c r="J8" s="235">
        <f t="shared" ref="J8:J17" si="2">(100000*800)/I8</f>
        <v>52.840158520475555</v>
      </c>
      <c r="K8" s="238">
        <f t="shared" ref="K8" si="3">13*J8</f>
        <v>686.9220607661822</v>
      </c>
    </row>
    <row r="9" spans="1:11">
      <c r="A9" s="19"/>
      <c r="H9" s="20"/>
      <c r="I9" s="20"/>
      <c r="J9" s="235"/>
      <c r="K9" s="241" t="s">
        <v>253</v>
      </c>
    </row>
    <row r="10" spans="1:11">
      <c r="A10" s="19">
        <v>42905</v>
      </c>
      <c r="B10" t="s">
        <v>251</v>
      </c>
      <c r="C10">
        <v>194</v>
      </c>
      <c r="D10">
        <v>206</v>
      </c>
      <c r="E10">
        <v>197</v>
      </c>
      <c r="F10">
        <v>219</v>
      </c>
      <c r="G10">
        <v>212</v>
      </c>
      <c r="H10" s="20">
        <f t="shared" si="0"/>
        <v>205.6</v>
      </c>
      <c r="I10" s="20">
        <f t="shared" si="1"/>
        <v>2056000</v>
      </c>
      <c r="J10" s="235">
        <f t="shared" si="2"/>
        <v>38.910505836575872</v>
      </c>
      <c r="K10" s="240">
        <f>((100000*1000)/I10)*18</f>
        <v>875.48638132295719</v>
      </c>
    </row>
    <row r="11" spans="1:11">
      <c r="A11" s="19"/>
      <c r="H11" s="20" t="e">
        <f t="shared" si="0"/>
        <v>#DIV/0!</v>
      </c>
      <c r="I11" s="20" t="e">
        <f t="shared" si="1"/>
        <v>#DIV/0!</v>
      </c>
      <c r="J11" s="235" t="e">
        <f t="shared" si="2"/>
        <v>#DIV/0!</v>
      </c>
      <c r="K11" s="240" t="e">
        <f t="shared" ref="K11:K17" si="4">((100000*1000)/I11)*18</f>
        <v>#DIV/0!</v>
      </c>
    </row>
    <row r="12" spans="1:11">
      <c r="A12" s="19"/>
      <c r="H12" s="20" t="e">
        <f t="shared" si="0"/>
        <v>#DIV/0!</v>
      </c>
      <c r="I12" s="20" t="e">
        <f t="shared" si="1"/>
        <v>#DIV/0!</v>
      </c>
      <c r="J12" s="235" t="e">
        <f t="shared" si="2"/>
        <v>#DIV/0!</v>
      </c>
      <c r="K12" s="240" t="e">
        <f t="shared" si="4"/>
        <v>#DIV/0!</v>
      </c>
    </row>
    <row r="13" spans="1:11">
      <c r="A13" s="19"/>
      <c r="H13" s="20" t="e">
        <f t="shared" si="0"/>
        <v>#DIV/0!</v>
      </c>
      <c r="I13" s="20" t="e">
        <f t="shared" si="1"/>
        <v>#DIV/0!</v>
      </c>
      <c r="J13" s="235" t="e">
        <f t="shared" si="2"/>
        <v>#DIV/0!</v>
      </c>
      <c r="K13" s="240" t="e">
        <f t="shared" si="4"/>
        <v>#DIV/0!</v>
      </c>
    </row>
    <row r="14" spans="1:11">
      <c r="A14" s="19"/>
      <c r="H14" s="20" t="e">
        <f t="shared" si="0"/>
        <v>#DIV/0!</v>
      </c>
      <c r="I14" s="20" t="e">
        <f t="shared" si="1"/>
        <v>#DIV/0!</v>
      </c>
      <c r="J14" s="235" t="e">
        <f t="shared" si="2"/>
        <v>#DIV/0!</v>
      </c>
      <c r="K14" s="240" t="e">
        <f t="shared" si="4"/>
        <v>#DIV/0!</v>
      </c>
    </row>
    <row r="15" spans="1:11">
      <c r="A15" s="19"/>
      <c r="H15" s="20" t="e">
        <f t="shared" si="0"/>
        <v>#DIV/0!</v>
      </c>
      <c r="I15" s="20" t="e">
        <f t="shared" si="1"/>
        <v>#DIV/0!</v>
      </c>
      <c r="J15" s="235" t="e">
        <f t="shared" si="2"/>
        <v>#DIV/0!</v>
      </c>
      <c r="K15" s="240" t="e">
        <f t="shared" si="4"/>
        <v>#DIV/0!</v>
      </c>
    </row>
    <row r="16" spans="1:11">
      <c r="A16" s="19"/>
      <c r="H16" s="20" t="e">
        <f t="shared" si="0"/>
        <v>#DIV/0!</v>
      </c>
      <c r="I16" s="20" t="e">
        <f t="shared" si="1"/>
        <v>#DIV/0!</v>
      </c>
      <c r="J16" s="235" t="e">
        <f t="shared" si="2"/>
        <v>#DIV/0!</v>
      </c>
      <c r="K16" s="240" t="e">
        <f t="shared" si="4"/>
        <v>#DIV/0!</v>
      </c>
    </row>
    <row r="17" spans="1:11">
      <c r="A17" s="19"/>
      <c r="H17" s="20" t="e">
        <f t="shared" si="0"/>
        <v>#DIV/0!</v>
      </c>
      <c r="I17" s="20" t="e">
        <f t="shared" si="1"/>
        <v>#DIV/0!</v>
      </c>
      <c r="J17" s="235" t="e">
        <f t="shared" si="2"/>
        <v>#DIV/0!</v>
      </c>
      <c r="K17" s="240" t="e">
        <f t="shared" si="4"/>
        <v>#DIV/0!</v>
      </c>
    </row>
    <row r="18" spans="1:11">
      <c r="A18" s="19"/>
      <c r="K18" s="238"/>
    </row>
    <row r="19" spans="1:11">
      <c r="A19" s="19"/>
      <c r="K19" s="238"/>
    </row>
    <row r="20" spans="1:11">
      <c r="A20" s="19"/>
      <c r="K20" s="238"/>
    </row>
    <row r="21" spans="1:11">
      <c r="A21" s="19" t="s">
        <v>252</v>
      </c>
      <c r="K21" s="238"/>
    </row>
    <row r="22" spans="1:11">
      <c r="A22" s="19"/>
      <c r="B22">
        <f>800/220</f>
        <v>3.6363636363636362</v>
      </c>
      <c r="C22">
        <f>(800*3)/5</f>
        <v>480</v>
      </c>
      <c r="D22">
        <f>800-C22</f>
        <v>320</v>
      </c>
      <c r="E22">
        <f>D22/2</f>
        <v>160</v>
      </c>
      <c r="F22">
        <f>3*E22</f>
        <v>480</v>
      </c>
      <c r="G22">
        <f>E22/B22</f>
        <v>44</v>
      </c>
      <c r="K22" s="238"/>
    </row>
    <row r="23" spans="1:11">
      <c r="A23" s="19"/>
      <c r="K23" s="238"/>
    </row>
    <row r="24" spans="1:11">
      <c r="A24" s="19"/>
      <c r="C24">
        <f>(44*B22)</f>
        <v>160</v>
      </c>
      <c r="K24" s="238"/>
    </row>
    <row r="25" spans="1:11">
      <c r="A25" s="19"/>
      <c r="K25" s="238"/>
    </row>
    <row r="26" spans="1:11">
      <c r="A26" s="19"/>
      <c r="K26" s="238"/>
    </row>
    <row r="27" spans="1:11">
      <c r="A27" s="19"/>
      <c r="K27" s="238"/>
    </row>
    <row r="28" spans="1:11">
      <c r="A28" s="19"/>
      <c r="K28" s="238"/>
    </row>
    <row r="29" spans="1:11">
      <c r="K29" s="238"/>
    </row>
    <row r="30" spans="1:11">
      <c r="K30" s="238"/>
    </row>
    <row r="31" spans="1:11">
      <c r="K31" s="238"/>
    </row>
    <row r="32" spans="1:11">
      <c r="K32" s="238"/>
    </row>
    <row r="33" spans="11:11">
      <c r="K33" s="238"/>
    </row>
    <row r="34" spans="11:11">
      <c r="K34" s="238"/>
    </row>
    <row r="35" spans="11:11" ht="16" thickBot="1">
      <c r="K35" s="23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Collection</vt:lpstr>
      <vt:lpstr>Bucket Counts</vt:lpstr>
      <vt:lpstr>Stocking</vt:lpstr>
      <vt:lpstr>Total Larvae to Date</vt:lpstr>
      <vt:lpstr>Date Chart</vt:lpstr>
      <vt:lpstr>Algae Counts</vt:lpstr>
      <vt:lpstr>Resources</vt:lpstr>
      <vt:lpstr>Larval Trial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Spencer</cp:lastModifiedBy>
  <dcterms:created xsi:type="dcterms:W3CDTF">2017-05-24T04:00:27Z</dcterms:created>
  <dcterms:modified xsi:type="dcterms:W3CDTF">2017-06-20T08:19:46Z</dcterms:modified>
</cp:coreProperties>
</file>