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11420" windowHeight="14480" tabRatio="500"/>
  </bookViews>
  <sheets>
    <sheet name="Dickson ASW Buffer Theoretical " sheetId="1" r:id="rId1"/>
    <sheet name="NIST Buffer Theoretical" sheetId="3" r:id="rId2"/>
    <sheet name="NIST T-Response" sheetId="6" r:id="rId3"/>
    <sheet name="Honeywell Nernst" sheetId="4" r:id="rId4"/>
    <sheet name="Thermistor-response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B2" i="4"/>
  <c r="A6" i="4"/>
  <c r="J44" i="4"/>
  <c r="D30" i="4"/>
  <c r="A54" i="4"/>
  <c r="C56" i="4"/>
  <c r="C53" i="4"/>
  <c r="C59" i="4"/>
  <c r="B64" i="4"/>
  <c r="B65" i="4"/>
  <c r="B66" i="4"/>
  <c r="B27" i="6"/>
  <c r="B28" i="6"/>
  <c r="B29" i="6"/>
  <c r="A5" i="6"/>
  <c r="A6" i="6"/>
  <c r="A7" i="6"/>
  <c r="A8" i="6"/>
  <c r="A9" i="6"/>
  <c r="A10" i="6"/>
  <c r="A11" i="6"/>
  <c r="G42" i="4"/>
  <c r="G41" i="4"/>
  <c r="G40" i="4"/>
  <c r="E42" i="4"/>
  <c r="C42" i="4"/>
  <c r="A42" i="4"/>
  <c r="A43" i="4"/>
  <c r="A44" i="4"/>
  <c r="A41" i="4"/>
  <c r="H30" i="4"/>
  <c r="A56" i="4"/>
  <c r="F30" i="4"/>
  <c r="A55" i="4"/>
  <c r="B30" i="4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27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70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5" i="5"/>
  <c r="G45" i="5"/>
  <c r="G46" i="5"/>
  <c r="G47" i="5"/>
  <c r="G48" i="5"/>
  <c r="G49" i="5"/>
  <c r="G50" i="5"/>
  <c r="G51" i="5"/>
  <c r="G52" i="5"/>
  <c r="G54" i="5"/>
  <c r="G55" i="5"/>
  <c r="G56" i="5"/>
  <c r="G57" i="5"/>
  <c r="G58" i="5"/>
  <c r="G60" i="5"/>
  <c r="G61" i="5"/>
  <c r="G62" i="5"/>
  <c r="G63" i="5"/>
  <c r="G64" i="5"/>
  <c r="G65" i="5"/>
  <c r="G66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A53" i="4"/>
  <c r="K12" i="4"/>
  <c r="B5" i="4"/>
  <c r="E5" i="4"/>
  <c r="F5" i="4"/>
  <c r="D5" i="4"/>
  <c r="C12" i="1"/>
  <c r="C13" i="1"/>
  <c r="C14" i="1"/>
  <c r="D14" i="1"/>
  <c r="M7" i="3"/>
  <c r="M6" i="3"/>
  <c r="M5" i="3"/>
  <c r="E12" i="1"/>
  <c r="E13" i="1"/>
  <c r="A13" i="1"/>
  <c r="D11" i="1"/>
  <c r="B11" i="1"/>
  <c r="E30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29" i="1"/>
  <c r="D29" i="1"/>
  <c r="B29" i="1"/>
  <c r="D5" i="1"/>
  <c r="A5" i="1"/>
  <c r="A11" i="1"/>
  <c r="D13" i="1"/>
  <c r="A29" i="1"/>
  <c r="C58" i="4"/>
  <c r="A45" i="4"/>
  <c r="A46" i="4"/>
  <c r="A47" i="4"/>
  <c r="G39" i="4"/>
  <c r="G38" i="4"/>
  <c r="G37" i="4"/>
  <c r="G43" i="4"/>
  <c r="G44" i="4"/>
  <c r="G45" i="4"/>
  <c r="G46" i="4"/>
  <c r="C15" i="1"/>
  <c r="D15" i="1"/>
  <c r="C16" i="1"/>
  <c r="D16" i="1"/>
  <c r="C17" i="1"/>
  <c r="D17" i="1"/>
  <c r="C18" i="1"/>
  <c r="C19" i="1"/>
  <c r="C20" i="1"/>
  <c r="D18" i="1"/>
  <c r="D19" i="1"/>
  <c r="D20" i="1"/>
  <c r="C21" i="1"/>
  <c r="G36" i="4"/>
  <c r="A48" i="4"/>
  <c r="B30" i="1"/>
  <c r="E31" i="1"/>
  <c r="G47" i="4"/>
  <c r="A30" i="1"/>
  <c r="A7" i="4"/>
  <c r="E6" i="4"/>
  <c r="F6" i="4"/>
  <c r="A40" i="4"/>
  <c r="D12" i="1"/>
  <c r="K11" i="4"/>
  <c r="K10" i="4"/>
  <c r="K9" i="4"/>
  <c r="K8" i="4"/>
  <c r="K7" i="4"/>
  <c r="K6" i="4"/>
  <c r="K5" i="4"/>
  <c r="K13" i="4"/>
  <c r="E41" i="4"/>
  <c r="E40" i="4"/>
  <c r="E39" i="4"/>
  <c r="E38" i="4"/>
  <c r="E43" i="4"/>
  <c r="E44" i="4"/>
  <c r="E45" i="4"/>
  <c r="E46" i="4"/>
  <c r="E47" i="4"/>
  <c r="E48" i="4"/>
  <c r="E49" i="4"/>
  <c r="E14" i="1"/>
  <c r="B13" i="1"/>
  <c r="D6" i="4"/>
  <c r="B6" i="4"/>
  <c r="C41" i="4"/>
  <c r="C43" i="4"/>
  <c r="D2" i="4"/>
  <c r="B5" i="1"/>
  <c r="K14" i="4"/>
  <c r="C5" i="4"/>
  <c r="C6" i="4"/>
  <c r="I6" i="4"/>
  <c r="B7" i="4"/>
  <c r="C7" i="4"/>
  <c r="I7" i="4"/>
  <c r="E7" i="4"/>
  <c r="F7" i="4"/>
  <c r="A8" i="4"/>
  <c r="D7" i="4"/>
  <c r="C22" i="1"/>
  <c r="D21" i="1"/>
  <c r="G48" i="4"/>
  <c r="A49" i="4"/>
  <c r="C44" i="4"/>
  <c r="A12" i="1"/>
  <c r="B12" i="1"/>
  <c r="B31" i="1"/>
  <c r="A31" i="1"/>
  <c r="E32" i="1"/>
  <c r="C40" i="4"/>
  <c r="A14" i="1"/>
  <c r="E15" i="1"/>
  <c r="B14" i="1"/>
  <c r="E37" i="4"/>
  <c r="A39" i="4"/>
  <c r="G35" i="4"/>
  <c r="G7" i="4"/>
  <c r="H7" i="4"/>
  <c r="I5" i="4"/>
  <c r="G5" i="4"/>
  <c r="H5" i="4"/>
  <c r="A38" i="4"/>
  <c r="C39" i="4"/>
  <c r="C45" i="4"/>
  <c r="E16" i="1"/>
  <c r="B15" i="1"/>
  <c r="A15" i="1"/>
  <c r="B32" i="1"/>
  <c r="A32" i="1"/>
  <c r="E33" i="1"/>
  <c r="G6" i="4"/>
  <c r="H6" i="4"/>
  <c r="K15" i="4"/>
  <c r="G49" i="4"/>
  <c r="D22" i="1"/>
  <c r="C23" i="1"/>
  <c r="E36" i="4"/>
  <c r="E8" i="4"/>
  <c r="B8" i="4"/>
  <c r="C8" i="4"/>
  <c r="I8" i="4"/>
  <c r="D8" i="4"/>
  <c r="A9" i="4"/>
  <c r="B9" i="4"/>
  <c r="C9" i="4"/>
  <c r="D9" i="4"/>
  <c r="E9" i="4"/>
  <c r="F9" i="4"/>
  <c r="G9" i="4"/>
  <c r="H9" i="4"/>
  <c r="A10" i="4"/>
  <c r="E35" i="4"/>
  <c r="D23" i="1"/>
  <c r="C24" i="1"/>
  <c r="E34" i="1"/>
  <c r="A33" i="1"/>
  <c r="B33" i="1"/>
  <c r="C46" i="4"/>
  <c r="A37" i="4"/>
  <c r="C38" i="4"/>
  <c r="F8" i="4"/>
  <c r="G8" i="4"/>
  <c r="H8" i="4"/>
  <c r="K16" i="4"/>
  <c r="E17" i="1"/>
  <c r="B16" i="1"/>
  <c r="A16" i="1"/>
  <c r="K17" i="4"/>
  <c r="C47" i="4"/>
  <c r="D24" i="1"/>
  <c r="C25" i="1"/>
  <c r="E10" i="4"/>
  <c r="D10" i="4"/>
  <c r="A11" i="4"/>
  <c r="B10" i="4"/>
  <c r="C10" i="4"/>
  <c r="I10" i="4"/>
  <c r="E18" i="1"/>
  <c r="A17" i="1"/>
  <c r="B17" i="1"/>
  <c r="A36" i="4"/>
  <c r="C37" i="4"/>
  <c r="E35" i="1"/>
  <c r="A34" i="1"/>
  <c r="B34" i="1"/>
  <c r="I9" i="4"/>
  <c r="B18" i="1"/>
  <c r="A18" i="1"/>
  <c r="E19" i="1"/>
  <c r="F10" i="4"/>
  <c r="G10" i="4"/>
  <c r="H10" i="4"/>
  <c r="C48" i="4"/>
  <c r="E36" i="1"/>
  <c r="B35" i="1"/>
  <c r="A35" i="1"/>
  <c r="A35" i="4"/>
  <c r="C26" i="1"/>
  <c r="D26" i="1"/>
  <c r="D25" i="1"/>
  <c r="C36" i="4"/>
  <c r="B11" i="4"/>
  <c r="C11" i="4"/>
  <c r="A12" i="4"/>
  <c r="E11" i="4"/>
  <c r="D11" i="4"/>
  <c r="K18" i="4"/>
  <c r="I11" i="4"/>
  <c r="B36" i="1"/>
  <c r="A36" i="1"/>
  <c r="E37" i="1"/>
  <c r="A19" i="1"/>
  <c r="E20" i="1"/>
  <c r="B19" i="1"/>
  <c r="E12" i="4"/>
  <c r="D12" i="4"/>
  <c r="B12" i="4"/>
  <c r="C12" i="4"/>
  <c r="I12" i="4"/>
  <c r="A13" i="4"/>
  <c r="K19" i="4"/>
  <c r="F11" i="4"/>
  <c r="G11" i="4"/>
  <c r="H11" i="4"/>
  <c r="C35" i="4"/>
  <c r="C49" i="4"/>
  <c r="F12" i="4"/>
  <c r="G12" i="4"/>
  <c r="H12" i="4"/>
  <c r="A37" i="1"/>
  <c r="B37" i="1"/>
  <c r="E38" i="1"/>
  <c r="E21" i="1"/>
  <c r="B20" i="1"/>
  <c r="A20" i="1"/>
  <c r="B13" i="4"/>
  <c r="C13" i="4"/>
  <c r="I13" i="4"/>
  <c r="A14" i="4"/>
  <c r="D13" i="4"/>
  <c r="E13" i="4"/>
  <c r="F13" i="4"/>
  <c r="B21" i="1"/>
  <c r="A21" i="1"/>
  <c r="E22" i="1"/>
  <c r="G13" i="4"/>
  <c r="H13" i="4"/>
  <c r="E14" i="4"/>
  <c r="F14" i="4"/>
  <c r="G14" i="4"/>
  <c r="H14" i="4"/>
  <c r="B14" i="4"/>
  <c r="C14" i="4"/>
  <c r="A15" i="4"/>
  <c r="D14" i="4"/>
  <c r="B38" i="1"/>
  <c r="A38" i="1"/>
  <c r="E39" i="1"/>
  <c r="B39" i="1"/>
  <c r="A39" i="1"/>
  <c r="E40" i="1"/>
  <c r="B15" i="4"/>
  <c r="C15" i="4"/>
  <c r="I15" i="4"/>
  <c r="E15" i="4"/>
  <c r="F15" i="4"/>
  <c r="G15" i="4"/>
  <c r="H15" i="4"/>
  <c r="A16" i="4"/>
  <c r="D15" i="4"/>
  <c r="E23" i="1"/>
  <c r="B22" i="1"/>
  <c r="A22" i="1"/>
  <c r="I14" i="4"/>
  <c r="E24" i="1"/>
  <c r="B23" i="1"/>
  <c r="A23" i="1"/>
  <c r="B40" i="1"/>
  <c r="E41" i="1"/>
  <c r="A40" i="1"/>
  <c r="A17" i="4"/>
  <c r="D16" i="4"/>
  <c r="E16" i="4"/>
  <c r="B16" i="4"/>
  <c r="C16" i="4"/>
  <c r="I16" i="4"/>
  <c r="E17" i="4"/>
  <c r="A18" i="4"/>
  <c r="D17" i="4"/>
  <c r="B17" i="4"/>
  <c r="C17" i="4"/>
  <c r="I17" i="4"/>
  <c r="F16" i="4"/>
  <c r="G16" i="4"/>
  <c r="H16" i="4"/>
  <c r="A41" i="1"/>
  <c r="B41" i="1"/>
  <c r="E42" i="1"/>
  <c r="E25" i="1"/>
  <c r="A24" i="1"/>
  <c r="B24" i="1"/>
  <c r="E18" i="4"/>
  <c r="D18" i="4"/>
  <c r="B18" i="4"/>
  <c r="C18" i="4"/>
  <c r="I18" i="4"/>
  <c r="A19" i="4"/>
  <c r="E43" i="1"/>
  <c r="A42" i="1"/>
  <c r="B42" i="1"/>
  <c r="A25" i="1"/>
  <c r="B25" i="1"/>
  <c r="E26" i="1"/>
  <c r="F17" i="4"/>
  <c r="G17" i="4"/>
  <c r="H17" i="4"/>
  <c r="D19" i="4"/>
  <c r="E19" i="4"/>
  <c r="F19" i="4"/>
  <c r="A20" i="4"/>
  <c r="B19" i="4"/>
  <c r="C19" i="4"/>
  <c r="I19" i="4"/>
  <c r="A26" i="1"/>
  <c r="B26" i="1"/>
  <c r="E44" i="1"/>
  <c r="A43" i="1"/>
  <c r="B43" i="1"/>
  <c r="F18" i="4"/>
  <c r="G18" i="4"/>
  <c r="H18" i="4"/>
  <c r="B44" i="1"/>
  <c r="A44" i="1"/>
  <c r="E45" i="1"/>
  <c r="E20" i="4"/>
  <c r="F20" i="4"/>
  <c r="G20" i="4"/>
  <c r="H20" i="4"/>
  <c r="D20" i="4"/>
  <c r="A21" i="4"/>
  <c r="B20" i="4"/>
  <c r="C20" i="4"/>
  <c r="I20" i="4"/>
  <c r="G19" i="4"/>
  <c r="H19" i="4"/>
  <c r="B45" i="1"/>
  <c r="E46" i="1"/>
  <c r="A45" i="1"/>
  <c r="B21" i="4"/>
  <c r="C21" i="4"/>
  <c r="I21" i="4"/>
  <c r="E21" i="4"/>
  <c r="F21" i="4"/>
  <c r="D21" i="4"/>
  <c r="A22" i="4"/>
  <c r="D22" i="4"/>
  <c r="E22" i="4"/>
  <c r="F22" i="4"/>
  <c r="G22" i="4"/>
  <c r="H22" i="4"/>
  <c r="B22" i="4"/>
  <c r="C22" i="4"/>
  <c r="I22" i="4"/>
  <c r="A23" i="4"/>
  <c r="B46" i="1"/>
  <c r="A46" i="1"/>
  <c r="E47" i="1"/>
  <c r="G21" i="4"/>
  <c r="H21" i="4"/>
  <c r="A24" i="4"/>
  <c r="D23" i="4"/>
  <c r="E23" i="4"/>
  <c r="F23" i="4"/>
  <c r="B23" i="4"/>
  <c r="C23" i="4"/>
  <c r="I23" i="4"/>
  <c r="A47" i="1"/>
  <c r="B47" i="1"/>
  <c r="G23" i="4"/>
  <c r="H23" i="4"/>
  <c r="A25" i="4"/>
  <c r="B24" i="4"/>
  <c r="C24" i="4"/>
  <c r="I24" i="4"/>
  <c r="D24" i="4"/>
  <c r="E24" i="4"/>
  <c r="B25" i="4"/>
  <c r="C25" i="4"/>
  <c r="D25" i="4"/>
  <c r="E25" i="4"/>
  <c r="F25" i="4"/>
  <c r="G25" i="4"/>
  <c r="H25" i="4"/>
  <c r="F24" i="4"/>
  <c r="G24" i="4"/>
  <c r="H24" i="4"/>
  <c r="J2" i="4"/>
  <c r="I25" i="4"/>
  <c r="B26" i="4"/>
  <c r="I2" i="4"/>
  <c r="B27" i="4"/>
  <c r="H43" i="4"/>
  <c r="D42" i="4"/>
  <c r="H41" i="4"/>
  <c r="K2" i="4"/>
  <c r="B44" i="4"/>
  <c r="H42" i="4"/>
  <c r="H40" i="4"/>
  <c r="H38" i="4"/>
  <c r="H39" i="4"/>
  <c r="H44" i="4"/>
  <c r="B43" i="4"/>
  <c r="B42" i="4"/>
  <c r="B45" i="4"/>
  <c r="B41" i="4"/>
  <c r="B47" i="4"/>
  <c r="F44" i="4"/>
  <c r="F40" i="4"/>
  <c r="H37" i="4"/>
  <c r="H46" i="4"/>
  <c r="H45" i="4"/>
  <c r="F47" i="4"/>
  <c r="F45" i="4"/>
  <c r="F42" i="4"/>
  <c r="F39" i="4"/>
  <c r="F43" i="4"/>
  <c r="F48" i="4"/>
  <c r="F46" i="4"/>
  <c r="B46" i="4"/>
  <c r="F41" i="4"/>
  <c r="F49" i="4"/>
  <c r="B48" i="4"/>
  <c r="H36" i="4"/>
  <c r="D43" i="4"/>
  <c r="D41" i="4"/>
  <c r="B40" i="4"/>
  <c r="F38" i="4"/>
  <c r="H47" i="4"/>
  <c r="D40" i="4"/>
  <c r="H35" i="4"/>
  <c r="F37" i="4"/>
  <c r="B39" i="4"/>
  <c r="D44" i="4"/>
  <c r="B49" i="4"/>
  <c r="H48" i="4"/>
  <c r="D45" i="4"/>
  <c r="D39" i="4"/>
  <c r="F36" i="4"/>
  <c r="B38" i="4"/>
  <c r="H49" i="4"/>
  <c r="F35" i="4"/>
  <c r="B37" i="4"/>
  <c r="D46" i="4"/>
  <c r="D38" i="4"/>
  <c r="D47" i="4"/>
  <c r="B36" i="4"/>
  <c r="D37" i="4"/>
  <c r="D48" i="4"/>
  <c r="D36" i="4"/>
  <c r="B35" i="4"/>
  <c r="D49" i="4"/>
  <c r="D35" i="4"/>
  <c r="B33" i="4"/>
  <c r="B53" i="4"/>
  <c r="H33" i="4"/>
  <c r="B56" i="4"/>
  <c r="F33" i="4"/>
  <c r="B55" i="4"/>
  <c r="L11" i="4"/>
  <c r="L7" i="4"/>
  <c r="L5" i="4"/>
  <c r="L6" i="4"/>
  <c r="L9" i="4"/>
  <c r="L8" i="4"/>
  <c r="L13" i="4"/>
  <c r="L10" i="4"/>
  <c r="L14" i="4"/>
  <c r="L15" i="4"/>
  <c r="L16" i="4"/>
  <c r="L17" i="4"/>
  <c r="L18" i="4"/>
  <c r="L19" i="4"/>
  <c r="D33" i="4"/>
  <c r="B58" i="4"/>
  <c r="B59" i="4"/>
</calcChain>
</file>

<file path=xl/sharedStrings.xml><?xml version="1.0" encoding="utf-8"?>
<sst xmlns="http://schemas.openxmlformats.org/spreadsheetml/2006/main" count="120" uniqueCount="57">
  <si>
    <t>TRIS</t>
  </si>
  <si>
    <t>T_in</t>
  </si>
  <si>
    <t>T_K</t>
  </si>
  <si>
    <t>S</t>
  </si>
  <si>
    <t>pH(TRIS)</t>
  </si>
  <si>
    <t>pH(AMP)</t>
  </si>
  <si>
    <t>T</t>
  </si>
  <si>
    <t>Temperature-dependency</t>
  </si>
  <si>
    <t>Salinity-dependency</t>
  </si>
  <si>
    <t xml:space="preserve"> </t>
  </si>
  <si>
    <t xml:space="preserve">pH Buffer </t>
  </si>
  <si>
    <t>pH</t>
  </si>
  <si>
    <t>Given T</t>
  </si>
  <si>
    <t>Buffers</t>
  </si>
  <si>
    <t>R</t>
  </si>
  <si>
    <t>R/F</t>
  </si>
  <si>
    <t>ln10</t>
  </si>
  <si>
    <t>Rln10/F</t>
  </si>
  <si>
    <t>RTln10/F</t>
  </si>
  <si>
    <t>K</t>
  </si>
  <si>
    <t>pH1</t>
  </si>
  <si>
    <t>pH2</t>
  </si>
  <si>
    <r>
      <rPr>
        <b/>
        <sz val="12"/>
        <color theme="1"/>
        <rFont val="Symbol"/>
      </rPr>
      <t>D</t>
    </r>
    <r>
      <rPr>
        <b/>
        <sz val="12"/>
        <color theme="1"/>
        <rFont val="Calibri"/>
        <family val="2"/>
        <scheme val="minor"/>
      </rPr>
      <t>V</t>
    </r>
  </si>
  <si>
    <t>Slope</t>
  </si>
  <si>
    <t>Offset</t>
  </si>
  <si>
    <t>cal-s</t>
  </si>
  <si>
    <r>
      <rPr>
        <b/>
        <sz val="12"/>
        <color theme="1"/>
        <rFont val="Symbol"/>
      </rPr>
      <t>D</t>
    </r>
    <r>
      <rPr>
        <b/>
        <sz val="12"/>
        <color theme="1"/>
        <rFont val="Calibri"/>
        <family val="2"/>
        <scheme val="minor"/>
      </rPr>
      <t>pH</t>
    </r>
  </si>
  <si>
    <t>To=</t>
  </si>
  <si>
    <t>Tf=</t>
  </si>
  <si>
    <t>Tau</t>
  </si>
  <si>
    <t>ideal-s</t>
  </si>
  <si>
    <t>Msmt. T</t>
  </si>
  <si>
    <t>ATC</t>
  </si>
  <si>
    <t>slope</t>
  </si>
  <si>
    <t>T-Adj cal-S</t>
  </si>
  <si>
    <t>mV</t>
  </si>
  <si>
    <t>Ideal</t>
  </si>
  <si>
    <t>N(T) slope</t>
  </si>
  <si>
    <t>N(T) intercept</t>
  </si>
  <si>
    <t>Slope Cor</t>
  </si>
  <si>
    <t>Temp</t>
  </si>
  <si>
    <t>Calibration T</t>
  </si>
  <si>
    <t>Calibration Slope</t>
  </si>
  <si>
    <t>Temp, C</t>
  </si>
  <si>
    <t>Time, s</t>
  </si>
  <si>
    <t>Bath 1</t>
  </si>
  <si>
    <t>Bath 2</t>
  </si>
  <si>
    <t>Bath 3</t>
  </si>
  <si>
    <t>Fit</t>
  </si>
  <si>
    <t>Analyzer pH</t>
  </si>
  <si>
    <t>Analyzer T</t>
  </si>
  <si>
    <t>NIST 10</t>
  </si>
  <si>
    <t>NIST 7</t>
  </si>
  <si>
    <t>Stated pH(T) over 10&lt;T&lt;20:</t>
  </si>
  <si>
    <t>slope:</t>
  </si>
  <si>
    <t>intercept:</t>
  </si>
  <si>
    <t>Nernst(T)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</si>
</sst>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1"/>
      <name val="Symbo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4" fillId="0" borderId="0" xfId="0" applyFont="1"/>
    <xf numFmtId="164" fontId="5" fillId="0" borderId="5" xfId="0" applyNumberFormat="1" applyFont="1" applyBorder="1"/>
    <xf numFmtId="164" fontId="5" fillId="0" borderId="8" xfId="0" applyNumberFormat="1" applyFont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20" fontId="0" fillId="0" borderId="0" xfId="0" applyNumberFormat="1"/>
    <xf numFmtId="0" fontId="0" fillId="0" borderId="0" xfId="0" applyNumberFormat="1"/>
    <xf numFmtId="166" fontId="0" fillId="0" borderId="0" xfId="0" applyNumberFormat="1"/>
    <xf numFmtId="0" fontId="3" fillId="2" borderId="0" xfId="0" applyFont="1" applyFill="1"/>
    <xf numFmtId="0" fontId="0" fillId="2" borderId="0" xfId="0" applyFill="1"/>
    <xf numFmtId="0" fontId="0" fillId="2" borderId="0" xfId="0" applyFont="1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3" borderId="0" xfId="0" applyFont="1" applyFill="1" applyAlignment="1">
      <alignment horizont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72598637434472"/>
                  <c:y val="0.498402555910543"/>
                </c:manualLayout>
              </c:layout>
              <c:numFmt formatCode="General" sourceLinked="0"/>
            </c:trendlineLbl>
          </c:trendline>
          <c:xVal>
            <c:numRef>
              <c:f>'Dickson ASW Buffer Theoretical '!$E$29:$E$47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'Dickson ASW Buffer Theoretical '!$A$29:$A$47</c:f>
              <c:numCache>
                <c:formatCode>General</c:formatCode>
                <c:ptCount val="19"/>
                <c:pt idx="0">
                  <c:v>8.35904932753459</c:v>
                </c:pt>
                <c:pt idx="1">
                  <c:v>8.360429892262516</c:v>
                </c:pt>
                <c:pt idx="2">
                  <c:v>8.3620246791246</c:v>
                </c:pt>
                <c:pt idx="3">
                  <c:v>8.363833688121076</c:v>
                </c:pt>
                <c:pt idx="4">
                  <c:v>8.365856919251825</c:v>
                </c:pt>
                <c:pt idx="5">
                  <c:v>8.36809437251685</c:v>
                </c:pt>
                <c:pt idx="6">
                  <c:v>8.37054604791626</c:v>
                </c:pt>
                <c:pt idx="7">
                  <c:v>8.373211945449838</c:v>
                </c:pt>
                <c:pt idx="8">
                  <c:v>8.37609206511786</c:v>
                </c:pt>
                <c:pt idx="9">
                  <c:v>8.379186406920155</c:v>
                </c:pt>
                <c:pt idx="10">
                  <c:v>8.382494970856725</c:v>
                </c:pt>
                <c:pt idx="11">
                  <c:v>8.386017756927571</c:v>
                </c:pt>
                <c:pt idx="12">
                  <c:v>8.389754765132807</c:v>
                </c:pt>
                <c:pt idx="13">
                  <c:v>8.393705995472316</c:v>
                </c:pt>
                <c:pt idx="14">
                  <c:v>8.397871447946102</c:v>
                </c:pt>
                <c:pt idx="15">
                  <c:v>8.402251122554218</c:v>
                </c:pt>
                <c:pt idx="16">
                  <c:v>8.40684501929661</c:v>
                </c:pt>
                <c:pt idx="17">
                  <c:v>8.411653138173335</c:v>
                </c:pt>
                <c:pt idx="18">
                  <c:v>8.41667547918439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97048"/>
        <c:axId val="501920680"/>
      </c:scatterChart>
      <c:valAx>
        <c:axId val="50209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920680"/>
        <c:crosses val="autoZero"/>
        <c:crossBetween val="midCat"/>
      </c:valAx>
      <c:valAx>
        <c:axId val="50192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9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Theoretical T-sensitivity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0498687664042"/>
                  <c:y val="-0.0214592274678112"/>
                </c:manualLayout>
              </c:layout>
              <c:numFmt formatCode="General" sourceLinked="0"/>
            </c:trendlineLbl>
          </c:trendline>
          <c:xVal>
            <c:numRef>
              <c:f>'Honeywell Nernst'!$A$5:$A$25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xVal>
          <c:yVal>
            <c:numRef>
              <c:f>'Honeywell Nernst'!$C$5:$C$25</c:f>
              <c:numCache>
                <c:formatCode>General</c:formatCode>
                <c:ptCount val="21"/>
                <c:pt idx="0">
                  <c:v>0.0551553830779105</c:v>
                </c:pt>
                <c:pt idx="1">
                  <c:v>0.0553536767434791</c:v>
                </c:pt>
                <c:pt idx="2">
                  <c:v>0.0555519704090477</c:v>
                </c:pt>
                <c:pt idx="3">
                  <c:v>0.0557502640746164</c:v>
                </c:pt>
                <c:pt idx="4">
                  <c:v>0.055948557740185</c:v>
                </c:pt>
                <c:pt idx="5">
                  <c:v>0.0561468514057536</c:v>
                </c:pt>
                <c:pt idx="6">
                  <c:v>0.0563451450713222</c:v>
                </c:pt>
                <c:pt idx="7">
                  <c:v>0.0565434387368908</c:v>
                </c:pt>
                <c:pt idx="8">
                  <c:v>0.0567417324024594</c:v>
                </c:pt>
                <c:pt idx="9">
                  <c:v>0.0569400260680281</c:v>
                </c:pt>
                <c:pt idx="10">
                  <c:v>0.0571383197335967</c:v>
                </c:pt>
                <c:pt idx="11">
                  <c:v>0.0573366133991653</c:v>
                </c:pt>
                <c:pt idx="12">
                  <c:v>0.0575349070647339</c:v>
                </c:pt>
                <c:pt idx="13">
                  <c:v>0.0577332007303025</c:v>
                </c:pt>
                <c:pt idx="14">
                  <c:v>0.0579314943958711</c:v>
                </c:pt>
                <c:pt idx="15">
                  <c:v>0.0581297880614398</c:v>
                </c:pt>
                <c:pt idx="16">
                  <c:v>0.0583280817270084</c:v>
                </c:pt>
                <c:pt idx="17">
                  <c:v>0.058526375392577</c:v>
                </c:pt>
                <c:pt idx="18">
                  <c:v>0.0587246690581456</c:v>
                </c:pt>
                <c:pt idx="19">
                  <c:v>0.0589229627237142</c:v>
                </c:pt>
                <c:pt idx="20">
                  <c:v>0.0591212563892828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1944"/>
        <c:axId val="501787368"/>
      </c:scatterChart>
      <c:valAx>
        <c:axId val="50178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 deg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87368"/>
        <c:crosses val="autoZero"/>
        <c:crossBetween val="midCat"/>
      </c:valAx>
      <c:valAx>
        <c:axId val="50178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Nernst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81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NIST Buffer</a:t>
            </a:r>
            <a:r>
              <a:rPr lang="en-US" baseline="0"/>
              <a:t> 7</a:t>
            </a:r>
            <a:r>
              <a:rPr lang="en-US"/>
              <a:t> T-sensitivity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7853607584766"/>
                  <c:y val="-0.570635978195033"/>
                </c:manualLayout>
              </c:layout>
              <c:numFmt formatCode="General" sourceLinked="0"/>
            </c:trendlineLbl>
          </c:trendline>
          <c:xVal>
            <c:numRef>
              <c:f>'Honeywell Nernst'!$A$5:$A$25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xVal>
          <c:yVal>
            <c:numRef>
              <c:f>'Honeywell Nernst'!$D$5:$D$25</c:f>
              <c:numCache>
                <c:formatCode>General</c:formatCode>
                <c:ptCount val="21"/>
                <c:pt idx="0">
                  <c:v>7.08</c:v>
                </c:pt>
                <c:pt idx="1">
                  <c:v>7.076</c:v>
                </c:pt>
                <c:pt idx="2">
                  <c:v>7.072</c:v>
                </c:pt>
                <c:pt idx="3">
                  <c:v>7.068</c:v>
                </c:pt>
                <c:pt idx="4">
                  <c:v>7.064</c:v>
                </c:pt>
                <c:pt idx="5">
                  <c:v>7.06</c:v>
                </c:pt>
                <c:pt idx="6">
                  <c:v>7.056</c:v>
                </c:pt>
                <c:pt idx="7">
                  <c:v>7.052</c:v>
                </c:pt>
                <c:pt idx="8">
                  <c:v>7.048</c:v>
                </c:pt>
                <c:pt idx="9">
                  <c:v>7.044</c:v>
                </c:pt>
                <c:pt idx="10">
                  <c:v>7.04</c:v>
                </c:pt>
                <c:pt idx="11">
                  <c:v>7.036</c:v>
                </c:pt>
                <c:pt idx="12">
                  <c:v>7.032</c:v>
                </c:pt>
                <c:pt idx="13">
                  <c:v>7.028</c:v>
                </c:pt>
                <c:pt idx="14">
                  <c:v>7.024</c:v>
                </c:pt>
                <c:pt idx="15">
                  <c:v>7.02</c:v>
                </c:pt>
                <c:pt idx="16">
                  <c:v>7.016</c:v>
                </c:pt>
                <c:pt idx="17">
                  <c:v>7.012</c:v>
                </c:pt>
                <c:pt idx="18">
                  <c:v>7.008</c:v>
                </c:pt>
                <c:pt idx="19">
                  <c:v>7.004</c:v>
                </c:pt>
                <c:pt idx="2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9400"/>
        <c:axId val="502614872"/>
      </c:scatterChart>
      <c:valAx>
        <c:axId val="5026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 deg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14872"/>
        <c:crosses val="autoZero"/>
        <c:crossBetween val="midCat"/>
      </c:valAx>
      <c:valAx>
        <c:axId val="502614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0.0292397660818713"/>
              <c:y val="0.2618435337628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2609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NIST Buffer</a:t>
            </a:r>
            <a:r>
              <a:rPr lang="en-US" baseline="0"/>
              <a:t> 10</a:t>
            </a:r>
            <a:r>
              <a:rPr lang="en-US"/>
              <a:t> T-sensitivity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526562140258783"/>
                  <c:y val="-0.498028811739443"/>
                </c:manualLayout>
              </c:layout>
              <c:numFmt formatCode="General" sourceLinked="0"/>
            </c:trendlineLbl>
          </c:trendline>
          <c:xVal>
            <c:numRef>
              <c:f>'Honeywell Nernst'!$A$5:$A$25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xVal>
          <c:yVal>
            <c:numRef>
              <c:f>'Honeywell Nernst'!$E$5:$E$25</c:f>
              <c:numCache>
                <c:formatCode>General</c:formatCode>
                <c:ptCount val="21"/>
                <c:pt idx="0">
                  <c:v>10.23</c:v>
                </c:pt>
                <c:pt idx="1">
                  <c:v>10.218</c:v>
                </c:pt>
                <c:pt idx="2">
                  <c:v>10.206</c:v>
                </c:pt>
                <c:pt idx="3">
                  <c:v>10.194</c:v>
                </c:pt>
                <c:pt idx="4">
                  <c:v>10.182</c:v>
                </c:pt>
                <c:pt idx="5">
                  <c:v>10.17</c:v>
                </c:pt>
                <c:pt idx="6">
                  <c:v>10.158</c:v>
                </c:pt>
                <c:pt idx="7">
                  <c:v>10.146</c:v>
                </c:pt>
                <c:pt idx="8">
                  <c:v>10.134</c:v>
                </c:pt>
                <c:pt idx="9">
                  <c:v>10.122</c:v>
                </c:pt>
                <c:pt idx="10">
                  <c:v>10.11</c:v>
                </c:pt>
                <c:pt idx="11">
                  <c:v>10.098</c:v>
                </c:pt>
                <c:pt idx="12">
                  <c:v>10.086</c:v>
                </c:pt>
                <c:pt idx="13">
                  <c:v>10.074</c:v>
                </c:pt>
                <c:pt idx="14">
                  <c:v>10.062</c:v>
                </c:pt>
                <c:pt idx="15">
                  <c:v>10.05</c:v>
                </c:pt>
                <c:pt idx="16">
                  <c:v>10.038</c:v>
                </c:pt>
                <c:pt idx="17">
                  <c:v>10.026</c:v>
                </c:pt>
                <c:pt idx="18">
                  <c:v>10.014</c:v>
                </c:pt>
                <c:pt idx="19">
                  <c:v>10.002</c:v>
                </c:pt>
                <c:pt idx="20">
                  <c:v>9.989999999999998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15288"/>
        <c:axId val="501828024"/>
      </c:scatterChart>
      <c:valAx>
        <c:axId val="50181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 deg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28024"/>
        <c:crosses val="autoZero"/>
        <c:crossBetween val="midCat"/>
      </c:valAx>
      <c:valAx>
        <c:axId val="50182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0.0292397660818713"/>
              <c:y val="0.2618435337628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181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Electrode</a:t>
            </a:r>
            <a:r>
              <a:rPr lang="en-US" baseline="0"/>
              <a:t> Response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40604370882211"/>
                  <c:y val="-0.76196789824349"/>
                </c:manualLayout>
              </c:layout>
              <c:numFmt formatCode="General" sourceLinked="0"/>
            </c:trendlineLbl>
          </c:trendline>
          <c:xVal>
            <c:numRef>
              <c:f>'Honeywell Nernst'!$G$5:$G$25</c:f>
              <c:numCache>
                <c:formatCode>General</c:formatCode>
                <c:ptCount val="21"/>
                <c:pt idx="0">
                  <c:v>0.173739456695418</c:v>
                </c:pt>
                <c:pt idx="1">
                  <c:v>0.173921252328011</c:v>
                </c:pt>
                <c:pt idx="2">
                  <c:v>0.174099875261956</c:v>
                </c:pt>
                <c:pt idx="3">
                  <c:v>0.174275325497251</c:v>
                </c:pt>
                <c:pt idx="4">
                  <c:v>0.174447603033897</c:v>
                </c:pt>
                <c:pt idx="5">
                  <c:v>0.174616707871894</c:v>
                </c:pt>
                <c:pt idx="6">
                  <c:v>0.174782640011241</c:v>
                </c:pt>
                <c:pt idx="7">
                  <c:v>0.17494539945194</c:v>
                </c:pt>
                <c:pt idx="8">
                  <c:v>0.17510498619399</c:v>
                </c:pt>
                <c:pt idx="9">
                  <c:v>0.17526140023739</c:v>
                </c:pt>
                <c:pt idx="10">
                  <c:v>0.175414641582142</c:v>
                </c:pt>
                <c:pt idx="11">
                  <c:v>0.175564710228244</c:v>
                </c:pt>
                <c:pt idx="12">
                  <c:v>0.175711606175697</c:v>
                </c:pt>
                <c:pt idx="13">
                  <c:v>0.175855329424502</c:v>
                </c:pt>
                <c:pt idx="14">
                  <c:v>0.175995879974657</c:v>
                </c:pt>
                <c:pt idx="15">
                  <c:v>0.176133257826162</c:v>
                </c:pt>
                <c:pt idx="16">
                  <c:v>0.176267462979019</c:v>
                </c:pt>
                <c:pt idx="17">
                  <c:v>0.176398495433227</c:v>
                </c:pt>
                <c:pt idx="18">
                  <c:v>0.176526355188786</c:v>
                </c:pt>
                <c:pt idx="19">
                  <c:v>0.176651042245695</c:v>
                </c:pt>
                <c:pt idx="20">
                  <c:v>0.176772556603956</c:v>
                </c:pt>
              </c:numCache>
            </c:numRef>
          </c:xVal>
          <c:yVal>
            <c:numRef>
              <c:f>'Honeywell Nernst'!$F$5:$F$25</c:f>
              <c:numCache>
                <c:formatCode>General</c:formatCode>
                <c:ptCount val="21"/>
                <c:pt idx="0">
                  <c:v>3.149999999999999</c:v>
                </c:pt>
                <c:pt idx="1">
                  <c:v>3.142</c:v>
                </c:pt>
                <c:pt idx="2">
                  <c:v>3.133999999999999</c:v>
                </c:pt>
                <c:pt idx="3">
                  <c:v>3.125999999999999</c:v>
                </c:pt>
                <c:pt idx="4">
                  <c:v>3.117999999999999</c:v>
                </c:pt>
                <c:pt idx="5">
                  <c:v>3.11</c:v>
                </c:pt>
                <c:pt idx="6">
                  <c:v>3.101999999999999</c:v>
                </c:pt>
                <c:pt idx="7">
                  <c:v>3.093999999999999</c:v>
                </c:pt>
                <c:pt idx="8">
                  <c:v>3.085999999999999</c:v>
                </c:pt>
                <c:pt idx="9">
                  <c:v>3.078</c:v>
                </c:pt>
                <c:pt idx="10">
                  <c:v>3.069999999999999</c:v>
                </c:pt>
                <c:pt idx="11">
                  <c:v>3.061999999999999</c:v>
                </c:pt>
                <c:pt idx="12">
                  <c:v>3.053999999999998</c:v>
                </c:pt>
                <c:pt idx="13">
                  <c:v>3.046</c:v>
                </c:pt>
                <c:pt idx="14">
                  <c:v>3.037999999999999</c:v>
                </c:pt>
                <c:pt idx="15">
                  <c:v>3.029999999999999</c:v>
                </c:pt>
                <c:pt idx="16">
                  <c:v>3.021999999999998</c:v>
                </c:pt>
                <c:pt idx="17">
                  <c:v>3.014</c:v>
                </c:pt>
                <c:pt idx="18">
                  <c:v>3.005999999999999</c:v>
                </c:pt>
                <c:pt idx="19">
                  <c:v>2.997999999999999</c:v>
                </c:pt>
                <c:pt idx="20">
                  <c:v>2.989999999999998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49528"/>
        <c:axId val="501986504"/>
      </c:scatterChart>
      <c:valAx>
        <c:axId val="4258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Symbol" charset="2"/>
                    <a:cs typeface="Symbol" charset="2"/>
                  </a:rPr>
                  <a:t>D</a:t>
                </a:r>
                <a:r>
                  <a:rPr lang="en-US"/>
                  <a:t>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86504"/>
        <c:crosses val="autoZero"/>
        <c:crossBetween val="midCat"/>
      </c:valAx>
      <c:valAx>
        <c:axId val="50198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Symbol" charset="2"/>
                    <a:cs typeface="Symbol" charset="2"/>
                  </a:rPr>
                  <a:t>D</a:t>
                </a: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84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T-adj,</a:t>
            </a:r>
            <a:r>
              <a:rPr lang="en-US" baseline="0"/>
              <a:t> cal- Response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66835075649673"/>
                  <c:y val="-0.536916790806555"/>
                </c:manualLayout>
              </c:layout>
              <c:numFmt formatCode="General" sourceLinked="0"/>
            </c:trendlineLbl>
          </c:trendline>
          <c:xVal>
            <c:numRef>
              <c:f>'Honeywell Nernst'!$K$5:$K$19</c:f>
              <c:numCache>
                <c:formatCode>General</c:formatCode>
                <c:ptCount val="15"/>
                <c:pt idx="0">
                  <c:v>-0.17</c:v>
                </c:pt>
                <c:pt idx="1">
                  <c:v>0.83</c:v>
                </c:pt>
                <c:pt idx="2">
                  <c:v>1.83</c:v>
                </c:pt>
                <c:pt idx="3">
                  <c:v>2.83</c:v>
                </c:pt>
                <c:pt idx="4">
                  <c:v>3.83</c:v>
                </c:pt>
                <c:pt idx="5">
                  <c:v>4.83</c:v>
                </c:pt>
                <c:pt idx="6">
                  <c:v>5.83</c:v>
                </c:pt>
                <c:pt idx="7">
                  <c:v>6.83</c:v>
                </c:pt>
                <c:pt idx="8">
                  <c:v>7.83</c:v>
                </c:pt>
                <c:pt idx="9">
                  <c:v>8.83</c:v>
                </c:pt>
                <c:pt idx="10">
                  <c:v>9.83</c:v>
                </c:pt>
                <c:pt idx="11">
                  <c:v>10.83</c:v>
                </c:pt>
                <c:pt idx="12">
                  <c:v>11.83</c:v>
                </c:pt>
                <c:pt idx="13">
                  <c:v>12.83</c:v>
                </c:pt>
                <c:pt idx="14">
                  <c:v>13.83</c:v>
                </c:pt>
              </c:numCache>
            </c:numRef>
          </c:xVal>
          <c:yVal>
            <c:numRef>
              <c:f>'Honeywell Nernst'!$L$5:$L$19</c:f>
              <c:numCache>
                <c:formatCode>General</c:formatCode>
                <c:ptCount val="15"/>
                <c:pt idx="0">
                  <c:v>397.7473490808083</c:v>
                </c:pt>
                <c:pt idx="1">
                  <c:v>340.9262992121214</c:v>
                </c:pt>
                <c:pt idx="2">
                  <c:v>284.1052493434345</c:v>
                </c:pt>
                <c:pt idx="3">
                  <c:v>227.2841994747476</c:v>
                </c:pt>
                <c:pt idx="4">
                  <c:v>170.4631496060607</c:v>
                </c:pt>
                <c:pt idx="5">
                  <c:v>113.6420997373738</c:v>
                </c:pt>
                <c:pt idx="6">
                  <c:v>56.8210498686869</c:v>
                </c:pt>
                <c:pt idx="7">
                  <c:v>0.0</c:v>
                </c:pt>
                <c:pt idx="8">
                  <c:v>-56.8210498686869</c:v>
                </c:pt>
                <c:pt idx="9">
                  <c:v>-113.6420997373738</c:v>
                </c:pt>
                <c:pt idx="10">
                  <c:v>-170.4631496060607</c:v>
                </c:pt>
                <c:pt idx="11">
                  <c:v>-227.2841994747476</c:v>
                </c:pt>
                <c:pt idx="12">
                  <c:v>-284.1052493434345</c:v>
                </c:pt>
                <c:pt idx="13">
                  <c:v>-340.9262992121214</c:v>
                </c:pt>
                <c:pt idx="14">
                  <c:v>-397.7473490808083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83256"/>
        <c:axId val="502388632"/>
      </c:scatterChart>
      <c:valAx>
        <c:axId val="502383256"/>
        <c:scaling>
          <c:orientation val="minMax"/>
          <c:max val="1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88632"/>
        <c:crosses val="autoZero"/>
        <c:crossBetween val="midCat"/>
      </c:valAx>
      <c:valAx>
        <c:axId val="502388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-mV</a:t>
                </a:r>
                <a:r>
                  <a:rPr lang="en-US" baseline="0"/>
                  <a:t>                   +mV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8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T-adj,</a:t>
            </a:r>
            <a:r>
              <a:rPr lang="en-US" baseline="0"/>
              <a:t> cal- Response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</c:v>
          </c:tx>
          <c:marker>
            <c:symbol val="none"/>
          </c:marker>
          <c:xVal>
            <c:numRef>
              <c:f>'Honeywell Nernst'!$A$35:$A$49</c:f>
              <c:numCache>
                <c:formatCode>General</c:formatCode>
                <c:ptCount val="15"/>
                <c:pt idx="0">
                  <c:v>-0.0599999999999996</c:v>
                </c:pt>
                <c:pt idx="1">
                  <c:v>0.94</c:v>
                </c:pt>
                <c:pt idx="2">
                  <c:v>1.94</c:v>
                </c:pt>
                <c:pt idx="3">
                  <c:v>2.94</c:v>
                </c:pt>
                <c:pt idx="4">
                  <c:v>3.94</c:v>
                </c:pt>
                <c:pt idx="5">
                  <c:v>4.94</c:v>
                </c:pt>
                <c:pt idx="6">
                  <c:v>5.94</c:v>
                </c:pt>
                <c:pt idx="7">
                  <c:v>6.94</c:v>
                </c:pt>
                <c:pt idx="8">
                  <c:v>7.94</c:v>
                </c:pt>
                <c:pt idx="9">
                  <c:v>8.940000000000001</c:v>
                </c:pt>
                <c:pt idx="10">
                  <c:v>9.940000000000001</c:v>
                </c:pt>
                <c:pt idx="11">
                  <c:v>10.94</c:v>
                </c:pt>
                <c:pt idx="12">
                  <c:v>11.94</c:v>
                </c:pt>
                <c:pt idx="13">
                  <c:v>12.94</c:v>
                </c:pt>
                <c:pt idx="14">
                  <c:v>13.94</c:v>
                </c:pt>
              </c:numCache>
            </c:numRef>
          </c:xVal>
          <c:yVal>
            <c:numRef>
              <c:f>'Honeywell Nernst'!$B$35:$B$49</c:f>
              <c:numCache>
                <c:formatCode>General</c:formatCode>
                <c:ptCount val="15"/>
                <c:pt idx="0">
                  <c:v>406.8133652146553</c:v>
                </c:pt>
                <c:pt idx="1">
                  <c:v>348.6971701839902</c:v>
                </c:pt>
                <c:pt idx="2">
                  <c:v>290.5809751533252</c:v>
                </c:pt>
                <c:pt idx="3">
                  <c:v>232.4647801226602</c:v>
                </c:pt>
                <c:pt idx="4">
                  <c:v>174.3485850919951</c:v>
                </c:pt>
                <c:pt idx="5">
                  <c:v>116.2323900613301</c:v>
                </c:pt>
                <c:pt idx="6">
                  <c:v>58.11619503066504</c:v>
                </c:pt>
                <c:pt idx="7">
                  <c:v>0.0</c:v>
                </c:pt>
                <c:pt idx="8">
                  <c:v>-58.11619503066504</c:v>
                </c:pt>
                <c:pt idx="9">
                  <c:v>-116.2323900613301</c:v>
                </c:pt>
                <c:pt idx="10">
                  <c:v>-174.3485850919952</c:v>
                </c:pt>
                <c:pt idx="11">
                  <c:v>-232.4647801226602</c:v>
                </c:pt>
                <c:pt idx="12">
                  <c:v>-290.5809751533252</c:v>
                </c:pt>
                <c:pt idx="13">
                  <c:v>-348.6971701839903</c:v>
                </c:pt>
                <c:pt idx="14">
                  <c:v>-406.8133652146553</c:v>
                </c:pt>
              </c:numCache>
            </c:numRef>
          </c:yVal>
          <c:smooth val="1"/>
        </c:ser>
        <c:ser>
          <c:idx val="1"/>
          <c:order val="1"/>
          <c:tx>
            <c:v>10</c:v>
          </c:tx>
          <c:marker>
            <c:symbol val="none"/>
          </c:marker>
          <c:xVal>
            <c:numRef>
              <c:f>'Honeywell Nernst'!$C$35:$C$49</c:f>
              <c:numCache>
                <c:formatCode>General</c:formatCode>
                <c:ptCount val="15"/>
                <c:pt idx="0">
                  <c:v>-0.0800000000000001</c:v>
                </c:pt>
                <c:pt idx="1">
                  <c:v>0.92</c:v>
                </c:pt>
                <c:pt idx="2">
                  <c:v>1.92</c:v>
                </c:pt>
                <c:pt idx="3">
                  <c:v>2.92</c:v>
                </c:pt>
                <c:pt idx="4">
                  <c:v>3.92</c:v>
                </c:pt>
                <c:pt idx="5">
                  <c:v>4.92</c:v>
                </c:pt>
                <c:pt idx="6">
                  <c:v>5.92</c:v>
                </c:pt>
                <c:pt idx="7">
                  <c:v>6.92</c:v>
                </c:pt>
                <c:pt idx="8">
                  <c:v>7.92</c:v>
                </c:pt>
                <c:pt idx="9">
                  <c:v>8.92</c:v>
                </c:pt>
                <c:pt idx="10">
                  <c:v>9.92</c:v>
                </c:pt>
                <c:pt idx="11">
                  <c:v>10.92</c:v>
                </c:pt>
                <c:pt idx="12">
                  <c:v>11.92</c:v>
                </c:pt>
                <c:pt idx="13">
                  <c:v>12.92</c:v>
                </c:pt>
                <c:pt idx="14">
                  <c:v>13.92</c:v>
                </c:pt>
              </c:numCache>
            </c:numRef>
          </c:xVal>
          <c:yVal>
            <c:numRef>
              <c:f>'Honeywell Nernst'!$D$35:$D$49</c:f>
              <c:numCache>
                <c:formatCode>General</c:formatCode>
                <c:ptCount val="15"/>
                <c:pt idx="0">
                  <c:v>404.7441212410304</c:v>
                </c:pt>
                <c:pt idx="1">
                  <c:v>346.9235324923118</c:v>
                </c:pt>
                <c:pt idx="2">
                  <c:v>289.1029437435931</c:v>
                </c:pt>
                <c:pt idx="3">
                  <c:v>231.2823549948745</c:v>
                </c:pt>
                <c:pt idx="4">
                  <c:v>173.4617662461559</c:v>
                </c:pt>
                <c:pt idx="5">
                  <c:v>115.6411774974373</c:v>
                </c:pt>
                <c:pt idx="6">
                  <c:v>57.82058874871863</c:v>
                </c:pt>
                <c:pt idx="7">
                  <c:v>0.0</c:v>
                </c:pt>
                <c:pt idx="8">
                  <c:v>-57.82058874871863</c:v>
                </c:pt>
                <c:pt idx="9">
                  <c:v>-115.6411774974373</c:v>
                </c:pt>
                <c:pt idx="10">
                  <c:v>-173.4617662461559</c:v>
                </c:pt>
                <c:pt idx="11">
                  <c:v>-231.2823549948745</c:v>
                </c:pt>
                <c:pt idx="12">
                  <c:v>-289.1029437435931</c:v>
                </c:pt>
                <c:pt idx="13">
                  <c:v>-346.9235324923118</c:v>
                </c:pt>
                <c:pt idx="14">
                  <c:v>-404.7441212410304</c:v>
                </c:pt>
              </c:numCache>
            </c:numRef>
          </c:yVal>
          <c:smooth val="1"/>
        </c:ser>
        <c:ser>
          <c:idx val="2"/>
          <c:order val="2"/>
          <c:tx>
            <c:v>15</c:v>
          </c:tx>
          <c:marker>
            <c:symbol val="none"/>
          </c:marker>
          <c:xVal>
            <c:numRef>
              <c:f>'Honeywell Nernst'!$E$35:$E$49</c:f>
              <c:numCache>
                <c:formatCode>General</c:formatCode>
                <c:ptCount val="15"/>
                <c:pt idx="0">
                  <c:v>-0.0700000000000003</c:v>
                </c:pt>
                <c:pt idx="1">
                  <c:v>0.93</c:v>
                </c:pt>
                <c:pt idx="2">
                  <c:v>1.93</c:v>
                </c:pt>
                <c:pt idx="3">
                  <c:v>2.93</c:v>
                </c:pt>
                <c:pt idx="4">
                  <c:v>3.93</c:v>
                </c:pt>
                <c:pt idx="5">
                  <c:v>4.93</c:v>
                </c:pt>
                <c:pt idx="6">
                  <c:v>5.93</c:v>
                </c:pt>
                <c:pt idx="7">
                  <c:v>6.93</c:v>
                </c:pt>
                <c:pt idx="8">
                  <c:v>7.93</c:v>
                </c:pt>
                <c:pt idx="9">
                  <c:v>8.93</c:v>
                </c:pt>
                <c:pt idx="10">
                  <c:v>9.93</c:v>
                </c:pt>
                <c:pt idx="11">
                  <c:v>10.93</c:v>
                </c:pt>
                <c:pt idx="12">
                  <c:v>11.93</c:v>
                </c:pt>
                <c:pt idx="13">
                  <c:v>12.93</c:v>
                </c:pt>
                <c:pt idx="14">
                  <c:v>13.93</c:v>
                </c:pt>
              </c:numCache>
            </c:numRef>
          </c:xVal>
          <c:yVal>
            <c:numRef>
              <c:f>'Honeywell Nernst'!$F$35:$F$49</c:f>
              <c:numCache>
                <c:formatCode>General</c:formatCode>
                <c:ptCount val="15"/>
                <c:pt idx="0">
                  <c:v>407.6410628041052</c:v>
                </c:pt>
                <c:pt idx="1">
                  <c:v>349.4066252606616</c:v>
                </c:pt>
                <c:pt idx="2">
                  <c:v>291.172187717218</c:v>
                </c:pt>
                <c:pt idx="3">
                  <c:v>232.9377501737744</c:v>
                </c:pt>
                <c:pt idx="4">
                  <c:v>174.7033126303308</c:v>
                </c:pt>
                <c:pt idx="5">
                  <c:v>116.4688750868872</c:v>
                </c:pt>
                <c:pt idx="6">
                  <c:v>58.2344375434436</c:v>
                </c:pt>
                <c:pt idx="7">
                  <c:v>0.0</c:v>
                </c:pt>
                <c:pt idx="8">
                  <c:v>-58.2344375434436</c:v>
                </c:pt>
                <c:pt idx="9">
                  <c:v>-116.4688750868872</c:v>
                </c:pt>
                <c:pt idx="10">
                  <c:v>-174.7033126303308</c:v>
                </c:pt>
                <c:pt idx="11">
                  <c:v>-232.9377501737744</c:v>
                </c:pt>
                <c:pt idx="12">
                  <c:v>-291.172187717218</c:v>
                </c:pt>
                <c:pt idx="13">
                  <c:v>-349.4066252606616</c:v>
                </c:pt>
                <c:pt idx="14">
                  <c:v>-407.6410628041052</c:v>
                </c:pt>
              </c:numCache>
            </c:numRef>
          </c:yVal>
          <c:smooth val="1"/>
        </c:ser>
        <c:ser>
          <c:idx val="3"/>
          <c:order val="3"/>
          <c:tx>
            <c:v>20</c:v>
          </c:tx>
          <c:marker>
            <c:symbol val="none"/>
          </c:marker>
          <c:xVal>
            <c:numRef>
              <c:f>'Honeywell Nernst'!$G$35:$G$49</c:f>
              <c:numCache>
                <c:formatCode>General</c:formatCode>
                <c:ptCount val="15"/>
                <c:pt idx="0">
                  <c:v>-0.0899999999999998</c:v>
                </c:pt>
                <c:pt idx="1">
                  <c:v>0.91</c:v>
                </c:pt>
                <c:pt idx="2">
                  <c:v>1.91</c:v>
                </c:pt>
                <c:pt idx="3">
                  <c:v>2.91</c:v>
                </c:pt>
                <c:pt idx="4">
                  <c:v>3.91</c:v>
                </c:pt>
                <c:pt idx="5">
                  <c:v>4.91</c:v>
                </c:pt>
                <c:pt idx="6">
                  <c:v>5.91</c:v>
                </c:pt>
                <c:pt idx="7">
                  <c:v>6.91</c:v>
                </c:pt>
                <c:pt idx="8">
                  <c:v>7.91</c:v>
                </c:pt>
                <c:pt idx="9">
                  <c:v>8.91</c:v>
                </c:pt>
                <c:pt idx="10">
                  <c:v>9.91</c:v>
                </c:pt>
                <c:pt idx="11">
                  <c:v>10.91</c:v>
                </c:pt>
                <c:pt idx="12">
                  <c:v>11.91</c:v>
                </c:pt>
                <c:pt idx="13">
                  <c:v>12.91</c:v>
                </c:pt>
                <c:pt idx="14">
                  <c:v>13.91</c:v>
                </c:pt>
              </c:numCache>
            </c:numRef>
          </c:xVal>
          <c:yVal>
            <c:numRef>
              <c:f>'Honeywell Nernst'!$H$35:$H$49</c:f>
              <c:numCache>
                <c:formatCode>General</c:formatCode>
                <c:ptCount val="15"/>
                <c:pt idx="0">
                  <c:v>408.0549115988302</c:v>
                </c:pt>
                <c:pt idx="1">
                  <c:v>349.7613527989973</c:v>
                </c:pt>
                <c:pt idx="2">
                  <c:v>291.4677939991644</c:v>
                </c:pt>
                <c:pt idx="3">
                  <c:v>233.1742351993315</c:v>
                </c:pt>
                <c:pt idx="4">
                  <c:v>174.8806763994987</c:v>
                </c:pt>
                <c:pt idx="5">
                  <c:v>116.5871175996658</c:v>
                </c:pt>
                <c:pt idx="6">
                  <c:v>58.29355879983288</c:v>
                </c:pt>
                <c:pt idx="7">
                  <c:v>0.0</c:v>
                </c:pt>
                <c:pt idx="8">
                  <c:v>-58.29355879983288</c:v>
                </c:pt>
                <c:pt idx="9">
                  <c:v>-116.5871175996658</c:v>
                </c:pt>
                <c:pt idx="10">
                  <c:v>-174.8806763994987</c:v>
                </c:pt>
                <c:pt idx="11">
                  <c:v>-233.1742351993315</c:v>
                </c:pt>
                <c:pt idx="12">
                  <c:v>-291.4677939991644</c:v>
                </c:pt>
                <c:pt idx="13">
                  <c:v>-349.7613527989973</c:v>
                </c:pt>
                <c:pt idx="14">
                  <c:v>-408.0549115988302</c:v>
                </c:pt>
              </c:numCache>
            </c:numRef>
          </c:yVal>
          <c:smooth val="1"/>
        </c:ser>
        <c:ser>
          <c:idx val="4"/>
          <c:order val="4"/>
          <c:tx>
            <c:v>25</c:v>
          </c:tx>
          <c:marker>
            <c:symbol val="none"/>
          </c:marker>
          <c:xVal>
            <c:numRef>
              <c:f>'Honeywell Nernst'!#REF!</c:f>
            </c:numRef>
          </c:xVal>
          <c:yVal>
            <c:numRef>
              <c:f>'Honeywell Nernst'!#REF!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14328"/>
        <c:axId val="501871192"/>
      </c:scatterChart>
      <c:valAx>
        <c:axId val="502214328"/>
        <c:scaling>
          <c:orientation val="minMax"/>
          <c:max val="1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71192"/>
        <c:crosses val="autoZero"/>
        <c:crossBetween val="midCat"/>
      </c:valAx>
      <c:valAx>
        <c:axId val="50187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-mV</a:t>
                </a:r>
                <a:r>
                  <a:rPr lang="en-US" baseline="0"/>
                  <a:t>                                               +mV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1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Electrode T-response</a:t>
            </a:r>
          </a:p>
        </c:rich>
      </c:tx>
      <c:layout>
        <c:manualLayout>
          <c:xMode val="edge"/>
          <c:yMode val="edge"/>
          <c:x val="0.167568460192476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539628171478565"/>
                  <c:y val="-0.393518518518518"/>
                </c:manualLayout>
              </c:layout>
              <c:numFmt formatCode="General" sourceLinked="0"/>
            </c:trendlineLbl>
          </c:trendline>
          <c:xVal>
            <c:numRef>
              <c:f>'Honeywell Nernst'!$A$53:$A$56</c:f>
              <c:numCache>
                <c:formatCode>General</c:formatCode>
                <c:ptCount val="4"/>
                <c:pt idx="0">
                  <c:v>12.8</c:v>
                </c:pt>
                <c:pt idx="1">
                  <c:v>15.35</c:v>
                </c:pt>
                <c:pt idx="2">
                  <c:v>22.9</c:v>
                </c:pt>
                <c:pt idx="3">
                  <c:v>29.05</c:v>
                </c:pt>
              </c:numCache>
            </c:numRef>
          </c:xVal>
          <c:yVal>
            <c:numRef>
              <c:f>'Honeywell Nernst'!$B$53:$B$56</c:f>
              <c:numCache>
                <c:formatCode>General</c:formatCode>
                <c:ptCount val="4"/>
                <c:pt idx="0">
                  <c:v>-58.11619503066503</c:v>
                </c:pt>
                <c:pt idx="2">
                  <c:v>-58.2344375434436</c:v>
                </c:pt>
                <c:pt idx="3">
                  <c:v>-58.29355879983288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43288"/>
        <c:axId val="502348728"/>
      </c:scatterChart>
      <c:valAx>
        <c:axId val="502343288"/>
        <c:scaling>
          <c:orientation val="minMax"/>
          <c:max val="3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 deg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48728"/>
        <c:crosses val="autoZero"/>
        <c:crossBetween val="midCat"/>
      </c:valAx>
      <c:valAx>
        <c:axId val="502348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Electrode response slope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4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Electrode T-response</a:t>
            </a:r>
          </a:p>
        </c:rich>
      </c:tx>
      <c:layout>
        <c:manualLayout>
          <c:xMode val="edge"/>
          <c:yMode val="edge"/>
          <c:x val="0.167568460192476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521666666666667"/>
                  <c:y val="-0.348375984251968"/>
                </c:manualLayout>
              </c:layout>
              <c:numFmt formatCode="General" sourceLinked="0"/>
            </c:trendlineLbl>
          </c:trendline>
          <c:xVal>
            <c:numRef>
              <c:f>'Honeywell Nernst'!$A$53:$A$56</c:f>
              <c:numCache>
                <c:formatCode>General</c:formatCode>
                <c:ptCount val="4"/>
                <c:pt idx="0">
                  <c:v>12.8</c:v>
                </c:pt>
                <c:pt idx="1">
                  <c:v>15.35</c:v>
                </c:pt>
                <c:pt idx="2">
                  <c:v>22.9</c:v>
                </c:pt>
                <c:pt idx="3">
                  <c:v>29.05</c:v>
                </c:pt>
              </c:numCache>
            </c:numRef>
          </c:xVal>
          <c:yVal>
            <c:numRef>
              <c:f>'Honeywell Nernst'!$C$53:$C$56</c:f>
              <c:numCache>
                <c:formatCode>General</c:formatCode>
                <c:ptCount val="4"/>
                <c:pt idx="0">
                  <c:v>-0.06</c:v>
                </c:pt>
                <c:pt idx="2">
                  <c:v>-0.07</c:v>
                </c:pt>
                <c:pt idx="3">
                  <c:v>-0.09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09480"/>
        <c:axId val="421714904"/>
      </c:scatterChart>
      <c:valAx>
        <c:axId val="421709480"/>
        <c:scaling>
          <c:orientation val="minMax"/>
          <c:max val="3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 deg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714904"/>
        <c:crosses val="autoZero"/>
        <c:crossBetween val="midCat"/>
      </c:valAx>
      <c:valAx>
        <c:axId val="42171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Zero - Offset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70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Meas.</c:v>
          </c:tx>
          <c:spPr>
            <a:ln w="47625">
              <a:noFill/>
            </a:ln>
          </c:spPr>
          <c:xVal>
            <c:numRef>
              <c:f>'Thermistor-response'!$E$5:$E$24</c:f>
              <c:numCache>
                <c:formatCode>General</c:formatCode>
                <c:ptCount val="2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25.0</c:v>
                </c:pt>
                <c:pt idx="5">
                  <c:v>32.0</c:v>
                </c:pt>
                <c:pt idx="6">
                  <c:v>45.0</c:v>
                </c:pt>
                <c:pt idx="7">
                  <c:v>58.0</c:v>
                </c:pt>
                <c:pt idx="8">
                  <c:v>74.0</c:v>
                </c:pt>
                <c:pt idx="9">
                  <c:v>95.0</c:v>
                </c:pt>
                <c:pt idx="10">
                  <c:v>117.0</c:v>
                </c:pt>
                <c:pt idx="11">
                  <c:v>145.0</c:v>
                </c:pt>
                <c:pt idx="12">
                  <c:v>172.0</c:v>
                </c:pt>
                <c:pt idx="13">
                  <c:v>207.0</c:v>
                </c:pt>
                <c:pt idx="14">
                  <c:v>255.0</c:v>
                </c:pt>
                <c:pt idx="15">
                  <c:v>277.0</c:v>
                </c:pt>
                <c:pt idx="16">
                  <c:v>329.0</c:v>
                </c:pt>
                <c:pt idx="17">
                  <c:v>440.0</c:v>
                </c:pt>
                <c:pt idx="18">
                  <c:v>501.0</c:v>
                </c:pt>
                <c:pt idx="19">
                  <c:v>646.0</c:v>
                </c:pt>
              </c:numCache>
            </c:numRef>
          </c:xVal>
          <c:yVal>
            <c:numRef>
              <c:f>'Thermistor-response'!$G$5:$G$24</c:f>
              <c:numCache>
                <c:formatCode>0.000</c:formatCode>
                <c:ptCount val="2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9.9</c:v>
                </c:pt>
                <c:pt idx="4">
                  <c:v>10.0</c:v>
                </c:pt>
                <c:pt idx="5">
                  <c:v>10.1</c:v>
                </c:pt>
                <c:pt idx="6">
                  <c:v>10.2</c:v>
                </c:pt>
                <c:pt idx="7">
                  <c:v>10.3</c:v>
                </c:pt>
                <c:pt idx="8">
                  <c:v>10.4</c:v>
                </c:pt>
                <c:pt idx="9">
                  <c:v>10.5</c:v>
                </c:pt>
                <c:pt idx="10">
                  <c:v>10.6</c:v>
                </c:pt>
                <c:pt idx="11">
                  <c:v>10.7</c:v>
                </c:pt>
                <c:pt idx="12">
                  <c:v>10.8</c:v>
                </c:pt>
                <c:pt idx="13">
                  <c:v>10.9</c:v>
                </c:pt>
                <c:pt idx="14">
                  <c:v>11</c:v>
                </c:pt>
                <c:pt idx="15">
                  <c:v>11.1</c:v>
                </c:pt>
                <c:pt idx="16">
                  <c:v>11.2</c:v>
                </c:pt>
                <c:pt idx="17">
                  <c:v>11.3</c:v>
                </c:pt>
                <c:pt idx="18">
                  <c:v>11.39999999999999</c:v>
                </c:pt>
                <c:pt idx="19">
                  <c:v>11.49999999999999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47625">
              <a:noFill/>
            </a:ln>
          </c:spPr>
          <c:marker>
            <c:symbol val="circle"/>
            <c:size val="9"/>
            <c:spPr>
              <a:noFill/>
            </c:spPr>
          </c:marker>
          <c:xVal>
            <c:numRef>
              <c:f>'Thermistor-response'!$E$5:$E$24</c:f>
              <c:numCache>
                <c:formatCode>General</c:formatCode>
                <c:ptCount val="2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25.0</c:v>
                </c:pt>
                <c:pt idx="5">
                  <c:v>32.0</c:v>
                </c:pt>
                <c:pt idx="6">
                  <c:v>45.0</c:v>
                </c:pt>
                <c:pt idx="7">
                  <c:v>58.0</c:v>
                </c:pt>
                <c:pt idx="8">
                  <c:v>74.0</c:v>
                </c:pt>
                <c:pt idx="9">
                  <c:v>95.0</c:v>
                </c:pt>
                <c:pt idx="10">
                  <c:v>117.0</c:v>
                </c:pt>
                <c:pt idx="11">
                  <c:v>145.0</c:v>
                </c:pt>
                <c:pt idx="12">
                  <c:v>172.0</c:v>
                </c:pt>
                <c:pt idx="13">
                  <c:v>207.0</c:v>
                </c:pt>
                <c:pt idx="14">
                  <c:v>255.0</c:v>
                </c:pt>
                <c:pt idx="15">
                  <c:v>277.0</c:v>
                </c:pt>
                <c:pt idx="16">
                  <c:v>329.0</c:v>
                </c:pt>
                <c:pt idx="17">
                  <c:v>440.0</c:v>
                </c:pt>
                <c:pt idx="18">
                  <c:v>501.0</c:v>
                </c:pt>
                <c:pt idx="19">
                  <c:v>646.0</c:v>
                </c:pt>
              </c:numCache>
            </c:numRef>
          </c:xVal>
          <c:yVal>
            <c:numRef>
              <c:f>'Thermistor-response'!$H$5:$H$24</c:f>
              <c:numCache>
                <c:formatCode>0.00000</c:formatCode>
                <c:ptCount val="20"/>
                <c:pt idx="0">
                  <c:v>9.5</c:v>
                </c:pt>
                <c:pt idx="1">
                  <c:v>9.56153353104731</c:v>
                </c:pt>
                <c:pt idx="2">
                  <c:v>9.621173874373049</c:v>
                </c:pt>
                <c:pt idx="3">
                  <c:v>9.735006194830809</c:v>
                </c:pt>
                <c:pt idx="4">
                  <c:v>9.789309345385154</c:v>
                </c:pt>
                <c:pt idx="5">
                  <c:v>9.862538493844036</c:v>
                </c:pt>
                <c:pt idx="6">
                  <c:v>9.990320796021985</c:v>
                </c:pt>
                <c:pt idx="7">
                  <c:v>10.10813137264272</c:v>
                </c:pt>
                <c:pt idx="8">
                  <c:v>10.24058518497678</c:v>
                </c:pt>
                <c:pt idx="9">
                  <c:v>10.39549509967396</c:v>
                </c:pt>
                <c:pt idx="10">
                  <c:v>10.53738603962567</c:v>
                </c:pt>
                <c:pt idx="11">
                  <c:v>10.69192695267332</c:v>
                </c:pt>
                <c:pt idx="12">
                  <c:v>10.81740448939801</c:v>
                </c:pt>
                <c:pt idx="13">
                  <c:v>10.95151909853249</c:v>
                </c:pt>
                <c:pt idx="14">
                  <c:v>11.09367535449694</c:v>
                </c:pt>
                <c:pt idx="15">
                  <c:v>11.14587411419366</c:v>
                </c:pt>
                <c:pt idx="16">
                  <c:v>11.24413436087219</c:v>
                </c:pt>
                <c:pt idx="17">
                  <c:v>11.37214427758659</c:v>
                </c:pt>
                <c:pt idx="18">
                  <c:v>11.41267363170702</c:v>
                </c:pt>
                <c:pt idx="19">
                  <c:v>11.46471695773076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20472"/>
        <c:axId val="425826120"/>
      </c:scatterChart>
      <c:valAx>
        <c:axId val="4258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826120"/>
        <c:crosses val="autoZero"/>
        <c:crossBetween val="midCat"/>
      </c:valAx>
      <c:valAx>
        <c:axId val="425826120"/>
        <c:scaling>
          <c:orientation val="minMax"/>
          <c:min val="9.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25820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Meas.</c:v>
          </c:tx>
          <c:spPr>
            <a:ln w="47625">
              <a:noFill/>
            </a:ln>
          </c:spPr>
          <c:xVal>
            <c:numRef>
              <c:f>'Thermistor-response'!$E$27:$E$67</c:f>
              <c:numCache>
                <c:formatCode>General</c:formatCode>
                <c:ptCount val="41"/>
                <c:pt idx="0">
                  <c:v>0.0</c:v>
                </c:pt>
                <c:pt idx="1">
                  <c:v>15.0</c:v>
                </c:pt>
                <c:pt idx="2">
                  <c:v>21.0</c:v>
                </c:pt>
                <c:pt idx="3">
                  <c:v>32.0</c:v>
                </c:pt>
                <c:pt idx="4">
                  <c:v>38.0</c:v>
                </c:pt>
                <c:pt idx="5">
                  <c:v>52.0</c:v>
                </c:pt>
                <c:pt idx="6">
                  <c:v>59.0</c:v>
                </c:pt>
                <c:pt idx="7">
                  <c:v>70.0</c:v>
                </c:pt>
                <c:pt idx="8">
                  <c:v>75.0</c:v>
                </c:pt>
                <c:pt idx="9">
                  <c:v>85.0</c:v>
                </c:pt>
                <c:pt idx="10">
                  <c:v>95.0</c:v>
                </c:pt>
                <c:pt idx="11">
                  <c:v>114.0</c:v>
                </c:pt>
                <c:pt idx="12">
                  <c:v>130.0</c:v>
                </c:pt>
                <c:pt idx="13">
                  <c:v>145.0</c:v>
                </c:pt>
                <c:pt idx="14">
                  <c:v>159.0</c:v>
                </c:pt>
                <c:pt idx="15">
                  <c:v>167.0</c:v>
                </c:pt>
                <c:pt idx="16">
                  <c:v>178.0</c:v>
                </c:pt>
                <c:pt idx="17">
                  <c:v>198.0</c:v>
                </c:pt>
                <c:pt idx="18">
                  <c:v>208.0</c:v>
                </c:pt>
                <c:pt idx="19">
                  <c:v>221.0</c:v>
                </c:pt>
                <c:pt idx="20">
                  <c:v>233.0</c:v>
                </c:pt>
                <c:pt idx="21">
                  <c:v>243.0</c:v>
                </c:pt>
                <c:pt idx="22">
                  <c:v>258.0</c:v>
                </c:pt>
                <c:pt idx="23">
                  <c:v>273.0</c:v>
                </c:pt>
                <c:pt idx="24">
                  <c:v>303.0</c:v>
                </c:pt>
                <c:pt idx="25">
                  <c:v>321.0</c:v>
                </c:pt>
                <c:pt idx="26">
                  <c:v>339.0</c:v>
                </c:pt>
                <c:pt idx="27">
                  <c:v>353.0</c:v>
                </c:pt>
                <c:pt idx="28">
                  <c:v>371.0</c:v>
                </c:pt>
                <c:pt idx="29">
                  <c:v>391.0</c:v>
                </c:pt>
                <c:pt idx="30">
                  <c:v>403.0</c:v>
                </c:pt>
                <c:pt idx="31">
                  <c:v>436.0</c:v>
                </c:pt>
                <c:pt idx="32">
                  <c:v>455.0</c:v>
                </c:pt>
                <c:pt idx="33">
                  <c:v>463.0</c:v>
                </c:pt>
                <c:pt idx="34">
                  <c:v>481.0</c:v>
                </c:pt>
                <c:pt idx="35">
                  <c:v>524.0</c:v>
                </c:pt>
                <c:pt idx="36">
                  <c:v>556.0</c:v>
                </c:pt>
                <c:pt idx="37">
                  <c:v>596.0</c:v>
                </c:pt>
                <c:pt idx="38">
                  <c:v>654.0</c:v>
                </c:pt>
                <c:pt idx="39">
                  <c:v>716.0</c:v>
                </c:pt>
                <c:pt idx="40">
                  <c:v>823.0</c:v>
                </c:pt>
              </c:numCache>
            </c:numRef>
          </c:xVal>
          <c:yVal>
            <c:numRef>
              <c:f>'Thermistor-response'!$G$27:$G$67</c:f>
              <c:numCache>
                <c:formatCode>0.000</c:formatCode>
                <c:ptCount val="41"/>
                <c:pt idx="0">
                  <c:v>11.8</c:v>
                </c:pt>
                <c:pt idx="1">
                  <c:v>12.4</c:v>
                </c:pt>
                <c:pt idx="2">
                  <c:v>14.1</c:v>
                </c:pt>
                <c:pt idx="3">
                  <c:v>15.0</c:v>
                </c:pt>
                <c:pt idx="4">
                  <c:v>15.3</c:v>
                </c:pt>
                <c:pt idx="5">
                  <c:v>15.8</c:v>
                </c:pt>
                <c:pt idx="6">
                  <c:v>16.0</c:v>
                </c:pt>
                <c:pt idx="7">
                  <c:v>16.3</c:v>
                </c:pt>
                <c:pt idx="8">
                  <c:v>16.5</c:v>
                </c:pt>
                <c:pt idx="9">
                  <c:v>16.8</c:v>
                </c:pt>
                <c:pt idx="10">
                  <c:v>17.0</c:v>
                </c:pt>
                <c:pt idx="11">
                  <c:v>17.4</c:v>
                </c:pt>
                <c:pt idx="12">
                  <c:v>17.7</c:v>
                </c:pt>
                <c:pt idx="13">
                  <c:v>17.9</c:v>
                </c:pt>
                <c:pt idx="14">
                  <c:v>18.1</c:v>
                </c:pt>
                <c:pt idx="15">
                  <c:v>18.2</c:v>
                </c:pt>
                <c:pt idx="16">
                  <c:v>18.3</c:v>
                </c:pt>
                <c:pt idx="17">
                  <c:v>18.5</c:v>
                </c:pt>
                <c:pt idx="18">
                  <c:v>18.6</c:v>
                </c:pt>
                <c:pt idx="19">
                  <c:v>18.7</c:v>
                </c:pt>
                <c:pt idx="20">
                  <c:v>18.8</c:v>
                </c:pt>
                <c:pt idx="21">
                  <c:v>18.90000000000001</c:v>
                </c:pt>
                <c:pt idx="22">
                  <c:v>19.00000000000001</c:v>
                </c:pt>
                <c:pt idx="23">
                  <c:v>19.10000000000001</c:v>
                </c:pt>
                <c:pt idx="24">
                  <c:v>19.20000000000001</c:v>
                </c:pt>
                <c:pt idx="25">
                  <c:v>19.30000000000001</c:v>
                </c:pt>
                <c:pt idx="26">
                  <c:v>19.5</c:v>
                </c:pt>
                <c:pt idx="27">
                  <c:v>19.6</c:v>
                </c:pt>
                <c:pt idx="28">
                  <c:v>19.7</c:v>
                </c:pt>
                <c:pt idx="29">
                  <c:v>19.8</c:v>
                </c:pt>
                <c:pt idx="30">
                  <c:v>19.90000000000001</c:v>
                </c:pt>
                <c:pt idx="31">
                  <c:v>20.00000000000001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20.4</c:v>
                </c:pt>
                <c:pt idx="35">
                  <c:v>20.5</c:v>
                </c:pt>
                <c:pt idx="36">
                  <c:v>20.6</c:v>
                </c:pt>
                <c:pt idx="37">
                  <c:v>20.70000000000001</c:v>
                </c:pt>
                <c:pt idx="38">
                  <c:v>20.80000000000001</c:v>
                </c:pt>
                <c:pt idx="39">
                  <c:v>20.90000000000001</c:v>
                </c:pt>
                <c:pt idx="40" formatCode="General">
                  <c:v>21.1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47625">
              <a:noFill/>
            </a:ln>
          </c:spPr>
          <c:marker>
            <c:symbol val="circle"/>
            <c:size val="9"/>
            <c:spPr>
              <a:noFill/>
            </c:spPr>
          </c:marker>
          <c:xVal>
            <c:numRef>
              <c:f>'Thermistor-response'!$E$27:$E$67</c:f>
              <c:numCache>
                <c:formatCode>General</c:formatCode>
                <c:ptCount val="41"/>
                <c:pt idx="0">
                  <c:v>0.0</c:v>
                </c:pt>
                <c:pt idx="1">
                  <c:v>15.0</c:v>
                </c:pt>
                <c:pt idx="2">
                  <c:v>21.0</c:v>
                </c:pt>
                <c:pt idx="3">
                  <c:v>32.0</c:v>
                </c:pt>
                <c:pt idx="4">
                  <c:v>38.0</c:v>
                </c:pt>
                <c:pt idx="5">
                  <c:v>52.0</c:v>
                </c:pt>
                <c:pt idx="6">
                  <c:v>59.0</c:v>
                </c:pt>
                <c:pt idx="7">
                  <c:v>70.0</c:v>
                </c:pt>
                <c:pt idx="8">
                  <c:v>75.0</c:v>
                </c:pt>
                <c:pt idx="9">
                  <c:v>85.0</c:v>
                </c:pt>
                <c:pt idx="10">
                  <c:v>95.0</c:v>
                </c:pt>
                <c:pt idx="11">
                  <c:v>114.0</c:v>
                </c:pt>
                <c:pt idx="12">
                  <c:v>130.0</c:v>
                </c:pt>
                <c:pt idx="13">
                  <c:v>145.0</c:v>
                </c:pt>
                <c:pt idx="14">
                  <c:v>159.0</c:v>
                </c:pt>
                <c:pt idx="15">
                  <c:v>167.0</c:v>
                </c:pt>
                <c:pt idx="16">
                  <c:v>178.0</c:v>
                </c:pt>
                <c:pt idx="17">
                  <c:v>198.0</c:v>
                </c:pt>
                <c:pt idx="18">
                  <c:v>208.0</c:v>
                </c:pt>
                <c:pt idx="19">
                  <c:v>221.0</c:v>
                </c:pt>
                <c:pt idx="20">
                  <c:v>233.0</c:v>
                </c:pt>
                <c:pt idx="21">
                  <c:v>243.0</c:v>
                </c:pt>
                <c:pt idx="22">
                  <c:v>258.0</c:v>
                </c:pt>
                <c:pt idx="23">
                  <c:v>273.0</c:v>
                </c:pt>
                <c:pt idx="24">
                  <c:v>303.0</c:v>
                </c:pt>
                <c:pt idx="25">
                  <c:v>321.0</c:v>
                </c:pt>
                <c:pt idx="26">
                  <c:v>339.0</c:v>
                </c:pt>
                <c:pt idx="27">
                  <c:v>353.0</c:v>
                </c:pt>
                <c:pt idx="28">
                  <c:v>371.0</c:v>
                </c:pt>
                <c:pt idx="29">
                  <c:v>391.0</c:v>
                </c:pt>
                <c:pt idx="30">
                  <c:v>403.0</c:v>
                </c:pt>
                <c:pt idx="31">
                  <c:v>436.0</c:v>
                </c:pt>
                <c:pt idx="32">
                  <c:v>455.0</c:v>
                </c:pt>
                <c:pt idx="33">
                  <c:v>463.0</c:v>
                </c:pt>
                <c:pt idx="34">
                  <c:v>481.0</c:v>
                </c:pt>
                <c:pt idx="35">
                  <c:v>524.0</c:v>
                </c:pt>
                <c:pt idx="36">
                  <c:v>556.0</c:v>
                </c:pt>
                <c:pt idx="37">
                  <c:v>596.0</c:v>
                </c:pt>
                <c:pt idx="38">
                  <c:v>654.0</c:v>
                </c:pt>
                <c:pt idx="39">
                  <c:v>716.0</c:v>
                </c:pt>
                <c:pt idx="40">
                  <c:v>823.0</c:v>
                </c:pt>
              </c:numCache>
            </c:numRef>
          </c:xVal>
          <c:yVal>
            <c:numRef>
              <c:f>'Thermistor-response'!$H$27:$H$67</c:f>
              <c:numCache>
                <c:formatCode>0.00000</c:formatCode>
                <c:ptCount val="41"/>
                <c:pt idx="0">
                  <c:v>11.8</c:v>
                </c:pt>
                <c:pt idx="1">
                  <c:v>12.63225363916568</c:v>
                </c:pt>
                <c:pt idx="2">
                  <c:v>12.94391397456858</c:v>
                </c:pt>
                <c:pt idx="3">
                  <c:v>13.48580399637477</c:v>
                </c:pt>
                <c:pt idx="4">
                  <c:v>13.76604891387599</c:v>
                </c:pt>
                <c:pt idx="5">
                  <c:v>14.38049561112873</c:v>
                </c:pt>
                <c:pt idx="6">
                  <c:v>14.66813591777058</c:v>
                </c:pt>
                <c:pt idx="7">
                  <c:v>15.0954687042206</c:v>
                </c:pt>
                <c:pt idx="8">
                  <c:v>15.2802087106773</c:v>
                </c:pt>
                <c:pt idx="9">
                  <c:v>15.63281203996218</c:v>
                </c:pt>
                <c:pt idx="10">
                  <c:v>15.96405221348391</c:v>
                </c:pt>
                <c:pt idx="11">
                  <c:v>16.53912541469407</c:v>
                </c:pt>
                <c:pt idx="12">
                  <c:v>16.97315001624596</c:v>
                </c:pt>
                <c:pt idx="13">
                  <c:v>17.34246032993092</c:v>
                </c:pt>
                <c:pt idx="14">
                  <c:v>17.6572712433059</c:v>
                </c:pt>
                <c:pt idx="15">
                  <c:v>17.82517510605781</c:v>
                </c:pt>
                <c:pt idx="16">
                  <c:v>18.04275433801496</c:v>
                </c:pt>
                <c:pt idx="17">
                  <c:v>18.40199017285801</c:v>
                </c:pt>
                <c:pt idx="18">
                  <c:v>18.56545432478368</c:v>
                </c:pt>
                <c:pt idx="19">
                  <c:v>18.76324223010954</c:v>
                </c:pt>
                <c:pt idx="20">
                  <c:v>18.93208819985648</c:v>
                </c:pt>
                <c:pt idx="21">
                  <c:v>19.06343533591771</c:v>
                </c:pt>
                <c:pt idx="22">
                  <c:v>19.24568677173263</c:v>
                </c:pt>
                <c:pt idx="23">
                  <c:v>19.4116285924185</c:v>
                </c:pt>
                <c:pt idx="24">
                  <c:v>19.7002909408117</c:v>
                </c:pt>
                <c:pt idx="25">
                  <c:v>19.84922369798558</c:v>
                </c:pt>
                <c:pt idx="26">
                  <c:v>19.98230961469372</c:v>
                </c:pt>
                <c:pt idx="27">
                  <c:v>20.07595097631964</c:v>
                </c:pt>
                <c:pt idx="28">
                  <c:v>20.18491250913017</c:v>
                </c:pt>
                <c:pt idx="29">
                  <c:v>20.29243812371346</c:v>
                </c:pt>
                <c:pt idx="30">
                  <c:v>20.3507897294679</c:v>
                </c:pt>
                <c:pt idx="31">
                  <c:v>20.49042031472237</c:v>
                </c:pt>
                <c:pt idx="32">
                  <c:v>20.55867508591098</c:v>
                </c:pt>
                <c:pt idx="33">
                  <c:v>20.5850758135032</c:v>
                </c:pt>
                <c:pt idx="34">
                  <c:v>20.63986511298445</c:v>
                </c:pt>
                <c:pt idx="35">
                  <c:v>20.74830311616728</c:v>
                </c:pt>
                <c:pt idx="36">
                  <c:v>20.81205494544446</c:v>
                </c:pt>
                <c:pt idx="37">
                  <c:v>20.8757481660306</c:v>
                </c:pt>
                <c:pt idx="38">
                  <c:v>20.94393545383533</c:v>
                </c:pt>
                <c:pt idx="39">
                  <c:v>20.99407093424202</c:v>
                </c:pt>
                <c:pt idx="40">
                  <c:v>21.04572739003509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71752"/>
        <c:axId val="425874920"/>
      </c:scatterChart>
      <c:valAx>
        <c:axId val="42587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874920"/>
        <c:crosses val="autoZero"/>
        <c:crossBetween val="midCat"/>
      </c:valAx>
      <c:valAx>
        <c:axId val="425874920"/>
        <c:scaling>
          <c:orientation val="minMax"/>
          <c:min val="10.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25871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1580495209183"/>
          <c:y val="0.0254901960784314"/>
          <c:w val="0.733752151462995"/>
          <c:h val="0.9248105604446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1040308985767"/>
                  <c:y val="0.54462967519685"/>
                </c:manualLayout>
              </c:layout>
              <c:numFmt formatCode="General" sourceLinked="0"/>
            </c:trendlineLbl>
          </c:trendline>
          <c:xVal>
            <c:numRef>
              <c:f>'Dickson ASW Buffer Theoretical '!$E$29:$E$47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'Dickson ASW Buffer Theoretical '!$B$29:$B$47</c:f>
              <c:numCache>
                <c:formatCode>General</c:formatCode>
                <c:ptCount val="19"/>
                <c:pt idx="0">
                  <c:v>6.904190003993747</c:v>
                </c:pt>
                <c:pt idx="1">
                  <c:v>6.911564529975375</c:v>
                </c:pt>
                <c:pt idx="2">
                  <c:v>6.918941016156972</c:v>
                </c:pt>
                <c:pt idx="3">
                  <c:v>6.926319470894058</c:v>
                </c:pt>
                <c:pt idx="4">
                  <c:v>6.933699902595742</c:v>
                </c:pt>
                <c:pt idx="5">
                  <c:v>6.941082319725083</c:v>
                </c:pt>
                <c:pt idx="6">
                  <c:v>6.948466730799627</c:v>
                </c:pt>
                <c:pt idx="7">
                  <c:v>6.955853144391823</c:v>
                </c:pt>
                <c:pt idx="8">
                  <c:v>6.963241569129565</c:v>
                </c:pt>
                <c:pt idx="9">
                  <c:v>6.970632013696581</c:v>
                </c:pt>
                <c:pt idx="10">
                  <c:v>6.978024486832997</c:v>
                </c:pt>
                <c:pt idx="11">
                  <c:v>6.985418997335764</c:v>
                </c:pt>
                <c:pt idx="12">
                  <c:v>6.9928155540592</c:v>
                </c:pt>
                <c:pt idx="13">
                  <c:v>7.000214165915462</c:v>
                </c:pt>
                <c:pt idx="14">
                  <c:v>7.007614841875069</c:v>
                </c:pt>
                <c:pt idx="15">
                  <c:v>7.015017590967376</c:v>
                </c:pt>
                <c:pt idx="16">
                  <c:v>7.022422422281148</c:v>
                </c:pt>
                <c:pt idx="17">
                  <c:v>7.029829344965013</c:v>
                </c:pt>
                <c:pt idx="18">
                  <c:v>7.037238368228077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84584"/>
        <c:axId val="422087544"/>
      </c:scatterChart>
      <c:valAx>
        <c:axId val="42208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087544"/>
        <c:crosses val="autoZero"/>
        <c:crossBetween val="midCat"/>
      </c:valAx>
      <c:valAx>
        <c:axId val="42208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08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Meas.</c:v>
          </c:tx>
          <c:spPr>
            <a:ln w="47625">
              <a:noFill/>
            </a:ln>
          </c:spPr>
          <c:xVal>
            <c:numRef>
              <c:f>'Thermistor-response'!$E$70:$E$101</c:f>
              <c:numCache>
                <c:formatCode>General</c:formatCode>
                <c:ptCount val="32"/>
                <c:pt idx="0">
                  <c:v>0.0</c:v>
                </c:pt>
                <c:pt idx="1">
                  <c:v>10.0</c:v>
                </c:pt>
                <c:pt idx="2">
                  <c:v>26.0</c:v>
                </c:pt>
                <c:pt idx="3">
                  <c:v>30.0</c:v>
                </c:pt>
                <c:pt idx="4">
                  <c:v>38.0</c:v>
                </c:pt>
                <c:pt idx="5">
                  <c:v>47.0</c:v>
                </c:pt>
                <c:pt idx="6">
                  <c:v>56.0</c:v>
                </c:pt>
                <c:pt idx="7">
                  <c:v>63.0</c:v>
                </c:pt>
                <c:pt idx="8">
                  <c:v>125.0</c:v>
                </c:pt>
                <c:pt idx="9">
                  <c:v>133.0</c:v>
                </c:pt>
                <c:pt idx="10">
                  <c:v>142.0</c:v>
                </c:pt>
                <c:pt idx="11">
                  <c:v>150.0</c:v>
                </c:pt>
                <c:pt idx="12">
                  <c:v>158.0</c:v>
                </c:pt>
                <c:pt idx="13">
                  <c:v>173.0</c:v>
                </c:pt>
                <c:pt idx="14">
                  <c:v>188.0</c:v>
                </c:pt>
                <c:pt idx="15">
                  <c:v>205.0</c:v>
                </c:pt>
                <c:pt idx="16">
                  <c:v>221.0</c:v>
                </c:pt>
                <c:pt idx="17">
                  <c:v>228.0</c:v>
                </c:pt>
                <c:pt idx="18">
                  <c:v>239.0</c:v>
                </c:pt>
                <c:pt idx="19">
                  <c:v>255.0</c:v>
                </c:pt>
                <c:pt idx="20">
                  <c:v>265.0</c:v>
                </c:pt>
                <c:pt idx="21">
                  <c:v>278.0</c:v>
                </c:pt>
                <c:pt idx="22">
                  <c:v>290.0</c:v>
                </c:pt>
                <c:pt idx="23">
                  <c:v>304.0</c:v>
                </c:pt>
                <c:pt idx="24">
                  <c:v>315.0</c:v>
                </c:pt>
                <c:pt idx="25">
                  <c:v>330.0</c:v>
                </c:pt>
                <c:pt idx="26">
                  <c:v>345.0</c:v>
                </c:pt>
                <c:pt idx="27">
                  <c:v>366.0</c:v>
                </c:pt>
                <c:pt idx="28">
                  <c:v>388.0</c:v>
                </c:pt>
                <c:pt idx="29">
                  <c:v>408.0</c:v>
                </c:pt>
                <c:pt idx="30">
                  <c:v>437.0</c:v>
                </c:pt>
                <c:pt idx="31">
                  <c:v>468.0</c:v>
                </c:pt>
              </c:numCache>
            </c:numRef>
          </c:xVal>
          <c:yVal>
            <c:numRef>
              <c:f>'Thermistor-response'!$G$70:$G$101</c:f>
              <c:numCache>
                <c:formatCode>General</c:formatCode>
                <c:ptCount val="32"/>
                <c:pt idx="0">
                  <c:v>26.1</c:v>
                </c:pt>
                <c:pt idx="1">
                  <c:v>24.9</c:v>
                </c:pt>
                <c:pt idx="2">
                  <c:v>22.4</c:v>
                </c:pt>
                <c:pt idx="3">
                  <c:v>21.9</c:v>
                </c:pt>
                <c:pt idx="4">
                  <c:v>21.5</c:v>
                </c:pt>
                <c:pt idx="5">
                  <c:v>20.4</c:v>
                </c:pt>
                <c:pt idx="6">
                  <c:v>20.0</c:v>
                </c:pt>
                <c:pt idx="7">
                  <c:v>19.4</c:v>
                </c:pt>
                <c:pt idx="8">
                  <c:v>17.9</c:v>
                </c:pt>
                <c:pt idx="9">
                  <c:v>17.3</c:v>
                </c:pt>
                <c:pt idx="10">
                  <c:v>16.8</c:v>
                </c:pt>
                <c:pt idx="11">
                  <c:v>16.5</c:v>
                </c:pt>
                <c:pt idx="12">
                  <c:v>16.1</c:v>
                </c:pt>
                <c:pt idx="13">
                  <c:v>15.8</c:v>
                </c:pt>
                <c:pt idx="14">
                  <c:v>15.5</c:v>
                </c:pt>
                <c:pt idx="15">
                  <c:v>15.2</c:v>
                </c:pt>
                <c:pt idx="16">
                  <c:v>15.0</c:v>
                </c:pt>
                <c:pt idx="17">
                  <c:v>14.6</c:v>
                </c:pt>
                <c:pt idx="18">
                  <c:v>14.2</c:v>
                </c:pt>
                <c:pt idx="19">
                  <c:v>13.4</c:v>
                </c:pt>
                <c:pt idx="20">
                  <c:v>13.3</c:v>
                </c:pt>
                <c:pt idx="21">
                  <c:v>13.2</c:v>
                </c:pt>
                <c:pt idx="22">
                  <c:v>13.1</c:v>
                </c:pt>
                <c:pt idx="23">
                  <c:v>13.0</c:v>
                </c:pt>
                <c:pt idx="24">
                  <c:v>12.9</c:v>
                </c:pt>
                <c:pt idx="25">
                  <c:v>12.8</c:v>
                </c:pt>
                <c:pt idx="26">
                  <c:v>12.7</c:v>
                </c:pt>
                <c:pt idx="27">
                  <c:v>12.6</c:v>
                </c:pt>
                <c:pt idx="28">
                  <c:v>12.5</c:v>
                </c:pt>
                <c:pt idx="29">
                  <c:v>12.4</c:v>
                </c:pt>
                <c:pt idx="30">
                  <c:v>12.3</c:v>
                </c:pt>
                <c:pt idx="31">
                  <c:v>12.2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47625">
              <a:noFill/>
            </a:ln>
          </c:spPr>
          <c:marker>
            <c:symbol val="circle"/>
            <c:size val="9"/>
            <c:spPr>
              <a:noFill/>
            </c:spPr>
          </c:marker>
          <c:xVal>
            <c:numRef>
              <c:f>'Thermistor-response'!$E$70:$E$101</c:f>
              <c:numCache>
                <c:formatCode>General</c:formatCode>
                <c:ptCount val="32"/>
                <c:pt idx="0">
                  <c:v>0.0</c:v>
                </c:pt>
                <c:pt idx="1">
                  <c:v>10.0</c:v>
                </c:pt>
                <c:pt idx="2">
                  <c:v>26.0</c:v>
                </c:pt>
                <c:pt idx="3">
                  <c:v>30.0</c:v>
                </c:pt>
                <c:pt idx="4">
                  <c:v>38.0</c:v>
                </c:pt>
                <c:pt idx="5">
                  <c:v>47.0</c:v>
                </c:pt>
                <c:pt idx="6">
                  <c:v>56.0</c:v>
                </c:pt>
                <c:pt idx="7">
                  <c:v>63.0</c:v>
                </c:pt>
                <c:pt idx="8">
                  <c:v>125.0</c:v>
                </c:pt>
                <c:pt idx="9">
                  <c:v>133.0</c:v>
                </c:pt>
                <c:pt idx="10">
                  <c:v>142.0</c:v>
                </c:pt>
                <c:pt idx="11">
                  <c:v>150.0</c:v>
                </c:pt>
                <c:pt idx="12">
                  <c:v>158.0</c:v>
                </c:pt>
                <c:pt idx="13">
                  <c:v>173.0</c:v>
                </c:pt>
                <c:pt idx="14">
                  <c:v>188.0</c:v>
                </c:pt>
                <c:pt idx="15">
                  <c:v>205.0</c:v>
                </c:pt>
                <c:pt idx="16">
                  <c:v>221.0</c:v>
                </c:pt>
                <c:pt idx="17">
                  <c:v>228.0</c:v>
                </c:pt>
                <c:pt idx="18">
                  <c:v>239.0</c:v>
                </c:pt>
                <c:pt idx="19">
                  <c:v>255.0</c:v>
                </c:pt>
                <c:pt idx="20">
                  <c:v>265.0</c:v>
                </c:pt>
                <c:pt idx="21">
                  <c:v>278.0</c:v>
                </c:pt>
                <c:pt idx="22">
                  <c:v>290.0</c:v>
                </c:pt>
                <c:pt idx="23">
                  <c:v>304.0</c:v>
                </c:pt>
                <c:pt idx="24">
                  <c:v>315.0</c:v>
                </c:pt>
                <c:pt idx="25">
                  <c:v>330.0</c:v>
                </c:pt>
                <c:pt idx="26">
                  <c:v>345.0</c:v>
                </c:pt>
                <c:pt idx="27">
                  <c:v>366.0</c:v>
                </c:pt>
                <c:pt idx="28">
                  <c:v>388.0</c:v>
                </c:pt>
                <c:pt idx="29">
                  <c:v>408.0</c:v>
                </c:pt>
                <c:pt idx="30">
                  <c:v>437.0</c:v>
                </c:pt>
                <c:pt idx="31">
                  <c:v>468.0</c:v>
                </c:pt>
              </c:numCache>
            </c:numRef>
          </c:xVal>
          <c:yVal>
            <c:numRef>
              <c:f>'Thermistor-response'!$H$70:$H$101</c:f>
              <c:numCache>
                <c:formatCode>0.00000</c:formatCode>
                <c:ptCount val="32"/>
                <c:pt idx="0">
                  <c:v>26.1</c:v>
                </c:pt>
                <c:pt idx="1">
                  <c:v>24.77724011069984</c:v>
                </c:pt>
                <c:pt idx="2">
                  <c:v>22.91761704266957</c:v>
                </c:pt>
                <c:pt idx="3">
                  <c:v>22.49737326747588</c:v>
                </c:pt>
                <c:pt idx="4">
                  <c:v>21.70567358805175</c:v>
                </c:pt>
                <c:pt idx="5">
                  <c:v>20.88753152912954</c:v>
                </c:pt>
                <c:pt idx="6">
                  <c:v>20.13980598749852</c:v>
                </c:pt>
                <c:pt idx="7">
                  <c:v>19.60302603399587</c:v>
                </c:pt>
                <c:pt idx="8">
                  <c:v>16.18241667635665</c:v>
                </c:pt>
                <c:pt idx="9">
                  <c:v>15.87623393206755</c:v>
                </c:pt>
                <c:pt idx="10">
                  <c:v>15.55982483486881</c:v>
                </c:pt>
                <c:pt idx="11">
                  <c:v>15.30150922606317</c:v>
                </c:pt>
                <c:pt idx="12">
                  <c:v>15.06305386504788</c:v>
                </c:pt>
                <c:pt idx="13">
                  <c:v>14.6642532985813</c:v>
                </c:pt>
                <c:pt idx="14">
                  <c:v>14.32100247002069</c:v>
                </c:pt>
                <c:pt idx="15">
                  <c:v>13.98941515987048</c:v>
                </c:pt>
                <c:pt idx="16">
                  <c:v>13.72483901436561</c:v>
                </c:pt>
                <c:pt idx="17">
                  <c:v>13.62175047334597</c:v>
                </c:pt>
                <c:pt idx="18">
                  <c:v>13.47365260589732</c:v>
                </c:pt>
                <c:pt idx="19">
                  <c:v>13.28533515741603</c:v>
                </c:pt>
                <c:pt idx="20">
                  <c:v>13.18205186153997</c:v>
                </c:pt>
                <c:pt idx="21">
                  <c:v>13.06233525254528</c:v>
                </c:pt>
                <c:pt idx="22">
                  <c:v>12.96482275878406</c:v>
                </c:pt>
                <c:pt idx="23">
                  <c:v>12.86490496396936</c:v>
                </c:pt>
                <c:pt idx="24">
                  <c:v>12.79564456345186</c:v>
                </c:pt>
                <c:pt idx="25">
                  <c:v>12.71267602687723</c:v>
                </c:pt>
                <c:pt idx="26">
                  <c:v>12.64126434565514</c:v>
                </c:pt>
                <c:pt idx="27">
                  <c:v>12.5576819268964</c:v>
                </c:pt>
                <c:pt idx="28">
                  <c:v>12.4870464700258</c:v>
                </c:pt>
                <c:pt idx="29">
                  <c:v>12.4350137725726</c:v>
                </c:pt>
                <c:pt idx="30">
                  <c:v>12.37585224389527</c:v>
                </c:pt>
                <c:pt idx="31">
                  <c:v>12.3289782930302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74248"/>
        <c:axId val="502279688"/>
      </c:scatterChart>
      <c:valAx>
        <c:axId val="50227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279688"/>
        <c:crosses val="autoZero"/>
        <c:crossBetween val="midCat"/>
      </c:valAx>
      <c:valAx>
        <c:axId val="50227968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27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3107611548556"/>
                  <c:y val="-0.64339457567804"/>
                </c:manualLayout>
              </c:layout>
              <c:numFmt formatCode="General" sourceLinked="0"/>
            </c:trendlineLbl>
          </c:trendline>
          <c:xVal>
            <c:numRef>
              <c:f>'Dickson ASW Buffer Theoretical '!$C$11:$C$26</c:f>
              <c:numCache>
                <c:formatCode>General</c:formatCode>
                <c:ptCount val="1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</c:numCache>
            </c:numRef>
          </c:xVal>
          <c:yVal>
            <c:numRef>
              <c:f>'Dickson ASW Buffer Theoretical '!$A$11:$A$26</c:f>
              <c:numCache>
                <c:formatCode>General</c:formatCode>
                <c:ptCount val="16"/>
                <c:pt idx="0">
                  <c:v>8.56624062175393</c:v>
                </c:pt>
                <c:pt idx="1">
                  <c:v>8.532568522523135</c:v>
                </c:pt>
                <c:pt idx="2">
                  <c:v>8.499116805866126</c:v>
                </c:pt>
                <c:pt idx="3">
                  <c:v>8.465880483501074</c:v>
                </c:pt>
                <c:pt idx="4">
                  <c:v>8.432854655283456</c:v>
                </c:pt>
                <c:pt idx="5">
                  <c:v>8.40003450748338</c:v>
                </c:pt>
                <c:pt idx="6">
                  <c:v>8.367415311099463</c:v>
                </c:pt>
                <c:pt idx="7">
                  <c:v>8.334992420212217</c:v>
                </c:pt>
                <c:pt idx="8">
                  <c:v>8.302761270372137</c:v>
                </c:pt>
                <c:pt idx="9">
                  <c:v>8.270717377024716</c:v>
                </c:pt>
                <c:pt idx="10">
                  <c:v>8.238856333969408</c:v>
                </c:pt>
                <c:pt idx="11">
                  <c:v>8.207173811853053</c:v>
                </c:pt>
                <c:pt idx="12">
                  <c:v>8.175665556695406</c:v>
                </c:pt>
                <c:pt idx="13">
                  <c:v>8.144327388447856</c:v>
                </c:pt>
                <c:pt idx="14">
                  <c:v>8.113155199583168</c:v>
                </c:pt>
                <c:pt idx="15">
                  <c:v>8.082144953715328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14232"/>
        <c:axId val="422117192"/>
      </c:scatterChart>
      <c:valAx>
        <c:axId val="42211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117192"/>
        <c:crosses val="autoZero"/>
        <c:crossBetween val="midCat"/>
      </c:valAx>
      <c:valAx>
        <c:axId val="42211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114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400672353455818"/>
                  <c:y val="-0.706728638086906"/>
                </c:manualLayout>
              </c:layout>
              <c:numFmt formatCode="General" sourceLinked="0"/>
            </c:trendlineLbl>
          </c:trendline>
          <c:xVal>
            <c:numRef>
              <c:f>'Dickson ASW Buffer Theoretical '!$C$11:$C$26</c:f>
              <c:numCache>
                <c:formatCode>General</c:formatCode>
                <c:ptCount val="1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</c:numCache>
            </c:numRef>
          </c:xVal>
          <c:yVal>
            <c:numRef>
              <c:f>'Dickson ASW Buffer Theoretical '!$B$11:$B$26</c:f>
              <c:numCache>
                <c:formatCode>General</c:formatCode>
                <c:ptCount val="16"/>
                <c:pt idx="0">
                  <c:v>7.136493027390451</c:v>
                </c:pt>
                <c:pt idx="1">
                  <c:v>7.111258429776648</c:v>
                </c:pt>
                <c:pt idx="2">
                  <c:v>7.086124203919973</c:v>
                </c:pt>
                <c:pt idx="3">
                  <c:v>7.06108956528442</c:v>
                </c:pt>
                <c:pt idx="4">
                  <c:v>7.036153738397637</c:v>
                </c:pt>
                <c:pt idx="5">
                  <c:v>7.011315956712985</c:v>
                </c:pt>
                <c:pt idx="6">
                  <c:v>6.986575462474335</c:v>
                </c:pt>
                <c:pt idx="7">
                  <c:v>6.96193150658332</c:v>
                </c:pt>
                <c:pt idx="8">
                  <c:v>6.93738334846907</c:v>
                </c:pt>
                <c:pt idx="9">
                  <c:v>6.912930255960405</c:v>
                </c:pt>
                <c:pt idx="10">
                  <c:v>6.888571505160358</c:v>
                </c:pt>
                <c:pt idx="11">
                  <c:v>6.86430638032303</c:v>
                </c:pt>
                <c:pt idx="12">
                  <c:v>6.840134173732751</c:v>
                </c:pt>
                <c:pt idx="13">
                  <c:v>6.816054185585344</c:v>
                </c:pt>
                <c:pt idx="14">
                  <c:v>6.792065723871723</c:v>
                </c:pt>
                <c:pt idx="15">
                  <c:v>6.76816810426346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33560"/>
        <c:axId val="502436520"/>
      </c:scatterChart>
      <c:valAx>
        <c:axId val="50243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436520"/>
        <c:crosses val="autoZero"/>
        <c:crossBetween val="midCat"/>
      </c:valAx>
      <c:valAx>
        <c:axId val="50243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3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43812117235346"/>
                  <c:y val="-0.540061971420239"/>
                </c:manualLayout>
              </c:layout>
              <c:numFmt formatCode="General" sourceLinked="0"/>
            </c:trendlineLbl>
          </c:trendline>
          <c:xVal>
            <c:numRef>
              <c:f>'NIST Buffer Theoretical'!$B$20:$B$22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</c:numCache>
            </c:numRef>
          </c:xVal>
          <c:yVal>
            <c:numRef>
              <c:f>'NIST Buffer Theoretical'!$C$20:$C$22</c:f>
              <c:numCache>
                <c:formatCode>General</c:formatCode>
                <c:ptCount val="3"/>
                <c:pt idx="0">
                  <c:v>7.06</c:v>
                </c:pt>
                <c:pt idx="1">
                  <c:v>7.04</c:v>
                </c:pt>
                <c:pt idx="2">
                  <c:v>7.02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74120"/>
        <c:axId val="502477080"/>
      </c:scatterChart>
      <c:valAx>
        <c:axId val="50247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477080"/>
        <c:crosses val="autoZero"/>
        <c:crossBetween val="midCat"/>
      </c:valAx>
      <c:valAx>
        <c:axId val="50247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74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49817366579178"/>
                  <c:y val="-0.501718795567221"/>
                </c:manualLayout>
              </c:layout>
              <c:numFmt formatCode="General" sourceLinked="0"/>
            </c:trendlineLbl>
          </c:trendline>
          <c:xVal>
            <c:numRef>
              <c:f>'NIST Buffer Theoretical'!$B$36:$B$38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</c:numCache>
            </c:numRef>
          </c:xVal>
          <c:yVal>
            <c:numRef>
              <c:f>'NIST Buffer Theoretical'!$C$36:$C$38</c:f>
              <c:numCache>
                <c:formatCode>General</c:formatCode>
                <c:ptCount val="3"/>
                <c:pt idx="0">
                  <c:v>10.17</c:v>
                </c:pt>
                <c:pt idx="1">
                  <c:v>10.11</c:v>
                </c:pt>
                <c:pt idx="2">
                  <c:v>10.05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4808"/>
        <c:axId val="502507768"/>
      </c:scatterChart>
      <c:valAx>
        <c:axId val="50250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507768"/>
        <c:crosses val="autoZero"/>
        <c:crossBetween val="midCat"/>
      </c:valAx>
      <c:valAx>
        <c:axId val="5025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04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Buffer 4</c:v>
          </c:tx>
          <c:spPr>
            <a:ln w="47625">
              <a:noFill/>
            </a:ln>
          </c:spPr>
          <c:xVal>
            <c:numRef>
              <c:f>'NIST Buffer Theoretical'!$B$3:$B$7</c:f>
              <c:numCache>
                <c:formatCode>General</c:formatCode>
                <c:ptCount val="5"/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xVal>
          <c:yVal>
            <c:numRef>
              <c:f>'NIST Buffer Theoretical'!$C$3:$C$7</c:f>
              <c:numCache>
                <c:formatCode>General</c:formatCode>
                <c:ptCount val="5"/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31544"/>
        <c:axId val="502534504"/>
      </c:scatterChart>
      <c:valAx>
        <c:axId val="50253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534504"/>
        <c:crosses val="autoZero"/>
        <c:crossBetween val="midCat"/>
      </c:valAx>
      <c:valAx>
        <c:axId val="50253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3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NIST</a:t>
            </a:r>
            <a:r>
              <a:rPr lang="en-US" baseline="0"/>
              <a:t> 10 Buffer, T-sensitvity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0489596621651"/>
                  <c:y val="-0.42667329462605"/>
                </c:manualLayout>
              </c:layout>
              <c:numFmt formatCode="General" sourceLinked="0"/>
            </c:trendlineLbl>
          </c:trendline>
          <c:xVal>
            <c:numRef>
              <c:f>'NIST T-Response'!$B$4:$B$11</c:f>
              <c:numCache>
                <c:formatCode>General</c:formatCode>
                <c:ptCount val="8"/>
                <c:pt idx="0">
                  <c:v>15.4</c:v>
                </c:pt>
                <c:pt idx="1">
                  <c:v>16.4</c:v>
                </c:pt>
                <c:pt idx="2">
                  <c:v>18.0</c:v>
                </c:pt>
                <c:pt idx="3">
                  <c:v>18.6</c:v>
                </c:pt>
                <c:pt idx="4">
                  <c:v>19.3</c:v>
                </c:pt>
                <c:pt idx="5">
                  <c:v>20.5</c:v>
                </c:pt>
                <c:pt idx="6">
                  <c:v>22.0</c:v>
                </c:pt>
                <c:pt idx="7">
                  <c:v>23.2</c:v>
                </c:pt>
              </c:numCache>
            </c:numRef>
          </c:xVal>
          <c:yVal>
            <c:numRef>
              <c:f>'NIST T-Response'!$A$4:$A$11</c:f>
              <c:numCache>
                <c:formatCode>General</c:formatCode>
                <c:ptCount val="8"/>
                <c:pt idx="0">
                  <c:v>10.1</c:v>
                </c:pt>
                <c:pt idx="1">
                  <c:v>10.09</c:v>
                </c:pt>
                <c:pt idx="2">
                  <c:v>10.08</c:v>
                </c:pt>
                <c:pt idx="3">
                  <c:v>10.07</c:v>
                </c:pt>
                <c:pt idx="4">
                  <c:v>10.06</c:v>
                </c:pt>
                <c:pt idx="5">
                  <c:v>10.05</c:v>
                </c:pt>
                <c:pt idx="6">
                  <c:v>10.04</c:v>
                </c:pt>
                <c:pt idx="7">
                  <c:v>10.03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40872"/>
        <c:axId val="501818136"/>
      </c:scatterChart>
      <c:valAx>
        <c:axId val="501840872"/>
        <c:scaling>
          <c:orientation val="minMax"/>
          <c:min val="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 deg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18136"/>
        <c:crosses val="autoZero"/>
        <c:crossBetween val="midCat"/>
      </c:valAx>
      <c:valAx>
        <c:axId val="50181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40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NIST 7 Buffer, T-sensitivity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0663515884703"/>
                  <c:y val="-0.432967975648411"/>
                </c:manualLayout>
              </c:layout>
              <c:numFmt formatCode="General" sourceLinked="0"/>
            </c:trendlineLbl>
          </c:trendline>
          <c:xVal>
            <c:numRef>
              <c:f>'NIST T-Response'!$A$26:$A$29</c:f>
              <c:numCache>
                <c:formatCode>General</c:formatCode>
                <c:ptCount val="4"/>
                <c:pt idx="0">
                  <c:v>16.0</c:v>
                </c:pt>
                <c:pt idx="1">
                  <c:v>17.0</c:v>
                </c:pt>
                <c:pt idx="2">
                  <c:v>18.6</c:v>
                </c:pt>
                <c:pt idx="3">
                  <c:v>23.0</c:v>
                </c:pt>
              </c:numCache>
            </c:numRef>
          </c:xVal>
          <c:yVal>
            <c:numRef>
              <c:f>'NIST T-Response'!$B$26:$B$29</c:f>
              <c:numCache>
                <c:formatCode>General</c:formatCode>
                <c:ptCount val="4"/>
                <c:pt idx="0">
                  <c:v>7.02</c:v>
                </c:pt>
                <c:pt idx="1">
                  <c:v>7.01</c:v>
                </c:pt>
                <c:pt idx="2">
                  <c:v>7.0</c:v>
                </c:pt>
                <c:pt idx="3">
                  <c:v>6.99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18760"/>
        <c:axId val="501984696"/>
      </c:scatterChart>
      <c:valAx>
        <c:axId val="501918760"/>
        <c:scaling>
          <c:orientation val="minMax"/>
          <c:min val="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 deg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84696"/>
        <c:crosses val="autoZero"/>
        <c:crossBetween val="midCat"/>
      </c:valAx>
      <c:valAx>
        <c:axId val="50198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18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28</xdr:row>
      <xdr:rowOff>25400</xdr:rowOff>
    </xdr:from>
    <xdr:to>
      <xdr:col>11</xdr:col>
      <xdr:colOff>800100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723900</xdr:colOff>
      <xdr:row>27</xdr:row>
      <xdr:rowOff>152400</xdr:rowOff>
    </xdr:from>
    <xdr:to>
      <xdr:col>18</xdr:col>
      <xdr:colOff>457200</xdr:colOff>
      <xdr:row>49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292100</xdr:colOff>
      <xdr:row>9</xdr:row>
      <xdr:rowOff>76200</xdr:rowOff>
    </xdr:from>
    <xdr:to>
      <xdr:col>11</xdr:col>
      <xdr:colOff>736600</xdr:colOff>
      <xdr:row>25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9</xdr:row>
      <xdr:rowOff>152400</xdr:rowOff>
    </xdr:from>
    <xdr:to>
      <xdr:col>18</xdr:col>
      <xdr:colOff>482600</xdr:colOff>
      <xdr:row>25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16</xdr:row>
      <xdr:rowOff>184150</xdr:rowOff>
    </xdr:from>
    <xdr:to>
      <xdr:col>9</xdr:col>
      <xdr:colOff>419100</xdr:colOff>
      <xdr:row>31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33</xdr:row>
      <xdr:rowOff>184150</xdr:rowOff>
    </xdr:from>
    <xdr:to>
      <xdr:col>9</xdr:col>
      <xdr:colOff>482600</xdr:colOff>
      <xdr:row>48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0</xdr:row>
      <xdr:rowOff>184150</xdr:rowOff>
    </xdr:from>
    <xdr:to>
      <xdr:col>9</xdr:col>
      <xdr:colOff>431800</xdr:colOff>
      <xdr:row>15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3</xdr:row>
      <xdr:rowOff>12700</xdr:rowOff>
    </xdr:from>
    <xdr:to>
      <xdr:col>9</xdr:col>
      <xdr:colOff>698500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24</xdr:row>
      <xdr:rowOff>165100</xdr:rowOff>
    </xdr:from>
    <xdr:to>
      <xdr:col>9</xdr:col>
      <xdr:colOff>723900</xdr:colOff>
      <xdr:row>45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0</xdr:row>
      <xdr:rowOff>12700</xdr:rowOff>
    </xdr:from>
    <xdr:to>
      <xdr:col>21</xdr:col>
      <xdr:colOff>114300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127000</xdr:colOff>
      <xdr:row>0</xdr:row>
      <xdr:rowOff>0</xdr:rowOff>
    </xdr:from>
    <xdr:to>
      <xdr:col>26</xdr:col>
      <xdr:colOff>342900</xdr:colOff>
      <xdr:row>17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127000</xdr:colOff>
      <xdr:row>17</xdr:row>
      <xdr:rowOff>139700</xdr:rowOff>
    </xdr:from>
    <xdr:to>
      <xdr:col>26</xdr:col>
      <xdr:colOff>342900</xdr:colOff>
      <xdr:row>35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609600</xdr:colOff>
      <xdr:row>17</xdr:row>
      <xdr:rowOff>165100</xdr:rowOff>
    </xdr:from>
    <xdr:to>
      <xdr:col>21</xdr:col>
      <xdr:colOff>101600</xdr:colOff>
      <xdr:row>33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88900</xdr:colOff>
      <xdr:row>19</xdr:row>
      <xdr:rowOff>177800</xdr:rowOff>
    </xdr:from>
    <xdr:to>
      <xdr:col>15</xdr:col>
      <xdr:colOff>508000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393700</xdr:colOff>
      <xdr:row>33</xdr:row>
      <xdr:rowOff>165100</xdr:rowOff>
    </xdr:from>
    <xdr:to>
      <xdr:col>27</xdr:col>
      <xdr:colOff>482600</xdr:colOff>
      <xdr:row>75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412750</xdr:colOff>
      <xdr:row>49</xdr:row>
      <xdr:rowOff>152400</xdr:rowOff>
    </xdr:from>
    <xdr:to>
      <xdr:col>10</xdr:col>
      <xdr:colOff>31750</xdr:colOff>
      <xdr:row>64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419100</xdr:colOff>
      <xdr:row>65</xdr:row>
      <xdr:rowOff>50800</xdr:rowOff>
    </xdr:from>
    <xdr:to>
      <xdr:col>10</xdr:col>
      <xdr:colOff>38100</xdr:colOff>
      <xdr:row>79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3</xdr:row>
      <xdr:rowOff>120650</xdr:rowOff>
    </xdr:from>
    <xdr:to>
      <xdr:col>16</xdr:col>
      <xdr:colOff>25400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28</xdr:row>
      <xdr:rowOff>177800</xdr:rowOff>
    </xdr:from>
    <xdr:to>
      <xdr:col>16</xdr:col>
      <xdr:colOff>12700</xdr:colOff>
      <xdr:row>50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54</xdr:row>
      <xdr:rowOff>139700</xdr:rowOff>
    </xdr:from>
    <xdr:to>
      <xdr:col>15</xdr:col>
      <xdr:colOff>800100</xdr:colOff>
      <xdr:row>76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showRuler="0" workbookViewId="0">
      <selection activeCell="A5" sqref="A5"/>
    </sheetView>
  </sheetViews>
  <sheetFormatPr baseColWidth="10" defaultColWidth="11" defaultRowHeight="15" x14ac:dyDescent="0"/>
  <sheetData>
    <row r="1" spans="1:5" ht="16" thickBot="1"/>
    <row r="2" spans="1:5" ht="16" thickTop="1">
      <c r="A2" s="1"/>
      <c r="B2" s="2"/>
      <c r="C2" s="2"/>
      <c r="D2" s="2"/>
      <c r="E2" s="3"/>
    </row>
    <row r="3" spans="1:5">
      <c r="A3" s="11" t="s">
        <v>4</v>
      </c>
      <c r="B3" s="12" t="s">
        <v>5</v>
      </c>
      <c r="C3" s="12" t="s">
        <v>6</v>
      </c>
      <c r="D3" s="12" t="s">
        <v>6</v>
      </c>
      <c r="E3" s="13" t="s">
        <v>3</v>
      </c>
    </row>
    <row r="4" spans="1:5">
      <c r="A4" s="4"/>
      <c r="B4" s="5"/>
      <c r="C4" s="5"/>
      <c r="D4" s="5"/>
      <c r="E4" s="6"/>
    </row>
    <row r="5" spans="1:5">
      <c r="A5" s="14">
        <f>(11911.08-18.2499*E5-0.039336*E5^2)*(1/D5)-366.27059 + 0.53993607*E5 + 0.00016329*E5^2 + (64.52243 - 0.084041*E5)*LN(D5)-0.11149858*D5</f>
        <v>8.3833990042787079</v>
      </c>
      <c r="B5" s="15">
        <f>(111.35+5.44875*E5)*(1/D5)+41.6775-0.015683*E5 - 6.20815*LN(D5)-LOG(1-0.00106*E5,10)</f>
        <v>6.9915651165813975</v>
      </c>
      <c r="C5" s="5">
        <v>15.292</v>
      </c>
      <c r="D5" s="5">
        <f>C5+273.15</f>
        <v>288.44199999999995</v>
      </c>
      <c r="E5" s="6">
        <v>25.6</v>
      </c>
    </row>
    <row r="6" spans="1:5">
      <c r="A6" s="4"/>
      <c r="B6" s="5"/>
      <c r="C6" s="5"/>
      <c r="D6" s="5"/>
      <c r="E6" s="6"/>
    </row>
    <row r="7" spans="1:5" ht="16" thickBot="1">
      <c r="A7" s="7"/>
      <c r="B7" s="8"/>
      <c r="C7" s="8"/>
      <c r="D7" s="8"/>
      <c r="E7" s="9"/>
    </row>
    <row r="8" spans="1:5" ht="16" thickTop="1">
      <c r="A8" s="5"/>
      <c r="B8" s="5"/>
      <c r="C8" s="5"/>
      <c r="D8" s="5"/>
      <c r="E8" s="5"/>
    </row>
    <row r="9" spans="1:5">
      <c r="A9" s="10" t="s">
        <v>7</v>
      </c>
      <c r="B9" s="10"/>
    </row>
    <row r="10" spans="1:5">
      <c r="A10" t="s">
        <v>0</v>
      </c>
      <c r="B10" t="s">
        <v>5</v>
      </c>
      <c r="C10" t="s">
        <v>1</v>
      </c>
      <c r="D10" t="s">
        <v>2</v>
      </c>
      <c r="E10" t="s">
        <v>3</v>
      </c>
    </row>
    <row r="11" spans="1:5">
      <c r="A11">
        <f>((11911.08-18.2499*E11-0.039336*E11^2)*(1/D11))-366.27059+0.53993607*E11+0.00016329*E11^2 + ((64.52243 - 0.084041*E11)*LN(D11)) - 0.11149858*D11</f>
        <v>8.5662406217539306</v>
      </c>
      <c r="B11">
        <f t="shared" ref="B11:B22" si="0">(111.35+5.44875*E11)*(1/D11)+41.6775-0.015683*E11 - 6.20815*LN(D11)-LOG(1-0.00106*E11,10)</f>
        <v>7.1364930273904514</v>
      </c>
      <c r="C11">
        <v>10</v>
      </c>
      <c r="D11">
        <f>C11+273.15</f>
        <v>283.14999999999998</v>
      </c>
      <c r="E11">
        <v>29</v>
      </c>
    </row>
    <row r="12" spans="1:5">
      <c r="A12">
        <f t="shared" ref="A12:A22" si="1">((11911.08-18.2499*E12-0.039336*E12^2)*(1/D12))-366.27059+0.53993607*E12+0.00016329*E12^2 + ((64.52243 - 0.084041*E12)*LN(D12)) - 0.11149858*D12</f>
        <v>8.5325685225231354</v>
      </c>
      <c r="B12">
        <f t="shared" si="0"/>
        <v>7.1112584297766483</v>
      </c>
      <c r="C12">
        <f>C11+1</f>
        <v>11</v>
      </c>
      <c r="D12">
        <f t="shared" ref="D12:D20" si="2">C12+273.15</f>
        <v>284.14999999999998</v>
      </c>
      <c r="E12">
        <f>E11</f>
        <v>29</v>
      </c>
    </row>
    <row r="13" spans="1:5">
      <c r="A13">
        <f t="shared" si="1"/>
        <v>8.4991168058661266</v>
      </c>
      <c r="B13">
        <f t="shared" si="0"/>
        <v>7.0861242039199732</v>
      </c>
      <c r="C13">
        <f t="shared" ref="C13:C26" si="3">C12+1</f>
        <v>12</v>
      </c>
      <c r="D13">
        <f t="shared" si="2"/>
        <v>285.14999999999998</v>
      </c>
      <c r="E13">
        <f t="shared" ref="E13:E20" si="4">E12</f>
        <v>29</v>
      </c>
    </row>
    <row r="14" spans="1:5">
      <c r="A14">
        <f t="shared" si="1"/>
        <v>8.4658804835010741</v>
      </c>
      <c r="B14">
        <f t="shared" si="0"/>
        <v>7.0610895652844201</v>
      </c>
      <c r="C14">
        <f t="shared" si="3"/>
        <v>13</v>
      </c>
      <c r="D14">
        <f t="shared" si="2"/>
        <v>286.14999999999998</v>
      </c>
      <c r="E14">
        <f t="shared" si="4"/>
        <v>29</v>
      </c>
    </row>
    <row r="15" spans="1:5">
      <c r="A15">
        <f t="shared" si="1"/>
        <v>8.4328546552834567</v>
      </c>
      <c r="B15">
        <f t="shared" si="0"/>
        <v>7.0361537383976378</v>
      </c>
      <c r="C15">
        <f t="shared" si="3"/>
        <v>14</v>
      </c>
      <c r="D15">
        <f t="shared" si="2"/>
        <v>287.14999999999998</v>
      </c>
      <c r="E15">
        <f t="shared" si="4"/>
        <v>29</v>
      </c>
    </row>
    <row r="16" spans="1:5">
      <c r="A16">
        <f t="shared" si="1"/>
        <v>8.4000345074833831</v>
      </c>
      <c r="B16">
        <f t="shared" si="0"/>
        <v>7.011315956712985</v>
      </c>
      <c r="C16">
        <f t="shared" si="3"/>
        <v>15</v>
      </c>
      <c r="D16">
        <f t="shared" si="2"/>
        <v>288.14999999999998</v>
      </c>
      <c r="E16">
        <f t="shared" si="4"/>
        <v>29</v>
      </c>
    </row>
    <row r="17" spans="1:6">
      <c r="A17">
        <f t="shared" si="1"/>
        <v>8.3674153110994638</v>
      </c>
      <c r="B17">
        <f t="shared" si="0"/>
        <v>6.9865754624743355</v>
      </c>
      <c r="C17">
        <f t="shared" si="3"/>
        <v>16</v>
      </c>
      <c r="D17">
        <f t="shared" si="2"/>
        <v>289.14999999999998</v>
      </c>
      <c r="E17">
        <f t="shared" si="4"/>
        <v>29</v>
      </c>
    </row>
    <row r="18" spans="1:6">
      <c r="A18">
        <f t="shared" si="1"/>
        <v>8.3349924202122168</v>
      </c>
      <c r="B18">
        <f t="shared" si="0"/>
        <v>6.9619315065833201</v>
      </c>
      <c r="C18">
        <f t="shared" si="3"/>
        <v>17</v>
      </c>
      <c r="D18">
        <f t="shared" si="2"/>
        <v>290.14999999999998</v>
      </c>
      <c r="E18">
        <f t="shared" si="4"/>
        <v>29</v>
      </c>
    </row>
    <row r="19" spans="1:6">
      <c r="A19">
        <f t="shared" si="1"/>
        <v>8.3027612703721374</v>
      </c>
      <c r="B19">
        <f t="shared" si="0"/>
        <v>6.9373833484690701</v>
      </c>
      <c r="C19">
        <f t="shared" si="3"/>
        <v>18</v>
      </c>
      <c r="D19">
        <f t="shared" si="2"/>
        <v>291.14999999999998</v>
      </c>
      <c r="E19">
        <f t="shared" si="4"/>
        <v>29</v>
      </c>
    </row>
    <row r="20" spans="1:6">
      <c r="A20">
        <f t="shared" si="1"/>
        <v>8.2707173770247167</v>
      </c>
      <c r="B20">
        <f t="shared" si="0"/>
        <v>6.9129302559604051</v>
      </c>
      <c r="C20">
        <f t="shared" si="3"/>
        <v>19</v>
      </c>
      <c r="D20">
        <f t="shared" si="2"/>
        <v>292.14999999999998</v>
      </c>
      <c r="E20">
        <f t="shared" si="4"/>
        <v>29</v>
      </c>
    </row>
    <row r="21" spans="1:6">
      <c r="A21">
        <f t="shared" si="1"/>
        <v>8.2388563339694088</v>
      </c>
      <c r="B21">
        <f t="shared" si="0"/>
        <v>6.8885715051603578</v>
      </c>
      <c r="C21">
        <f t="shared" si="3"/>
        <v>20</v>
      </c>
      <c r="D21">
        <f t="shared" ref="D21:D26" si="5">C21+273.15</f>
        <v>293.14999999999998</v>
      </c>
      <c r="E21">
        <f t="shared" ref="E21:E26" si="6">E20</f>
        <v>29</v>
      </c>
    </row>
    <row r="22" spans="1:6">
      <c r="A22">
        <f t="shared" si="1"/>
        <v>8.2071738118530533</v>
      </c>
      <c r="B22">
        <f t="shared" si="0"/>
        <v>6.86430638032303</v>
      </c>
      <c r="C22">
        <f t="shared" si="3"/>
        <v>21</v>
      </c>
      <c r="D22">
        <f t="shared" si="5"/>
        <v>294.14999999999998</v>
      </c>
      <c r="E22">
        <f t="shared" si="6"/>
        <v>29</v>
      </c>
    </row>
    <row r="23" spans="1:6">
      <c r="A23">
        <f>((11911.08-18.2499*E23-0.039336*E23^2)*(1/D23))-366.27059+0.53993607*E23+0.00016329*E23^2 + ((64.52243 - 0.084041*E23)*LN(D23)) - 0.11149858*D23</f>
        <v>8.1756655566954066</v>
      </c>
      <c r="B23">
        <f>(111.35+5.44875*E23)*(1/D23)+41.6775-0.015683*E23 - 6.20815*LN(D23)-LOG(1-0.00106*E23,10)</f>
        <v>6.8401341737327508</v>
      </c>
      <c r="C23">
        <f t="shared" si="3"/>
        <v>22</v>
      </c>
      <c r="D23">
        <f t="shared" si="5"/>
        <v>295.14999999999998</v>
      </c>
      <c r="E23">
        <f t="shared" si="6"/>
        <v>29</v>
      </c>
    </row>
    <row r="24" spans="1:6">
      <c r="A24">
        <f>((11911.08-18.2499*E24-0.039336*E24^2)*(1/D24))-366.27059+0.53993607*E24+0.00016329*E24^2 + ((64.52243 - 0.084041*E24)*LN(D24)) - 0.11149858*D24</f>
        <v>8.1443273884478558</v>
      </c>
      <c r="B24">
        <f>(111.35+5.44875*E24)*(1/D24)+41.6775-0.015683*E24 - 6.20815*LN(D24)-LOG(1-0.00106*E24,10)</f>
        <v>6.8160541855853447</v>
      </c>
      <c r="C24">
        <f t="shared" si="3"/>
        <v>23</v>
      </c>
      <c r="D24">
        <f t="shared" si="5"/>
        <v>296.14999999999998</v>
      </c>
      <c r="E24">
        <f t="shared" si="6"/>
        <v>29</v>
      </c>
    </row>
    <row r="25" spans="1:6">
      <c r="A25">
        <f>((11911.08-18.2499*E25-0.039336*E25^2)*(1/D25))-366.27059+0.53993607*E25+0.00016329*E25^2 + ((64.52243 - 0.084041*E25)*LN(D25)) - 0.11149858*D25</f>
        <v>8.1131551995831686</v>
      </c>
      <c r="B25">
        <f>(111.35+5.44875*E25)*(1/D25)+41.6775-0.015683*E25 - 6.20815*LN(D25)-LOG(1-0.00106*E25,10)</f>
        <v>6.7920657238717235</v>
      </c>
      <c r="C25">
        <f t="shared" si="3"/>
        <v>24</v>
      </c>
      <c r="D25">
        <f t="shared" si="5"/>
        <v>297.14999999999998</v>
      </c>
      <c r="E25">
        <f t="shared" si="6"/>
        <v>29</v>
      </c>
    </row>
    <row r="26" spans="1:6">
      <c r="A26">
        <f>((11911.08-18.2499*E26-0.039336*E26^2)*(1/D26))-366.27059+0.53993607*E26+0.00016329*E26^2 + ((64.52243 - 0.084041*E26)*LN(D26)) - 0.11149858*D26</f>
        <v>8.0821449537153285</v>
      </c>
      <c r="B26">
        <f>(111.35+5.44875*E26)*(1/D26)+41.6775-0.015683*E26 - 6.20815*LN(D26)-LOG(1-0.00106*E26,10)</f>
        <v>6.7681681042634603</v>
      </c>
      <c r="C26">
        <f t="shared" si="3"/>
        <v>25</v>
      </c>
      <c r="D26">
        <f t="shared" si="5"/>
        <v>298.14999999999998</v>
      </c>
      <c r="E26">
        <f t="shared" si="6"/>
        <v>29</v>
      </c>
    </row>
    <row r="27" spans="1:6">
      <c r="A27" s="10" t="s">
        <v>8</v>
      </c>
      <c r="B27" s="10"/>
    </row>
    <row r="28" spans="1:6">
      <c r="A28" t="s">
        <v>0</v>
      </c>
      <c r="B28" t="s">
        <v>5</v>
      </c>
      <c r="C28" t="s">
        <v>1</v>
      </c>
      <c r="D28" t="s">
        <v>2</v>
      </c>
      <c r="E28" t="s">
        <v>3</v>
      </c>
    </row>
    <row r="29" spans="1:6">
      <c r="A29">
        <f>((11911.08-18.2499*E29-0.039336*E29^2)*(1/D29))-366.27059+0.53993607*E29+0.00016329*E29^2 + ((64.52243 - 0.084041*E29)*LN(D29)) - 0.11149858*D29</f>
        <v>8.3590493275345921</v>
      </c>
      <c r="B29">
        <f t="shared" ref="B29:B47" si="7">(111.35+5.44875*E29)*(1/D29)+41.6775-0.015683*E29 - 6.20815*LN(D29)-LOG(1-0.00106*E29,10)</f>
        <v>6.9041900039937474</v>
      </c>
      <c r="C29">
        <f>15</f>
        <v>15</v>
      </c>
      <c r="D29">
        <f>C29+273.15</f>
        <v>288.14999999999998</v>
      </c>
      <c r="E29">
        <v>0</v>
      </c>
    </row>
    <row r="30" spans="1:6">
      <c r="A30">
        <f t="shared" ref="A30:A40" si="8">((11911.08-18.2499*E30-0.039336*E30^2)*(1/D30))-366.27059+0.53993607*E30+0.00016329*E30^2 + ((64.52243 - 0.084041*E30)*LN(D30)) - 0.11149858*D30</f>
        <v>8.3604298922625162</v>
      </c>
      <c r="B30">
        <f t="shared" si="7"/>
        <v>6.911564529975375</v>
      </c>
      <c r="C30">
        <f>15</f>
        <v>15</v>
      </c>
      <c r="D30">
        <f t="shared" ref="D30:D40" si="9">C30+273.15</f>
        <v>288.14999999999998</v>
      </c>
      <c r="E30">
        <f>E29+2</f>
        <v>2</v>
      </c>
      <c r="F30" t="s">
        <v>9</v>
      </c>
    </row>
    <row r="31" spans="1:6">
      <c r="A31">
        <f t="shared" si="8"/>
        <v>8.3620246791246018</v>
      </c>
      <c r="B31">
        <f t="shared" si="7"/>
        <v>6.918941016156972</v>
      </c>
      <c r="C31">
        <f>15</f>
        <v>15</v>
      </c>
      <c r="D31">
        <f t="shared" si="9"/>
        <v>288.14999999999998</v>
      </c>
      <c r="E31">
        <f t="shared" ref="E31:E47" si="10">E30+2</f>
        <v>4</v>
      </c>
    </row>
    <row r="32" spans="1:6">
      <c r="A32">
        <f t="shared" si="8"/>
        <v>8.3638336881210762</v>
      </c>
      <c r="B32">
        <f t="shared" si="7"/>
        <v>6.9263194708940583</v>
      </c>
      <c r="C32">
        <f>15</f>
        <v>15</v>
      </c>
      <c r="D32">
        <f t="shared" si="9"/>
        <v>288.14999999999998</v>
      </c>
      <c r="E32">
        <f t="shared" si="10"/>
        <v>6</v>
      </c>
    </row>
    <row r="33" spans="1:5">
      <c r="A33">
        <f t="shared" si="8"/>
        <v>8.3658569192518257</v>
      </c>
      <c r="B33">
        <f t="shared" si="7"/>
        <v>6.9336999025957429</v>
      </c>
      <c r="C33">
        <f>15</f>
        <v>15</v>
      </c>
      <c r="D33">
        <f t="shared" si="9"/>
        <v>288.14999999999998</v>
      </c>
      <c r="E33">
        <f t="shared" si="10"/>
        <v>8</v>
      </c>
    </row>
    <row r="34" spans="1:5">
      <c r="A34">
        <f t="shared" si="8"/>
        <v>8.3680943725168504</v>
      </c>
      <c r="B34">
        <f t="shared" si="7"/>
        <v>6.9410823197250826</v>
      </c>
      <c r="C34">
        <f>15</f>
        <v>15</v>
      </c>
      <c r="D34">
        <f t="shared" si="9"/>
        <v>288.14999999999998</v>
      </c>
      <c r="E34">
        <f t="shared" si="10"/>
        <v>10</v>
      </c>
    </row>
    <row r="35" spans="1:5">
      <c r="A35">
        <f t="shared" si="8"/>
        <v>8.3705460479162639</v>
      </c>
      <c r="B35">
        <f t="shared" si="7"/>
        <v>6.9484667307996277</v>
      </c>
      <c r="C35">
        <f>15</f>
        <v>15</v>
      </c>
      <c r="D35">
        <f t="shared" si="9"/>
        <v>288.14999999999998</v>
      </c>
      <c r="E35">
        <f t="shared" si="10"/>
        <v>12</v>
      </c>
    </row>
    <row r="36" spans="1:5">
      <c r="A36">
        <f t="shared" si="8"/>
        <v>8.3732119454498388</v>
      </c>
      <c r="B36">
        <f t="shared" si="7"/>
        <v>6.9558531443918232</v>
      </c>
      <c r="C36">
        <f>15</f>
        <v>15</v>
      </c>
      <c r="D36">
        <f t="shared" si="9"/>
        <v>288.14999999999998</v>
      </c>
      <c r="E36">
        <f t="shared" si="10"/>
        <v>14</v>
      </c>
    </row>
    <row r="37" spans="1:5">
      <c r="A37">
        <f t="shared" si="8"/>
        <v>8.3760920651178594</v>
      </c>
      <c r="B37">
        <f t="shared" si="7"/>
        <v>6.9632415691295657</v>
      </c>
      <c r="C37">
        <f>15</f>
        <v>15</v>
      </c>
      <c r="D37">
        <f t="shared" si="9"/>
        <v>288.14999999999998</v>
      </c>
      <c r="E37">
        <f t="shared" si="10"/>
        <v>16</v>
      </c>
    </row>
    <row r="38" spans="1:5">
      <c r="A38">
        <f t="shared" si="8"/>
        <v>8.3791864069201552</v>
      </c>
      <c r="B38">
        <f t="shared" si="7"/>
        <v>6.9706320136965818</v>
      </c>
      <c r="C38">
        <f>15</f>
        <v>15</v>
      </c>
      <c r="D38">
        <f t="shared" si="9"/>
        <v>288.14999999999998</v>
      </c>
      <c r="E38">
        <f t="shared" si="10"/>
        <v>18</v>
      </c>
    </row>
    <row r="39" spans="1:5">
      <c r="A39">
        <f t="shared" si="8"/>
        <v>8.382494970856726</v>
      </c>
      <c r="B39">
        <f t="shared" si="7"/>
        <v>6.9780244868329975</v>
      </c>
      <c r="C39">
        <f>15</f>
        <v>15</v>
      </c>
      <c r="D39">
        <f t="shared" si="9"/>
        <v>288.14999999999998</v>
      </c>
      <c r="E39">
        <f t="shared" si="10"/>
        <v>20</v>
      </c>
    </row>
    <row r="40" spans="1:5">
      <c r="A40">
        <f t="shared" si="8"/>
        <v>8.386017756927572</v>
      </c>
      <c r="B40">
        <f t="shared" si="7"/>
        <v>6.9854189973357643</v>
      </c>
      <c r="C40">
        <f>15</f>
        <v>15</v>
      </c>
      <c r="D40">
        <f t="shared" si="9"/>
        <v>288.14999999999998</v>
      </c>
      <c r="E40">
        <f t="shared" si="10"/>
        <v>22</v>
      </c>
    </row>
    <row r="41" spans="1:5">
      <c r="A41">
        <f t="shared" ref="A41:A47" si="11">((11911.08-18.2499*E41-0.039336*E41^2)*(1/D41))-366.27059+0.53993607*E41+0.00016329*E41^2 + ((64.52243 - 0.084041*E41)*LN(D41)) - 0.11149858*D41</f>
        <v>8.3897547651328068</v>
      </c>
      <c r="B41">
        <f t="shared" si="7"/>
        <v>6.9928155540591996</v>
      </c>
      <c r="C41">
        <f>15</f>
        <v>15</v>
      </c>
      <c r="D41">
        <f t="shared" ref="D41:D47" si="12">C41+273.15</f>
        <v>288.14999999999998</v>
      </c>
      <c r="E41">
        <f t="shared" si="10"/>
        <v>24</v>
      </c>
    </row>
    <row r="42" spans="1:5">
      <c r="A42">
        <f t="shared" si="11"/>
        <v>8.3937059954723168</v>
      </c>
      <c r="B42">
        <f t="shared" si="7"/>
        <v>7.0002141659154624</v>
      </c>
      <c r="C42">
        <f>15</f>
        <v>15</v>
      </c>
      <c r="D42">
        <f t="shared" si="12"/>
        <v>288.14999999999998</v>
      </c>
      <c r="E42">
        <f t="shared" si="10"/>
        <v>26</v>
      </c>
    </row>
    <row r="43" spans="1:5">
      <c r="A43">
        <f t="shared" si="11"/>
        <v>8.3978714479461019</v>
      </c>
      <c r="B43">
        <f t="shared" si="7"/>
        <v>7.0076148418750686</v>
      </c>
      <c r="C43">
        <f>15</f>
        <v>15</v>
      </c>
      <c r="D43">
        <f t="shared" si="12"/>
        <v>288.14999999999998</v>
      </c>
      <c r="E43">
        <f t="shared" si="10"/>
        <v>28</v>
      </c>
    </row>
    <row r="44" spans="1:5">
      <c r="A44">
        <f t="shared" si="11"/>
        <v>8.4022511225542189</v>
      </c>
      <c r="B44">
        <f t="shared" si="7"/>
        <v>7.0150175909673758</v>
      </c>
      <c r="C44">
        <f>15</f>
        <v>15</v>
      </c>
      <c r="D44">
        <f t="shared" si="12"/>
        <v>288.14999999999998</v>
      </c>
      <c r="E44">
        <f t="shared" si="10"/>
        <v>30</v>
      </c>
    </row>
    <row r="45" spans="1:5">
      <c r="A45">
        <f t="shared" si="11"/>
        <v>8.4068450192966111</v>
      </c>
      <c r="B45">
        <f t="shared" si="7"/>
        <v>7.0224224222811484</v>
      </c>
      <c r="C45">
        <f>15</f>
        <v>15</v>
      </c>
      <c r="D45">
        <f t="shared" si="12"/>
        <v>288.14999999999998</v>
      </c>
      <c r="E45">
        <f t="shared" si="10"/>
        <v>32</v>
      </c>
    </row>
    <row r="46" spans="1:5">
      <c r="A46">
        <f t="shared" si="11"/>
        <v>8.4116531381733353</v>
      </c>
      <c r="B46">
        <f t="shared" si="7"/>
        <v>7.0298293449650133</v>
      </c>
      <c r="C46">
        <f>15</f>
        <v>15</v>
      </c>
      <c r="D46">
        <f t="shared" si="12"/>
        <v>288.14999999999998</v>
      </c>
      <c r="E46">
        <f t="shared" si="10"/>
        <v>34</v>
      </c>
    </row>
    <row r="47" spans="1:5">
      <c r="A47">
        <f t="shared" si="11"/>
        <v>8.4166754791843914</v>
      </c>
      <c r="B47">
        <f t="shared" si="7"/>
        <v>7.0372383682280768</v>
      </c>
      <c r="C47">
        <f>15</f>
        <v>15</v>
      </c>
      <c r="D47">
        <f t="shared" si="12"/>
        <v>288.14999999999998</v>
      </c>
      <c r="E47">
        <f t="shared" si="10"/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Ruler="0" topLeftCell="E2" workbookViewId="0">
      <selection activeCell="M5" sqref="M5"/>
    </sheetView>
  </sheetViews>
  <sheetFormatPr baseColWidth="10" defaultColWidth="11" defaultRowHeight="15" x14ac:dyDescent="0"/>
  <sheetData>
    <row r="1" spans="1:13">
      <c r="A1" t="s">
        <v>10</v>
      </c>
      <c r="B1" t="s">
        <v>6</v>
      </c>
      <c r="C1" t="s">
        <v>11</v>
      </c>
    </row>
    <row r="2" spans="1:13">
      <c r="A2">
        <v>4</v>
      </c>
    </row>
    <row r="3" spans="1:13" ht="16" thickBot="1"/>
    <row r="4" spans="1:13" ht="16" thickTop="1">
      <c r="B4">
        <v>10</v>
      </c>
      <c r="C4">
        <v>4</v>
      </c>
      <c r="L4" s="1" t="s">
        <v>12</v>
      </c>
      <c r="M4" s="3" t="s">
        <v>13</v>
      </c>
    </row>
    <row r="5" spans="1:13">
      <c r="B5">
        <v>15</v>
      </c>
      <c r="C5">
        <v>4</v>
      </c>
      <c r="L5" s="4">
        <v>12.6</v>
      </c>
      <c r="M5" s="17">
        <f>4</f>
        <v>4</v>
      </c>
    </row>
    <row r="6" spans="1:13">
      <c r="B6">
        <v>20</v>
      </c>
      <c r="C6">
        <v>4</v>
      </c>
      <c r="L6" s="4"/>
      <c r="M6" s="17">
        <f>L5*-0.004+7.1</f>
        <v>7.0495999999999999</v>
      </c>
    </row>
    <row r="7" spans="1:13" ht="16" thickBot="1">
      <c r="L7" s="7"/>
      <c r="M7" s="18">
        <f>L5*-0.012+10.29</f>
        <v>10.1388</v>
      </c>
    </row>
    <row r="8" spans="1:13" ht="16" thickTop="1"/>
    <row r="19" spans="1:3">
      <c r="A19" t="s">
        <v>10</v>
      </c>
      <c r="B19" t="s">
        <v>6</v>
      </c>
      <c r="C19" t="s">
        <v>11</v>
      </c>
    </row>
    <row r="20" spans="1:3">
      <c r="A20">
        <v>7</v>
      </c>
      <c r="B20">
        <v>10</v>
      </c>
      <c r="C20">
        <v>7.06</v>
      </c>
    </row>
    <row r="21" spans="1:3">
      <c r="B21">
        <v>15</v>
      </c>
      <c r="C21">
        <v>7.04</v>
      </c>
    </row>
    <row r="22" spans="1:3">
      <c r="B22">
        <v>20</v>
      </c>
      <c r="C22">
        <v>7.02</v>
      </c>
    </row>
    <row r="35" spans="1:3">
      <c r="A35" s="16" t="s">
        <v>10</v>
      </c>
      <c r="B35" s="16" t="s">
        <v>6</v>
      </c>
      <c r="C35" s="16" t="s">
        <v>11</v>
      </c>
    </row>
    <row r="36" spans="1:3">
      <c r="A36" s="16">
        <v>10</v>
      </c>
      <c r="B36">
        <v>10</v>
      </c>
      <c r="C36">
        <v>10.17</v>
      </c>
    </row>
    <row r="37" spans="1:3">
      <c r="B37">
        <v>15</v>
      </c>
      <c r="C37">
        <v>10.11</v>
      </c>
    </row>
    <row r="38" spans="1:3">
      <c r="B38">
        <v>20</v>
      </c>
      <c r="C38">
        <v>10.050000000000001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showRuler="0" workbookViewId="0">
      <selection activeCell="N31" sqref="N31"/>
    </sheetView>
  </sheetViews>
  <sheetFormatPr baseColWidth="10" defaultColWidth="11" defaultRowHeight="15" x14ac:dyDescent="0"/>
  <sheetData>
    <row r="2" spans="1:2">
      <c r="A2" s="10" t="s">
        <v>51</v>
      </c>
    </row>
    <row r="3" spans="1:2">
      <c r="A3" t="s">
        <v>49</v>
      </c>
      <c r="B3" t="s">
        <v>50</v>
      </c>
    </row>
    <row r="4" spans="1:2">
      <c r="A4">
        <v>10.1</v>
      </c>
      <c r="B4">
        <v>15.4</v>
      </c>
    </row>
    <row r="5" spans="1:2">
      <c r="A5">
        <f>A4-0.01</f>
        <v>10.09</v>
      </c>
      <c r="B5">
        <v>16.399999999999999</v>
      </c>
    </row>
    <row r="6" spans="1:2">
      <c r="A6">
        <f t="shared" ref="A6:A11" si="0">A5-0.01</f>
        <v>10.08</v>
      </c>
      <c r="B6">
        <v>18</v>
      </c>
    </row>
    <row r="7" spans="1:2">
      <c r="A7">
        <f t="shared" si="0"/>
        <v>10.07</v>
      </c>
      <c r="B7">
        <v>18.600000000000001</v>
      </c>
    </row>
    <row r="8" spans="1:2">
      <c r="A8">
        <f t="shared" si="0"/>
        <v>10.06</v>
      </c>
      <c r="B8">
        <v>19.3</v>
      </c>
    </row>
    <row r="9" spans="1:2">
      <c r="A9">
        <f t="shared" si="0"/>
        <v>10.050000000000001</v>
      </c>
      <c r="B9">
        <v>20.5</v>
      </c>
    </row>
    <row r="10" spans="1:2">
      <c r="A10">
        <f t="shared" si="0"/>
        <v>10.040000000000001</v>
      </c>
      <c r="B10">
        <v>22</v>
      </c>
    </row>
    <row r="11" spans="1:2">
      <c r="A11">
        <f t="shared" si="0"/>
        <v>10.030000000000001</v>
      </c>
      <c r="B11">
        <v>23.2</v>
      </c>
    </row>
    <row r="14" spans="1:2">
      <c r="A14" t="s">
        <v>53</v>
      </c>
    </row>
    <row r="15" spans="1:2">
      <c r="A15" t="s">
        <v>54</v>
      </c>
      <c r="B15">
        <v>-1.2E-2</v>
      </c>
    </row>
    <row r="16" spans="1:2">
      <c r="A16" t="s">
        <v>55</v>
      </c>
      <c r="B16">
        <v>10.29</v>
      </c>
    </row>
    <row r="24" spans="1:2">
      <c r="A24" s="10" t="s">
        <v>52</v>
      </c>
    </row>
    <row r="25" spans="1:2">
      <c r="A25" t="s">
        <v>49</v>
      </c>
      <c r="B25" t="s">
        <v>50</v>
      </c>
    </row>
    <row r="26" spans="1:2">
      <c r="A26">
        <v>16</v>
      </c>
      <c r="B26">
        <v>7.02</v>
      </c>
    </row>
    <row r="27" spans="1:2">
      <c r="A27">
        <v>17</v>
      </c>
      <c r="B27">
        <f>B26-0.01</f>
        <v>7.01</v>
      </c>
    </row>
    <row r="28" spans="1:2">
      <c r="A28">
        <v>18.600000000000001</v>
      </c>
      <c r="B28">
        <f t="shared" ref="B28:B29" si="1">B27-0.01</f>
        <v>7</v>
      </c>
    </row>
    <row r="29" spans="1:2">
      <c r="A29">
        <v>23</v>
      </c>
      <c r="B29">
        <f t="shared" si="1"/>
        <v>6.99</v>
      </c>
    </row>
    <row r="31" spans="1:2">
      <c r="A31" t="s">
        <v>53</v>
      </c>
    </row>
    <row r="32" spans="1:2">
      <c r="A32" t="s">
        <v>54</v>
      </c>
      <c r="B32">
        <v>-4.0000000000000001E-3</v>
      </c>
    </row>
    <row r="33" spans="1:2">
      <c r="A33" t="s">
        <v>55</v>
      </c>
      <c r="B33">
        <v>7.1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showRuler="0" topLeftCell="K33" workbookViewId="0">
      <selection activeCell="J16" sqref="J16"/>
    </sheetView>
  </sheetViews>
  <sheetFormatPr baseColWidth="10" defaultColWidth="11" defaultRowHeight="15" x14ac:dyDescent="0"/>
  <cols>
    <col min="1" max="1" width="15.1640625" customWidth="1"/>
    <col min="2" max="2" width="12.1640625" bestFit="1" customWidth="1"/>
  </cols>
  <sheetData>
    <row r="1" spans="1:12" ht="16" thickTop="1">
      <c r="A1" s="21" t="s">
        <v>14</v>
      </c>
      <c r="B1" s="21" t="s">
        <v>15</v>
      </c>
      <c r="C1" s="21" t="s">
        <v>16</v>
      </c>
      <c r="D1" s="21" t="s">
        <v>17</v>
      </c>
      <c r="F1" s="26" t="s">
        <v>23</v>
      </c>
      <c r="G1" s="27" t="s">
        <v>24</v>
      </c>
      <c r="H1" s="28" t="s">
        <v>31</v>
      </c>
      <c r="I1" t="s">
        <v>32</v>
      </c>
      <c r="J1" t="s">
        <v>36</v>
      </c>
      <c r="K1" t="s">
        <v>34</v>
      </c>
    </row>
    <row r="2" spans="1:12" ht="16" thickBot="1">
      <c r="A2" s="19">
        <v>1.9858775000000002E-3</v>
      </c>
      <c r="B2">
        <f>A2/23.06</f>
        <v>8.6117844752818751E-5</v>
      </c>
      <c r="C2">
        <f>LN(10)</f>
        <v>2.3025850929940459</v>
      </c>
      <c r="D2">
        <f>C2*B2</f>
        <v>1.9829366556861597E-4</v>
      </c>
      <c r="F2" s="23">
        <v>0.98599999999999999</v>
      </c>
      <c r="G2" s="24">
        <v>-0.17</v>
      </c>
      <c r="H2" s="25">
        <v>13.4</v>
      </c>
      <c r="I2">
        <f>(25-$H$2)*$B$26</f>
        <v>2.3002065205959461E-3</v>
      </c>
      <c r="J2">
        <f>C25*1000</f>
        <v>59.121256389282848</v>
      </c>
      <c r="K2">
        <f>J2-(I2*1000)</f>
        <v>56.821049868686899</v>
      </c>
    </row>
    <row r="3" spans="1:12" ht="16" thickTop="1"/>
    <row r="4" spans="1:12" ht="16">
      <c r="A4" s="21" t="s">
        <v>6</v>
      </c>
      <c r="B4" s="21" t="s">
        <v>19</v>
      </c>
      <c r="C4" s="21" t="s">
        <v>18</v>
      </c>
      <c r="D4" s="21" t="s">
        <v>20</v>
      </c>
      <c r="E4" s="21" t="s">
        <v>21</v>
      </c>
      <c r="F4" s="21" t="s">
        <v>26</v>
      </c>
      <c r="G4" s="21" t="s">
        <v>22</v>
      </c>
      <c r="H4" s="21" t="s">
        <v>30</v>
      </c>
      <c r="I4" s="21" t="s">
        <v>25</v>
      </c>
      <c r="K4" s="21" t="s">
        <v>11</v>
      </c>
      <c r="L4" s="21" t="s">
        <v>35</v>
      </c>
    </row>
    <row r="5" spans="1:12">
      <c r="A5">
        <v>5</v>
      </c>
      <c r="B5">
        <f>A5+273.15</f>
        <v>278.14999999999998</v>
      </c>
      <c r="C5">
        <f t="shared" ref="C5:C10" si="0">$D$2*B5</f>
        <v>5.5155383077910528E-2</v>
      </c>
      <c r="D5">
        <f t="shared" ref="D5:D10" si="1">A5*-0.004+7.1</f>
        <v>7.08</v>
      </c>
      <c r="E5">
        <f t="shared" ref="E5:E10" si="2">A5*-0.012+10.29</f>
        <v>10.229999999999999</v>
      </c>
      <c r="F5">
        <f>E5-D5</f>
        <v>3.1499999999999986</v>
      </c>
      <c r="G5">
        <f>F5*C5</f>
        <v>0.17373945669541807</v>
      </c>
      <c r="H5">
        <f>G5/F5</f>
        <v>5.5155383077910521E-2</v>
      </c>
      <c r="I5">
        <f t="shared" ref="I5:I25" si="3">C5*$F$2</f>
        <v>5.4383207714819783E-2</v>
      </c>
      <c r="K5">
        <f t="shared" ref="K5:K10" si="4">K6-1</f>
        <v>-0.16999999999999993</v>
      </c>
      <c r="L5">
        <f t="shared" ref="L5:L11" si="5">($K$12-K5)*$K$2</f>
        <v>397.74734908080831</v>
      </c>
    </row>
    <row r="6" spans="1:12">
      <c r="A6">
        <f t="shared" ref="A6:A25" si="6">A5+1</f>
        <v>6</v>
      </c>
      <c r="B6">
        <f t="shared" ref="B6:B25" si="7">A6+273.15</f>
        <v>279.14999999999998</v>
      </c>
      <c r="C6">
        <f t="shared" si="0"/>
        <v>5.5353676743479144E-2</v>
      </c>
      <c r="D6">
        <f t="shared" si="1"/>
        <v>7.0759999999999996</v>
      </c>
      <c r="E6">
        <f t="shared" si="2"/>
        <v>10.218</v>
      </c>
      <c r="F6">
        <f t="shared" ref="F6:F25" si="8">E6-D6</f>
        <v>3.1420000000000003</v>
      </c>
      <c r="G6">
        <f t="shared" ref="G6:G25" si="9">F6*C6</f>
        <v>0.17392125232801148</v>
      </c>
      <c r="H6">
        <f>G6/F6</f>
        <v>5.5353676743479137E-2</v>
      </c>
      <c r="I6">
        <f t="shared" si="3"/>
        <v>5.4578725269070434E-2</v>
      </c>
      <c r="K6">
        <f t="shared" si="4"/>
        <v>0.83000000000000007</v>
      </c>
      <c r="L6">
        <f t="shared" si="5"/>
        <v>340.92629921212142</v>
      </c>
    </row>
    <row r="7" spans="1:12">
      <c r="A7">
        <f t="shared" si="6"/>
        <v>7</v>
      </c>
      <c r="B7">
        <f t="shared" si="7"/>
        <v>280.14999999999998</v>
      </c>
      <c r="C7">
        <f t="shared" si="0"/>
        <v>5.555197040904776E-2</v>
      </c>
      <c r="D7">
        <f t="shared" si="1"/>
        <v>7.0720000000000001</v>
      </c>
      <c r="E7">
        <f t="shared" si="2"/>
        <v>10.206</v>
      </c>
      <c r="F7">
        <f t="shared" si="8"/>
        <v>3.1339999999999995</v>
      </c>
      <c r="G7">
        <f t="shared" si="9"/>
        <v>0.17409987526195564</v>
      </c>
      <c r="H7">
        <f t="shared" ref="H7:H25" si="10">G7/F7</f>
        <v>5.555197040904776E-2</v>
      </c>
      <c r="I7">
        <f t="shared" si="3"/>
        <v>5.4774242823321093E-2</v>
      </c>
      <c r="K7">
        <f t="shared" si="4"/>
        <v>1.83</v>
      </c>
      <c r="L7">
        <f t="shared" si="5"/>
        <v>284.10524934343448</v>
      </c>
    </row>
    <row r="8" spans="1:12">
      <c r="A8">
        <f t="shared" si="6"/>
        <v>8</v>
      </c>
      <c r="B8">
        <f t="shared" si="7"/>
        <v>281.14999999999998</v>
      </c>
      <c r="C8">
        <f t="shared" si="0"/>
        <v>5.5750264074616376E-2</v>
      </c>
      <c r="D8">
        <f t="shared" si="1"/>
        <v>7.0679999999999996</v>
      </c>
      <c r="E8">
        <f t="shared" si="2"/>
        <v>10.193999999999999</v>
      </c>
      <c r="F8">
        <f t="shared" si="8"/>
        <v>3.1259999999999994</v>
      </c>
      <c r="G8">
        <f t="shared" si="9"/>
        <v>0.17427532549725075</v>
      </c>
      <c r="H8">
        <f t="shared" si="10"/>
        <v>5.5750264074616369E-2</v>
      </c>
      <c r="I8">
        <f t="shared" si="3"/>
        <v>5.4969760377571744E-2</v>
      </c>
      <c r="K8">
        <f t="shared" si="4"/>
        <v>2.83</v>
      </c>
      <c r="L8">
        <f t="shared" si="5"/>
        <v>227.2841994747476</v>
      </c>
    </row>
    <row r="9" spans="1:12">
      <c r="A9">
        <f t="shared" si="6"/>
        <v>9</v>
      </c>
      <c r="B9">
        <f t="shared" si="7"/>
        <v>282.14999999999998</v>
      </c>
      <c r="C9">
        <f t="shared" si="0"/>
        <v>5.5948557740184993E-2</v>
      </c>
      <c r="D9">
        <f t="shared" si="1"/>
        <v>7.0640000000000001</v>
      </c>
      <c r="E9">
        <f t="shared" si="2"/>
        <v>10.181999999999999</v>
      </c>
      <c r="F9">
        <f t="shared" si="8"/>
        <v>3.1179999999999986</v>
      </c>
      <c r="G9">
        <f t="shared" si="9"/>
        <v>0.17444760303389673</v>
      </c>
      <c r="H9">
        <f t="shared" si="10"/>
        <v>5.5948557740184993E-2</v>
      </c>
      <c r="I9">
        <f t="shared" si="3"/>
        <v>5.5165277931822403E-2</v>
      </c>
      <c r="K9">
        <f t="shared" si="4"/>
        <v>3.83</v>
      </c>
      <c r="L9">
        <f t="shared" si="5"/>
        <v>170.46314960606071</v>
      </c>
    </row>
    <row r="10" spans="1:12">
      <c r="A10">
        <f t="shared" si="6"/>
        <v>10</v>
      </c>
      <c r="B10">
        <f t="shared" si="7"/>
        <v>283.14999999999998</v>
      </c>
      <c r="C10">
        <f t="shared" si="0"/>
        <v>5.6146851405753609E-2</v>
      </c>
      <c r="D10">
        <f t="shared" si="1"/>
        <v>7.06</v>
      </c>
      <c r="E10">
        <f t="shared" si="2"/>
        <v>10.17</v>
      </c>
      <c r="F10">
        <f t="shared" si="8"/>
        <v>3.1100000000000003</v>
      </c>
      <c r="G10">
        <f t="shared" si="9"/>
        <v>0.17461670787189373</v>
      </c>
      <c r="H10">
        <f t="shared" si="10"/>
        <v>5.6146851405753609E-2</v>
      </c>
      <c r="I10">
        <f t="shared" si="3"/>
        <v>5.5360795486073061E-2</v>
      </c>
      <c r="K10">
        <f t="shared" si="4"/>
        <v>4.83</v>
      </c>
      <c r="L10">
        <f t="shared" si="5"/>
        <v>113.6420997373738</v>
      </c>
    </row>
    <row r="11" spans="1:12">
      <c r="A11">
        <f t="shared" si="6"/>
        <v>11</v>
      </c>
      <c r="B11">
        <f t="shared" si="7"/>
        <v>284.14999999999998</v>
      </c>
      <c r="C11">
        <f>$D$2*B11</f>
        <v>5.6345145071322225E-2</v>
      </c>
      <c r="D11">
        <f t="shared" ref="D11:D25" si="11">A11*-0.004+7.1</f>
        <v>7.056</v>
      </c>
      <c r="E11">
        <f t="shared" ref="E11:E25" si="12">A11*-0.012+10.29</f>
        <v>10.157999999999999</v>
      </c>
      <c r="F11">
        <f t="shared" si="8"/>
        <v>3.1019999999999994</v>
      </c>
      <c r="G11">
        <f t="shared" si="9"/>
        <v>0.1747826400112415</v>
      </c>
      <c r="H11">
        <f t="shared" si="10"/>
        <v>5.6345145071322218E-2</v>
      </c>
      <c r="I11">
        <f t="shared" si="3"/>
        <v>5.5556313040323713E-2</v>
      </c>
      <c r="K11">
        <f>K12-1</f>
        <v>5.83</v>
      </c>
      <c r="L11">
        <f t="shared" si="5"/>
        <v>56.821049868686899</v>
      </c>
    </row>
    <row r="12" spans="1:12">
      <c r="A12">
        <f t="shared" si="6"/>
        <v>12</v>
      </c>
      <c r="B12">
        <f t="shared" si="7"/>
        <v>285.14999999999998</v>
      </c>
      <c r="C12">
        <f t="shared" ref="C12:C21" si="13">$D$2*B12</f>
        <v>5.6543438736890841E-2</v>
      </c>
      <c r="D12">
        <f t="shared" si="11"/>
        <v>7.0519999999999996</v>
      </c>
      <c r="E12">
        <f t="shared" si="12"/>
        <v>10.145999999999999</v>
      </c>
      <c r="F12">
        <f t="shared" si="8"/>
        <v>3.0939999999999994</v>
      </c>
      <c r="G12">
        <f t="shared" si="9"/>
        <v>0.17494539945194024</v>
      </c>
      <c r="H12">
        <f t="shared" si="10"/>
        <v>5.6543438736890841E-2</v>
      </c>
      <c r="I12">
        <f t="shared" si="3"/>
        <v>5.5751830594574371E-2</v>
      </c>
      <c r="K12">
        <f>7+$G$2</f>
        <v>6.83</v>
      </c>
      <c r="L12">
        <v>0</v>
      </c>
    </row>
    <row r="13" spans="1:12">
      <c r="A13">
        <f t="shared" si="6"/>
        <v>13</v>
      </c>
      <c r="B13">
        <f t="shared" si="7"/>
        <v>286.14999999999998</v>
      </c>
      <c r="C13">
        <f t="shared" si="13"/>
        <v>5.6741732402459458E-2</v>
      </c>
      <c r="D13">
        <f t="shared" si="11"/>
        <v>7.048</v>
      </c>
      <c r="E13">
        <f t="shared" si="12"/>
        <v>10.133999999999999</v>
      </c>
      <c r="F13">
        <f t="shared" si="8"/>
        <v>3.0859999999999985</v>
      </c>
      <c r="G13">
        <f t="shared" si="9"/>
        <v>0.17510498619398981</v>
      </c>
      <c r="H13">
        <f t="shared" si="10"/>
        <v>5.6741732402459465E-2</v>
      </c>
      <c r="I13">
        <f t="shared" si="3"/>
        <v>5.5947348148825023E-2</v>
      </c>
      <c r="K13">
        <f>K12+1</f>
        <v>7.83</v>
      </c>
      <c r="L13">
        <f t="shared" ref="L13:L19" si="14">($K$12-K13)*$K$2</f>
        <v>-56.821049868686899</v>
      </c>
    </row>
    <row r="14" spans="1:12">
      <c r="A14">
        <f t="shared" si="6"/>
        <v>14</v>
      </c>
      <c r="B14">
        <f t="shared" si="7"/>
        <v>287.14999999999998</v>
      </c>
      <c r="C14">
        <f t="shared" si="13"/>
        <v>5.6940026068028074E-2</v>
      </c>
      <c r="D14">
        <f t="shared" si="11"/>
        <v>7.0439999999999996</v>
      </c>
      <c r="E14">
        <f t="shared" si="12"/>
        <v>10.122</v>
      </c>
      <c r="F14">
        <f t="shared" si="8"/>
        <v>3.0780000000000003</v>
      </c>
      <c r="G14">
        <f t="shared" si="9"/>
        <v>0.17526140023739042</v>
      </c>
      <c r="H14">
        <f t="shared" si="10"/>
        <v>5.6940026068028074E-2</v>
      </c>
      <c r="I14">
        <f t="shared" si="3"/>
        <v>5.6142865703075681E-2</v>
      </c>
      <c r="K14">
        <f t="shared" ref="K14:K19" si="15">K13+1</f>
        <v>8.83</v>
      </c>
      <c r="L14">
        <f t="shared" si="14"/>
        <v>-113.6420997373738</v>
      </c>
    </row>
    <row r="15" spans="1:12">
      <c r="A15">
        <f t="shared" si="6"/>
        <v>15</v>
      </c>
      <c r="B15">
        <f t="shared" si="7"/>
        <v>288.14999999999998</v>
      </c>
      <c r="C15">
        <f t="shared" si="13"/>
        <v>5.713831973359669E-2</v>
      </c>
      <c r="D15">
        <f t="shared" si="11"/>
        <v>7.04</v>
      </c>
      <c r="E15">
        <f t="shared" si="12"/>
        <v>10.11</v>
      </c>
      <c r="F15">
        <f t="shared" si="8"/>
        <v>3.0699999999999994</v>
      </c>
      <c r="G15">
        <f t="shared" si="9"/>
        <v>0.17541464158214182</v>
      </c>
      <c r="H15">
        <f t="shared" si="10"/>
        <v>5.7138319733596697E-2</v>
      </c>
      <c r="I15">
        <f t="shared" si="3"/>
        <v>5.6338383257326333E-2</v>
      </c>
      <c r="K15">
        <f t="shared" si="15"/>
        <v>9.83</v>
      </c>
      <c r="L15">
        <f t="shared" si="14"/>
        <v>-170.46314960606071</v>
      </c>
    </row>
    <row r="16" spans="1:12">
      <c r="A16">
        <f t="shared" si="6"/>
        <v>16</v>
      </c>
      <c r="B16">
        <f t="shared" si="7"/>
        <v>289.14999999999998</v>
      </c>
      <c r="C16">
        <f t="shared" si="13"/>
        <v>5.7336613399165307E-2</v>
      </c>
      <c r="D16">
        <f t="shared" si="11"/>
        <v>7.0359999999999996</v>
      </c>
      <c r="E16">
        <f t="shared" si="12"/>
        <v>10.097999999999999</v>
      </c>
      <c r="F16">
        <f t="shared" si="8"/>
        <v>3.0619999999999994</v>
      </c>
      <c r="G16">
        <f t="shared" si="9"/>
        <v>0.17556471022824413</v>
      </c>
      <c r="H16">
        <f t="shared" si="10"/>
        <v>5.7336613399165307E-2</v>
      </c>
      <c r="I16">
        <f t="shared" si="3"/>
        <v>5.6533900811576991E-2</v>
      </c>
      <c r="K16">
        <f t="shared" si="15"/>
        <v>10.83</v>
      </c>
      <c r="L16">
        <f t="shared" si="14"/>
        <v>-227.2841994747476</v>
      </c>
    </row>
    <row r="17" spans="1:18">
      <c r="A17">
        <f t="shared" si="6"/>
        <v>17</v>
      </c>
      <c r="B17">
        <f t="shared" si="7"/>
        <v>290.14999999999998</v>
      </c>
      <c r="C17">
        <f t="shared" si="13"/>
        <v>5.7534907064733923E-2</v>
      </c>
      <c r="D17">
        <f t="shared" si="11"/>
        <v>7.032</v>
      </c>
      <c r="E17">
        <f t="shared" si="12"/>
        <v>10.085999999999999</v>
      </c>
      <c r="F17">
        <f t="shared" si="8"/>
        <v>3.0539999999999985</v>
      </c>
      <c r="G17">
        <f t="shared" si="9"/>
        <v>0.17571160617569731</v>
      </c>
      <c r="H17">
        <f t="shared" si="10"/>
        <v>5.7534907064733923E-2</v>
      </c>
      <c r="I17">
        <f t="shared" si="3"/>
        <v>5.672941836582765E-2</v>
      </c>
      <c r="K17">
        <f t="shared" si="15"/>
        <v>11.83</v>
      </c>
      <c r="L17">
        <f t="shared" si="14"/>
        <v>-284.10524934343448</v>
      </c>
    </row>
    <row r="18" spans="1:18">
      <c r="A18">
        <f t="shared" si="6"/>
        <v>18</v>
      </c>
      <c r="B18">
        <f t="shared" si="7"/>
        <v>291.14999999999998</v>
      </c>
      <c r="C18">
        <f t="shared" si="13"/>
        <v>5.7733200730302539E-2</v>
      </c>
      <c r="D18">
        <f t="shared" si="11"/>
        <v>7.0279999999999996</v>
      </c>
      <c r="E18">
        <f t="shared" si="12"/>
        <v>10.074</v>
      </c>
      <c r="F18">
        <f t="shared" si="8"/>
        <v>3.0460000000000003</v>
      </c>
      <c r="G18">
        <f t="shared" si="9"/>
        <v>0.17585532942450155</v>
      </c>
      <c r="H18">
        <f t="shared" si="10"/>
        <v>5.7733200730302539E-2</v>
      </c>
      <c r="I18">
        <f t="shared" si="3"/>
        <v>5.6924935920078301E-2</v>
      </c>
      <c r="K18">
        <f t="shared" si="15"/>
        <v>12.83</v>
      </c>
      <c r="L18">
        <f t="shared" si="14"/>
        <v>-340.92629921212142</v>
      </c>
    </row>
    <row r="19" spans="1:18">
      <c r="A19">
        <f t="shared" si="6"/>
        <v>19</v>
      </c>
      <c r="B19">
        <f t="shared" si="7"/>
        <v>292.14999999999998</v>
      </c>
      <c r="C19">
        <f t="shared" si="13"/>
        <v>5.7931494395871155E-2</v>
      </c>
      <c r="D19">
        <f t="shared" si="11"/>
        <v>7.024</v>
      </c>
      <c r="E19">
        <f t="shared" si="12"/>
        <v>10.061999999999999</v>
      </c>
      <c r="F19">
        <f t="shared" si="8"/>
        <v>3.0379999999999994</v>
      </c>
      <c r="G19">
        <f t="shared" si="9"/>
        <v>0.17599587997465654</v>
      </c>
      <c r="H19">
        <f t="shared" si="10"/>
        <v>5.7931494395871162E-2</v>
      </c>
      <c r="I19">
        <f t="shared" si="3"/>
        <v>5.712045347432896E-2</v>
      </c>
      <c r="K19">
        <f t="shared" si="15"/>
        <v>13.83</v>
      </c>
      <c r="L19">
        <f t="shared" si="14"/>
        <v>-397.74734908080831</v>
      </c>
    </row>
    <row r="20" spans="1:18">
      <c r="A20">
        <f t="shared" si="6"/>
        <v>20</v>
      </c>
      <c r="B20">
        <f t="shared" si="7"/>
        <v>293.14999999999998</v>
      </c>
      <c r="C20">
        <f t="shared" si="13"/>
        <v>5.8129788061439772E-2</v>
      </c>
      <c r="D20">
        <f t="shared" si="11"/>
        <v>7.02</v>
      </c>
      <c r="E20">
        <f t="shared" si="12"/>
        <v>10.049999999999999</v>
      </c>
      <c r="F20">
        <f t="shared" si="8"/>
        <v>3.0299999999999994</v>
      </c>
      <c r="G20">
        <f t="shared" si="9"/>
        <v>0.17613325782616246</v>
      </c>
      <c r="H20">
        <f t="shared" si="10"/>
        <v>5.8129788061439765E-2</v>
      </c>
      <c r="I20">
        <f t="shared" si="3"/>
        <v>5.7315971028579611E-2</v>
      </c>
    </row>
    <row r="21" spans="1:18">
      <c r="A21">
        <f t="shared" si="6"/>
        <v>21</v>
      </c>
      <c r="B21">
        <f t="shared" si="7"/>
        <v>294.14999999999998</v>
      </c>
      <c r="C21">
        <f t="shared" si="13"/>
        <v>5.8328081727008388E-2</v>
      </c>
      <c r="D21">
        <f t="shared" si="11"/>
        <v>7.016</v>
      </c>
      <c r="E21">
        <f t="shared" si="12"/>
        <v>10.037999999999998</v>
      </c>
      <c r="F21">
        <f t="shared" si="8"/>
        <v>3.0219999999999985</v>
      </c>
      <c r="G21">
        <f t="shared" si="9"/>
        <v>0.17626746297901927</v>
      </c>
      <c r="H21">
        <f t="shared" si="10"/>
        <v>5.8328081727008388E-2</v>
      </c>
      <c r="I21">
        <f t="shared" si="3"/>
        <v>5.751148858283027E-2</v>
      </c>
    </row>
    <row r="22" spans="1:18">
      <c r="A22">
        <f t="shared" si="6"/>
        <v>22</v>
      </c>
      <c r="B22">
        <f t="shared" si="7"/>
        <v>295.14999999999998</v>
      </c>
      <c r="C22">
        <f>$D$2*B22</f>
        <v>5.8526375392576997E-2</v>
      </c>
      <c r="D22">
        <f t="shared" si="11"/>
        <v>7.0119999999999996</v>
      </c>
      <c r="E22">
        <f t="shared" si="12"/>
        <v>10.026</v>
      </c>
      <c r="F22">
        <f t="shared" si="8"/>
        <v>3.0140000000000002</v>
      </c>
      <c r="G22">
        <f t="shared" si="9"/>
        <v>0.17639849543322708</v>
      </c>
      <c r="H22">
        <f t="shared" si="10"/>
        <v>5.8526375392576997E-2</v>
      </c>
      <c r="I22">
        <f t="shared" si="3"/>
        <v>5.7707006137080921E-2</v>
      </c>
    </row>
    <row r="23" spans="1:18">
      <c r="A23">
        <f t="shared" si="6"/>
        <v>23</v>
      </c>
      <c r="B23">
        <f t="shared" si="7"/>
        <v>296.14999999999998</v>
      </c>
      <c r="C23">
        <f>$D$2*B23</f>
        <v>5.8724669058145613E-2</v>
      </c>
      <c r="D23">
        <f t="shared" si="11"/>
        <v>7.008</v>
      </c>
      <c r="E23">
        <f t="shared" si="12"/>
        <v>10.013999999999999</v>
      </c>
      <c r="F23">
        <f t="shared" si="8"/>
        <v>3.0059999999999993</v>
      </c>
      <c r="G23">
        <f t="shared" si="9"/>
        <v>0.17652635518878568</v>
      </c>
      <c r="H23">
        <f t="shared" si="10"/>
        <v>5.8724669058145613E-2</v>
      </c>
      <c r="I23">
        <f t="shared" si="3"/>
        <v>5.7902523691331573E-2</v>
      </c>
    </row>
    <row r="24" spans="1:18">
      <c r="A24">
        <f t="shared" si="6"/>
        <v>24</v>
      </c>
      <c r="B24">
        <f t="shared" si="7"/>
        <v>297.14999999999998</v>
      </c>
      <c r="C24">
        <f>$D$2*B24</f>
        <v>5.892296272371423E-2</v>
      </c>
      <c r="D24">
        <f t="shared" si="11"/>
        <v>7.0039999999999996</v>
      </c>
      <c r="E24">
        <f t="shared" si="12"/>
        <v>10.001999999999999</v>
      </c>
      <c r="F24">
        <f t="shared" si="8"/>
        <v>2.9979999999999993</v>
      </c>
      <c r="G24">
        <f t="shared" si="9"/>
        <v>0.17665104224569522</v>
      </c>
      <c r="H24">
        <f t="shared" si="10"/>
        <v>5.892296272371423E-2</v>
      </c>
      <c r="I24">
        <f t="shared" si="3"/>
        <v>5.8098041245582231E-2</v>
      </c>
    </row>
    <row r="25" spans="1:18">
      <c r="A25">
        <f t="shared" si="6"/>
        <v>25</v>
      </c>
      <c r="B25">
        <f t="shared" si="7"/>
        <v>298.14999999999998</v>
      </c>
      <c r="C25">
        <f>$D$2*B25</f>
        <v>5.9121256389282846E-2</v>
      </c>
      <c r="D25">
        <f t="shared" si="11"/>
        <v>7</v>
      </c>
      <c r="E25">
        <f t="shared" si="12"/>
        <v>9.9899999999999984</v>
      </c>
      <c r="F25">
        <f t="shared" si="8"/>
        <v>2.9899999999999984</v>
      </c>
      <c r="G25">
        <f t="shared" si="9"/>
        <v>0.17677255660395561</v>
      </c>
      <c r="H25">
        <f t="shared" si="10"/>
        <v>5.9121256389282839E-2</v>
      </c>
      <c r="I25">
        <f t="shared" si="3"/>
        <v>5.8293558799832883E-2</v>
      </c>
    </row>
    <row r="26" spans="1:18">
      <c r="A26" t="s">
        <v>37</v>
      </c>
      <c r="B26">
        <f>SLOPE(C5:C25,A5:A25)</f>
        <v>1.9829366556861603E-4</v>
      </c>
    </row>
    <row r="27" spans="1:18">
      <c r="A27" t="s">
        <v>38</v>
      </c>
      <c r="B27">
        <f>INTERCEPT(C5:C25,A5:A25)</f>
        <v>5.416391475006746E-2</v>
      </c>
    </row>
    <row r="29" spans="1:18"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>
      <c r="A30" s="35" t="s">
        <v>40</v>
      </c>
      <c r="B30" s="35">
        <f>AVERAGE(12.7,12.9)</f>
        <v>12.8</v>
      </c>
      <c r="C30" s="32" t="s">
        <v>40</v>
      </c>
      <c r="D30" s="32">
        <f>AVERAGE(15.3,15.4)</f>
        <v>15.350000000000001</v>
      </c>
      <c r="E30" s="35" t="s">
        <v>40</v>
      </c>
      <c r="F30" s="35">
        <f>AVERAGE(23.2,22.6)</f>
        <v>22.9</v>
      </c>
      <c r="G30" s="35" t="s">
        <v>40</v>
      </c>
      <c r="H30" s="35">
        <f>AVERAGE(28.7,29.4)</f>
        <v>29.049999999999997</v>
      </c>
      <c r="J30" s="22"/>
      <c r="P30" s="22"/>
    </row>
    <row r="31" spans="1:18">
      <c r="A31" s="35" t="s">
        <v>39</v>
      </c>
      <c r="B31" s="36">
        <v>0.98299999999999998</v>
      </c>
      <c r="C31" s="32" t="s">
        <v>39</v>
      </c>
      <c r="D31" s="33">
        <v>0.97799999999999998</v>
      </c>
      <c r="E31" s="35" t="s">
        <v>39</v>
      </c>
      <c r="F31" s="36">
        <v>0.98499999999999999</v>
      </c>
      <c r="G31" s="35" t="s">
        <v>39</v>
      </c>
      <c r="H31" s="36">
        <v>0.98599999999999999</v>
      </c>
      <c r="P31" s="22"/>
    </row>
    <row r="32" spans="1:18">
      <c r="A32" s="35" t="s">
        <v>24</v>
      </c>
      <c r="B32" s="36">
        <v>-0.06</v>
      </c>
      <c r="C32" s="32" t="s">
        <v>24</v>
      </c>
      <c r="D32" s="33">
        <v>-0.08</v>
      </c>
      <c r="E32" s="35" t="s">
        <v>24</v>
      </c>
      <c r="F32" s="36">
        <v>-7.0000000000000007E-2</v>
      </c>
      <c r="G32" s="35" t="s">
        <v>24</v>
      </c>
      <c r="H32" s="36">
        <v>-0.09</v>
      </c>
      <c r="P32" s="22"/>
    </row>
    <row r="33" spans="1:10">
      <c r="A33" s="35" t="s">
        <v>33</v>
      </c>
      <c r="B33" s="36">
        <f>SLOPE(B35:B49,A35:A49)</f>
        <v>-58.116195030665033</v>
      </c>
      <c r="C33" s="32" t="s">
        <v>33</v>
      </c>
      <c r="D33" s="33">
        <f>SLOPE(D35:D49,C35:C49)</f>
        <v>-57.820588748718627</v>
      </c>
      <c r="E33" s="35" t="s">
        <v>33</v>
      </c>
      <c r="F33" s="36">
        <f>SLOPE(F35:F49,E35:E49)</f>
        <v>-58.234437543443605</v>
      </c>
      <c r="G33" s="35" t="s">
        <v>33</v>
      </c>
      <c r="H33" s="36">
        <f>SLOPE(H35:H49,G35:G49)</f>
        <v>-58.293558799832887</v>
      </c>
    </row>
    <row r="34" spans="1:10">
      <c r="A34" s="37" t="s">
        <v>11</v>
      </c>
      <c r="B34" s="37" t="s">
        <v>35</v>
      </c>
      <c r="C34" s="34" t="s">
        <v>11</v>
      </c>
      <c r="D34" s="34" t="s">
        <v>35</v>
      </c>
      <c r="E34" s="37" t="s">
        <v>11</v>
      </c>
      <c r="F34" s="37" t="s">
        <v>35</v>
      </c>
      <c r="G34" s="37" t="s">
        <v>11</v>
      </c>
      <c r="H34" s="37" t="s">
        <v>35</v>
      </c>
    </row>
    <row r="35" spans="1:10">
      <c r="A35" s="36">
        <f t="shared" ref="A35:A40" si="16">A36-1</f>
        <v>-5.9999999999999609E-2</v>
      </c>
      <c r="B35" s="36">
        <f t="shared" ref="B35:B49" si="17">($A$42-A35)*($B$31*$J$2)</f>
        <v>406.81336521465528</v>
      </c>
      <c r="C35" s="33">
        <f t="shared" ref="C35:C40" si="18">C36-1</f>
        <v>-8.0000000000000071E-2</v>
      </c>
      <c r="D35" s="33">
        <f t="shared" ref="D35:D49" si="19">($C$42-C35)*($D$31*$J$2)</f>
        <v>404.74412124103037</v>
      </c>
      <c r="E35" s="36">
        <f t="shared" ref="E35:E40" si="20">E36-1</f>
        <v>-7.0000000000000284E-2</v>
      </c>
      <c r="F35" s="36">
        <f t="shared" ref="F35:F49" si="21">($E$42-E35)*($F$31*$J$2)</f>
        <v>407.64106280410522</v>
      </c>
      <c r="G35" s="36">
        <f t="shared" ref="G35:G40" si="22">G36-1</f>
        <v>-8.9999999999999858E-2</v>
      </c>
      <c r="H35" s="36">
        <f t="shared" ref="H35:H49" si="23">($G$42-G35)*($H$31*$J$2)</f>
        <v>408.05491159883019</v>
      </c>
    </row>
    <row r="36" spans="1:10">
      <c r="A36" s="36">
        <f t="shared" si="16"/>
        <v>0.94000000000000039</v>
      </c>
      <c r="B36" s="36">
        <f t="shared" si="17"/>
        <v>348.69717018399024</v>
      </c>
      <c r="C36" s="33">
        <f t="shared" si="18"/>
        <v>0.91999999999999993</v>
      </c>
      <c r="D36" s="33">
        <f t="shared" si="19"/>
        <v>346.92353249231178</v>
      </c>
      <c r="E36" s="36">
        <f t="shared" si="20"/>
        <v>0.92999999999999972</v>
      </c>
      <c r="F36" s="36">
        <f t="shared" si="21"/>
        <v>349.4066252606616</v>
      </c>
      <c r="G36" s="36">
        <f t="shared" si="22"/>
        <v>0.91000000000000014</v>
      </c>
      <c r="H36" s="36">
        <f t="shared" si="23"/>
        <v>349.76135279899734</v>
      </c>
    </row>
    <row r="37" spans="1:10">
      <c r="A37" s="36">
        <f t="shared" si="16"/>
        <v>1.9400000000000004</v>
      </c>
      <c r="B37" s="36">
        <f t="shared" si="17"/>
        <v>290.5809751533252</v>
      </c>
      <c r="C37" s="33">
        <f t="shared" si="18"/>
        <v>1.92</v>
      </c>
      <c r="D37" s="33">
        <f t="shared" si="19"/>
        <v>289.10294374359313</v>
      </c>
      <c r="E37" s="36">
        <f t="shared" si="20"/>
        <v>1.9299999999999997</v>
      </c>
      <c r="F37" s="36">
        <f t="shared" si="21"/>
        <v>291.17218771721804</v>
      </c>
      <c r="G37" s="36">
        <f t="shared" si="22"/>
        <v>1.9100000000000001</v>
      </c>
      <c r="H37" s="36">
        <f t="shared" si="23"/>
        <v>291.46779399916443</v>
      </c>
    </row>
    <row r="38" spans="1:10">
      <c r="A38" s="36">
        <f t="shared" si="16"/>
        <v>2.9400000000000004</v>
      </c>
      <c r="B38" s="36">
        <f t="shared" si="17"/>
        <v>232.46478012266016</v>
      </c>
      <c r="C38" s="33">
        <f t="shared" si="18"/>
        <v>2.92</v>
      </c>
      <c r="D38" s="33">
        <f t="shared" si="19"/>
        <v>231.28235499487451</v>
      </c>
      <c r="E38" s="36">
        <f t="shared" si="20"/>
        <v>2.9299999999999997</v>
      </c>
      <c r="F38" s="36">
        <f t="shared" si="21"/>
        <v>232.93775017377442</v>
      </c>
      <c r="G38" s="36">
        <f t="shared" si="22"/>
        <v>2.91</v>
      </c>
      <c r="H38" s="36">
        <f t="shared" si="23"/>
        <v>233.17423519933155</v>
      </c>
    </row>
    <row r="39" spans="1:10">
      <c r="A39" s="36">
        <f t="shared" si="16"/>
        <v>3.9400000000000004</v>
      </c>
      <c r="B39" s="36">
        <f t="shared" si="17"/>
        <v>174.34858509199512</v>
      </c>
      <c r="C39" s="33">
        <f t="shared" si="18"/>
        <v>3.92</v>
      </c>
      <c r="D39" s="33">
        <f t="shared" si="19"/>
        <v>173.46176624615589</v>
      </c>
      <c r="E39" s="36">
        <f t="shared" si="20"/>
        <v>3.9299999999999997</v>
      </c>
      <c r="F39" s="36">
        <f t="shared" si="21"/>
        <v>174.7033126303308</v>
      </c>
      <c r="G39" s="36">
        <f t="shared" si="22"/>
        <v>3.91</v>
      </c>
      <c r="H39" s="36">
        <f t="shared" si="23"/>
        <v>174.88067639949867</v>
      </c>
    </row>
    <row r="40" spans="1:10">
      <c r="A40" s="36">
        <f t="shared" si="16"/>
        <v>4.9400000000000004</v>
      </c>
      <c r="B40" s="36">
        <f t="shared" si="17"/>
        <v>116.23239006133008</v>
      </c>
      <c r="C40" s="33">
        <f t="shared" si="18"/>
        <v>4.92</v>
      </c>
      <c r="D40" s="33">
        <f t="shared" si="19"/>
        <v>115.64117749743725</v>
      </c>
      <c r="E40" s="36">
        <f t="shared" si="20"/>
        <v>4.93</v>
      </c>
      <c r="F40" s="36">
        <f t="shared" si="21"/>
        <v>116.46887508688721</v>
      </c>
      <c r="G40" s="36">
        <f t="shared" si="22"/>
        <v>4.91</v>
      </c>
      <c r="H40" s="36">
        <f t="shared" si="23"/>
        <v>116.58711759966577</v>
      </c>
    </row>
    <row r="41" spans="1:10">
      <c r="A41" s="36">
        <f>A42-1</f>
        <v>5.94</v>
      </c>
      <c r="B41" s="36">
        <f t="shared" si="17"/>
        <v>58.11619503066504</v>
      </c>
      <c r="C41" s="33">
        <f>C42-1</f>
        <v>5.92</v>
      </c>
      <c r="D41" s="33">
        <f t="shared" si="19"/>
        <v>57.820588748718627</v>
      </c>
      <c r="E41" s="36">
        <f>E42-1</f>
        <v>5.93</v>
      </c>
      <c r="F41" s="36">
        <f t="shared" si="21"/>
        <v>58.234437543443605</v>
      </c>
      <c r="G41" s="36">
        <f>G42-1</f>
        <v>5.91</v>
      </c>
      <c r="H41" s="36">
        <f t="shared" si="23"/>
        <v>58.293558799832887</v>
      </c>
    </row>
    <row r="42" spans="1:10">
      <c r="A42" s="36">
        <f>7+$B$32</f>
        <v>6.94</v>
      </c>
      <c r="B42" s="36">
        <f t="shared" si="17"/>
        <v>0</v>
      </c>
      <c r="C42" s="33">
        <f>7+$D$32</f>
        <v>6.92</v>
      </c>
      <c r="D42" s="33">
        <f t="shared" si="19"/>
        <v>0</v>
      </c>
      <c r="E42" s="36">
        <f>7+$F$32</f>
        <v>6.93</v>
      </c>
      <c r="F42" s="36">
        <f t="shared" si="21"/>
        <v>0</v>
      </c>
      <c r="G42" s="36">
        <f>7+$H$32</f>
        <v>6.91</v>
      </c>
      <c r="H42" s="36">
        <f t="shared" si="23"/>
        <v>0</v>
      </c>
    </row>
    <row r="43" spans="1:10">
      <c r="A43" s="36">
        <f>A42+1</f>
        <v>7.94</v>
      </c>
      <c r="B43" s="36">
        <f t="shared" si="17"/>
        <v>-58.11619503066504</v>
      </c>
      <c r="C43" s="33">
        <f>C42+1</f>
        <v>7.92</v>
      </c>
      <c r="D43" s="33">
        <f t="shared" si="19"/>
        <v>-57.820588748718627</v>
      </c>
      <c r="E43" s="36">
        <f>E42+1</f>
        <v>7.93</v>
      </c>
      <c r="F43" s="36">
        <f t="shared" si="21"/>
        <v>-58.234437543443605</v>
      </c>
      <c r="G43" s="36">
        <f>G42+1</f>
        <v>7.91</v>
      </c>
      <c r="H43" s="36">
        <f t="shared" si="23"/>
        <v>-58.293558799832887</v>
      </c>
    </row>
    <row r="44" spans="1:10">
      <c r="A44" s="36">
        <f t="shared" ref="A44:A49" si="24">A43+1</f>
        <v>8.9400000000000013</v>
      </c>
      <c r="B44" s="36">
        <f t="shared" si="17"/>
        <v>-116.23239006133014</v>
      </c>
      <c r="C44" s="33">
        <f t="shared" ref="C44:C49" si="25">C43+1</f>
        <v>8.92</v>
      </c>
      <c r="D44" s="33">
        <f t="shared" si="19"/>
        <v>-115.64117749743725</v>
      </c>
      <c r="E44" s="36">
        <f t="shared" ref="E44:E49" si="26">E43+1</f>
        <v>8.93</v>
      </c>
      <c r="F44" s="36">
        <f t="shared" si="21"/>
        <v>-116.46887508688721</v>
      </c>
      <c r="G44" s="36">
        <f t="shared" ref="G44:G49" si="27">G43+1</f>
        <v>8.91</v>
      </c>
      <c r="H44" s="36">
        <f t="shared" si="23"/>
        <v>-116.58711759966577</v>
      </c>
      <c r="J44">
        <f>-0.011/-0.0198</f>
        <v>0.55555555555555547</v>
      </c>
    </row>
    <row r="45" spans="1:10">
      <c r="A45" s="36">
        <f t="shared" si="24"/>
        <v>9.9400000000000013</v>
      </c>
      <c r="B45" s="36">
        <f t="shared" si="17"/>
        <v>-174.34858509199518</v>
      </c>
      <c r="C45" s="33">
        <f t="shared" si="25"/>
        <v>9.92</v>
      </c>
      <c r="D45" s="33">
        <f t="shared" si="19"/>
        <v>-173.46176624615589</v>
      </c>
      <c r="E45" s="36">
        <f t="shared" si="26"/>
        <v>9.93</v>
      </c>
      <c r="F45" s="36">
        <f t="shared" si="21"/>
        <v>-174.7033126303308</v>
      </c>
      <c r="G45" s="36">
        <f t="shared" si="27"/>
        <v>9.91</v>
      </c>
      <c r="H45" s="36">
        <f t="shared" si="23"/>
        <v>-174.88067639949867</v>
      </c>
    </row>
    <row r="46" spans="1:10">
      <c r="A46" s="36">
        <f t="shared" si="24"/>
        <v>10.940000000000001</v>
      </c>
      <c r="B46" s="36">
        <f t="shared" si="17"/>
        <v>-232.46478012266022</v>
      </c>
      <c r="C46" s="33">
        <f t="shared" si="25"/>
        <v>10.92</v>
      </c>
      <c r="D46" s="33">
        <f t="shared" si="19"/>
        <v>-231.28235499487451</v>
      </c>
      <c r="E46" s="36">
        <f t="shared" si="26"/>
        <v>10.93</v>
      </c>
      <c r="F46" s="36">
        <f t="shared" si="21"/>
        <v>-232.93775017377442</v>
      </c>
      <c r="G46" s="36">
        <f t="shared" si="27"/>
        <v>10.91</v>
      </c>
      <c r="H46" s="36">
        <f t="shared" si="23"/>
        <v>-233.17423519933155</v>
      </c>
    </row>
    <row r="47" spans="1:10">
      <c r="A47" s="36">
        <f t="shared" si="24"/>
        <v>11.940000000000001</v>
      </c>
      <c r="B47" s="36">
        <f t="shared" si="17"/>
        <v>-290.58097515332526</v>
      </c>
      <c r="C47" s="33">
        <f t="shared" si="25"/>
        <v>11.92</v>
      </c>
      <c r="D47" s="33">
        <f t="shared" si="19"/>
        <v>-289.10294374359313</v>
      </c>
      <c r="E47" s="36">
        <f t="shared" si="26"/>
        <v>11.93</v>
      </c>
      <c r="F47" s="36">
        <f t="shared" si="21"/>
        <v>-291.17218771721804</v>
      </c>
      <c r="G47" s="36">
        <f t="shared" si="27"/>
        <v>11.91</v>
      </c>
      <c r="H47" s="36">
        <f t="shared" si="23"/>
        <v>-291.46779399916443</v>
      </c>
    </row>
    <row r="48" spans="1:10">
      <c r="A48" s="36">
        <f t="shared" si="24"/>
        <v>12.940000000000001</v>
      </c>
      <c r="B48" s="36">
        <f t="shared" si="17"/>
        <v>-348.69717018399029</v>
      </c>
      <c r="C48" s="33">
        <f t="shared" si="25"/>
        <v>12.92</v>
      </c>
      <c r="D48" s="33">
        <f t="shared" si="19"/>
        <v>-346.92353249231178</v>
      </c>
      <c r="E48" s="36">
        <f t="shared" si="26"/>
        <v>12.93</v>
      </c>
      <c r="F48" s="36">
        <f t="shared" si="21"/>
        <v>-349.4066252606616</v>
      </c>
      <c r="G48" s="36">
        <f t="shared" si="27"/>
        <v>12.91</v>
      </c>
      <c r="H48" s="36">
        <f t="shared" si="23"/>
        <v>-349.76135279899734</v>
      </c>
    </row>
    <row r="49" spans="1:8">
      <c r="A49" s="36">
        <f t="shared" si="24"/>
        <v>13.940000000000001</v>
      </c>
      <c r="B49" s="36">
        <f t="shared" si="17"/>
        <v>-406.81336521465533</v>
      </c>
      <c r="C49" s="33">
        <f t="shared" si="25"/>
        <v>13.92</v>
      </c>
      <c r="D49" s="33">
        <f t="shared" si="19"/>
        <v>-404.74412124103037</v>
      </c>
      <c r="E49" s="36">
        <f t="shared" si="26"/>
        <v>13.93</v>
      </c>
      <c r="F49" s="36">
        <f t="shared" si="21"/>
        <v>-407.64106280410522</v>
      </c>
      <c r="G49" s="36">
        <f t="shared" si="27"/>
        <v>13.91</v>
      </c>
      <c r="H49" s="36">
        <f t="shared" si="23"/>
        <v>-408.05491159883019</v>
      </c>
    </row>
    <row r="52" spans="1:8">
      <c r="A52" t="s">
        <v>41</v>
      </c>
      <c r="B52" t="s">
        <v>42</v>
      </c>
    </row>
    <row r="53" spans="1:8">
      <c r="A53">
        <f>B30</f>
        <v>12.8</v>
      </c>
      <c r="B53">
        <f>B33</f>
        <v>-58.116195030665033</v>
      </c>
      <c r="C53">
        <f>B32</f>
        <v>-0.06</v>
      </c>
    </row>
    <row r="54" spans="1:8">
      <c r="A54">
        <f>D30</f>
        <v>15.350000000000001</v>
      </c>
    </row>
    <row r="55" spans="1:8">
      <c r="A55">
        <f>F30</f>
        <v>22.9</v>
      </c>
      <c r="B55">
        <f>F33</f>
        <v>-58.234437543443605</v>
      </c>
      <c r="C55">
        <v>-7.0000000000000007E-2</v>
      </c>
    </row>
    <row r="56" spans="1:8">
      <c r="A56">
        <f>H30</f>
        <v>29.049999999999997</v>
      </c>
      <c r="B56">
        <f>H33</f>
        <v>-58.293558799832887</v>
      </c>
      <c r="C56">
        <f>H32</f>
        <v>-0.09</v>
      </c>
    </row>
    <row r="57" spans="1:8">
      <c r="A57" t="s">
        <v>56</v>
      </c>
    </row>
    <row r="58" spans="1:8">
      <c r="A58" t="s">
        <v>54</v>
      </c>
      <c r="B58">
        <f>SLOPE(B53:B56,A53:A56)</f>
        <v>-1.0992971823952513E-2</v>
      </c>
      <c r="C58">
        <f>SLOPE(C53:C56,A53:A56)</f>
        <v>-1.7615964545240723E-3</v>
      </c>
    </row>
    <row r="59" spans="1:8">
      <c r="A59" t="s">
        <v>55</v>
      </c>
      <c r="B59">
        <f>INTERCEPT(B53:B56,A53:A56)</f>
        <v>-57.97746548278019</v>
      </c>
      <c r="C59">
        <f>INTERCEPT(C53:C56,A53:A56)</f>
        <v>-3.5312209856522107E-2</v>
      </c>
    </row>
    <row r="64" spans="1:8">
      <c r="B64">
        <f>-0.011*25</f>
        <v>-0.27499999999999997</v>
      </c>
    </row>
    <row r="65" spans="2:2">
      <c r="B65">
        <f>B64-58.015</f>
        <v>-58.29</v>
      </c>
    </row>
    <row r="66" spans="2:2">
      <c r="B66">
        <f>B65/-59.16</f>
        <v>0.98529411764705888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8"/>
  <sheetViews>
    <sheetView showRuler="0" topLeftCell="A20" workbookViewId="0">
      <selection activeCell="F20" sqref="F1:F1048576"/>
    </sheetView>
  </sheetViews>
  <sheetFormatPr baseColWidth="10" defaultColWidth="11" defaultRowHeight="15" x14ac:dyDescent="0"/>
  <sheetData>
    <row r="3" spans="1:8">
      <c r="B3" t="s">
        <v>45</v>
      </c>
      <c r="E3" t="s">
        <v>45</v>
      </c>
    </row>
    <row r="4" spans="1:8">
      <c r="A4" t="s">
        <v>27</v>
      </c>
      <c r="B4">
        <v>9.5</v>
      </c>
      <c r="E4" t="s">
        <v>44</v>
      </c>
      <c r="F4" t="s">
        <v>44</v>
      </c>
      <c r="G4" t="s">
        <v>43</v>
      </c>
      <c r="H4" t="s">
        <v>48</v>
      </c>
    </row>
    <row r="5" spans="1:8">
      <c r="A5" t="s">
        <v>28</v>
      </c>
      <c r="B5">
        <v>11.5</v>
      </c>
      <c r="E5">
        <v>0</v>
      </c>
      <c r="F5" s="29">
        <v>0</v>
      </c>
      <c r="G5" s="22">
        <v>9.5</v>
      </c>
      <c r="H5" s="31">
        <f t="shared" ref="H5:H24" si="0">$B$4 + ($B$5-$B$4)*(1-EXP(-E5/$B$7))</f>
        <v>9.5</v>
      </c>
    </row>
    <row r="6" spans="1:8">
      <c r="E6" s="30">
        <v>5</v>
      </c>
      <c r="F6" s="29">
        <v>3.472222222222222E-3</v>
      </c>
      <c r="G6" s="22">
        <v>9.5</v>
      </c>
      <c r="H6" s="31">
        <f t="shared" si="0"/>
        <v>9.5615335310473117</v>
      </c>
    </row>
    <row r="7" spans="1:8">
      <c r="A7" t="s">
        <v>29</v>
      </c>
      <c r="B7">
        <v>160</v>
      </c>
      <c r="E7" s="30">
        <v>10</v>
      </c>
      <c r="F7" s="29">
        <v>6.9444444444444441E-3</v>
      </c>
      <c r="G7" s="22">
        <v>9.5</v>
      </c>
      <c r="H7" s="31">
        <f t="shared" si="0"/>
        <v>9.6211738743730493</v>
      </c>
    </row>
    <row r="8" spans="1:8">
      <c r="E8" s="30">
        <v>20</v>
      </c>
      <c r="F8" s="29">
        <v>1.3888888888888888E-2</v>
      </c>
      <c r="G8" s="22">
        <v>9.9</v>
      </c>
      <c r="H8" s="31">
        <f t="shared" si="0"/>
        <v>9.7350061948308095</v>
      </c>
    </row>
    <row r="9" spans="1:8">
      <c r="E9" s="30">
        <v>25</v>
      </c>
      <c r="F9" s="29">
        <v>1.7361111111111112E-2</v>
      </c>
      <c r="G9" s="22">
        <v>10</v>
      </c>
      <c r="H9" s="31">
        <f t="shared" si="0"/>
        <v>9.7893093453851545</v>
      </c>
    </row>
    <row r="10" spans="1:8">
      <c r="E10" s="30">
        <v>32</v>
      </c>
      <c r="F10" s="29">
        <v>2.2222222222222223E-2</v>
      </c>
      <c r="G10" s="22">
        <v>10.1</v>
      </c>
      <c r="H10" s="31">
        <f t="shared" si="0"/>
        <v>9.8625384938440366</v>
      </c>
    </row>
    <row r="11" spans="1:8">
      <c r="E11" s="30">
        <v>45</v>
      </c>
      <c r="F11" s="29">
        <v>3.125E-2</v>
      </c>
      <c r="G11" s="22">
        <v>10.199999999999999</v>
      </c>
      <c r="H11" s="31">
        <f t="shared" si="0"/>
        <v>9.9903207960219849</v>
      </c>
    </row>
    <row r="12" spans="1:8">
      <c r="E12" s="30">
        <v>58</v>
      </c>
      <c r="F12" s="29">
        <v>4.027777777777778E-2</v>
      </c>
      <c r="G12" s="22">
        <f>G11+0.1</f>
        <v>10.299999999999999</v>
      </c>
      <c r="H12" s="31">
        <f t="shared" si="0"/>
        <v>10.108131372642717</v>
      </c>
    </row>
    <row r="13" spans="1:8">
      <c r="E13" s="30">
        <v>74</v>
      </c>
      <c r="F13" s="29">
        <v>5.1388888888888894E-2</v>
      </c>
      <c r="G13" s="22">
        <f t="shared" ref="G13:G24" si="1">G12+0.1</f>
        <v>10.399999999999999</v>
      </c>
      <c r="H13" s="31">
        <f t="shared" si="0"/>
        <v>10.24058518497678</v>
      </c>
    </row>
    <row r="14" spans="1:8">
      <c r="E14" s="30">
        <v>95</v>
      </c>
      <c r="F14" s="29">
        <v>6.5972222222222224E-2</v>
      </c>
      <c r="G14" s="22">
        <f t="shared" si="1"/>
        <v>10.499999999999998</v>
      </c>
      <c r="H14" s="31">
        <f t="shared" si="0"/>
        <v>10.395495099673958</v>
      </c>
    </row>
    <row r="15" spans="1:8">
      <c r="E15" s="30">
        <v>117</v>
      </c>
      <c r="F15" s="29">
        <v>8.1250000000000003E-2</v>
      </c>
      <c r="G15" s="22">
        <f t="shared" si="1"/>
        <v>10.599999999999998</v>
      </c>
      <c r="H15" s="31">
        <f t="shared" si="0"/>
        <v>10.537386039625668</v>
      </c>
    </row>
    <row r="16" spans="1:8">
      <c r="E16" s="30">
        <v>145</v>
      </c>
      <c r="F16" s="29">
        <v>0.10069444444444443</v>
      </c>
      <c r="G16" s="22">
        <f t="shared" si="1"/>
        <v>10.699999999999998</v>
      </c>
      <c r="H16" s="31">
        <f t="shared" si="0"/>
        <v>10.691926952673317</v>
      </c>
    </row>
    <row r="17" spans="1:8">
      <c r="E17" s="30">
        <v>172</v>
      </c>
      <c r="F17" s="29">
        <v>0.11944444444444445</v>
      </c>
      <c r="G17" s="22">
        <f t="shared" si="1"/>
        <v>10.799999999999997</v>
      </c>
      <c r="H17" s="31">
        <f t="shared" si="0"/>
        <v>10.817404489398012</v>
      </c>
    </row>
    <row r="18" spans="1:8">
      <c r="E18" s="30">
        <v>207</v>
      </c>
      <c r="F18" s="29">
        <v>0.14375000000000002</v>
      </c>
      <c r="G18" s="22">
        <f t="shared" si="1"/>
        <v>10.899999999999997</v>
      </c>
      <c r="H18" s="31">
        <f t="shared" si="0"/>
        <v>10.951519098532494</v>
      </c>
    </row>
    <row r="19" spans="1:8">
      <c r="E19" s="30">
        <v>255</v>
      </c>
      <c r="F19" s="29">
        <v>0.17708333333333334</v>
      </c>
      <c r="G19" s="22">
        <f t="shared" si="1"/>
        <v>10.999999999999996</v>
      </c>
      <c r="H19" s="31">
        <f t="shared" si="0"/>
        <v>11.093675354496936</v>
      </c>
    </row>
    <row r="20" spans="1:8">
      <c r="E20" s="30">
        <v>277</v>
      </c>
      <c r="F20" s="29">
        <v>0.19236111111111112</v>
      </c>
      <c r="G20" s="22">
        <f t="shared" si="1"/>
        <v>11.099999999999996</v>
      </c>
      <c r="H20" s="31">
        <f t="shared" si="0"/>
        <v>11.145874114193662</v>
      </c>
    </row>
    <row r="21" spans="1:8">
      <c r="E21" s="30">
        <v>329</v>
      </c>
      <c r="F21" s="29">
        <v>0.22847222222222222</v>
      </c>
      <c r="G21" s="22">
        <f t="shared" si="1"/>
        <v>11.199999999999996</v>
      </c>
      <c r="H21" s="31">
        <f t="shared" si="0"/>
        <v>11.244134360872192</v>
      </c>
    </row>
    <row r="22" spans="1:8">
      <c r="E22" s="30">
        <v>440</v>
      </c>
      <c r="F22" s="29">
        <v>0.30555555555555552</v>
      </c>
      <c r="G22" s="22">
        <f t="shared" si="1"/>
        <v>11.299999999999995</v>
      </c>
      <c r="H22" s="31">
        <f t="shared" si="0"/>
        <v>11.372144277586585</v>
      </c>
    </row>
    <row r="23" spans="1:8">
      <c r="E23" s="30">
        <v>501</v>
      </c>
      <c r="F23" s="29">
        <v>0.34791666666666665</v>
      </c>
      <c r="G23" s="22">
        <f t="shared" si="1"/>
        <v>11.399999999999995</v>
      </c>
      <c r="H23" s="31">
        <f t="shared" si="0"/>
        <v>11.412673631707024</v>
      </c>
    </row>
    <row r="24" spans="1:8">
      <c r="E24" s="30">
        <v>646</v>
      </c>
      <c r="F24" s="29">
        <v>0.44861111111111113</v>
      </c>
      <c r="G24" s="22">
        <f t="shared" si="1"/>
        <v>11.499999999999995</v>
      </c>
      <c r="H24" s="31">
        <f t="shared" si="0"/>
        <v>11.464716957730761</v>
      </c>
    </row>
    <row r="25" spans="1:8">
      <c r="B25" t="s">
        <v>46</v>
      </c>
      <c r="E25" t="s">
        <v>46</v>
      </c>
      <c r="G25" s="22"/>
    </row>
    <row r="26" spans="1:8">
      <c r="A26" t="s">
        <v>27</v>
      </c>
      <c r="B26">
        <v>11.8</v>
      </c>
      <c r="E26" t="s">
        <v>44</v>
      </c>
      <c r="F26" t="s">
        <v>44</v>
      </c>
      <c r="G26" t="s">
        <v>43</v>
      </c>
      <c r="H26" t="s">
        <v>48</v>
      </c>
    </row>
    <row r="27" spans="1:8">
      <c r="A27" t="s">
        <v>28</v>
      </c>
      <c r="B27">
        <v>21.1</v>
      </c>
      <c r="E27">
        <v>0</v>
      </c>
      <c r="F27" s="29">
        <v>0</v>
      </c>
      <c r="G27" s="22">
        <v>11.8</v>
      </c>
      <c r="H27" s="31">
        <f t="shared" ref="H27:H67" si="2">$B$26 + ($B$27-$B$26)*(1-EXP(-E27/$B$29))</f>
        <v>11.8</v>
      </c>
    </row>
    <row r="28" spans="1:8">
      <c r="E28">
        <v>15</v>
      </c>
      <c r="F28" s="29">
        <v>1.0416666666666666E-2</v>
      </c>
      <c r="G28" s="22">
        <v>12.4</v>
      </c>
      <c r="H28" s="31">
        <f t="shared" si="2"/>
        <v>12.632253639165683</v>
      </c>
    </row>
    <row r="29" spans="1:8">
      <c r="A29" t="s">
        <v>29</v>
      </c>
      <c r="B29">
        <v>160</v>
      </c>
      <c r="E29">
        <v>21</v>
      </c>
      <c r="F29" s="29">
        <v>1.4583333333333332E-2</v>
      </c>
      <c r="G29" s="22">
        <v>14.1</v>
      </c>
      <c r="H29" s="31">
        <f t="shared" si="2"/>
        <v>12.943913974568583</v>
      </c>
    </row>
    <row r="30" spans="1:8">
      <c r="E30">
        <v>32</v>
      </c>
      <c r="F30" s="29">
        <v>2.2222222222222223E-2</v>
      </c>
      <c r="G30" s="22">
        <v>15</v>
      </c>
      <c r="H30" s="31">
        <f t="shared" si="2"/>
        <v>13.48580399637477</v>
      </c>
    </row>
    <row r="31" spans="1:8">
      <c r="E31">
        <v>38</v>
      </c>
      <c r="F31" s="29">
        <v>2.6388888888888889E-2</v>
      </c>
      <c r="G31" s="22">
        <v>15.3</v>
      </c>
      <c r="H31" s="31">
        <f t="shared" si="2"/>
        <v>13.766048913875988</v>
      </c>
    </row>
    <row r="32" spans="1:8">
      <c r="E32">
        <v>52</v>
      </c>
      <c r="F32" s="29">
        <v>3.6111111111111115E-2</v>
      </c>
      <c r="G32" s="22">
        <v>15.8</v>
      </c>
      <c r="H32" s="31">
        <f t="shared" si="2"/>
        <v>14.38049561112873</v>
      </c>
    </row>
    <row r="33" spans="5:8">
      <c r="E33">
        <v>59</v>
      </c>
      <c r="F33" s="29">
        <v>4.0972222222222222E-2</v>
      </c>
      <c r="G33" s="22">
        <v>16</v>
      </c>
      <c r="H33" s="31">
        <f t="shared" si="2"/>
        <v>14.668135917770579</v>
      </c>
    </row>
    <row r="34" spans="5:8">
      <c r="E34">
        <v>70</v>
      </c>
      <c r="F34" s="29">
        <v>4.8611111111111112E-2</v>
      </c>
      <c r="G34" s="22">
        <v>16.3</v>
      </c>
      <c r="H34" s="31">
        <f t="shared" si="2"/>
        <v>15.095468704220604</v>
      </c>
    </row>
    <row r="35" spans="5:8">
      <c r="E35">
        <v>75</v>
      </c>
      <c r="F35" s="29">
        <v>5.2083333333333336E-2</v>
      </c>
      <c r="G35" s="22">
        <v>16.5</v>
      </c>
      <c r="H35" s="31">
        <f t="shared" si="2"/>
        <v>15.280208710677304</v>
      </c>
    </row>
    <row r="36" spans="5:8">
      <c r="E36">
        <v>85</v>
      </c>
      <c r="F36" s="29">
        <v>5.9027777777777783E-2</v>
      </c>
      <c r="G36" s="22">
        <v>16.8</v>
      </c>
      <c r="H36" s="31">
        <f t="shared" si="2"/>
        <v>15.632812039962179</v>
      </c>
    </row>
    <row r="37" spans="5:8">
      <c r="E37">
        <v>95</v>
      </c>
      <c r="F37" s="29">
        <v>6.5972222222222224E-2</v>
      </c>
      <c r="G37" s="22">
        <v>17</v>
      </c>
      <c r="H37" s="31">
        <f t="shared" si="2"/>
        <v>15.96405221348391</v>
      </c>
    </row>
    <row r="38" spans="5:8">
      <c r="E38">
        <v>114</v>
      </c>
      <c r="F38" s="29">
        <v>7.9166666666666663E-2</v>
      </c>
      <c r="G38" s="22">
        <v>17.399999999999999</v>
      </c>
      <c r="H38" s="31">
        <f t="shared" si="2"/>
        <v>16.539125414694077</v>
      </c>
    </row>
    <row r="39" spans="5:8">
      <c r="E39">
        <v>130</v>
      </c>
      <c r="F39" s="29">
        <v>9.0277777777777776E-2</v>
      </c>
      <c r="G39" s="22">
        <v>17.7</v>
      </c>
      <c r="H39" s="31">
        <f t="shared" si="2"/>
        <v>16.97315001624596</v>
      </c>
    </row>
    <row r="40" spans="5:8">
      <c r="E40">
        <v>145</v>
      </c>
      <c r="F40" s="29">
        <v>0.10069444444444443</v>
      </c>
      <c r="G40" s="22">
        <v>17.899999999999999</v>
      </c>
      <c r="H40" s="31">
        <f t="shared" si="2"/>
        <v>17.342460329930919</v>
      </c>
    </row>
    <row r="41" spans="5:8">
      <c r="E41">
        <v>159</v>
      </c>
      <c r="F41" s="29">
        <v>0.11041666666666666</v>
      </c>
      <c r="G41" s="22">
        <v>18.100000000000001</v>
      </c>
      <c r="H41" s="31">
        <f t="shared" si="2"/>
        <v>17.657271243305896</v>
      </c>
    </row>
    <row r="42" spans="5:8">
      <c r="E42">
        <v>167</v>
      </c>
      <c r="F42" s="29">
        <v>0.11597222222222221</v>
      </c>
      <c r="G42" s="22">
        <v>18.2</v>
      </c>
      <c r="H42" s="31">
        <f t="shared" si="2"/>
        <v>17.825175106057809</v>
      </c>
    </row>
    <row r="43" spans="5:8">
      <c r="E43">
        <v>178</v>
      </c>
      <c r="F43" s="29">
        <v>0.12361111111111112</v>
      </c>
      <c r="G43" s="22">
        <v>18.3</v>
      </c>
      <c r="H43" s="31">
        <f t="shared" si="2"/>
        <v>18.042754338014955</v>
      </c>
    </row>
    <row r="44" spans="5:8">
      <c r="E44">
        <v>198</v>
      </c>
      <c r="F44" s="29">
        <v>0.13749999999999998</v>
      </c>
      <c r="G44" s="22">
        <v>18.5</v>
      </c>
      <c r="H44" s="31">
        <f t="shared" si="2"/>
        <v>18.401990172858007</v>
      </c>
    </row>
    <row r="45" spans="5:8">
      <c r="E45">
        <v>208</v>
      </c>
      <c r="F45" s="29">
        <v>0.14444444444444446</v>
      </c>
      <c r="G45" s="22">
        <f t="shared" ref="G45:G66" si="3">G44+0.1</f>
        <v>18.600000000000001</v>
      </c>
      <c r="H45" s="31">
        <f t="shared" si="2"/>
        <v>18.565454324783683</v>
      </c>
    </row>
    <row r="46" spans="5:8">
      <c r="E46">
        <v>221</v>
      </c>
      <c r="F46" s="29">
        <v>0.15347222222222223</v>
      </c>
      <c r="G46" s="22">
        <f t="shared" si="3"/>
        <v>18.700000000000003</v>
      </c>
      <c r="H46" s="31">
        <f t="shared" si="2"/>
        <v>18.76324223010954</v>
      </c>
    </row>
    <row r="47" spans="5:8">
      <c r="E47">
        <v>233</v>
      </c>
      <c r="F47" s="29">
        <v>0.16180555555555556</v>
      </c>
      <c r="G47" s="22">
        <f t="shared" si="3"/>
        <v>18.800000000000004</v>
      </c>
      <c r="H47" s="31">
        <f t="shared" si="2"/>
        <v>18.932088199856487</v>
      </c>
    </row>
    <row r="48" spans="5:8">
      <c r="E48">
        <v>243</v>
      </c>
      <c r="F48" s="29">
        <v>0.16874999999999998</v>
      </c>
      <c r="G48" s="22">
        <f t="shared" si="3"/>
        <v>18.900000000000006</v>
      </c>
      <c r="H48" s="31">
        <f t="shared" si="2"/>
        <v>19.06343533591771</v>
      </c>
    </row>
    <row r="49" spans="5:8">
      <c r="E49">
        <v>258</v>
      </c>
      <c r="F49" s="29">
        <v>0.17916666666666667</v>
      </c>
      <c r="G49" s="22">
        <f t="shared" si="3"/>
        <v>19.000000000000007</v>
      </c>
      <c r="H49" s="31">
        <f t="shared" si="2"/>
        <v>19.245686771732625</v>
      </c>
    </row>
    <row r="50" spans="5:8">
      <c r="E50">
        <v>273</v>
      </c>
      <c r="F50" s="29">
        <v>0.18958333333333333</v>
      </c>
      <c r="G50" s="22">
        <f t="shared" si="3"/>
        <v>19.100000000000009</v>
      </c>
      <c r="H50" s="31">
        <f t="shared" si="2"/>
        <v>19.411628592418495</v>
      </c>
    </row>
    <row r="51" spans="5:8">
      <c r="E51">
        <v>303</v>
      </c>
      <c r="F51" s="29">
        <v>0.21041666666666667</v>
      </c>
      <c r="G51" s="22">
        <f t="shared" si="3"/>
        <v>19.20000000000001</v>
      </c>
      <c r="H51" s="31">
        <f t="shared" si="2"/>
        <v>19.700290940811705</v>
      </c>
    </row>
    <row r="52" spans="5:8">
      <c r="E52">
        <v>321</v>
      </c>
      <c r="F52" s="29">
        <v>0.22291666666666665</v>
      </c>
      <c r="G52" s="22">
        <f t="shared" si="3"/>
        <v>19.300000000000011</v>
      </c>
      <c r="H52" s="31">
        <f t="shared" si="2"/>
        <v>19.849223697985583</v>
      </c>
    </row>
    <row r="53" spans="5:8">
      <c r="E53">
        <v>339</v>
      </c>
      <c r="F53" s="29">
        <v>0.23541666666666669</v>
      </c>
      <c r="G53" s="22">
        <v>19.5</v>
      </c>
      <c r="H53" s="31">
        <f t="shared" si="2"/>
        <v>19.982309614693715</v>
      </c>
    </row>
    <row r="54" spans="5:8">
      <c r="E54">
        <v>353</v>
      </c>
      <c r="F54" s="29">
        <v>0.24513888888888888</v>
      </c>
      <c r="G54" s="22">
        <f t="shared" si="3"/>
        <v>19.600000000000001</v>
      </c>
      <c r="H54" s="31">
        <f t="shared" si="2"/>
        <v>20.075950976319643</v>
      </c>
    </row>
    <row r="55" spans="5:8">
      <c r="E55">
        <v>371</v>
      </c>
      <c r="F55" s="29">
        <v>0.25763888888888892</v>
      </c>
      <c r="G55" s="22">
        <f t="shared" si="3"/>
        <v>19.700000000000003</v>
      </c>
      <c r="H55" s="31">
        <f t="shared" si="2"/>
        <v>20.184912509130168</v>
      </c>
    </row>
    <row r="56" spans="5:8">
      <c r="E56">
        <v>391</v>
      </c>
      <c r="F56" s="29">
        <v>0.27152777777777776</v>
      </c>
      <c r="G56" s="22">
        <f t="shared" si="3"/>
        <v>19.800000000000004</v>
      </c>
      <c r="H56" s="31">
        <f t="shared" si="2"/>
        <v>20.292438123713463</v>
      </c>
    </row>
    <row r="57" spans="5:8">
      <c r="E57">
        <v>403</v>
      </c>
      <c r="F57" s="29">
        <v>0.27986111111111112</v>
      </c>
      <c r="G57" s="22">
        <f t="shared" si="3"/>
        <v>19.900000000000006</v>
      </c>
      <c r="H57" s="31">
        <f t="shared" si="2"/>
        <v>20.350789729467902</v>
      </c>
    </row>
    <row r="58" spans="5:8">
      <c r="E58">
        <v>436</v>
      </c>
      <c r="F58" s="29">
        <v>0.30277777777777776</v>
      </c>
      <c r="G58" s="22">
        <f t="shared" si="3"/>
        <v>20.000000000000007</v>
      </c>
      <c r="H58" s="31">
        <f t="shared" si="2"/>
        <v>20.490420314722375</v>
      </c>
    </row>
    <row r="59" spans="5:8">
      <c r="E59">
        <v>455</v>
      </c>
      <c r="F59" s="29">
        <v>0.31597222222222221</v>
      </c>
      <c r="G59" s="22">
        <v>20.2</v>
      </c>
      <c r="H59" s="31">
        <f t="shared" si="2"/>
        <v>20.558675085910984</v>
      </c>
    </row>
    <row r="60" spans="5:8">
      <c r="E60">
        <v>463</v>
      </c>
      <c r="F60" s="29">
        <v>0.3215277777777778</v>
      </c>
      <c r="G60" s="22">
        <f t="shared" si="3"/>
        <v>20.3</v>
      </c>
      <c r="H60" s="31">
        <f t="shared" si="2"/>
        <v>20.585075813503202</v>
      </c>
    </row>
    <row r="61" spans="5:8">
      <c r="E61">
        <v>481</v>
      </c>
      <c r="F61" s="29">
        <v>0.33402777777777781</v>
      </c>
      <c r="G61" s="22">
        <f t="shared" si="3"/>
        <v>20.400000000000002</v>
      </c>
      <c r="H61" s="31">
        <f t="shared" si="2"/>
        <v>20.639865112984452</v>
      </c>
    </row>
    <row r="62" spans="5:8">
      <c r="E62">
        <v>524</v>
      </c>
      <c r="F62" s="29">
        <v>0.36388888888888887</v>
      </c>
      <c r="G62" s="22">
        <f t="shared" si="3"/>
        <v>20.500000000000004</v>
      </c>
      <c r="H62" s="31">
        <f t="shared" si="2"/>
        <v>20.748303116167278</v>
      </c>
    </row>
    <row r="63" spans="5:8">
      <c r="E63">
        <v>556</v>
      </c>
      <c r="F63" s="29">
        <v>0.38611111111111113</v>
      </c>
      <c r="G63" s="22">
        <f t="shared" si="3"/>
        <v>20.600000000000005</v>
      </c>
      <c r="H63" s="31">
        <f t="shared" si="2"/>
        <v>20.812054945444459</v>
      </c>
    </row>
    <row r="64" spans="5:8">
      <c r="E64">
        <v>596</v>
      </c>
      <c r="F64" s="29">
        <v>0.4069444444444445</v>
      </c>
      <c r="G64" s="22">
        <f t="shared" si="3"/>
        <v>20.700000000000006</v>
      </c>
      <c r="H64" s="31">
        <f t="shared" si="2"/>
        <v>20.875748166030604</v>
      </c>
    </row>
    <row r="65" spans="1:8">
      <c r="E65">
        <v>654</v>
      </c>
      <c r="F65" s="29">
        <v>0.45416666666666666</v>
      </c>
      <c r="G65" s="22">
        <f t="shared" si="3"/>
        <v>20.800000000000008</v>
      </c>
      <c r="H65" s="31">
        <f t="shared" si="2"/>
        <v>20.94393545383533</v>
      </c>
    </row>
    <row r="66" spans="1:8">
      <c r="E66">
        <v>716</v>
      </c>
      <c r="F66" s="29">
        <v>0.49722222222222223</v>
      </c>
      <c r="G66" s="22">
        <f t="shared" si="3"/>
        <v>20.900000000000009</v>
      </c>
      <c r="H66" s="31">
        <f t="shared" si="2"/>
        <v>20.994070934242025</v>
      </c>
    </row>
    <row r="67" spans="1:8">
      <c r="E67">
        <v>823</v>
      </c>
      <c r="F67" s="29">
        <v>0.57152777777777775</v>
      </c>
      <c r="G67">
        <v>21.1</v>
      </c>
      <c r="H67" s="31">
        <f t="shared" si="2"/>
        <v>21.04572739003509</v>
      </c>
    </row>
    <row r="68" spans="1:8">
      <c r="B68" t="s">
        <v>47</v>
      </c>
      <c r="E68" s="16" t="s">
        <v>47</v>
      </c>
    </row>
    <row r="69" spans="1:8">
      <c r="A69" t="s">
        <v>27</v>
      </c>
      <c r="B69">
        <v>26.1</v>
      </c>
      <c r="E69" s="16" t="s">
        <v>44</v>
      </c>
      <c r="F69" s="16" t="s">
        <v>44</v>
      </c>
      <c r="G69" s="16" t="s">
        <v>43</v>
      </c>
      <c r="H69" s="16" t="s">
        <v>48</v>
      </c>
    </row>
    <row r="70" spans="1:8">
      <c r="A70" t="s">
        <v>28</v>
      </c>
      <c r="B70">
        <v>12.2</v>
      </c>
      <c r="E70">
        <v>0</v>
      </c>
      <c r="F70" s="29">
        <v>0</v>
      </c>
      <c r="G70">
        <v>26.1</v>
      </c>
      <c r="H70" s="31">
        <f t="shared" ref="H70:H101" si="4">$B$69 + ($B$70-$B$69)*(1-EXP(-E70/$B$72))</f>
        <v>26.1</v>
      </c>
    </row>
    <row r="71" spans="1:8">
      <c r="E71">
        <v>10</v>
      </c>
      <c r="F71" s="29">
        <v>6.9444444444444441E-3</v>
      </c>
      <c r="G71">
        <v>24.9</v>
      </c>
      <c r="H71" s="31">
        <f t="shared" si="4"/>
        <v>24.777240110699839</v>
      </c>
    </row>
    <row r="72" spans="1:8">
      <c r="A72" t="s">
        <v>29</v>
      </c>
      <c r="B72">
        <v>100</v>
      </c>
      <c r="E72">
        <v>26</v>
      </c>
      <c r="F72" s="29">
        <v>1.8055555555555557E-2</v>
      </c>
      <c r="G72">
        <v>22.4</v>
      </c>
      <c r="H72" s="31">
        <f t="shared" si="4"/>
        <v>22.917617042669573</v>
      </c>
    </row>
    <row r="73" spans="1:8">
      <c r="E73">
        <v>30</v>
      </c>
      <c r="F73" s="29">
        <v>2.0833333333333332E-2</v>
      </c>
      <c r="G73">
        <v>21.9</v>
      </c>
      <c r="H73" s="31">
        <f t="shared" si="4"/>
        <v>22.497373267475879</v>
      </c>
    </row>
    <row r="74" spans="1:8">
      <c r="E74">
        <v>38</v>
      </c>
      <c r="F74" s="29">
        <v>2.6388888888888889E-2</v>
      </c>
      <c r="G74">
        <v>21.5</v>
      </c>
      <c r="H74" s="31">
        <f t="shared" si="4"/>
        <v>21.705673588051745</v>
      </c>
    </row>
    <row r="75" spans="1:8">
      <c r="E75">
        <v>47</v>
      </c>
      <c r="F75" s="29">
        <v>3.2638888888888891E-2</v>
      </c>
      <c r="G75">
        <v>20.399999999999999</v>
      </c>
      <c r="H75" s="31">
        <f t="shared" si="4"/>
        <v>20.887531529129539</v>
      </c>
    </row>
    <row r="76" spans="1:8">
      <c r="E76">
        <v>56</v>
      </c>
      <c r="F76" s="29">
        <v>3.888888888888889E-2</v>
      </c>
      <c r="G76">
        <v>20</v>
      </c>
      <c r="H76" s="31">
        <f t="shared" si="4"/>
        <v>20.139805987498526</v>
      </c>
    </row>
    <row r="77" spans="1:8">
      <c r="E77">
        <v>63</v>
      </c>
      <c r="F77" s="29">
        <v>4.3750000000000004E-2</v>
      </c>
      <c r="G77">
        <v>19.399999999999999</v>
      </c>
      <c r="H77" s="31">
        <f t="shared" si="4"/>
        <v>19.603026033995871</v>
      </c>
    </row>
    <row r="78" spans="1:8">
      <c r="E78">
        <v>125</v>
      </c>
      <c r="F78" s="29">
        <v>8.6805555555555566E-2</v>
      </c>
      <c r="G78">
        <v>17.899999999999999</v>
      </c>
      <c r="H78" s="31">
        <f t="shared" si="4"/>
        <v>16.182416676356645</v>
      </c>
    </row>
    <row r="79" spans="1:8">
      <c r="E79">
        <v>133</v>
      </c>
      <c r="F79" s="29">
        <v>9.2361111111111116E-2</v>
      </c>
      <c r="G79">
        <v>17.3</v>
      </c>
      <c r="H79" s="31">
        <f t="shared" si="4"/>
        <v>15.876233932067553</v>
      </c>
    </row>
    <row r="80" spans="1:8">
      <c r="E80">
        <v>142</v>
      </c>
      <c r="F80" s="29">
        <v>9.8611111111111108E-2</v>
      </c>
      <c r="G80">
        <v>16.8</v>
      </c>
      <c r="H80" s="31">
        <f t="shared" si="4"/>
        <v>15.559824834868806</v>
      </c>
    </row>
    <row r="81" spans="5:8">
      <c r="E81">
        <v>150</v>
      </c>
      <c r="F81" s="29">
        <v>0.10416666666666667</v>
      </c>
      <c r="G81">
        <v>16.5</v>
      </c>
      <c r="H81" s="31">
        <f t="shared" si="4"/>
        <v>15.301509226063175</v>
      </c>
    </row>
    <row r="82" spans="5:8">
      <c r="E82">
        <v>158</v>
      </c>
      <c r="F82" s="29">
        <v>0.10972222222222222</v>
      </c>
      <c r="G82">
        <v>16.100000000000001</v>
      </c>
      <c r="H82" s="31">
        <f t="shared" si="4"/>
        <v>15.06305386504788</v>
      </c>
    </row>
    <row r="83" spans="5:8">
      <c r="E83">
        <v>173</v>
      </c>
      <c r="F83" s="29">
        <v>0.12013888888888889</v>
      </c>
      <c r="G83">
        <v>15.8</v>
      </c>
      <c r="H83" s="31">
        <f t="shared" si="4"/>
        <v>14.664253298581301</v>
      </c>
    </row>
    <row r="84" spans="5:8">
      <c r="E84">
        <v>188</v>
      </c>
      <c r="F84" s="29">
        <v>0.13055555555555556</v>
      </c>
      <c r="G84">
        <v>15.5</v>
      </c>
      <c r="H84" s="31">
        <f t="shared" si="4"/>
        <v>14.321002470020685</v>
      </c>
    </row>
    <row r="85" spans="5:8">
      <c r="E85">
        <v>205</v>
      </c>
      <c r="F85" s="29">
        <v>0.1423611111111111</v>
      </c>
      <c r="G85">
        <v>15.2</v>
      </c>
      <c r="H85" s="31">
        <f t="shared" si="4"/>
        <v>13.989415159870479</v>
      </c>
    </row>
    <row r="86" spans="5:8">
      <c r="E86">
        <v>221</v>
      </c>
      <c r="F86" s="29">
        <v>0.15347222222222223</v>
      </c>
      <c r="G86">
        <v>15</v>
      </c>
      <c r="H86" s="31">
        <f t="shared" si="4"/>
        <v>13.724839014365608</v>
      </c>
    </row>
    <row r="87" spans="5:8">
      <c r="E87">
        <v>228</v>
      </c>
      <c r="F87" s="29">
        <v>0.15833333333333333</v>
      </c>
      <c r="G87">
        <v>14.6</v>
      </c>
      <c r="H87" s="31">
        <f t="shared" si="4"/>
        <v>13.621750473345971</v>
      </c>
    </row>
    <row r="88" spans="5:8">
      <c r="E88">
        <v>239</v>
      </c>
      <c r="F88" s="29">
        <v>0.16597222222222222</v>
      </c>
      <c r="G88">
        <v>14.2</v>
      </c>
      <c r="H88" s="31">
        <f t="shared" si="4"/>
        <v>13.473652605897316</v>
      </c>
    </row>
    <row r="89" spans="5:8">
      <c r="E89">
        <v>255</v>
      </c>
      <c r="F89" s="29">
        <v>0.17708333333333334</v>
      </c>
      <c r="G89">
        <v>13.4</v>
      </c>
      <c r="H89" s="31">
        <f t="shared" si="4"/>
        <v>13.285335157416029</v>
      </c>
    </row>
    <row r="90" spans="5:8">
      <c r="E90">
        <v>265</v>
      </c>
      <c r="F90" s="29">
        <v>0.18402777777777779</v>
      </c>
      <c r="G90">
        <v>13.3</v>
      </c>
      <c r="H90" s="31">
        <f t="shared" si="4"/>
        <v>13.18205186153997</v>
      </c>
    </row>
    <row r="91" spans="5:8">
      <c r="E91">
        <v>278</v>
      </c>
      <c r="F91" s="29">
        <v>0.19305555555555554</v>
      </c>
      <c r="G91">
        <v>13.200000000000001</v>
      </c>
      <c r="H91" s="31">
        <f t="shared" si="4"/>
        <v>13.06233525254528</v>
      </c>
    </row>
    <row r="92" spans="5:8">
      <c r="E92">
        <v>290</v>
      </c>
      <c r="F92" s="29">
        <v>0.20138888888888887</v>
      </c>
      <c r="G92">
        <v>13.100000000000001</v>
      </c>
      <c r="H92" s="31">
        <f t="shared" si="4"/>
        <v>12.964822758784059</v>
      </c>
    </row>
    <row r="93" spans="5:8">
      <c r="E93">
        <v>304</v>
      </c>
      <c r="F93" s="29">
        <v>0.21111111111111111</v>
      </c>
      <c r="G93">
        <v>13.000000000000002</v>
      </c>
      <c r="H93" s="31">
        <f t="shared" si="4"/>
        <v>12.864904963969357</v>
      </c>
    </row>
    <row r="94" spans="5:8">
      <c r="E94">
        <v>315</v>
      </c>
      <c r="F94" s="29">
        <v>0.21875</v>
      </c>
      <c r="G94">
        <v>12.900000000000002</v>
      </c>
      <c r="H94" s="31">
        <f t="shared" si="4"/>
        <v>12.795644563451859</v>
      </c>
    </row>
    <row r="95" spans="5:8">
      <c r="E95">
        <v>330</v>
      </c>
      <c r="F95" s="29">
        <v>0.22916666666666666</v>
      </c>
      <c r="G95">
        <v>12.800000000000002</v>
      </c>
      <c r="H95" s="31">
        <f t="shared" si="4"/>
        <v>12.712676026877235</v>
      </c>
    </row>
    <row r="96" spans="5:8">
      <c r="E96">
        <v>345</v>
      </c>
      <c r="F96" s="29">
        <v>0.23958333333333334</v>
      </c>
      <c r="G96">
        <v>12.700000000000003</v>
      </c>
      <c r="H96" s="31">
        <f t="shared" si="4"/>
        <v>12.641264345655143</v>
      </c>
    </row>
    <row r="97" spans="5:8">
      <c r="E97">
        <v>366</v>
      </c>
      <c r="F97" s="29">
        <v>0.25416666666666665</v>
      </c>
      <c r="G97">
        <v>12.600000000000003</v>
      </c>
      <c r="H97" s="31">
        <f t="shared" si="4"/>
        <v>12.557681926896402</v>
      </c>
    </row>
    <row r="98" spans="5:8">
      <c r="E98">
        <v>388</v>
      </c>
      <c r="F98" s="29">
        <v>0.26944444444444443</v>
      </c>
      <c r="G98">
        <v>12.500000000000004</v>
      </c>
      <c r="H98" s="31">
        <f t="shared" si="4"/>
        <v>12.487046470025804</v>
      </c>
    </row>
    <row r="99" spans="5:8">
      <c r="E99">
        <v>408</v>
      </c>
      <c r="F99" s="29">
        <v>0.28333333333333333</v>
      </c>
      <c r="G99">
        <v>12.400000000000004</v>
      </c>
      <c r="H99" s="31">
        <f t="shared" si="4"/>
        <v>12.435013772572603</v>
      </c>
    </row>
    <row r="100" spans="5:8">
      <c r="E100">
        <v>437</v>
      </c>
      <c r="F100" s="29">
        <v>0.3034722222222222</v>
      </c>
      <c r="G100">
        <v>12.300000000000004</v>
      </c>
      <c r="H100" s="31">
        <f t="shared" si="4"/>
        <v>12.375852243895272</v>
      </c>
    </row>
    <row r="101" spans="5:8">
      <c r="E101">
        <v>468</v>
      </c>
      <c r="F101" s="29">
        <v>0.32500000000000001</v>
      </c>
      <c r="G101">
        <v>12.200000000000005</v>
      </c>
      <c r="H101" s="31">
        <f t="shared" si="4"/>
        <v>12.3289782930302</v>
      </c>
    </row>
    <row r="102" spans="5:8">
      <c r="H102" s="31"/>
    </row>
    <row r="103" spans="5:8">
      <c r="H103" s="31"/>
    </row>
    <row r="104" spans="5:8">
      <c r="H104" s="31"/>
    </row>
    <row r="105" spans="5:8">
      <c r="H105" s="31"/>
    </row>
    <row r="106" spans="5:8">
      <c r="H106" s="31"/>
    </row>
    <row r="107" spans="5:8">
      <c r="H107" s="31"/>
    </row>
    <row r="108" spans="5:8">
      <c r="H108" s="3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Dickson ASW Buffer Theoretical </vt:lpstr>
      <vt:lpstr>NIST Buffer Theoretical</vt:lpstr>
      <vt:lpstr>NIST T-Response</vt:lpstr>
      <vt:lpstr>Honeywell Nernst</vt:lpstr>
      <vt:lpstr>Thermistor-response</vt:lpstr>
    </vt:vector>
  </TitlesOfParts>
  <Company>COAS-OSU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Vance</dc:creator>
  <cp:lastModifiedBy>Laura Spencer</cp:lastModifiedBy>
  <dcterms:created xsi:type="dcterms:W3CDTF">2012-10-06T17:23:02Z</dcterms:created>
  <dcterms:modified xsi:type="dcterms:W3CDTF">2016-03-11T16:48:22Z</dcterms:modified>
</cp:coreProperties>
</file>