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13320" yWindow="0" windowWidth="10420" windowHeight="15320" tabRatio="1000" firstSheet="6" activeTab="10"/>
  </bookViews>
  <sheets>
    <sheet name="Larvae Collection" sheetId="3" r:id="rId1"/>
    <sheet name="Water Change Calcs" sheetId="4" r:id="rId2"/>
    <sheet name="Broodstock Mortality" sheetId="5" r:id="rId3"/>
    <sheet name="Broodstock volume, numbers" sheetId="7" r:id="rId4"/>
    <sheet name="SUMMARIES" sheetId="6" r:id="rId5"/>
    <sheet name="Stocking Count Check" sheetId="8" r:id="rId6"/>
    <sheet name="Random data" sheetId="9" r:id="rId7"/>
    <sheet name="SPAWNING PLOTS-raw" sheetId="10" r:id="rId8"/>
    <sheet name="SPAWNING PLOTS-normalized" sheetId="11" r:id="rId9"/>
    <sheet name="5-week-survival" sheetId="12" r:id="rId10"/>
    <sheet name="7-week-survival" sheetId="13" r:id="rId11"/>
  </sheets>
  <definedNames>
    <definedName name="_xlnm._FilterDatabase" localSheetId="0" hidden="1">'Larvae Collection'!$A$1:$X$144</definedName>
    <definedName name="_xlnm._FilterDatabase" localSheetId="4" hidden="1">SUMMARIES!#REF!</definedName>
    <definedName name="_xlnm.Extract" localSheetId="4">SUMMARIES!$J:$J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3" i="13" l="1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6" i="5"/>
  <c r="F97" i="5"/>
  <c r="F95" i="5"/>
  <c r="F94" i="5"/>
  <c r="F93" i="5"/>
  <c r="F92" i="5"/>
  <c r="F91" i="5"/>
  <c r="F90" i="5"/>
  <c r="F89" i="5"/>
  <c r="F88" i="5"/>
  <c r="F87" i="5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2" i="12"/>
  <c r="C140" i="13"/>
  <c r="C141" i="13"/>
  <c r="C142" i="13"/>
  <c r="C143" i="13"/>
  <c r="C144" i="13"/>
  <c r="C145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89" i="13"/>
  <c r="C90" i="13"/>
  <c r="C91" i="13"/>
  <c r="C92" i="13"/>
  <c r="C93" i="13"/>
  <c r="C94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" i="13"/>
  <c r="J2" i="12"/>
  <c r="L143" i="13"/>
  <c r="L140" i="13"/>
  <c r="L137" i="13"/>
  <c r="L134" i="13"/>
  <c r="L131" i="13"/>
  <c r="L128" i="13"/>
  <c r="L125" i="13"/>
  <c r="L122" i="13"/>
  <c r="L119" i="13"/>
  <c r="L116" i="13"/>
  <c r="L113" i="13"/>
  <c r="L110" i="13"/>
  <c r="L107" i="13"/>
  <c r="L104" i="13"/>
  <c r="L101" i="13"/>
  <c r="L98" i="13"/>
  <c r="L95" i="13"/>
  <c r="L92" i="13"/>
  <c r="L89" i="13"/>
  <c r="L86" i="13"/>
  <c r="L83" i="13"/>
  <c r="L80" i="13"/>
  <c r="L77" i="13"/>
  <c r="L74" i="13"/>
  <c r="L71" i="13"/>
  <c r="L68" i="13"/>
  <c r="L65" i="13"/>
  <c r="L62" i="13"/>
  <c r="L59" i="13"/>
  <c r="L56" i="13"/>
  <c r="L53" i="13"/>
  <c r="L50" i="13"/>
  <c r="L47" i="13"/>
  <c r="L44" i="13"/>
  <c r="L41" i="13"/>
  <c r="L38" i="13"/>
  <c r="L35" i="13"/>
  <c r="L32" i="13"/>
  <c r="L29" i="13"/>
  <c r="L26" i="13"/>
  <c r="L23" i="13"/>
  <c r="L20" i="13"/>
  <c r="L17" i="13"/>
  <c r="L14" i="13"/>
  <c r="L11" i="13"/>
  <c r="L8" i="13"/>
  <c r="L5" i="13"/>
  <c r="L2" i="13"/>
  <c r="R56" i="4"/>
  <c r="P56" i="4"/>
  <c r="M56" i="4"/>
  <c r="L56" i="4"/>
  <c r="J106" i="12"/>
  <c r="J105" i="12"/>
  <c r="J104" i="12"/>
  <c r="J103" i="12"/>
  <c r="J102" i="12"/>
  <c r="J101" i="12"/>
  <c r="R54" i="4"/>
  <c r="P54" i="4"/>
  <c r="L54" i="4"/>
  <c r="M54" i="4"/>
  <c r="R53" i="4"/>
  <c r="P53" i="4"/>
  <c r="P52" i="4"/>
  <c r="L53" i="4"/>
  <c r="M53" i="4"/>
  <c r="J96" i="12"/>
  <c r="J143" i="12"/>
  <c r="J137" i="12"/>
  <c r="J136" i="12"/>
  <c r="J138" i="12"/>
  <c r="J139" i="12"/>
  <c r="J140" i="12"/>
  <c r="J141" i="12"/>
  <c r="J142" i="12"/>
  <c r="J144" i="12"/>
  <c r="J145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0" i="12"/>
  <c r="J99" i="12"/>
  <c r="J98" i="12"/>
  <c r="J97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R52" i="4"/>
  <c r="L52" i="4"/>
  <c r="M52" i="4"/>
  <c r="R51" i="4"/>
  <c r="L51" i="4"/>
  <c r="M51" i="4"/>
  <c r="P51" i="4"/>
  <c r="L50" i="4"/>
  <c r="M50" i="4"/>
  <c r="R50" i="4"/>
  <c r="P50" i="4"/>
  <c r="R49" i="4"/>
  <c r="L49" i="4"/>
  <c r="M49" i="4"/>
  <c r="P49" i="4"/>
  <c r="P48" i="4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P47" i="4"/>
  <c r="P46" i="4"/>
  <c r="L22" i="9"/>
  <c r="K22" i="9"/>
  <c r="P44" i="4"/>
  <c r="P43" i="4"/>
  <c r="I20" i="8"/>
  <c r="J20" i="8"/>
  <c r="H20" i="8"/>
  <c r="J14" i="8"/>
  <c r="J19" i="8"/>
  <c r="I19" i="8"/>
  <c r="H19" i="8"/>
  <c r="J18" i="8"/>
  <c r="I18" i="8"/>
  <c r="H18" i="8"/>
  <c r="J17" i="8"/>
  <c r="I17" i="8"/>
  <c r="H17" i="8"/>
  <c r="J15" i="8"/>
  <c r="J16" i="8"/>
  <c r="I16" i="8"/>
  <c r="H16" i="8"/>
  <c r="I15" i="8"/>
  <c r="H15" i="8"/>
  <c r="H14" i="8"/>
  <c r="I14" i="8"/>
  <c r="H13" i="8"/>
  <c r="I13" i="8"/>
  <c r="J13" i="8"/>
  <c r="H12" i="8"/>
  <c r="I12" i="8"/>
  <c r="J12" i="8"/>
  <c r="H11" i="8"/>
  <c r="I11" i="8"/>
  <c r="J11" i="8"/>
  <c r="H10" i="8"/>
  <c r="I10" i="8"/>
  <c r="J10" i="8"/>
  <c r="P42" i="4"/>
  <c r="L41" i="4"/>
  <c r="P41" i="4"/>
  <c r="P37" i="4"/>
  <c r="P40" i="4"/>
  <c r="P38" i="4"/>
  <c r="L37" i="4"/>
  <c r="R37" i="4"/>
  <c r="S37" i="4"/>
  <c r="M37" i="4"/>
  <c r="P36" i="4"/>
  <c r="L36" i="4"/>
  <c r="P35" i="4"/>
  <c r="N18" i="6"/>
  <c r="L18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E2" i="6"/>
  <c r="E3" i="6"/>
  <c r="E4" i="6"/>
  <c r="E5" i="6"/>
  <c r="E6" i="6"/>
  <c r="E7" i="6"/>
  <c r="E8" i="6"/>
  <c r="E9" i="6"/>
  <c r="E10" i="6"/>
  <c r="F45" i="7"/>
  <c r="F44" i="7"/>
  <c r="E133" i="5"/>
  <c r="E132" i="5"/>
  <c r="M17" i="6"/>
  <c r="Q17" i="6"/>
  <c r="R17" i="6"/>
  <c r="S17" i="6"/>
  <c r="Q31" i="11"/>
  <c r="M16" i="6"/>
  <c r="Q16" i="6"/>
  <c r="R16" i="6"/>
  <c r="S16" i="6"/>
  <c r="P31" i="11"/>
  <c r="M15" i="6"/>
  <c r="Q15" i="6"/>
  <c r="R15" i="6"/>
  <c r="S15" i="6"/>
  <c r="O31" i="11"/>
  <c r="R14" i="6"/>
  <c r="S14" i="6"/>
  <c r="N31" i="11"/>
  <c r="M13" i="6"/>
  <c r="Q13" i="6"/>
  <c r="R13" i="6"/>
  <c r="S13" i="6"/>
  <c r="M31" i="11"/>
  <c r="M12" i="6"/>
  <c r="Q12" i="6"/>
  <c r="R12" i="6"/>
  <c r="S12" i="6"/>
  <c r="L31" i="11"/>
  <c r="M11" i="6"/>
  <c r="Q11" i="6"/>
  <c r="R11" i="6"/>
  <c r="S11" i="6"/>
  <c r="K31" i="11"/>
  <c r="S10" i="6"/>
  <c r="J31" i="11"/>
  <c r="S9" i="6"/>
  <c r="I31" i="11"/>
  <c r="Q8" i="6"/>
  <c r="R8" i="6"/>
  <c r="S8" i="6"/>
  <c r="H31" i="11"/>
  <c r="S7" i="6"/>
  <c r="G31" i="11"/>
  <c r="M6" i="6"/>
  <c r="Q6" i="6"/>
  <c r="R6" i="6"/>
  <c r="S6" i="6"/>
  <c r="F31" i="11"/>
  <c r="S5" i="6"/>
  <c r="E31" i="11"/>
  <c r="M4" i="6"/>
  <c r="Q4" i="6"/>
  <c r="R4" i="6"/>
  <c r="S4" i="6"/>
  <c r="D31" i="11"/>
  <c r="M3" i="6"/>
  <c r="Q3" i="6"/>
  <c r="R3" i="6"/>
  <c r="S3" i="6"/>
  <c r="C31" i="11"/>
  <c r="Q2" i="6"/>
  <c r="R2" i="6"/>
  <c r="S2" i="6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Q10" i="6"/>
  <c r="R10" i="6"/>
  <c r="J27" i="11"/>
  <c r="M9" i="6"/>
  <c r="Q9" i="6"/>
  <c r="R9" i="6"/>
  <c r="I27" i="11"/>
  <c r="H27" i="11"/>
  <c r="M7" i="6"/>
  <c r="Q7" i="6"/>
  <c r="R7" i="6"/>
  <c r="G27" i="11"/>
  <c r="F27" i="11"/>
  <c r="R5" i="6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2" i="11"/>
  <c r="P22" i="11"/>
  <c r="O22" i="11"/>
  <c r="M14" i="6"/>
  <c r="Q14" i="6"/>
  <c r="N22" i="11"/>
  <c r="M22" i="11"/>
  <c r="L22" i="11"/>
  <c r="K22" i="11"/>
  <c r="J22" i="11"/>
  <c r="I22" i="11"/>
  <c r="H22" i="11"/>
  <c r="G22" i="11"/>
  <c r="F22" i="11"/>
  <c r="M5" i="6"/>
  <c r="Q5" i="6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19" i="11"/>
  <c r="P19" i="11"/>
  <c r="O19" i="11"/>
  <c r="N19" i="11"/>
  <c r="M19" i="11"/>
  <c r="L19" i="11"/>
  <c r="K19" i="11"/>
  <c r="M10" i="6"/>
  <c r="J19" i="11"/>
  <c r="I19" i="11"/>
  <c r="M8" i="6"/>
  <c r="H19" i="11"/>
  <c r="G19" i="11"/>
  <c r="F19" i="11"/>
  <c r="E19" i="11"/>
  <c r="D19" i="11"/>
  <c r="C19" i="11"/>
  <c r="M2" i="6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61" i="3"/>
  <c r="T161" i="3"/>
  <c r="P161" i="3"/>
  <c r="R161" i="3"/>
  <c r="P34" i="4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F42" i="7"/>
  <c r="F43" i="7"/>
  <c r="F41" i="7"/>
  <c r="F40" i="7"/>
  <c r="F39" i="7"/>
  <c r="F38" i="7"/>
  <c r="F37" i="7"/>
  <c r="F36" i="7"/>
  <c r="F35" i="7"/>
  <c r="F34" i="7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P33" i="4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3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S4" i="10"/>
  <c r="R4" i="10"/>
  <c r="E18" i="9"/>
  <c r="F18" i="9"/>
  <c r="E17" i="9"/>
  <c r="F17" i="9"/>
  <c r="E16" i="9"/>
  <c r="F16" i="9"/>
  <c r="E15" i="9"/>
  <c r="F15" i="9"/>
  <c r="E14" i="9"/>
  <c r="F14" i="9"/>
  <c r="E13" i="9"/>
  <c r="F13" i="9"/>
  <c r="P160" i="3"/>
  <c r="Q160" i="3"/>
  <c r="R160" i="3"/>
  <c r="T160" i="3"/>
  <c r="P159" i="3"/>
  <c r="Q159" i="3"/>
  <c r="R159" i="3"/>
  <c r="T159" i="3"/>
  <c r="P158" i="3"/>
  <c r="Q158" i="3"/>
  <c r="R158" i="3"/>
  <c r="T158" i="3"/>
  <c r="P157" i="3"/>
  <c r="Q157" i="3"/>
  <c r="R157" i="3"/>
  <c r="T157" i="3"/>
  <c r="P156" i="3"/>
  <c r="Q156" i="3"/>
  <c r="R156" i="3"/>
  <c r="T156" i="3"/>
  <c r="P155" i="3"/>
  <c r="Q155" i="3"/>
  <c r="R155" i="3"/>
  <c r="T155" i="3"/>
  <c r="P32" i="4"/>
  <c r="Q154" i="3"/>
  <c r="P154" i="3"/>
  <c r="R154" i="3"/>
  <c r="Q153" i="3"/>
  <c r="Q152" i="3"/>
  <c r="Q151" i="3"/>
  <c r="Q150" i="3"/>
  <c r="R153" i="3"/>
  <c r="R152" i="3"/>
  <c r="R151" i="3"/>
  <c r="R150" i="3"/>
  <c r="T154" i="3"/>
  <c r="P31" i="4"/>
  <c r="E131" i="5"/>
  <c r="E130" i="5"/>
  <c r="E129" i="5"/>
  <c r="E128" i="5"/>
  <c r="E127" i="5"/>
  <c r="E126" i="5"/>
  <c r="E125" i="5"/>
  <c r="E124" i="5"/>
  <c r="P30" i="4"/>
  <c r="O136" i="3"/>
  <c r="O135" i="3"/>
  <c r="O134" i="3"/>
  <c r="O133" i="3"/>
  <c r="O132" i="3"/>
  <c r="O131" i="3"/>
  <c r="P153" i="3"/>
  <c r="T153" i="3"/>
  <c r="E10" i="9"/>
  <c r="F10" i="9"/>
  <c r="E9" i="9"/>
  <c r="F9" i="9"/>
  <c r="E8" i="9"/>
  <c r="F8" i="9"/>
  <c r="E7" i="9"/>
  <c r="F7" i="9"/>
  <c r="P152" i="3"/>
  <c r="T152" i="3"/>
  <c r="P151" i="3"/>
  <c r="T151" i="3"/>
  <c r="P150" i="3"/>
  <c r="T150" i="3"/>
  <c r="P149" i="3"/>
  <c r="Q149" i="3"/>
  <c r="R149" i="3"/>
  <c r="T149" i="3"/>
  <c r="P29" i="4"/>
  <c r="P148" i="3"/>
  <c r="Q148" i="3"/>
  <c r="R148" i="3"/>
  <c r="T148" i="3"/>
  <c r="P147" i="3"/>
  <c r="Q147" i="3"/>
  <c r="R147" i="3"/>
  <c r="T147" i="3"/>
  <c r="P28" i="4"/>
  <c r="E11" i="9"/>
  <c r="F11" i="9"/>
  <c r="E6" i="9"/>
  <c r="F6" i="9"/>
  <c r="R26" i="4"/>
  <c r="M26" i="4"/>
  <c r="P146" i="3"/>
  <c r="Q146" i="3"/>
  <c r="R146" i="3"/>
  <c r="T146" i="3"/>
  <c r="P145" i="3"/>
  <c r="Q145" i="3"/>
  <c r="R145" i="3"/>
  <c r="T145" i="3"/>
  <c r="P27" i="4"/>
  <c r="E5" i="9"/>
  <c r="F5" i="9"/>
  <c r="S26" i="4"/>
  <c r="R3" i="4"/>
  <c r="P25" i="4"/>
  <c r="L25" i="4"/>
  <c r="M25" i="4"/>
  <c r="R25" i="4"/>
  <c r="S25" i="4"/>
  <c r="P24" i="4"/>
  <c r="P130" i="3"/>
  <c r="P129" i="3"/>
  <c r="O130" i="3"/>
  <c r="O129" i="3"/>
  <c r="N129" i="3"/>
  <c r="M129" i="3"/>
  <c r="N130" i="3"/>
  <c r="M130" i="3"/>
  <c r="P23" i="4"/>
  <c r="L23" i="4"/>
  <c r="M23" i="4"/>
  <c r="R23" i="4"/>
  <c r="L22" i="4"/>
  <c r="M22" i="4"/>
  <c r="R22" i="4"/>
  <c r="P21" i="4"/>
  <c r="M2" i="8"/>
  <c r="L2" i="8"/>
  <c r="J6" i="8"/>
  <c r="J7" i="8"/>
  <c r="J8" i="8"/>
  <c r="J9" i="8"/>
  <c r="H9" i="8"/>
  <c r="I9" i="8"/>
  <c r="H8" i="8"/>
  <c r="I8" i="8"/>
  <c r="H7" i="8"/>
  <c r="I7" i="8"/>
  <c r="H6" i="8"/>
  <c r="I6" i="8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P20" i="4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P19" i="4"/>
  <c r="I5" i="8"/>
  <c r="I4" i="8"/>
  <c r="I3" i="8"/>
  <c r="I2" i="8"/>
  <c r="H5" i="8"/>
  <c r="H4" i="8"/>
  <c r="H3" i="8"/>
  <c r="H2" i="8"/>
  <c r="J5" i="8"/>
  <c r="J4" i="8"/>
  <c r="J3" i="8"/>
  <c r="J2" i="8"/>
  <c r="P121" i="3"/>
  <c r="Q121" i="3"/>
  <c r="P74" i="3"/>
  <c r="Q74" i="3"/>
  <c r="P82" i="3"/>
  <c r="Q82" i="3"/>
  <c r="P98" i="3"/>
  <c r="Q98" i="3"/>
  <c r="M12" i="3"/>
  <c r="N12" i="3"/>
  <c r="O12" i="3"/>
  <c r="P12" i="3"/>
  <c r="Q12" i="3"/>
  <c r="M26" i="3"/>
  <c r="N26" i="3"/>
  <c r="O26" i="3"/>
  <c r="P26" i="3"/>
  <c r="Q26" i="3"/>
  <c r="M32" i="3"/>
  <c r="N32" i="3"/>
  <c r="O32" i="3"/>
  <c r="P32" i="3"/>
  <c r="Q32" i="3"/>
  <c r="M35" i="3"/>
  <c r="N35" i="3"/>
  <c r="O35" i="3"/>
  <c r="P35" i="3"/>
  <c r="Q35" i="3"/>
  <c r="M2" i="3"/>
  <c r="N2" i="3"/>
  <c r="O2" i="3"/>
  <c r="P2" i="3"/>
  <c r="Q2" i="3"/>
  <c r="M3" i="3"/>
  <c r="N3" i="3"/>
  <c r="O3" i="3"/>
  <c r="P3" i="3"/>
  <c r="Q3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3" i="3"/>
  <c r="N33" i="3"/>
  <c r="O33" i="3"/>
  <c r="P33" i="3"/>
  <c r="Q33" i="3"/>
  <c r="M34" i="3"/>
  <c r="N34" i="3"/>
  <c r="O34" i="3"/>
  <c r="P34" i="3"/>
  <c r="Q34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Q129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L17" i="6"/>
  <c r="O17" i="6"/>
  <c r="O112" i="3"/>
  <c r="N112" i="3"/>
  <c r="M112" i="3"/>
  <c r="O111" i="3"/>
  <c r="N111" i="3"/>
  <c r="M111" i="3"/>
  <c r="O110" i="3"/>
  <c r="N110" i="3"/>
  <c r="M110" i="3"/>
  <c r="L15" i="6"/>
  <c r="O109" i="3"/>
  <c r="N109" i="3"/>
  <c r="M109" i="3"/>
  <c r="O108" i="3"/>
  <c r="N108" i="3"/>
  <c r="M108" i="3"/>
  <c r="O107" i="3"/>
  <c r="N107" i="3"/>
  <c r="M107" i="3"/>
  <c r="O106" i="3"/>
  <c r="N106" i="3"/>
  <c r="M106" i="3"/>
  <c r="P18" i="4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P17" i="4"/>
  <c r="L3" i="6"/>
  <c r="O3" i="6"/>
  <c r="N3" i="6"/>
  <c r="P3" i="6"/>
  <c r="L4" i="6"/>
  <c r="O4" i="6"/>
  <c r="N4" i="6"/>
  <c r="P4" i="6"/>
  <c r="L5" i="6"/>
  <c r="O5" i="6"/>
  <c r="N5" i="6"/>
  <c r="P5" i="6"/>
  <c r="L6" i="6"/>
  <c r="O6" i="6"/>
  <c r="N6" i="6"/>
  <c r="P6" i="6"/>
  <c r="L7" i="6"/>
  <c r="O7" i="6"/>
  <c r="N7" i="6"/>
  <c r="P7" i="6"/>
  <c r="L8" i="6"/>
  <c r="O8" i="6"/>
  <c r="N8" i="6"/>
  <c r="P8" i="6"/>
  <c r="L9" i="6"/>
  <c r="O9" i="6"/>
  <c r="N9" i="6"/>
  <c r="P9" i="6"/>
  <c r="L10" i="6"/>
  <c r="O10" i="6"/>
  <c r="N10" i="6"/>
  <c r="P10" i="6"/>
  <c r="L11" i="6"/>
  <c r="O11" i="6"/>
  <c r="N11" i="6"/>
  <c r="P11" i="6"/>
  <c r="L12" i="6"/>
  <c r="O12" i="6"/>
  <c r="N12" i="6"/>
  <c r="P12" i="6"/>
  <c r="L13" i="6"/>
  <c r="O13" i="6"/>
  <c r="N13" i="6"/>
  <c r="P13" i="6"/>
  <c r="L14" i="6"/>
  <c r="O14" i="6"/>
  <c r="N14" i="6"/>
  <c r="P14" i="6"/>
  <c r="O15" i="6"/>
  <c r="N15" i="6"/>
  <c r="P15" i="6"/>
  <c r="L16" i="6"/>
  <c r="O16" i="6"/>
  <c r="N16" i="6"/>
  <c r="P16" i="6"/>
  <c r="N17" i="6"/>
  <c r="P17" i="6"/>
  <c r="L2" i="6"/>
  <c r="N2" i="6"/>
  <c r="P2" i="6"/>
  <c r="O2" i="6"/>
  <c r="O100" i="3"/>
  <c r="N100" i="3"/>
  <c r="M100" i="3"/>
  <c r="O99" i="3"/>
  <c r="N99" i="3"/>
  <c r="M99" i="3"/>
  <c r="O98" i="3"/>
  <c r="N98" i="3"/>
  <c r="M98" i="3"/>
  <c r="P16" i="4"/>
  <c r="L15" i="4"/>
  <c r="M15" i="4"/>
  <c r="R15" i="4"/>
  <c r="S15" i="4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M92" i="3"/>
  <c r="N92" i="3"/>
  <c r="O91" i="3"/>
  <c r="N91" i="3"/>
  <c r="M91" i="3"/>
  <c r="O90" i="3"/>
  <c r="N90" i="3"/>
  <c r="M90" i="3"/>
  <c r="O89" i="3"/>
  <c r="N89" i="3"/>
  <c r="M89" i="3"/>
  <c r="P14" i="4"/>
  <c r="H3" i="6"/>
  <c r="H4" i="6"/>
  <c r="H5" i="6"/>
  <c r="H6" i="6"/>
  <c r="H7" i="6"/>
  <c r="H8" i="6"/>
  <c r="H9" i="6"/>
  <c r="H2" i="6"/>
  <c r="F5" i="6"/>
  <c r="F3" i="6"/>
  <c r="G3" i="6"/>
  <c r="F4" i="6"/>
  <c r="G4" i="6"/>
  <c r="G5" i="6"/>
  <c r="F6" i="6"/>
  <c r="G6" i="6"/>
  <c r="F7" i="6"/>
  <c r="G7" i="6"/>
  <c r="F8" i="6"/>
  <c r="G8" i="6"/>
  <c r="F9" i="6"/>
  <c r="G9" i="6"/>
  <c r="F2" i="6"/>
  <c r="G2" i="6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P13" i="4"/>
  <c r="E122" i="5"/>
  <c r="E123" i="5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121" i="5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L12" i="4"/>
  <c r="M12" i="4"/>
  <c r="P12" i="4"/>
  <c r="R12" i="4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R56" i="3"/>
  <c r="O57" i="3"/>
  <c r="N57" i="3"/>
  <c r="M57" i="3"/>
  <c r="O56" i="3"/>
  <c r="N56" i="3"/>
  <c r="M56" i="3"/>
  <c r="O55" i="3"/>
  <c r="N55" i="3"/>
  <c r="M55" i="3"/>
  <c r="O54" i="3"/>
  <c r="N54" i="3"/>
  <c r="M54" i="3"/>
  <c r="L11" i="4"/>
  <c r="P11" i="4"/>
  <c r="R53" i="3"/>
  <c r="S53" i="3"/>
  <c r="R52" i="3"/>
  <c r="S52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P10" i="4"/>
  <c r="L10" i="4"/>
  <c r="M10" i="4"/>
  <c r="R10" i="4"/>
  <c r="R47" i="3"/>
  <c r="T47" i="3"/>
  <c r="L9" i="4"/>
  <c r="M9" i="4"/>
  <c r="R9" i="4"/>
  <c r="O9" i="4"/>
  <c r="S32" i="3"/>
  <c r="S28" i="3"/>
  <c r="S27" i="3"/>
  <c r="S25" i="3"/>
  <c r="S22" i="3"/>
  <c r="S21" i="3"/>
  <c r="S20" i="3"/>
  <c r="S19" i="3"/>
  <c r="S14" i="3"/>
  <c r="S13" i="3"/>
  <c r="S8" i="3"/>
  <c r="S42" i="3"/>
  <c r="L8" i="4"/>
  <c r="M8" i="4"/>
  <c r="R8" i="4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L5" i="4"/>
  <c r="M5" i="4"/>
  <c r="R5" i="4"/>
  <c r="S5" i="4"/>
  <c r="L6" i="4"/>
  <c r="M6" i="4"/>
  <c r="R6" i="4"/>
  <c r="S6" i="4"/>
  <c r="L7" i="4"/>
  <c r="M7" i="4"/>
  <c r="R7" i="4"/>
  <c r="S7" i="4"/>
  <c r="S8" i="4"/>
  <c r="S9" i="4"/>
  <c r="S10" i="4"/>
  <c r="M11" i="4"/>
  <c r="R11" i="4"/>
  <c r="S11" i="4"/>
  <c r="S12" i="4"/>
  <c r="L13" i="4"/>
  <c r="M13" i="4"/>
  <c r="R13" i="4"/>
  <c r="S13" i="4"/>
  <c r="L14" i="4"/>
  <c r="M14" i="4"/>
  <c r="R14" i="4"/>
  <c r="S14" i="4"/>
  <c r="L16" i="4"/>
  <c r="M16" i="4"/>
  <c r="R16" i="4"/>
  <c r="S16" i="4"/>
  <c r="L17" i="4"/>
  <c r="M17" i="4"/>
  <c r="R17" i="4"/>
  <c r="S17" i="4"/>
  <c r="L18" i="4"/>
  <c r="M18" i="4"/>
  <c r="R18" i="4"/>
  <c r="S18" i="4"/>
  <c r="L19" i="4"/>
  <c r="M19" i="4"/>
  <c r="R19" i="4"/>
  <c r="S19" i="4"/>
  <c r="L20" i="4"/>
  <c r="M20" i="4"/>
  <c r="R20" i="4"/>
  <c r="S20" i="4"/>
  <c r="L21" i="4"/>
  <c r="M21" i="4"/>
  <c r="R21" i="4"/>
  <c r="S21" i="4"/>
  <c r="S23" i="4"/>
  <c r="L24" i="4"/>
  <c r="M24" i="4"/>
  <c r="R24" i="4"/>
  <c r="S24" i="4"/>
  <c r="L27" i="4"/>
  <c r="M27" i="4"/>
  <c r="R27" i="4"/>
  <c r="S27" i="4"/>
  <c r="L28" i="4"/>
  <c r="M28" i="4"/>
  <c r="R28" i="4"/>
  <c r="S28" i="4"/>
  <c r="L29" i="4"/>
  <c r="M29" i="4"/>
  <c r="R29" i="4"/>
  <c r="S29" i="4"/>
  <c r="L30" i="4"/>
  <c r="M30" i="4"/>
  <c r="R30" i="4"/>
  <c r="S30" i="4"/>
  <c r="L31" i="4"/>
  <c r="M31" i="4"/>
  <c r="R31" i="4"/>
  <c r="S31" i="4"/>
  <c r="L32" i="4"/>
  <c r="M32" i="4"/>
  <c r="R32" i="4"/>
  <c r="S32" i="4"/>
  <c r="L33" i="4"/>
  <c r="M33" i="4"/>
  <c r="R33" i="4"/>
  <c r="S33" i="4"/>
  <c r="L34" i="4"/>
  <c r="M34" i="4"/>
  <c r="R34" i="4"/>
  <c r="S34" i="4"/>
  <c r="L35" i="4"/>
  <c r="M35" i="4"/>
  <c r="R35" i="4"/>
  <c r="S35" i="4"/>
  <c r="M36" i="4"/>
  <c r="R36" i="4"/>
  <c r="S36" i="4"/>
  <c r="L38" i="4"/>
  <c r="M38" i="4"/>
  <c r="R38" i="4"/>
  <c r="S38" i="4"/>
  <c r="L39" i="4"/>
  <c r="M39" i="4"/>
  <c r="R39" i="4"/>
  <c r="S39" i="4"/>
  <c r="L40" i="4"/>
  <c r="M40" i="4"/>
  <c r="R40" i="4"/>
  <c r="S40" i="4"/>
  <c r="M41" i="4"/>
  <c r="R41" i="4"/>
  <c r="S41" i="4"/>
  <c r="L42" i="4"/>
  <c r="M42" i="4"/>
  <c r="R42" i="4"/>
  <c r="S42" i="4"/>
  <c r="L43" i="4"/>
  <c r="M43" i="4"/>
  <c r="R43" i="4"/>
  <c r="S43" i="4"/>
  <c r="L44" i="4"/>
  <c r="M44" i="4"/>
  <c r="R44" i="4"/>
  <c r="S44" i="4"/>
  <c r="L45" i="4"/>
  <c r="M45" i="4"/>
  <c r="R45" i="4"/>
  <c r="S45" i="4"/>
  <c r="L46" i="4"/>
  <c r="M46" i="4"/>
  <c r="R46" i="4"/>
  <c r="S46" i="4"/>
  <c r="L47" i="4"/>
  <c r="M47" i="4"/>
  <c r="R47" i="4"/>
  <c r="S47" i="4"/>
  <c r="L48" i="4"/>
  <c r="M48" i="4"/>
  <c r="R48" i="4"/>
  <c r="S48" i="4"/>
  <c r="L4" i="4"/>
  <c r="M4" i="4"/>
  <c r="R4" i="4"/>
  <c r="S4" i="4"/>
  <c r="L3" i="4"/>
  <c r="R5" i="3"/>
  <c r="R6" i="3"/>
  <c r="R7" i="3"/>
  <c r="R10" i="3"/>
  <c r="R9" i="3"/>
  <c r="R8" i="3"/>
  <c r="N4" i="4"/>
  <c r="O4" i="4"/>
  <c r="N3" i="4"/>
  <c r="O3" i="4"/>
  <c r="M3" i="4"/>
  <c r="P3" i="4"/>
  <c r="S3" i="4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8" i="3"/>
  <c r="R49" i="3"/>
  <c r="R50" i="3"/>
  <c r="R51" i="3"/>
  <c r="R54" i="3"/>
  <c r="R55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4" i="3"/>
  <c r="R2" i="3"/>
  <c r="T2" i="3"/>
  <c r="R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</calcChain>
</file>

<file path=xl/comments1.xml><?xml version="1.0" encoding="utf-8"?>
<comments xmlns="http://schemas.openxmlformats.org/spreadsheetml/2006/main">
  <authors>
    <author>Laura Spencer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Maybe replace A1-1, since only 67k, and from first day. </t>
        </r>
      </text>
    </comment>
    <comment ref="C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Stocked 4 groups from 11/13, and only 2 from 9/10. 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B2-1
</t>
        </r>
      </text>
    </comment>
    <comment ref="D8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C2-1
</t>
        </r>
      </text>
    </comment>
    <comment ref="D8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D1-1, since ran out of silos and want to stock oysters that correspond to non-ethanol taineted samples
</t>
        </r>
      </text>
    </comment>
    <comment ref="D9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Sprinkled microcultch 1 day late. </t>
        </r>
      </text>
    </comment>
    <comment ref="D10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CRAP, sprinkled microcultch 2 days too early</t>
        </r>
      </text>
    </comment>
    <comment ref="D10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from 4/5 for ethanol purposes, and to have equal D2 rep
</t>
        </r>
      </text>
    </comment>
    <comment ref="D12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B2-4 FROM 4/5 - NEEDED A 9/10 GROUP
</t>
        </r>
      </text>
    </comment>
    <comment ref="D1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C2-6 from 4/16, needed one more 20/22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P1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Started using new mixing tank, which has volume lines in gallons, so here I con ert 20 gallons to the # mL
</t>
        </r>
      </text>
    </comment>
    <comment ref="G1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Left out this count - very different from others
</t>
        </r>
      </text>
    </comment>
    <comment ref="P3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+ 12L
</t>
        </r>
      </text>
    </comment>
    <comment ref="B3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UNABLE TO MAKE IT TO HATCHERY; MISSED WATER CHANGE. </t>
        </r>
      </text>
    </comment>
    <comment ref="P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Only need ~8 gallons, prep 10 gallons.
</t>
        </r>
      </text>
    </comment>
    <comment ref="P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E1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SOME - COUNT WAS 645 BUT IS LIKELY LOW DUE TO SPILL</t>
        </r>
      </text>
    </comment>
    <comment ref="B1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REPLACEMENT</t>
        </r>
      </text>
    </comment>
  </commentList>
</comments>
</file>

<file path=xl/sharedStrings.xml><?xml version="1.0" encoding="utf-8"?>
<sst xmlns="http://schemas.openxmlformats.org/spreadsheetml/2006/main" count="1988" uniqueCount="396">
  <si>
    <t>Date</t>
  </si>
  <si>
    <t>Treatment</t>
  </si>
  <si>
    <t>Count 1</t>
  </si>
  <si>
    <t>Count 2</t>
  </si>
  <si>
    <t>Count 3</t>
  </si>
  <si>
    <t>Count 4</t>
  </si>
  <si>
    <t>Count 5</t>
  </si>
  <si>
    <t>Average Count</t>
  </si>
  <si>
    <t>Cells/mL</t>
  </si>
  <si>
    <t>Flagellate Strain</t>
  </si>
  <si>
    <t>Diatom Strain</t>
  </si>
  <si>
    <t>Final concentration check</t>
  </si>
  <si>
    <t>Water Change Algae Calculations</t>
  </si>
  <si>
    <t># tripours to fill (800ml)</t>
  </si>
  <si>
    <t>Date collected</t>
  </si>
  <si>
    <t>Vol. for count (mL)</t>
  </si>
  <si>
    <t>Total Vol (mL)</t>
  </si>
  <si>
    <t># Larvae Collected</t>
  </si>
  <si>
    <t># Larvae actually stocked</t>
  </si>
  <si>
    <t>Approx. larvae sampled</t>
  </si>
  <si>
    <t>n/a</t>
  </si>
  <si>
    <t>Bag #</t>
  </si>
  <si>
    <t>Volume needed for 800 larvae</t>
  </si>
  <si>
    <t>Notes</t>
  </si>
  <si>
    <t>Silo Number</t>
  </si>
  <si>
    <t>CGW</t>
  </si>
  <si>
    <t>Diatom Volume (L)</t>
  </si>
  <si>
    <t>Tiso</t>
  </si>
  <si>
    <t>A2</t>
  </si>
  <si>
    <t>B1</t>
  </si>
  <si>
    <t>Count A LIVE</t>
  </si>
  <si>
    <t>Count A DEAD</t>
  </si>
  <si>
    <t>Count B LIVE</t>
  </si>
  <si>
    <t>Count B DEAD</t>
  </si>
  <si>
    <t>Count C LIVE</t>
  </si>
  <si>
    <t>Count C DEAD</t>
  </si>
  <si>
    <t>B2</t>
  </si>
  <si>
    <t>A1</t>
  </si>
  <si>
    <t>11 or 13</t>
  </si>
  <si>
    <t>1 or 15</t>
  </si>
  <si>
    <t>Mean Larvae / mL</t>
  </si>
  <si>
    <t>CM</t>
  </si>
  <si>
    <t>9 or 10</t>
  </si>
  <si>
    <t>Target algae concentration (cells/mL)</t>
  </si>
  <si>
    <t>Volume algae to add to FSW</t>
  </si>
  <si>
    <t>Volume medium needed</t>
  </si>
  <si>
    <t>Volume FSW using for medium</t>
  </si>
  <si>
    <t>B1-2</t>
  </si>
  <si>
    <t>A2-1</t>
  </si>
  <si>
    <t>B1-1</t>
  </si>
  <si>
    <t>26 or 24</t>
  </si>
  <si>
    <t>B2-1</t>
  </si>
  <si>
    <t>B2-2</t>
  </si>
  <si>
    <t>not stocked</t>
  </si>
  <si>
    <t>Larvae sample Number (in -80)</t>
  </si>
  <si>
    <t>2 larval samples - 5A and 5B</t>
  </si>
  <si>
    <t>2 larval samples - 7A and 7B</t>
  </si>
  <si>
    <t>Count 6</t>
  </si>
  <si>
    <t>Flagellate Volume (L)</t>
  </si>
  <si>
    <t>D2</t>
  </si>
  <si>
    <t>6 or 7</t>
  </si>
  <si>
    <t>D1</t>
  </si>
  <si>
    <t>17 or 28</t>
  </si>
  <si>
    <t>A2-3</t>
  </si>
  <si>
    <t>B1-3</t>
  </si>
  <si>
    <t>not sampled</t>
  </si>
  <si>
    <t>12 or 14</t>
  </si>
  <si>
    <t>3 or 4</t>
  </si>
  <si>
    <t>5 or 16</t>
  </si>
  <si>
    <t>23 or 25</t>
  </si>
  <si>
    <t>2 or 8</t>
  </si>
  <si>
    <t>D1-1</t>
  </si>
  <si>
    <t>D1-2</t>
  </si>
  <si>
    <t>D2-1</t>
  </si>
  <si>
    <t>B2-3</t>
  </si>
  <si>
    <t>B1-4</t>
  </si>
  <si>
    <t>A1-2</t>
  </si>
  <si>
    <t>Diluted with 2L FSW. Started pulling from carboys to avoid ciliates. Will do this from now on, using same strains (609, CM) every time</t>
  </si>
  <si>
    <t>24 or 26</t>
  </si>
  <si>
    <t>A1-3</t>
  </si>
  <si>
    <t>D2-2</t>
  </si>
  <si>
    <t>Bag</t>
  </si>
  <si>
    <t># Dead</t>
  </si>
  <si>
    <t>C1</t>
  </si>
  <si>
    <t>C2</t>
  </si>
  <si>
    <t>n/r</t>
  </si>
  <si>
    <t>First morts in spawning buckets</t>
  </si>
  <si>
    <t>Cumulative dead</t>
  </si>
  <si>
    <t>Low food, low temp</t>
  </si>
  <si>
    <t>Low food, high temp</t>
  </si>
  <si>
    <t>High food, low temp</t>
  </si>
  <si>
    <t>High food, high temp</t>
  </si>
  <si>
    <t>TOTAL LARVAE TO DATE</t>
  </si>
  <si>
    <t>TOTAL BROODSTOCK MORTS TO DATE</t>
  </si>
  <si>
    <t>Diluted with 2L FSW. 609 was lighter than CM, so I used 1.5L of that and only 1L of CM.</t>
  </si>
  <si>
    <t>31 or 32</t>
  </si>
  <si>
    <t>19 or 21</t>
  </si>
  <si>
    <t>20 or 22</t>
  </si>
  <si>
    <t>C1-1</t>
  </si>
  <si>
    <t>A2-2</t>
  </si>
  <si>
    <t>C2-1</t>
  </si>
  <si>
    <t>B2-4</t>
  </si>
  <si>
    <t>C2-2</t>
  </si>
  <si>
    <t>Total A</t>
  </si>
  <si>
    <t>Total B</t>
  </si>
  <si>
    <t>Total C</t>
  </si>
  <si>
    <t>B2-5</t>
  </si>
  <si>
    <t>D1-3</t>
  </si>
  <si>
    <t xml:space="preserve">Accidentally overstocked silo due to erroneous live/dead count. Dumped silo and replaced B2-4 on 4/5 with different spawning bucket  </t>
  </si>
  <si>
    <t>D1-4</t>
  </si>
  <si>
    <t>DILUTED WITH 4L FSW</t>
  </si>
  <si>
    <t>D2-3</t>
  </si>
  <si>
    <t>A1-4</t>
  </si>
  <si>
    <t>tossed, count error</t>
  </si>
  <si>
    <t>29 or 30</t>
  </si>
  <si>
    <t>A1-5</t>
  </si>
  <si>
    <t>C2-3</t>
  </si>
  <si>
    <t>D2-4</t>
  </si>
  <si>
    <t>C1-2</t>
  </si>
  <si>
    <t>D2-5</t>
  </si>
  <si>
    <t>18 or 27</t>
  </si>
  <si>
    <t>C1-3</t>
  </si>
  <si>
    <t>B2-6</t>
  </si>
  <si>
    <t>D1-5</t>
  </si>
  <si>
    <t>A1-6</t>
  </si>
  <si>
    <t>tossed, accidentally stocked 2days in row</t>
  </si>
  <si>
    <t>Volume Initial</t>
  </si>
  <si>
    <t>Volume Final</t>
  </si>
  <si>
    <t># Live + Dead</t>
  </si>
  <si>
    <t>Volume Displacement (mL)</t>
  </si>
  <si>
    <t># Samples Preserved</t>
  </si>
  <si>
    <t>C1-4</t>
  </si>
  <si>
    <t xml:space="preserve">Harvested another .5L CM + .5L 609, diluted with 1.6L FSW </t>
  </si>
  <si>
    <t>D2-6</t>
  </si>
  <si>
    <t>A2-4</t>
  </si>
  <si>
    <t>B1-6</t>
  </si>
  <si>
    <t>C1-5</t>
  </si>
  <si>
    <t>tossed for ethanol replacement</t>
  </si>
  <si>
    <t>Larvae normalized by volume displacement</t>
  </si>
  <si>
    <t>Volume displacement, on 4/8</t>
  </si>
  <si>
    <t># Oysters, on 4/8</t>
  </si>
  <si>
    <t>Larvae normalized by # oysters</t>
  </si>
  <si>
    <t xml:space="preserve">Same mix, needed more medium </t>
  </si>
  <si>
    <t>Same mix, needed more medium for the new larvae silos</t>
  </si>
  <si>
    <t>Total larvae, by volume</t>
  </si>
  <si>
    <t>Total larvae, per oyster</t>
  </si>
  <si>
    <t>A1-1</t>
  </si>
  <si>
    <t>A2-5</t>
  </si>
  <si>
    <t>B1-5</t>
  </si>
  <si>
    <t>A2-6</t>
  </si>
  <si>
    <t>C1-6</t>
  </si>
  <si>
    <t>D1-6</t>
  </si>
  <si>
    <t>Date stocked</t>
  </si>
  <si>
    <t>Count A</t>
  </si>
  <si>
    <t>Count B</t>
  </si>
  <si>
    <t>Count C</t>
  </si>
  <si>
    <t>Volume stocked</t>
  </si>
  <si>
    <t>Silo</t>
  </si>
  <si>
    <t>Mean Count</t>
  </si>
  <si>
    <t xml:space="preserve">SD </t>
  </si>
  <si>
    <t>% Error</t>
  </si>
  <si>
    <t>Mean</t>
  </si>
  <si>
    <t>SD</t>
  </si>
  <si>
    <t>Larval density (per mL)</t>
  </si>
  <si>
    <t>C2-4</t>
  </si>
  <si>
    <t>C2-5</t>
  </si>
  <si>
    <t>tossed, replaced on 4/14 with other group</t>
  </si>
  <si>
    <t>C1-6 (replacement)</t>
  </si>
  <si>
    <t>tossed, replaced on 4/16 with other group</t>
  </si>
  <si>
    <t>C2-6</t>
  </si>
  <si>
    <t>Made another L of mix via: 200mL 609, 200mL CM, 600mL FSW</t>
  </si>
  <si>
    <t>tossed, replaced on 4/19 with other group</t>
  </si>
  <si>
    <t>Larvae/mL</t>
  </si>
  <si>
    <t>volume for 20 larvae (uL)</t>
  </si>
  <si>
    <t xml:space="preserve">Shellfish Diet, calc for starvation experiment </t>
  </si>
  <si>
    <t xml:space="preserve">Shellfish Diet: </t>
  </si>
  <si>
    <t xml:space="preserve">Add 25ul shellfish diet to 1L FSW </t>
  </si>
  <si>
    <t>I will use this calculation for all subsequent feeding experiment trials.</t>
  </si>
  <si>
    <t>Rep 1</t>
  </si>
  <si>
    <t>Rep 2</t>
  </si>
  <si>
    <t>Rep 3</t>
  </si>
  <si>
    <t>Volume for 10mL</t>
  </si>
  <si>
    <t>Shell Diet</t>
  </si>
  <si>
    <t>FSW</t>
  </si>
  <si>
    <t>-</t>
  </si>
  <si>
    <t>Heat Shock</t>
  </si>
  <si>
    <t>No Heat Shock</t>
  </si>
  <si>
    <t>2</t>
  </si>
  <si>
    <t>1</t>
  </si>
  <si>
    <t>3</t>
  </si>
  <si>
    <t>4</t>
  </si>
  <si>
    <t>5</t>
  </si>
  <si>
    <t>6</t>
  </si>
  <si>
    <t>These were exposed to 28C for 16 hours, then put back in 18C incubator</t>
  </si>
  <si>
    <t># OYSTERS, 4/8</t>
  </si>
  <si>
    <t>Larval Spawn Table</t>
  </si>
  <si>
    <t>DATE</t>
  </si>
  <si>
    <t>LOW FOOD LOW TEMP</t>
  </si>
  <si>
    <t>LOW FOOD HIGH TEMP</t>
  </si>
  <si>
    <t>HIGH FOOD LOW TEMP</t>
  </si>
  <si>
    <t xml:space="preserve">HIGH FOOD HIGHT TEMP </t>
  </si>
  <si>
    <t>TOTAL</t>
  </si>
  <si>
    <t>Volume displacement, 4/17-4/22</t>
  </si>
  <si>
    <t>Volume displacement, 4/22-4/27</t>
  </si>
  <si>
    <t>Volume displacement, 3/30-4/14</t>
  </si>
  <si>
    <t>Volume displacement,  4/14-4/17</t>
  </si>
  <si>
    <t>Volume displacement, ON 4/22</t>
  </si>
  <si>
    <r>
      <t xml:space="preserve">DATE </t>
    </r>
    <r>
      <rPr>
        <b/>
        <sz val="16"/>
        <color theme="1"/>
        <rFont val="Wingdings"/>
      </rPr>
      <t xml:space="preserve"> </t>
    </r>
    <r>
      <rPr>
        <b/>
        <sz val="16"/>
        <color theme="1"/>
        <rFont val="Calibri"/>
        <scheme val="minor"/>
      </rPr>
      <t>REP</t>
    </r>
    <r>
      <rPr>
        <b/>
        <sz val="16"/>
        <color theme="1"/>
        <rFont val="Wingdings"/>
      </rPr>
      <t></t>
    </r>
  </si>
  <si>
    <t>LARVAL PRODUCTION</t>
  </si>
  <si>
    <t>Total</t>
  </si>
  <si>
    <t>ERROR</t>
  </si>
  <si>
    <t>AVERAGES</t>
  </si>
  <si>
    <t>HEAT SHOCK TRIALS</t>
  </si>
  <si>
    <t>SOLO SPAWNING BUCKETS</t>
  </si>
  <si>
    <t>Group</t>
  </si>
  <si>
    <t>Volume Total</t>
  </si>
  <si>
    <t>Volume Sampled</t>
  </si>
  <si>
    <t>Live 1</t>
  </si>
  <si>
    <t>Dead 1</t>
  </si>
  <si>
    <t xml:space="preserve">Live 2 </t>
  </si>
  <si>
    <t>Dead 2</t>
  </si>
  <si>
    <t>Live3</t>
  </si>
  <si>
    <t>Dead 3</t>
  </si>
  <si>
    <t>Mean Larvae/mL</t>
  </si>
  <si>
    <t># Larvae</t>
  </si>
  <si>
    <t>Wet Weight</t>
  </si>
  <si>
    <t>Shell Weight</t>
  </si>
  <si>
    <t>Histo. Sample #</t>
  </si>
  <si>
    <t>Oyster length</t>
  </si>
  <si>
    <t>B1-11</t>
  </si>
  <si>
    <t>none</t>
  </si>
  <si>
    <t>B1-2A</t>
  </si>
  <si>
    <t>B1-2B</t>
  </si>
  <si>
    <t>B1-2C</t>
  </si>
  <si>
    <t>A2-3A</t>
  </si>
  <si>
    <t>A2-3B</t>
  </si>
  <si>
    <t>A2-3C</t>
  </si>
  <si>
    <t>D1-2A</t>
  </si>
  <si>
    <t>D1-2B</t>
  </si>
  <si>
    <t>D1-2C</t>
  </si>
  <si>
    <t>B2-3A</t>
  </si>
  <si>
    <t>B2-3B</t>
  </si>
  <si>
    <t>B2-3C</t>
  </si>
  <si>
    <t>A1-2A</t>
  </si>
  <si>
    <t>A1-2B</t>
  </si>
  <si>
    <t>A1-2C</t>
  </si>
  <si>
    <t>D2-1A</t>
  </si>
  <si>
    <t>D2-1B</t>
  </si>
  <si>
    <t>D2-1C</t>
  </si>
  <si>
    <t>B1-4A</t>
  </si>
  <si>
    <t>B1-4B</t>
  </si>
  <si>
    <t>B1-4C</t>
  </si>
  <si>
    <t>A1-3A</t>
  </si>
  <si>
    <t>A1-3B</t>
  </si>
  <si>
    <t>A1-3C</t>
  </si>
  <si>
    <t>D2-2A</t>
  </si>
  <si>
    <t>D2-2B</t>
  </si>
  <si>
    <t>D2-2C</t>
  </si>
  <si>
    <t>C2-2A</t>
  </si>
  <si>
    <t>C2-2B</t>
  </si>
  <si>
    <t>C2-2C</t>
  </si>
  <si>
    <t>C1-1A</t>
  </si>
  <si>
    <t>C1-1B</t>
  </si>
  <si>
    <t>C1-1C</t>
  </si>
  <si>
    <t>D1-3A</t>
  </si>
  <si>
    <t>D1-3B</t>
  </si>
  <si>
    <t>D1-3C</t>
  </si>
  <si>
    <t>A2-2A</t>
  </si>
  <si>
    <t>A2-2B</t>
  </si>
  <si>
    <t>A2-2C</t>
  </si>
  <si>
    <t>B2-5A</t>
  </si>
  <si>
    <t>B2-5B</t>
  </si>
  <si>
    <t>B2-5C</t>
  </si>
  <si>
    <t>B2-6A</t>
  </si>
  <si>
    <t>B2-6B</t>
  </si>
  <si>
    <t>B2-6C</t>
  </si>
  <si>
    <t>D1-4A</t>
  </si>
  <si>
    <t>D1-4B</t>
  </si>
  <si>
    <t>D1-4C</t>
  </si>
  <si>
    <t>C2-3A</t>
  </si>
  <si>
    <t>C2-3B</t>
  </si>
  <si>
    <t>C2-3C</t>
  </si>
  <si>
    <t>D2-4A</t>
  </si>
  <si>
    <t>D2-4B</t>
  </si>
  <si>
    <t>D2-4C</t>
  </si>
  <si>
    <t>C1-2A</t>
  </si>
  <si>
    <t>C1-2B</t>
  </si>
  <si>
    <t>C1-2C</t>
  </si>
  <si>
    <t>D2-5A</t>
  </si>
  <si>
    <t>D2-5C</t>
  </si>
  <si>
    <t>D2-5B</t>
  </si>
  <si>
    <t>D1-5A</t>
  </si>
  <si>
    <t>D1-5B</t>
  </si>
  <si>
    <t>D1-5C</t>
  </si>
  <si>
    <t>A1-5A</t>
  </si>
  <si>
    <t>A1-5B</t>
  </si>
  <si>
    <t>A1-5C</t>
  </si>
  <si>
    <t>A1-6A</t>
  </si>
  <si>
    <t>A1-6C</t>
  </si>
  <si>
    <t>A1-6B</t>
  </si>
  <si>
    <t>B1-3A</t>
  </si>
  <si>
    <t>B1-3B</t>
  </si>
  <si>
    <t>B1-3C</t>
  </si>
  <si>
    <t>C1-3A</t>
  </si>
  <si>
    <t>C1-3B</t>
  </si>
  <si>
    <t>C1-3C</t>
  </si>
  <si>
    <t>A2-1A</t>
  </si>
  <si>
    <t>A2-1B</t>
  </si>
  <si>
    <t>A2-1C</t>
  </si>
  <si>
    <t>B1-1A</t>
  </si>
  <si>
    <t>B1-1B</t>
  </si>
  <si>
    <t>B1-1C</t>
  </si>
  <si>
    <t>B</t>
  </si>
  <si>
    <t>A</t>
  </si>
  <si>
    <t>D</t>
  </si>
  <si>
    <t>C</t>
  </si>
  <si>
    <t>TRT</t>
  </si>
  <si>
    <t>TRT-REP</t>
  </si>
  <si>
    <t>D2-6A</t>
  </si>
  <si>
    <t>D2-6B</t>
  </si>
  <si>
    <t>D2-6C</t>
  </si>
  <si>
    <t>C1-4A</t>
  </si>
  <si>
    <t>C1-4B</t>
  </si>
  <si>
    <t>C1-4C</t>
  </si>
  <si>
    <t>B2-1A</t>
  </si>
  <si>
    <t>B2-1B</t>
  </si>
  <si>
    <t>B2-1C</t>
  </si>
  <si>
    <t>C2-1A</t>
  </si>
  <si>
    <t>C2-1B</t>
  </si>
  <si>
    <t>C2-1C</t>
  </si>
  <si>
    <t>D1-1A</t>
  </si>
  <si>
    <t>D1-1B</t>
  </si>
  <si>
    <t>D1-1C</t>
  </si>
  <si>
    <t>C1-5A</t>
  </si>
  <si>
    <t>C1-5B</t>
  </si>
  <si>
    <t>C1-5C</t>
  </si>
  <si>
    <t>B2-2A</t>
  </si>
  <si>
    <t>B2-2B</t>
  </si>
  <si>
    <t>B2-2C</t>
  </si>
  <si>
    <t>B1-5A</t>
  </si>
  <si>
    <t>B1-5B</t>
  </si>
  <si>
    <t>B1-5C</t>
  </si>
  <si>
    <t>A1-1A</t>
  </si>
  <si>
    <t>A1-1B</t>
  </si>
  <si>
    <t>A1-1C</t>
  </si>
  <si>
    <t>D2-3A</t>
  </si>
  <si>
    <t>D2-3B</t>
  </si>
  <si>
    <t>D2-3C</t>
  </si>
  <si>
    <t>A2-6A</t>
  </si>
  <si>
    <t>A2-6B</t>
  </si>
  <si>
    <t>A2-6C</t>
  </si>
  <si>
    <t>D1-6A</t>
  </si>
  <si>
    <t>D1-6B</t>
  </si>
  <si>
    <t>D1-6C</t>
  </si>
  <si>
    <t>A1-4A</t>
  </si>
  <si>
    <t>A1-4B</t>
  </si>
  <si>
    <t>A1-4C</t>
  </si>
  <si>
    <t>C1-6A</t>
  </si>
  <si>
    <t>C1-6B</t>
  </si>
  <si>
    <t>C1-6C</t>
  </si>
  <si>
    <t>C2-4A</t>
  </si>
  <si>
    <t>C2-4B</t>
  </si>
  <si>
    <t>C2-4C</t>
  </si>
  <si>
    <t>A2-5A</t>
  </si>
  <si>
    <t>A2-5B</t>
  </si>
  <si>
    <t>A2-5C</t>
  </si>
  <si>
    <t>B2-4A</t>
  </si>
  <si>
    <t>B2-4B</t>
  </si>
  <si>
    <t>B2-4C</t>
  </si>
  <si>
    <t>C2-5A</t>
  </si>
  <si>
    <t>C2-5B</t>
  </si>
  <si>
    <t>C2-5C</t>
  </si>
  <si>
    <t>C2-6A</t>
  </si>
  <si>
    <t>C2-6B</t>
  </si>
  <si>
    <t>C2-6C</t>
  </si>
  <si>
    <t>B1-6A</t>
  </si>
  <si>
    <t>B1-6B</t>
  </si>
  <si>
    <t>B1-6C</t>
  </si>
  <si>
    <t>A2-4A</t>
  </si>
  <si>
    <t>A2-4B</t>
  </si>
  <si>
    <t>A2-4C</t>
  </si>
  <si>
    <t>Whoops, accidentally undid these counts, but it was 100k cells/mL</t>
  </si>
  <si>
    <t>Live.50.days</t>
  </si>
  <si>
    <t>Singles.50.days</t>
  </si>
  <si>
    <t>Silo.50.days</t>
  </si>
  <si>
    <t>Screen.50.days</t>
  </si>
  <si>
    <t>Age.imaged.final.count</t>
  </si>
  <si>
    <t>Date.imaged</t>
  </si>
  <si>
    <t>Age.initial.count</t>
  </si>
  <si>
    <t>Date.initial.count</t>
  </si>
  <si>
    <t>Date.stocked</t>
  </si>
  <si>
    <t>Singles.35.days</t>
  </si>
  <si>
    <t>Silo.35.days</t>
  </si>
  <si>
    <t>Screen.35.days</t>
  </si>
  <si>
    <t>Live.35.days</t>
  </si>
  <si>
    <t>Alive during spawning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</si>
</sst>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_(* #,##0.0000_);_(* \(#,##0.0000\);_(* &quot;-&quot;??_);_(@_)"/>
    <numFmt numFmtId="168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0" tint="-0.499984740745262"/>
      <name val="Calibri"/>
      <scheme val="minor"/>
    </font>
    <font>
      <i/>
      <sz val="12"/>
      <color theme="0" tint="-0.499984740745262"/>
      <name val="Calibri"/>
      <scheme val="minor"/>
    </font>
    <font>
      <b/>
      <sz val="14"/>
      <color theme="1"/>
      <name val="Calibri"/>
      <scheme val="minor"/>
    </font>
    <font>
      <b/>
      <i/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i/>
      <sz val="16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4"/>
      <color rgb="FF000000"/>
      <name val="Calibri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Wingdings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FBF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1154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8">
    <xf numFmtId="0" fontId="0" fillId="0" borderId="0" xfId="0"/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4" fontId="8" fillId="0" borderId="0" xfId="1" applyNumberFormat="1" applyFont="1"/>
    <xf numFmtId="0" fontId="4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5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0" fontId="0" fillId="2" borderId="1" xfId="1" applyNumberFormat="1" applyFont="1" applyFill="1" applyBorder="1"/>
    <xf numFmtId="164" fontId="8" fillId="0" borderId="1" xfId="1" applyNumberFormat="1" applyFont="1" applyBorder="1"/>
    <xf numFmtId="0" fontId="10" fillId="0" borderId="0" xfId="0" applyFont="1"/>
    <xf numFmtId="0" fontId="11" fillId="0" borderId="0" xfId="0" applyFont="1"/>
    <xf numFmtId="164" fontId="11" fillId="0" borderId="0" xfId="1" applyNumberFormat="1" applyFont="1" applyBorder="1" applyAlignment="1">
      <alignment wrapText="1"/>
    </xf>
    <xf numFmtId="164" fontId="11" fillId="0" borderId="0" xfId="1" applyNumberFormat="1" applyFont="1"/>
    <xf numFmtId="164" fontId="12" fillId="0" borderId="0" xfId="1" applyNumberFormat="1" applyFont="1"/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6" fontId="13" fillId="0" borderId="0" xfId="0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43" fontId="11" fillId="0" borderId="0" xfId="1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165" fontId="11" fillId="0" borderId="0" xfId="1" applyNumberFormat="1" applyFont="1"/>
    <xf numFmtId="165" fontId="0" fillId="0" borderId="1" xfId="1" applyNumberFormat="1" applyFont="1" applyBorder="1"/>
    <xf numFmtId="0" fontId="11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11" fillId="0" borderId="0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1" xfId="1" applyNumberFormat="1" applyFont="1" applyFill="1" applyBorder="1"/>
    <xf numFmtId="166" fontId="0" fillId="3" borderId="0" xfId="0" applyNumberFormat="1" applyFill="1" applyBorder="1" applyAlignment="1">
      <alignment horizontal="right"/>
    </xf>
    <xf numFmtId="0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43" fontId="13" fillId="3" borderId="0" xfId="0" applyNumberFormat="1" applyFont="1" applyFill="1" applyAlignment="1">
      <alignment horizontal="right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11" fillId="5" borderId="0" xfId="0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0" xfId="0" applyFill="1" applyAlignment="1">
      <alignment horizontal="right"/>
    </xf>
    <xf numFmtId="3" fontId="16" fillId="2" borderId="0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166" fontId="0" fillId="4" borderId="0" xfId="0" applyNumberFormat="1" applyFill="1" applyBorder="1" applyAlignment="1">
      <alignment horizontal="right"/>
    </xf>
    <xf numFmtId="0" fontId="0" fillId="4" borderId="0" xfId="0" applyNumberFormat="1" applyFill="1" applyBorder="1" applyAlignment="1">
      <alignment horizontal="right"/>
    </xf>
    <xf numFmtId="43" fontId="0" fillId="4" borderId="0" xfId="1" applyFon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3" fontId="0" fillId="4" borderId="0" xfId="0" applyNumberFormat="1" applyFill="1" applyBorder="1" applyAlignment="1">
      <alignment horizontal="right"/>
    </xf>
    <xf numFmtId="43" fontId="0" fillId="4" borderId="0" xfId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13" fillId="4" borderId="0" xfId="0" applyFont="1" applyFill="1" applyAlignment="1">
      <alignment horizontal="left"/>
    </xf>
    <xf numFmtId="166" fontId="13" fillId="4" borderId="0" xfId="0" applyNumberFormat="1" applyFont="1" applyFill="1" applyAlignment="1">
      <alignment horizontal="right"/>
    </xf>
    <xf numFmtId="0" fontId="13" fillId="4" borderId="0" xfId="0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43" fontId="0" fillId="0" borderId="1" xfId="1" applyFont="1" applyBorder="1"/>
    <xf numFmtId="43" fontId="0" fillId="0" borderId="0" xfId="1" applyFont="1"/>
    <xf numFmtId="167" fontId="0" fillId="0" borderId="0" xfId="1" applyNumberFormat="1" applyFont="1"/>
    <xf numFmtId="166" fontId="13" fillId="0" borderId="0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0" fillId="6" borderId="0" xfId="0" applyFill="1"/>
    <xf numFmtId="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3" borderId="0" xfId="0" applyFill="1"/>
    <xf numFmtId="0" fontId="0" fillId="7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/>
    <xf numFmtId="0" fontId="0" fillId="7" borderId="0" xfId="0" applyFill="1"/>
    <xf numFmtId="0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1" applyNumberFormat="1" applyFont="1" applyFill="1"/>
    <xf numFmtId="0" fontId="0" fillId="8" borderId="0" xfId="0" applyFill="1"/>
    <xf numFmtId="166" fontId="13" fillId="3" borderId="0" xfId="0" applyNumberFormat="1" applyFont="1" applyFill="1" applyAlignment="1">
      <alignment horizontal="right"/>
    </xf>
    <xf numFmtId="1" fontId="0" fillId="3" borderId="0" xfId="0" applyNumberForma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3" fontId="17" fillId="3" borderId="0" xfId="0" applyNumberFormat="1" applyFont="1" applyFill="1" applyBorder="1" applyAlignment="1">
      <alignment horizontal="right"/>
    </xf>
    <xf numFmtId="166" fontId="0" fillId="3" borderId="2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3" fontId="0" fillId="3" borderId="2" xfId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164" fontId="4" fillId="0" borderId="0" xfId="1" applyNumberFormat="1" applyFont="1"/>
    <xf numFmtId="9" fontId="0" fillId="0" borderId="0" xfId="332" applyFont="1"/>
    <xf numFmtId="164" fontId="9" fillId="0" borderId="0" xfId="1" applyNumberFormat="1" applyFont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164" fontId="0" fillId="5" borderId="0" xfId="1" applyNumberFormat="1" applyFont="1" applyFill="1"/>
    <xf numFmtId="0" fontId="0" fillId="5" borderId="0" xfId="0" applyFill="1"/>
    <xf numFmtId="164" fontId="0" fillId="4" borderId="0" xfId="0" applyNumberFormat="1" applyFill="1" applyAlignment="1">
      <alignment horizontal="left"/>
    </xf>
    <xf numFmtId="43" fontId="0" fillId="0" borderId="1" xfId="1" applyNumberFormat="1" applyFont="1" applyBorder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167" fontId="0" fillId="0" borderId="1" xfId="1" applyNumberFormat="1" applyFont="1" applyBorder="1"/>
    <xf numFmtId="0" fontId="0" fillId="0" borderId="3" xfId="0" applyFill="1" applyBorder="1"/>
    <xf numFmtId="166" fontId="0" fillId="0" borderId="2" xfId="0" applyNumberForma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64" fontId="0" fillId="0" borderId="2" xfId="1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49" fontId="0" fillId="0" borderId="0" xfId="0" applyNumberFormat="1"/>
    <xf numFmtId="14" fontId="9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60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4" fillId="0" borderId="0" xfId="60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wrapText="1"/>
    </xf>
    <xf numFmtId="164" fontId="20" fillId="0" borderId="0" xfId="601" applyNumberFormat="1" applyFont="1" applyAlignment="1">
      <alignment horizontal="center"/>
    </xf>
    <xf numFmtId="164" fontId="20" fillId="9" borderId="0" xfId="601" applyNumberFormat="1" applyFont="1" applyFill="1" applyAlignment="1">
      <alignment horizontal="center"/>
    </xf>
    <xf numFmtId="14" fontId="11" fillId="0" borderId="0" xfId="0" applyNumberFormat="1" applyFont="1" applyAlignment="1">
      <alignment horizontal="center"/>
    </xf>
    <xf numFmtId="164" fontId="11" fillId="0" borderId="0" xfId="601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1" applyNumberFormat="1" applyFont="1" applyAlignment="1">
      <alignment horizontal="center" wrapText="1"/>
    </xf>
    <xf numFmtId="0" fontId="19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wrapText="1"/>
    </xf>
    <xf numFmtId="43" fontId="9" fillId="0" borderId="0" xfId="1" applyFont="1" applyAlignment="1">
      <alignment horizontal="center" wrapText="1"/>
    </xf>
    <xf numFmtId="0" fontId="4" fillId="5" borderId="0" xfId="0" applyFont="1" applyFill="1"/>
    <xf numFmtId="164" fontId="4" fillId="0" borderId="0" xfId="0" applyNumberFormat="1" applyFont="1"/>
    <xf numFmtId="43" fontId="4" fillId="0" borderId="0" xfId="0" applyNumberFormat="1" applyFont="1"/>
    <xf numFmtId="0" fontId="0" fillId="2" borderId="3" xfId="0" applyFill="1" applyBorder="1"/>
    <xf numFmtId="164" fontId="0" fillId="0" borderId="3" xfId="1" applyNumberFormat="1" applyFont="1" applyFill="1" applyBorder="1"/>
    <xf numFmtId="0" fontId="0" fillId="0" borderId="0" xfId="0" applyBorder="1"/>
    <xf numFmtId="10" fontId="0" fillId="0" borderId="0" xfId="332" applyNumberFormat="1" applyFont="1" applyBorder="1"/>
    <xf numFmtId="0" fontId="0" fillId="0" borderId="0" xfId="0" applyFill="1" applyBorder="1"/>
    <xf numFmtId="164" fontId="0" fillId="0" borderId="0" xfId="1" applyNumberFormat="1" applyFont="1" applyBorder="1"/>
    <xf numFmtId="164" fontId="0" fillId="0" borderId="0" xfId="332" applyNumberFormat="1" applyFont="1" applyBorder="1"/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0" xfId="0" applyFill="1" applyBorder="1"/>
    <xf numFmtId="0" fontId="13" fillId="0" borderId="0" xfId="0" applyFont="1" applyBorder="1"/>
    <xf numFmtId="14" fontId="0" fillId="0" borderId="0" xfId="0" applyNumberFormat="1" applyBorder="1"/>
    <xf numFmtId="168" fontId="0" fillId="0" borderId="0" xfId="332" applyNumberFormat="1" applyFont="1" applyBorder="1"/>
    <xf numFmtId="10" fontId="4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4" fontId="0" fillId="0" borderId="0" xfId="1" applyNumberFormat="1" applyFont="1" applyFill="1" applyBorder="1"/>
  </cellXfs>
  <cellStyles count="1154">
    <cellStyle name="Comma" xfId="1" builtinId="3"/>
    <cellStyle name="Comma 2" xfId="60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Normal" xfId="0" builtinId="0"/>
    <cellStyle name="Percent" xfId="3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'Stocking Count Check'!$J$1</c:f>
              <c:strCache>
                <c:ptCount val="1"/>
                <c:pt idx="0">
                  <c:v>%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'Stocking Count Check'!$D$2:$D$19</c:f>
              <c:numCache>
                <c:formatCode>_(* #,##0.00_);_(* \(#,##0.00\);_(* "-"??_);_(@_)</c:formatCode>
                <c:ptCount val="18"/>
                <c:pt idx="0">
                  <c:v>1.08</c:v>
                </c:pt>
                <c:pt idx="1">
                  <c:v>0.96</c:v>
                </c:pt>
                <c:pt idx="2">
                  <c:v>2.26</c:v>
                </c:pt>
                <c:pt idx="3">
                  <c:v>3.17</c:v>
                </c:pt>
                <c:pt idx="4">
                  <c:v>3.01</c:v>
                </c:pt>
                <c:pt idx="5">
                  <c:v>2.71</c:v>
                </c:pt>
                <c:pt idx="6">
                  <c:v>1.58</c:v>
                </c:pt>
                <c:pt idx="7">
                  <c:v>2.81</c:v>
                </c:pt>
                <c:pt idx="8">
                  <c:v>1.37</c:v>
                </c:pt>
                <c:pt idx="9">
                  <c:v>2.35</c:v>
                </c:pt>
                <c:pt idx="10">
                  <c:v>2.84</c:v>
                </c:pt>
                <c:pt idx="11">
                  <c:v>0.69</c:v>
                </c:pt>
                <c:pt idx="12">
                  <c:v>4.11</c:v>
                </c:pt>
                <c:pt idx="13">
                  <c:v>1.09</c:v>
                </c:pt>
                <c:pt idx="14">
                  <c:v>1.16</c:v>
                </c:pt>
                <c:pt idx="15">
                  <c:v>2.865671641791045</c:v>
                </c:pt>
                <c:pt idx="16">
                  <c:v>3.881401617250674</c:v>
                </c:pt>
                <c:pt idx="17">
                  <c:v>1.5</c:v>
                </c:pt>
              </c:numCache>
            </c:numRef>
          </c:xVal>
          <c:yVal>
            <c:numRef>
              <c:f>'Stocking Count Check'!$J$2:$J$19</c:f>
              <c:numCache>
                <c:formatCode>0%</c:formatCode>
                <c:ptCount val="18"/>
                <c:pt idx="0">
                  <c:v>0.101546906187625</c:v>
                </c:pt>
                <c:pt idx="1">
                  <c:v>0.0720833333333334</c:v>
                </c:pt>
                <c:pt idx="2">
                  <c:v>0.1416764067457</c:v>
                </c:pt>
                <c:pt idx="3">
                  <c:v>-0.0303529049928721</c:v>
                </c:pt>
                <c:pt idx="4">
                  <c:v>0.0520487264673312</c:v>
                </c:pt>
                <c:pt idx="5">
                  <c:v>0.111582061766564</c:v>
                </c:pt>
                <c:pt idx="6">
                  <c:v>-0.0450153546550821</c:v>
                </c:pt>
                <c:pt idx="7">
                  <c:v>-0.0368566731181453</c:v>
                </c:pt>
                <c:pt idx="8">
                  <c:v>0.142675898219212</c:v>
                </c:pt>
                <c:pt idx="9">
                  <c:v>0.014601585314977</c:v>
                </c:pt>
                <c:pt idx="10">
                  <c:v>0.119409219253839</c:v>
                </c:pt>
                <c:pt idx="11">
                  <c:v>-0.0354865782320593</c:v>
                </c:pt>
                <c:pt idx="12">
                  <c:v>0.0152507086061153</c:v>
                </c:pt>
                <c:pt idx="13">
                  <c:v>-0.0428802994602365</c:v>
                </c:pt>
                <c:pt idx="14">
                  <c:v>-0.0627699156202244</c:v>
                </c:pt>
                <c:pt idx="15">
                  <c:v>0.105416666666667</c:v>
                </c:pt>
                <c:pt idx="16">
                  <c:v>-0.105833333333333</c:v>
                </c:pt>
                <c:pt idx="17">
                  <c:v>0.0327287888263497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141048"/>
        <c:axId val="-2067879544"/>
      </c:scatterChart>
      <c:valAx>
        <c:axId val="-206814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Stocked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-2067879544"/>
        <c:crosses val="autoZero"/>
        <c:crossBetween val="midCat"/>
      </c:valAx>
      <c:valAx>
        <c:axId val="-2067879544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-2068141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Cumulative larvae</a:t>
            </a:r>
            <a:r>
              <a:rPr lang="en-US" sz="2400" baseline="0"/>
              <a:t> released</a:t>
            </a:r>
            <a:endParaRPr lang="en-US" sz="2400"/>
          </a:p>
        </c:rich>
      </c:tx>
      <c:layout>
        <c:manualLayout>
          <c:xMode val="edge"/>
          <c:yMode val="edge"/>
          <c:x val="0.421244817804865"/>
          <c:y val="0.06103542234332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PLOTS-raw'!$R$4:$R$31</c:f>
              <c:numCache>
                <c:formatCode>_(* #,##0_);_(* \(#,##0\);_(* "-"??_);_(@_)</c:formatCode>
                <c:ptCount val="28"/>
                <c:pt idx="0">
                  <c:v>66880.0</c:v>
                </c:pt>
                <c:pt idx="1">
                  <c:v>66880.0</c:v>
                </c:pt>
                <c:pt idx="2">
                  <c:v>66880.0</c:v>
                </c:pt>
                <c:pt idx="3">
                  <c:v>66880.0</c:v>
                </c:pt>
                <c:pt idx="4">
                  <c:v>187840.0</c:v>
                </c:pt>
                <c:pt idx="5">
                  <c:v>830062.2222222222</c:v>
                </c:pt>
                <c:pt idx="6">
                  <c:v>830062.2222222222</c:v>
                </c:pt>
                <c:pt idx="7">
                  <c:v>830062.2222222222</c:v>
                </c:pt>
                <c:pt idx="8">
                  <c:v>839512.2222222222</c:v>
                </c:pt>
                <c:pt idx="9">
                  <c:v>2.90884555555556E6</c:v>
                </c:pt>
                <c:pt idx="10">
                  <c:v>2.99342888888889E6</c:v>
                </c:pt>
                <c:pt idx="11">
                  <c:v>3.00638126984127E6</c:v>
                </c:pt>
                <c:pt idx="12">
                  <c:v>3.00638126984127E6</c:v>
                </c:pt>
                <c:pt idx="13">
                  <c:v>3.16154793650794E6</c:v>
                </c:pt>
                <c:pt idx="14">
                  <c:v>3.43514793650794E6</c:v>
                </c:pt>
                <c:pt idx="15">
                  <c:v>4.48688126984127E6</c:v>
                </c:pt>
                <c:pt idx="16">
                  <c:v>4.48688126984127E6</c:v>
                </c:pt>
                <c:pt idx="17">
                  <c:v>4.48688126984127E6</c:v>
                </c:pt>
                <c:pt idx="18">
                  <c:v>4.48688126984127E6</c:v>
                </c:pt>
                <c:pt idx="19">
                  <c:v>4.53998126984127E6</c:v>
                </c:pt>
                <c:pt idx="20">
                  <c:v>4.53998126984127E6</c:v>
                </c:pt>
                <c:pt idx="21">
                  <c:v>4.71060626984127E6</c:v>
                </c:pt>
                <c:pt idx="22">
                  <c:v>5.7289396031746E6</c:v>
                </c:pt>
                <c:pt idx="23">
                  <c:v>5.7289396031746E6</c:v>
                </c:pt>
                <c:pt idx="24">
                  <c:v>5.7289396031746E6</c:v>
                </c:pt>
                <c:pt idx="25">
                  <c:v>5.7289396031746E6</c:v>
                </c:pt>
                <c:pt idx="26">
                  <c:v>6.01282849206349E6</c:v>
                </c:pt>
                <c:pt idx="27">
                  <c:v>6.01282849206349E6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503200.0</c:v>
                </c:pt>
                <c:pt idx="5">
                  <c:v>862240.0</c:v>
                </c:pt>
                <c:pt idx="6">
                  <c:v>1.06458666666667E6</c:v>
                </c:pt>
                <c:pt idx="7">
                  <c:v>1.06458666666667E6</c:v>
                </c:pt>
                <c:pt idx="8">
                  <c:v>1.37558666666667E6</c:v>
                </c:pt>
                <c:pt idx="9">
                  <c:v>1.38592666666667E6</c:v>
                </c:pt>
                <c:pt idx="10">
                  <c:v>2.75492666666667E6</c:v>
                </c:pt>
                <c:pt idx="11">
                  <c:v>2.75492666666667E6</c:v>
                </c:pt>
                <c:pt idx="12">
                  <c:v>2.75492666666667E6</c:v>
                </c:pt>
                <c:pt idx="13">
                  <c:v>2.75492666666667E6</c:v>
                </c:pt>
                <c:pt idx="14">
                  <c:v>2.75492666666667E6</c:v>
                </c:pt>
                <c:pt idx="15">
                  <c:v>2.75492666666667E6</c:v>
                </c:pt>
                <c:pt idx="16">
                  <c:v>2.92372666666667E6</c:v>
                </c:pt>
                <c:pt idx="17">
                  <c:v>2.92372666666667E6</c:v>
                </c:pt>
                <c:pt idx="18">
                  <c:v>2.92372666666667E6</c:v>
                </c:pt>
                <c:pt idx="19">
                  <c:v>2.92372666666667E6</c:v>
                </c:pt>
                <c:pt idx="20">
                  <c:v>2.92372666666667E6</c:v>
                </c:pt>
                <c:pt idx="21">
                  <c:v>2.92372666666667E6</c:v>
                </c:pt>
                <c:pt idx="22">
                  <c:v>2.92372666666667E6</c:v>
                </c:pt>
                <c:pt idx="23">
                  <c:v>2.92372666666667E6</c:v>
                </c:pt>
                <c:pt idx="24">
                  <c:v>3.13652666666667E6</c:v>
                </c:pt>
                <c:pt idx="25">
                  <c:v>3.13652666666667E6</c:v>
                </c:pt>
                <c:pt idx="26">
                  <c:v>3.13652666666667E6</c:v>
                </c:pt>
                <c:pt idx="27">
                  <c:v>3.13652666666667E6</c:v>
                </c:pt>
                <c:pt idx="28">
                  <c:v>3.13652666666667E6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219486.6666666667</c:v>
                </c:pt>
                <c:pt idx="2">
                  <c:v>219486.6666666667</c:v>
                </c:pt>
                <c:pt idx="3">
                  <c:v>230486.6666666667</c:v>
                </c:pt>
                <c:pt idx="4">
                  <c:v>687486.6666666667</c:v>
                </c:pt>
                <c:pt idx="5">
                  <c:v>687486.6666666667</c:v>
                </c:pt>
                <c:pt idx="6">
                  <c:v>1.39202833333333E6</c:v>
                </c:pt>
                <c:pt idx="7">
                  <c:v>1.39202833333333E6</c:v>
                </c:pt>
                <c:pt idx="8">
                  <c:v>1.690495E6</c:v>
                </c:pt>
                <c:pt idx="9">
                  <c:v>1.71702166666667E6</c:v>
                </c:pt>
                <c:pt idx="10">
                  <c:v>1.71702166666667E6</c:v>
                </c:pt>
                <c:pt idx="11">
                  <c:v>1.71702166666667E6</c:v>
                </c:pt>
                <c:pt idx="12">
                  <c:v>1.71702166666667E6</c:v>
                </c:pt>
                <c:pt idx="13">
                  <c:v>1.71702166666667E6</c:v>
                </c:pt>
                <c:pt idx="14">
                  <c:v>1.71702166666667E6</c:v>
                </c:pt>
                <c:pt idx="15">
                  <c:v>2.24202166666667E6</c:v>
                </c:pt>
                <c:pt idx="16">
                  <c:v>2.59432722222222E6</c:v>
                </c:pt>
                <c:pt idx="17">
                  <c:v>3.23848722222222E6</c:v>
                </c:pt>
                <c:pt idx="18">
                  <c:v>3.23848722222222E6</c:v>
                </c:pt>
                <c:pt idx="19">
                  <c:v>3.23848722222222E6</c:v>
                </c:pt>
                <c:pt idx="20">
                  <c:v>3.23848722222222E6</c:v>
                </c:pt>
                <c:pt idx="21">
                  <c:v>3.23848722222222E6</c:v>
                </c:pt>
                <c:pt idx="22">
                  <c:v>3.23848722222222E6</c:v>
                </c:pt>
                <c:pt idx="23">
                  <c:v>3.23848722222222E6</c:v>
                </c:pt>
                <c:pt idx="24">
                  <c:v>3.23848722222222E6</c:v>
                </c:pt>
                <c:pt idx="25">
                  <c:v>3.23848722222222E6</c:v>
                </c:pt>
                <c:pt idx="26">
                  <c:v>3.23848722222222E6</c:v>
                </c:pt>
                <c:pt idx="27">
                  <c:v>3.71215388888889E6</c:v>
                </c:pt>
                <c:pt idx="28">
                  <c:v>3.71215388888889E6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124500.0</c:v>
                </c:pt>
                <c:pt idx="2">
                  <c:v>124500.0</c:v>
                </c:pt>
                <c:pt idx="3">
                  <c:v>124500.0</c:v>
                </c:pt>
                <c:pt idx="4">
                  <c:v>124500.0</c:v>
                </c:pt>
                <c:pt idx="5">
                  <c:v>392366.6666666667</c:v>
                </c:pt>
                <c:pt idx="6">
                  <c:v>392366.6666666667</c:v>
                </c:pt>
                <c:pt idx="7">
                  <c:v>392366.6666666667</c:v>
                </c:pt>
                <c:pt idx="8">
                  <c:v>392366.6666666667</c:v>
                </c:pt>
                <c:pt idx="9">
                  <c:v>401966.6666666667</c:v>
                </c:pt>
                <c:pt idx="10">
                  <c:v>639966.6666666667</c:v>
                </c:pt>
                <c:pt idx="11">
                  <c:v>639966.6666666667</c:v>
                </c:pt>
                <c:pt idx="12">
                  <c:v>869633.3333333334</c:v>
                </c:pt>
                <c:pt idx="13">
                  <c:v>869633.3333333334</c:v>
                </c:pt>
                <c:pt idx="14">
                  <c:v>980800.0000000001</c:v>
                </c:pt>
                <c:pt idx="15">
                  <c:v>980800.0000000001</c:v>
                </c:pt>
                <c:pt idx="16">
                  <c:v>980800.0000000001</c:v>
                </c:pt>
                <c:pt idx="17">
                  <c:v>980800.0000000001</c:v>
                </c:pt>
                <c:pt idx="18">
                  <c:v>980800.0000000001</c:v>
                </c:pt>
                <c:pt idx="19">
                  <c:v>995396.1904761906</c:v>
                </c:pt>
                <c:pt idx="20">
                  <c:v>995396.1904761906</c:v>
                </c:pt>
                <c:pt idx="21">
                  <c:v>995396.1904761906</c:v>
                </c:pt>
                <c:pt idx="22">
                  <c:v>995396.1904761906</c:v>
                </c:pt>
                <c:pt idx="23">
                  <c:v>995396.1904761906</c:v>
                </c:pt>
                <c:pt idx="24">
                  <c:v>995396.1904761906</c:v>
                </c:pt>
                <c:pt idx="25">
                  <c:v>995396.1904761906</c:v>
                </c:pt>
                <c:pt idx="26">
                  <c:v>995396.1904761906</c:v>
                </c:pt>
                <c:pt idx="27">
                  <c:v>995396.1904761906</c:v>
                </c:pt>
                <c:pt idx="28">
                  <c:v>995396.1904761906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42119.04761904762</c:v>
                </c:pt>
                <c:pt idx="4">
                  <c:v>359292.3809523809</c:v>
                </c:pt>
                <c:pt idx="5">
                  <c:v>359292.3809523809</c:v>
                </c:pt>
                <c:pt idx="6">
                  <c:v>359292.3809523809</c:v>
                </c:pt>
                <c:pt idx="7">
                  <c:v>772092.380952381</c:v>
                </c:pt>
                <c:pt idx="8">
                  <c:v>772092.380952381</c:v>
                </c:pt>
                <c:pt idx="9">
                  <c:v>805719.0476190476</c:v>
                </c:pt>
                <c:pt idx="10">
                  <c:v>1.06468571428571E6</c:v>
                </c:pt>
                <c:pt idx="11">
                  <c:v>1.06468571428571E6</c:v>
                </c:pt>
                <c:pt idx="12">
                  <c:v>1.77301904761905E6</c:v>
                </c:pt>
                <c:pt idx="13">
                  <c:v>1.77301904761905E6</c:v>
                </c:pt>
                <c:pt idx="14">
                  <c:v>1.77301904761905E6</c:v>
                </c:pt>
                <c:pt idx="15">
                  <c:v>1.77301904761905E6</c:v>
                </c:pt>
                <c:pt idx="16">
                  <c:v>1.77301904761905E6</c:v>
                </c:pt>
                <c:pt idx="17">
                  <c:v>1.77301904761905E6</c:v>
                </c:pt>
                <c:pt idx="18">
                  <c:v>1.77301904761905E6</c:v>
                </c:pt>
                <c:pt idx="19">
                  <c:v>1.77301904761905E6</c:v>
                </c:pt>
                <c:pt idx="20">
                  <c:v>1.77301904761905E6</c:v>
                </c:pt>
                <c:pt idx="21">
                  <c:v>1.87335238095238E6</c:v>
                </c:pt>
                <c:pt idx="22">
                  <c:v>1.9088746031746E6</c:v>
                </c:pt>
                <c:pt idx="23">
                  <c:v>1.9088746031746E6</c:v>
                </c:pt>
                <c:pt idx="24">
                  <c:v>2.18858571428571E6</c:v>
                </c:pt>
                <c:pt idx="25">
                  <c:v>2.18858571428571E6</c:v>
                </c:pt>
                <c:pt idx="26">
                  <c:v>2.49401904761905E6</c:v>
                </c:pt>
                <c:pt idx="27">
                  <c:v>3.40895238095238E6</c:v>
                </c:pt>
                <c:pt idx="28">
                  <c:v>3.40895238095238E6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64826.66666666667</c:v>
                </c:pt>
                <c:pt idx="2">
                  <c:v>789626.6666666666</c:v>
                </c:pt>
                <c:pt idx="3">
                  <c:v>803093.3333333332</c:v>
                </c:pt>
                <c:pt idx="4">
                  <c:v>803093.3333333332</c:v>
                </c:pt>
                <c:pt idx="5">
                  <c:v>803093.3333333332</c:v>
                </c:pt>
                <c:pt idx="6">
                  <c:v>803093.3333333332</c:v>
                </c:pt>
                <c:pt idx="7">
                  <c:v>803093.3333333332</c:v>
                </c:pt>
                <c:pt idx="8">
                  <c:v>803093.3333333332</c:v>
                </c:pt>
                <c:pt idx="9">
                  <c:v>803093.3333333332</c:v>
                </c:pt>
                <c:pt idx="10">
                  <c:v>1.45829333333333E6</c:v>
                </c:pt>
                <c:pt idx="11">
                  <c:v>2.27029333333333E6</c:v>
                </c:pt>
                <c:pt idx="12">
                  <c:v>2.30416E6</c:v>
                </c:pt>
                <c:pt idx="13">
                  <c:v>2.30416E6</c:v>
                </c:pt>
                <c:pt idx="14">
                  <c:v>2.51394888888889E6</c:v>
                </c:pt>
                <c:pt idx="15">
                  <c:v>2.51394888888889E6</c:v>
                </c:pt>
                <c:pt idx="16">
                  <c:v>2.51394888888889E6</c:v>
                </c:pt>
                <c:pt idx="17">
                  <c:v>2.99794888888889E6</c:v>
                </c:pt>
                <c:pt idx="18">
                  <c:v>2.99794888888889E6</c:v>
                </c:pt>
                <c:pt idx="19">
                  <c:v>2.99794888888889E6</c:v>
                </c:pt>
                <c:pt idx="20">
                  <c:v>2.99794888888889E6</c:v>
                </c:pt>
                <c:pt idx="21">
                  <c:v>2.99794888888889E6</c:v>
                </c:pt>
                <c:pt idx="22">
                  <c:v>3.42307388888889E6</c:v>
                </c:pt>
                <c:pt idx="23">
                  <c:v>3.42307388888889E6</c:v>
                </c:pt>
                <c:pt idx="24">
                  <c:v>3.42307388888889E6</c:v>
                </c:pt>
                <c:pt idx="25">
                  <c:v>3.42307388888889E6</c:v>
                </c:pt>
                <c:pt idx="26">
                  <c:v>3.42307388888889E6</c:v>
                </c:pt>
                <c:pt idx="27">
                  <c:v>3.42307388888889E6</c:v>
                </c:pt>
                <c:pt idx="28">
                  <c:v>3.42307388888889E6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900373.3333333332</c:v>
                </c:pt>
                <c:pt idx="2">
                  <c:v>1.11409333333333E6</c:v>
                </c:pt>
                <c:pt idx="3">
                  <c:v>1.17392666666667E6</c:v>
                </c:pt>
                <c:pt idx="4">
                  <c:v>1.49806E6</c:v>
                </c:pt>
                <c:pt idx="5">
                  <c:v>1.49806E6</c:v>
                </c:pt>
                <c:pt idx="6">
                  <c:v>1.49806E6</c:v>
                </c:pt>
                <c:pt idx="7">
                  <c:v>1.73081E6</c:v>
                </c:pt>
                <c:pt idx="8">
                  <c:v>1.87391E6</c:v>
                </c:pt>
                <c:pt idx="9">
                  <c:v>3.01791E6</c:v>
                </c:pt>
                <c:pt idx="10">
                  <c:v>3.01791E6</c:v>
                </c:pt>
                <c:pt idx="11">
                  <c:v>3.01791E6</c:v>
                </c:pt>
                <c:pt idx="12">
                  <c:v>3.01791E6</c:v>
                </c:pt>
                <c:pt idx="13">
                  <c:v>3.16951E6</c:v>
                </c:pt>
                <c:pt idx="14">
                  <c:v>4.09384333333333E6</c:v>
                </c:pt>
                <c:pt idx="15">
                  <c:v>4.32034333333333E6</c:v>
                </c:pt>
                <c:pt idx="16">
                  <c:v>4.32034333333333E6</c:v>
                </c:pt>
                <c:pt idx="17">
                  <c:v>4.52917666666667E6</c:v>
                </c:pt>
                <c:pt idx="18">
                  <c:v>4.52917666666667E6</c:v>
                </c:pt>
                <c:pt idx="19">
                  <c:v>4.52917666666667E6</c:v>
                </c:pt>
                <c:pt idx="20">
                  <c:v>4.52917666666667E6</c:v>
                </c:pt>
                <c:pt idx="21">
                  <c:v>4.52917666666667E6</c:v>
                </c:pt>
                <c:pt idx="22">
                  <c:v>4.65017666666667E6</c:v>
                </c:pt>
                <c:pt idx="23">
                  <c:v>4.65017666666667E6</c:v>
                </c:pt>
                <c:pt idx="24">
                  <c:v>4.65017666666667E6</c:v>
                </c:pt>
                <c:pt idx="25">
                  <c:v>4.65017666666667E6</c:v>
                </c:pt>
                <c:pt idx="26">
                  <c:v>4.65017666666667E6</c:v>
                </c:pt>
                <c:pt idx="27">
                  <c:v>4.88201E6</c:v>
                </c:pt>
                <c:pt idx="28">
                  <c:v>4.88201E6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218666.6666666667</c:v>
                </c:pt>
                <c:pt idx="2">
                  <c:v>406560.0</c:v>
                </c:pt>
                <c:pt idx="3">
                  <c:v>413050.0</c:v>
                </c:pt>
                <c:pt idx="4">
                  <c:v>787283.3333333332</c:v>
                </c:pt>
                <c:pt idx="5">
                  <c:v>787283.3333333332</c:v>
                </c:pt>
                <c:pt idx="6">
                  <c:v>1.35755E6</c:v>
                </c:pt>
                <c:pt idx="7">
                  <c:v>1.35755E6</c:v>
                </c:pt>
                <c:pt idx="8">
                  <c:v>1.35755E6</c:v>
                </c:pt>
                <c:pt idx="9">
                  <c:v>1.53566111111111E6</c:v>
                </c:pt>
                <c:pt idx="10">
                  <c:v>1.84476944444444E6</c:v>
                </c:pt>
                <c:pt idx="11">
                  <c:v>2.10034722222222E6</c:v>
                </c:pt>
                <c:pt idx="12">
                  <c:v>2.10034722222222E6</c:v>
                </c:pt>
                <c:pt idx="13">
                  <c:v>2.21206722222222E6</c:v>
                </c:pt>
                <c:pt idx="14">
                  <c:v>2.21206722222222E6</c:v>
                </c:pt>
                <c:pt idx="15">
                  <c:v>2.21206722222222E6</c:v>
                </c:pt>
                <c:pt idx="16">
                  <c:v>2.21206722222222E6</c:v>
                </c:pt>
                <c:pt idx="17">
                  <c:v>2.21206722222222E6</c:v>
                </c:pt>
                <c:pt idx="18">
                  <c:v>2.31306166666667E6</c:v>
                </c:pt>
                <c:pt idx="19">
                  <c:v>2.31306166666667E6</c:v>
                </c:pt>
                <c:pt idx="20">
                  <c:v>2.63412833333333E6</c:v>
                </c:pt>
                <c:pt idx="21">
                  <c:v>2.63412833333333E6</c:v>
                </c:pt>
                <c:pt idx="22">
                  <c:v>2.63412833333333E6</c:v>
                </c:pt>
                <c:pt idx="23">
                  <c:v>2.89457277777778E6</c:v>
                </c:pt>
                <c:pt idx="24">
                  <c:v>2.95278111111111E6</c:v>
                </c:pt>
                <c:pt idx="25">
                  <c:v>2.95278111111111E6</c:v>
                </c:pt>
                <c:pt idx="26">
                  <c:v>2.95278111111111E6</c:v>
                </c:pt>
                <c:pt idx="27">
                  <c:v>2.95278111111111E6</c:v>
                </c:pt>
                <c:pt idx="28">
                  <c:v>2.95278111111111E6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150960.0</c:v>
                </c:pt>
                <c:pt idx="10">
                  <c:v>1.27469333333333E6</c:v>
                </c:pt>
                <c:pt idx="11">
                  <c:v>1.52302666666667E6</c:v>
                </c:pt>
                <c:pt idx="12">
                  <c:v>1.84420444444444E6</c:v>
                </c:pt>
                <c:pt idx="13">
                  <c:v>1.84420444444444E6</c:v>
                </c:pt>
                <c:pt idx="14">
                  <c:v>1.84420444444444E6</c:v>
                </c:pt>
                <c:pt idx="15">
                  <c:v>1.84420444444444E6</c:v>
                </c:pt>
                <c:pt idx="16">
                  <c:v>2.96617111111111E6</c:v>
                </c:pt>
                <c:pt idx="17">
                  <c:v>2.96617111111111E6</c:v>
                </c:pt>
                <c:pt idx="18">
                  <c:v>2.96617111111111E6</c:v>
                </c:pt>
                <c:pt idx="19">
                  <c:v>2.99025444444444E6</c:v>
                </c:pt>
                <c:pt idx="20">
                  <c:v>3.09475444444444E6</c:v>
                </c:pt>
                <c:pt idx="21">
                  <c:v>3.09475444444444E6</c:v>
                </c:pt>
                <c:pt idx="22">
                  <c:v>3.09475444444444E6</c:v>
                </c:pt>
                <c:pt idx="23">
                  <c:v>3.09475444444444E6</c:v>
                </c:pt>
                <c:pt idx="24">
                  <c:v>3.09475444444444E6</c:v>
                </c:pt>
                <c:pt idx="25">
                  <c:v>3.09475444444444E6</c:v>
                </c:pt>
                <c:pt idx="26">
                  <c:v>3.09475444444444E6</c:v>
                </c:pt>
                <c:pt idx="27">
                  <c:v>3.09475444444444E6</c:v>
                </c:pt>
                <c:pt idx="28">
                  <c:v>3.09475444444444E6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68400.0</c:v>
                </c:pt>
                <c:pt idx="7">
                  <c:v>651066.6666666667</c:v>
                </c:pt>
                <c:pt idx="8">
                  <c:v>651066.6666666667</c:v>
                </c:pt>
                <c:pt idx="9">
                  <c:v>675066.6666666667</c:v>
                </c:pt>
                <c:pt idx="10">
                  <c:v>1.04424444444444E6</c:v>
                </c:pt>
                <c:pt idx="11">
                  <c:v>1.09824444444444E6</c:v>
                </c:pt>
                <c:pt idx="12">
                  <c:v>1.71057777777778E6</c:v>
                </c:pt>
                <c:pt idx="13">
                  <c:v>1.71057777777778E6</c:v>
                </c:pt>
                <c:pt idx="14">
                  <c:v>1.71057777777778E6</c:v>
                </c:pt>
                <c:pt idx="15">
                  <c:v>2.14124444444444E6</c:v>
                </c:pt>
                <c:pt idx="16">
                  <c:v>2.38991111111111E6</c:v>
                </c:pt>
                <c:pt idx="17">
                  <c:v>2.38991111111111E6</c:v>
                </c:pt>
                <c:pt idx="18">
                  <c:v>2.38991111111111E6</c:v>
                </c:pt>
                <c:pt idx="19">
                  <c:v>2.38991111111111E6</c:v>
                </c:pt>
                <c:pt idx="20">
                  <c:v>2.38991111111111E6</c:v>
                </c:pt>
                <c:pt idx="21">
                  <c:v>2.46364444444444E6</c:v>
                </c:pt>
                <c:pt idx="22">
                  <c:v>2.46364444444444E6</c:v>
                </c:pt>
                <c:pt idx="23">
                  <c:v>2.46364444444444E6</c:v>
                </c:pt>
                <c:pt idx="24">
                  <c:v>2.46364444444444E6</c:v>
                </c:pt>
                <c:pt idx="25">
                  <c:v>2.46364444444444E6</c:v>
                </c:pt>
                <c:pt idx="26">
                  <c:v>2.46364444444444E6</c:v>
                </c:pt>
                <c:pt idx="27">
                  <c:v>2.46364444444444E6</c:v>
                </c:pt>
                <c:pt idx="28">
                  <c:v>2.46364444444444E6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189466.6666666667</c:v>
                </c:pt>
                <c:pt idx="7">
                  <c:v>189466.6666666667</c:v>
                </c:pt>
                <c:pt idx="8">
                  <c:v>189466.6666666667</c:v>
                </c:pt>
                <c:pt idx="9">
                  <c:v>281400.0</c:v>
                </c:pt>
                <c:pt idx="10">
                  <c:v>622500.0</c:v>
                </c:pt>
                <c:pt idx="11">
                  <c:v>877100.0</c:v>
                </c:pt>
                <c:pt idx="12">
                  <c:v>1.02903333333333E6</c:v>
                </c:pt>
                <c:pt idx="13">
                  <c:v>1.02903333333333E6</c:v>
                </c:pt>
                <c:pt idx="14">
                  <c:v>1.02903333333333E6</c:v>
                </c:pt>
                <c:pt idx="15">
                  <c:v>1.02903333333333E6</c:v>
                </c:pt>
                <c:pt idx="16">
                  <c:v>1.12333888888889E6</c:v>
                </c:pt>
                <c:pt idx="17">
                  <c:v>1.12333888888889E6</c:v>
                </c:pt>
                <c:pt idx="18">
                  <c:v>1.30898472222222E6</c:v>
                </c:pt>
                <c:pt idx="19">
                  <c:v>1.30898472222222E6</c:v>
                </c:pt>
                <c:pt idx="20">
                  <c:v>1.30898472222222E6</c:v>
                </c:pt>
                <c:pt idx="21">
                  <c:v>1.30898472222222E6</c:v>
                </c:pt>
                <c:pt idx="22">
                  <c:v>1.77523472222222E6</c:v>
                </c:pt>
                <c:pt idx="23">
                  <c:v>1.77523472222222E6</c:v>
                </c:pt>
                <c:pt idx="24">
                  <c:v>1.77523472222222E6</c:v>
                </c:pt>
                <c:pt idx="25">
                  <c:v>1.77523472222222E6</c:v>
                </c:pt>
                <c:pt idx="26">
                  <c:v>1.77523472222222E6</c:v>
                </c:pt>
                <c:pt idx="27">
                  <c:v>1.77523472222222E6</c:v>
                </c:pt>
                <c:pt idx="28">
                  <c:v>1.77523472222222E6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191166.6666666667</c:v>
                </c:pt>
                <c:pt idx="7">
                  <c:v>191166.6666666667</c:v>
                </c:pt>
                <c:pt idx="8">
                  <c:v>191166.6666666667</c:v>
                </c:pt>
                <c:pt idx="9">
                  <c:v>191166.6666666667</c:v>
                </c:pt>
                <c:pt idx="10">
                  <c:v>191166.6666666667</c:v>
                </c:pt>
                <c:pt idx="11">
                  <c:v>191166.6666666667</c:v>
                </c:pt>
                <c:pt idx="12">
                  <c:v>191166.6666666667</c:v>
                </c:pt>
                <c:pt idx="13">
                  <c:v>191166.6666666667</c:v>
                </c:pt>
                <c:pt idx="14">
                  <c:v>191166.6666666667</c:v>
                </c:pt>
                <c:pt idx="15">
                  <c:v>191166.6666666667</c:v>
                </c:pt>
                <c:pt idx="16">
                  <c:v>191166.6666666667</c:v>
                </c:pt>
                <c:pt idx="17">
                  <c:v>807046.6666666666</c:v>
                </c:pt>
                <c:pt idx="18">
                  <c:v>818921.6666666666</c:v>
                </c:pt>
                <c:pt idx="19">
                  <c:v>818921.6666666666</c:v>
                </c:pt>
                <c:pt idx="20">
                  <c:v>818921.6666666666</c:v>
                </c:pt>
                <c:pt idx="21">
                  <c:v>1.26158833333333E6</c:v>
                </c:pt>
                <c:pt idx="22">
                  <c:v>1.26158833333333E6</c:v>
                </c:pt>
                <c:pt idx="23">
                  <c:v>1.26158833333333E6</c:v>
                </c:pt>
                <c:pt idx="24">
                  <c:v>1.26158833333333E6</c:v>
                </c:pt>
                <c:pt idx="25">
                  <c:v>1.26158833333333E6</c:v>
                </c:pt>
                <c:pt idx="26">
                  <c:v>1.26158833333333E6</c:v>
                </c:pt>
                <c:pt idx="27">
                  <c:v>1.75998833333333E6</c:v>
                </c:pt>
                <c:pt idx="28">
                  <c:v>1.75998833333333E6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412160.0</c:v>
                </c:pt>
                <c:pt idx="5">
                  <c:v>412160.0</c:v>
                </c:pt>
                <c:pt idx="6">
                  <c:v>412160.0</c:v>
                </c:pt>
                <c:pt idx="7">
                  <c:v>740860.0</c:v>
                </c:pt>
                <c:pt idx="8">
                  <c:v>808180.0</c:v>
                </c:pt>
                <c:pt idx="9">
                  <c:v>808180.0</c:v>
                </c:pt>
                <c:pt idx="10">
                  <c:v>1.97218E6</c:v>
                </c:pt>
                <c:pt idx="11">
                  <c:v>2.64558E6</c:v>
                </c:pt>
                <c:pt idx="12">
                  <c:v>2.97491333333333E6</c:v>
                </c:pt>
                <c:pt idx="13">
                  <c:v>2.97491333333333E6</c:v>
                </c:pt>
                <c:pt idx="14">
                  <c:v>2.99380222222222E6</c:v>
                </c:pt>
                <c:pt idx="15">
                  <c:v>2.99380222222222E6</c:v>
                </c:pt>
                <c:pt idx="16">
                  <c:v>2.99380222222222E6</c:v>
                </c:pt>
                <c:pt idx="17">
                  <c:v>2.99380222222222E6</c:v>
                </c:pt>
                <c:pt idx="18">
                  <c:v>2.99380222222222E6</c:v>
                </c:pt>
                <c:pt idx="19">
                  <c:v>2.99380222222222E6</c:v>
                </c:pt>
                <c:pt idx="20">
                  <c:v>2.99380222222222E6</c:v>
                </c:pt>
                <c:pt idx="21">
                  <c:v>2.99380222222222E6</c:v>
                </c:pt>
                <c:pt idx="22">
                  <c:v>2.99380222222222E6</c:v>
                </c:pt>
                <c:pt idx="23">
                  <c:v>2.99380222222222E6</c:v>
                </c:pt>
                <c:pt idx="24">
                  <c:v>3.28499111111111E6</c:v>
                </c:pt>
                <c:pt idx="25">
                  <c:v>3.28499111111111E6</c:v>
                </c:pt>
                <c:pt idx="26">
                  <c:v>3.28499111111111E6</c:v>
                </c:pt>
                <c:pt idx="27">
                  <c:v>3.53096333333333E6</c:v>
                </c:pt>
                <c:pt idx="28">
                  <c:v>3.53096333333333E6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2250.0</c:v>
                </c:pt>
                <c:pt idx="4">
                  <c:v>881770.0</c:v>
                </c:pt>
                <c:pt idx="5">
                  <c:v>915296.6666666666</c:v>
                </c:pt>
                <c:pt idx="6">
                  <c:v>1.12269666666667E6</c:v>
                </c:pt>
                <c:pt idx="7">
                  <c:v>1.25869666666667E6</c:v>
                </c:pt>
                <c:pt idx="8">
                  <c:v>1.27138238095238E6</c:v>
                </c:pt>
                <c:pt idx="9">
                  <c:v>1.61388238095238E6</c:v>
                </c:pt>
                <c:pt idx="10">
                  <c:v>2.15108238095238E6</c:v>
                </c:pt>
                <c:pt idx="11">
                  <c:v>2.15108238095238E6</c:v>
                </c:pt>
                <c:pt idx="12">
                  <c:v>2.15108238095238E6</c:v>
                </c:pt>
                <c:pt idx="13">
                  <c:v>2.15108238095238E6</c:v>
                </c:pt>
                <c:pt idx="14">
                  <c:v>2.15108238095238E6</c:v>
                </c:pt>
                <c:pt idx="15">
                  <c:v>2.40608238095238E6</c:v>
                </c:pt>
                <c:pt idx="16">
                  <c:v>2.50997126984127E6</c:v>
                </c:pt>
                <c:pt idx="17">
                  <c:v>3.35597126984127E6</c:v>
                </c:pt>
                <c:pt idx="18">
                  <c:v>3.35597126984127E6</c:v>
                </c:pt>
                <c:pt idx="19">
                  <c:v>3.35597126984127E6</c:v>
                </c:pt>
                <c:pt idx="20">
                  <c:v>3.38893126984127E6</c:v>
                </c:pt>
                <c:pt idx="21">
                  <c:v>3.38893126984127E6</c:v>
                </c:pt>
                <c:pt idx="22">
                  <c:v>3.38893126984127E6</c:v>
                </c:pt>
                <c:pt idx="23">
                  <c:v>3.38893126984127E6</c:v>
                </c:pt>
                <c:pt idx="24">
                  <c:v>3.38893126984127E6</c:v>
                </c:pt>
                <c:pt idx="25">
                  <c:v>3.38893126984127E6</c:v>
                </c:pt>
                <c:pt idx="26">
                  <c:v>3.38893126984127E6</c:v>
                </c:pt>
                <c:pt idx="27">
                  <c:v>3.38893126984127E6</c:v>
                </c:pt>
                <c:pt idx="28">
                  <c:v>3.38893126984127E6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751200.0</c:v>
                </c:pt>
                <c:pt idx="5">
                  <c:v>793146.6666666666</c:v>
                </c:pt>
                <c:pt idx="6">
                  <c:v>793146.6666666666</c:v>
                </c:pt>
                <c:pt idx="7">
                  <c:v>793146.6666666666</c:v>
                </c:pt>
                <c:pt idx="8">
                  <c:v>793146.6666666666</c:v>
                </c:pt>
                <c:pt idx="9">
                  <c:v>887546.6666666666</c:v>
                </c:pt>
                <c:pt idx="10">
                  <c:v>984213.3333333332</c:v>
                </c:pt>
                <c:pt idx="11">
                  <c:v>1.01541333333333E6</c:v>
                </c:pt>
                <c:pt idx="12">
                  <c:v>1.01541333333333E6</c:v>
                </c:pt>
                <c:pt idx="13">
                  <c:v>1.01541333333333E6</c:v>
                </c:pt>
                <c:pt idx="14">
                  <c:v>1.01541333333333E6</c:v>
                </c:pt>
                <c:pt idx="15">
                  <c:v>1.17501333333333E6</c:v>
                </c:pt>
                <c:pt idx="16">
                  <c:v>1.17501333333333E6</c:v>
                </c:pt>
                <c:pt idx="17">
                  <c:v>1.17501333333333E6</c:v>
                </c:pt>
                <c:pt idx="18">
                  <c:v>1.17501333333333E6</c:v>
                </c:pt>
                <c:pt idx="19">
                  <c:v>1.17501333333333E6</c:v>
                </c:pt>
                <c:pt idx="20">
                  <c:v>1.19381333333333E6</c:v>
                </c:pt>
                <c:pt idx="21">
                  <c:v>1.50528E6</c:v>
                </c:pt>
                <c:pt idx="22">
                  <c:v>2.04708E6</c:v>
                </c:pt>
                <c:pt idx="23">
                  <c:v>2.04708E6</c:v>
                </c:pt>
                <c:pt idx="24">
                  <c:v>2.69188E6</c:v>
                </c:pt>
                <c:pt idx="25">
                  <c:v>2.69188E6</c:v>
                </c:pt>
                <c:pt idx="26">
                  <c:v>2.69188E6</c:v>
                </c:pt>
                <c:pt idx="27">
                  <c:v>2.69188E6</c:v>
                </c:pt>
                <c:pt idx="28">
                  <c:v>2.69188E6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5777.777777777778</c:v>
                </c:pt>
                <c:pt idx="4">
                  <c:v>76977.77777777778</c:v>
                </c:pt>
                <c:pt idx="5">
                  <c:v>522177.7777777778</c:v>
                </c:pt>
                <c:pt idx="6">
                  <c:v>600477.7777777778</c:v>
                </c:pt>
                <c:pt idx="7">
                  <c:v>1.03007777777778E6</c:v>
                </c:pt>
                <c:pt idx="8">
                  <c:v>1.03007777777778E6</c:v>
                </c:pt>
                <c:pt idx="9">
                  <c:v>1.97257777777778E6</c:v>
                </c:pt>
                <c:pt idx="10">
                  <c:v>2.15370277777778E6</c:v>
                </c:pt>
                <c:pt idx="11">
                  <c:v>2.46730277777778E6</c:v>
                </c:pt>
                <c:pt idx="12">
                  <c:v>3.36456944444444E6</c:v>
                </c:pt>
                <c:pt idx="13">
                  <c:v>3.44223611111111E6</c:v>
                </c:pt>
                <c:pt idx="14">
                  <c:v>3.44223611111111E6</c:v>
                </c:pt>
                <c:pt idx="15">
                  <c:v>3.53894444444444E6</c:v>
                </c:pt>
                <c:pt idx="16">
                  <c:v>3.53894444444444E6</c:v>
                </c:pt>
                <c:pt idx="17">
                  <c:v>3.72245277777778E6</c:v>
                </c:pt>
                <c:pt idx="18">
                  <c:v>3.72245277777778E6</c:v>
                </c:pt>
                <c:pt idx="19">
                  <c:v>3.72245277777778E6</c:v>
                </c:pt>
                <c:pt idx="20">
                  <c:v>3.87905277777778E6</c:v>
                </c:pt>
                <c:pt idx="21">
                  <c:v>3.87905277777778E6</c:v>
                </c:pt>
                <c:pt idx="22">
                  <c:v>3.87905277777778E6</c:v>
                </c:pt>
                <c:pt idx="23">
                  <c:v>3.87905277777778E6</c:v>
                </c:pt>
                <c:pt idx="24">
                  <c:v>3.87905277777778E6</c:v>
                </c:pt>
                <c:pt idx="25">
                  <c:v>3.87905277777778E6</c:v>
                </c:pt>
                <c:pt idx="26">
                  <c:v>3.87905277777778E6</c:v>
                </c:pt>
                <c:pt idx="27">
                  <c:v>3.87905277777778E6</c:v>
                </c:pt>
                <c:pt idx="28">
                  <c:v>3.87905277777778E6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887112"/>
        <c:axId val="-2044223192"/>
      </c:lineChart>
      <c:dateAx>
        <c:axId val="-1992887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4223192"/>
        <c:crosses val="autoZero"/>
        <c:auto val="1"/>
        <c:lblOffset val="100"/>
        <c:baseTimeUnit val="days"/>
      </c:dateAx>
      <c:valAx>
        <c:axId val="-20442231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199288711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 cap="small"/>
              <a:t>Cumulative larvae</a:t>
            </a:r>
            <a:r>
              <a:rPr lang="en-US" sz="2800" cap="small" baseline="0"/>
              <a:t> released</a:t>
            </a:r>
          </a:p>
          <a:p>
            <a:pPr>
              <a:defRPr sz="2800"/>
            </a:pPr>
            <a:r>
              <a:rPr lang="en-US" sz="2800" cap="small" baseline="0"/>
              <a:t>Normalized by volume displacement</a:t>
            </a:r>
            <a:endParaRPr lang="en-US" sz="2800" cap="small"/>
          </a:p>
        </c:rich>
      </c:tx>
      <c:layout>
        <c:manualLayout>
          <c:xMode val="edge"/>
          <c:yMode val="edge"/>
          <c:x val="0.391336058279282"/>
          <c:y val="0.06228852026937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PLOTS-normalized'!$R$4:$R$31</c:f>
              <c:numCache>
                <c:formatCode>_(* #,##0_);_(* \(#,##0\);_(* "-"??_);_(@_)</c:formatCode>
                <c:ptCount val="28"/>
                <c:pt idx="0">
                  <c:v>418.0</c:v>
                </c:pt>
                <c:pt idx="1">
                  <c:v>418.0</c:v>
                </c:pt>
                <c:pt idx="2">
                  <c:v>418.0</c:v>
                </c:pt>
                <c:pt idx="3">
                  <c:v>418.0</c:v>
                </c:pt>
                <c:pt idx="4">
                  <c:v>1174.0</c:v>
                </c:pt>
                <c:pt idx="5">
                  <c:v>5187.888888888889</c:v>
                </c:pt>
                <c:pt idx="6">
                  <c:v>5187.888888888889</c:v>
                </c:pt>
                <c:pt idx="7">
                  <c:v>5187.888888888889</c:v>
                </c:pt>
                <c:pt idx="8">
                  <c:v>5246.951388888889</c:v>
                </c:pt>
                <c:pt idx="9">
                  <c:v>18180.28472222222</c:v>
                </c:pt>
                <c:pt idx="10">
                  <c:v>18708.93055555555</c:v>
                </c:pt>
                <c:pt idx="11">
                  <c:v>18789.88293650794</c:v>
                </c:pt>
                <c:pt idx="12">
                  <c:v>18789.88293650794</c:v>
                </c:pt>
                <c:pt idx="13">
                  <c:v>19759.6746031746</c:v>
                </c:pt>
                <c:pt idx="14">
                  <c:v>21469.6746031746</c:v>
                </c:pt>
                <c:pt idx="15">
                  <c:v>28043.00793650794</c:v>
                </c:pt>
                <c:pt idx="16">
                  <c:v>28043.00793650794</c:v>
                </c:pt>
                <c:pt idx="17">
                  <c:v>28043.00793650794</c:v>
                </c:pt>
                <c:pt idx="18">
                  <c:v>28043.00793650794</c:v>
                </c:pt>
                <c:pt idx="19">
                  <c:v>28385.58858166923</c:v>
                </c:pt>
                <c:pt idx="20">
                  <c:v>28385.58858166923</c:v>
                </c:pt>
                <c:pt idx="21">
                  <c:v>29486.39503328213</c:v>
                </c:pt>
                <c:pt idx="22">
                  <c:v>36056.28750640041</c:v>
                </c:pt>
                <c:pt idx="23">
                  <c:v>36056.28750640041</c:v>
                </c:pt>
                <c:pt idx="24">
                  <c:v>36056.28750640041</c:v>
                </c:pt>
                <c:pt idx="25">
                  <c:v>36056.28750640041</c:v>
                </c:pt>
                <c:pt idx="26">
                  <c:v>37887.8287250384</c:v>
                </c:pt>
                <c:pt idx="27">
                  <c:v>37887.8287250384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3354.666666666667</c:v>
                </c:pt>
                <c:pt idx="5">
                  <c:v>5748.266666666666</c:v>
                </c:pt>
                <c:pt idx="6">
                  <c:v>7097.244444444445</c:v>
                </c:pt>
                <c:pt idx="7">
                  <c:v>7097.244444444445</c:v>
                </c:pt>
                <c:pt idx="8">
                  <c:v>9170.577777777778</c:v>
                </c:pt>
                <c:pt idx="9">
                  <c:v>9239.51111111111</c:v>
                </c:pt>
                <c:pt idx="10">
                  <c:v>18366.17777777778</c:v>
                </c:pt>
                <c:pt idx="11">
                  <c:v>18366.17777777778</c:v>
                </c:pt>
                <c:pt idx="12">
                  <c:v>18366.17777777778</c:v>
                </c:pt>
                <c:pt idx="13">
                  <c:v>18366.17777777778</c:v>
                </c:pt>
                <c:pt idx="14">
                  <c:v>18366.17777777778</c:v>
                </c:pt>
                <c:pt idx="15">
                  <c:v>18366.17777777778</c:v>
                </c:pt>
                <c:pt idx="16">
                  <c:v>19491.51111111111</c:v>
                </c:pt>
                <c:pt idx="17">
                  <c:v>19491.51111111111</c:v>
                </c:pt>
                <c:pt idx="18">
                  <c:v>19491.51111111111</c:v>
                </c:pt>
                <c:pt idx="19">
                  <c:v>19491.51111111111</c:v>
                </c:pt>
                <c:pt idx="20">
                  <c:v>19491.51111111111</c:v>
                </c:pt>
                <c:pt idx="21">
                  <c:v>19491.51111111111</c:v>
                </c:pt>
                <c:pt idx="22">
                  <c:v>19491.51111111111</c:v>
                </c:pt>
                <c:pt idx="23">
                  <c:v>19491.51111111111</c:v>
                </c:pt>
                <c:pt idx="24">
                  <c:v>20910.17777777778</c:v>
                </c:pt>
                <c:pt idx="25">
                  <c:v>20910.17777777778</c:v>
                </c:pt>
                <c:pt idx="26">
                  <c:v>20910.17777777778</c:v>
                </c:pt>
                <c:pt idx="27">
                  <c:v>20910.17777777778</c:v>
                </c:pt>
                <c:pt idx="28">
                  <c:v>20910.17777777778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1186.414414414415</c:v>
                </c:pt>
                <c:pt idx="2">
                  <c:v>1186.414414414415</c:v>
                </c:pt>
                <c:pt idx="3">
                  <c:v>1245.873873873874</c:v>
                </c:pt>
                <c:pt idx="4">
                  <c:v>3716.144144144144</c:v>
                </c:pt>
                <c:pt idx="5">
                  <c:v>3716.144144144144</c:v>
                </c:pt>
                <c:pt idx="6">
                  <c:v>7524.477477477478</c:v>
                </c:pt>
                <c:pt idx="7">
                  <c:v>7524.477477477478</c:v>
                </c:pt>
                <c:pt idx="8">
                  <c:v>9137.810810810811</c:v>
                </c:pt>
                <c:pt idx="9">
                  <c:v>9281.198198198199</c:v>
                </c:pt>
                <c:pt idx="10">
                  <c:v>9281.198198198199</c:v>
                </c:pt>
                <c:pt idx="11">
                  <c:v>9281.198198198199</c:v>
                </c:pt>
                <c:pt idx="12">
                  <c:v>9281.198198198199</c:v>
                </c:pt>
                <c:pt idx="13">
                  <c:v>9281.198198198199</c:v>
                </c:pt>
                <c:pt idx="14">
                  <c:v>9281.198198198199</c:v>
                </c:pt>
                <c:pt idx="15">
                  <c:v>12119.03603603604</c:v>
                </c:pt>
                <c:pt idx="16">
                  <c:v>14023.39039039039</c:v>
                </c:pt>
                <c:pt idx="17">
                  <c:v>17505.33633633634</c:v>
                </c:pt>
                <c:pt idx="18">
                  <c:v>17505.33633633634</c:v>
                </c:pt>
                <c:pt idx="19">
                  <c:v>17505.33633633634</c:v>
                </c:pt>
                <c:pt idx="20">
                  <c:v>17505.33633633634</c:v>
                </c:pt>
                <c:pt idx="21">
                  <c:v>17505.33633633634</c:v>
                </c:pt>
                <c:pt idx="22">
                  <c:v>17505.33633633634</c:v>
                </c:pt>
                <c:pt idx="23">
                  <c:v>17505.33633633634</c:v>
                </c:pt>
                <c:pt idx="24">
                  <c:v>17505.33633633634</c:v>
                </c:pt>
                <c:pt idx="25">
                  <c:v>17505.33633633634</c:v>
                </c:pt>
                <c:pt idx="26">
                  <c:v>17505.33633633634</c:v>
                </c:pt>
                <c:pt idx="27">
                  <c:v>20065.6966966967</c:v>
                </c:pt>
                <c:pt idx="28">
                  <c:v>20065.6966966967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732.3529411764706</c:v>
                </c:pt>
                <c:pt idx="2">
                  <c:v>732.3529411764706</c:v>
                </c:pt>
                <c:pt idx="3">
                  <c:v>732.3529411764706</c:v>
                </c:pt>
                <c:pt idx="4">
                  <c:v>732.3529411764706</c:v>
                </c:pt>
                <c:pt idx="5">
                  <c:v>2308.039215686274</c:v>
                </c:pt>
                <c:pt idx="6">
                  <c:v>2308.039215686274</c:v>
                </c:pt>
                <c:pt idx="7">
                  <c:v>2308.039215686274</c:v>
                </c:pt>
                <c:pt idx="8">
                  <c:v>2308.039215686274</c:v>
                </c:pt>
                <c:pt idx="9">
                  <c:v>2364.509803921569</c:v>
                </c:pt>
                <c:pt idx="10">
                  <c:v>3764.509803921569</c:v>
                </c:pt>
                <c:pt idx="11">
                  <c:v>3764.509803921569</c:v>
                </c:pt>
                <c:pt idx="12">
                  <c:v>5115.490196078432</c:v>
                </c:pt>
                <c:pt idx="13">
                  <c:v>5115.490196078432</c:v>
                </c:pt>
                <c:pt idx="14">
                  <c:v>5769.411764705882</c:v>
                </c:pt>
                <c:pt idx="15">
                  <c:v>5769.411764705882</c:v>
                </c:pt>
                <c:pt idx="16">
                  <c:v>5769.411764705882</c:v>
                </c:pt>
                <c:pt idx="17">
                  <c:v>5769.411764705882</c:v>
                </c:pt>
                <c:pt idx="18">
                  <c:v>5769.411764705882</c:v>
                </c:pt>
                <c:pt idx="19">
                  <c:v>5855.271708683474</c:v>
                </c:pt>
                <c:pt idx="20">
                  <c:v>5855.271708683474</c:v>
                </c:pt>
                <c:pt idx="21">
                  <c:v>5855.271708683474</c:v>
                </c:pt>
                <c:pt idx="22">
                  <c:v>5855.271708683474</c:v>
                </c:pt>
                <c:pt idx="23">
                  <c:v>5855.271708683474</c:v>
                </c:pt>
                <c:pt idx="24">
                  <c:v>5855.271708683474</c:v>
                </c:pt>
                <c:pt idx="25">
                  <c:v>5855.271708683474</c:v>
                </c:pt>
                <c:pt idx="26">
                  <c:v>5855.271708683474</c:v>
                </c:pt>
                <c:pt idx="27">
                  <c:v>5855.271708683474</c:v>
                </c:pt>
                <c:pt idx="28">
                  <c:v>5855.271708683474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227.6705276705277</c:v>
                </c:pt>
                <c:pt idx="4">
                  <c:v>1942.120978120978</c:v>
                </c:pt>
                <c:pt idx="5">
                  <c:v>1942.120978120978</c:v>
                </c:pt>
                <c:pt idx="6">
                  <c:v>1942.120978120978</c:v>
                </c:pt>
                <c:pt idx="7">
                  <c:v>4173.472329472328</c:v>
                </c:pt>
                <c:pt idx="8">
                  <c:v>4173.472329472328</c:v>
                </c:pt>
                <c:pt idx="9">
                  <c:v>4355.238095238095</c:v>
                </c:pt>
                <c:pt idx="10">
                  <c:v>5755.057915057914</c:v>
                </c:pt>
                <c:pt idx="11">
                  <c:v>5755.057915057914</c:v>
                </c:pt>
                <c:pt idx="12">
                  <c:v>9583.886743886741</c:v>
                </c:pt>
                <c:pt idx="13">
                  <c:v>9583.886743886741</c:v>
                </c:pt>
                <c:pt idx="14">
                  <c:v>9583.886743886741</c:v>
                </c:pt>
                <c:pt idx="15">
                  <c:v>9583.886743886741</c:v>
                </c:pt>
                <c:pt idx="16">
                  <c:v>9583.886743886741</c:v>
                </c:pt>
                <c:pt idx="17">
                  <c:v>9583.886743886741</c:v>
                </c:pt>
                <c:pt idx="18">
                  <c:v>9583.886743886741</c:v>
                </c:pt>
                <c:pt idx="19">
                  <c:v>9583.886743886741</c:v>
                </c:pt>
                <c:pt idx="20">
                  <c:v>9583.886743886741</c:v>
                </c:pt>
                <c:pt idx="21">
                  <c:v>10126.22908622908</c:v>
                </c:pt>
                <c:pt idx="22">
                  <c:v>10318.2410982411</c:v>
                </c:pt>
                <c:pt idx="23">
                  <c:v>10318.2410982411</c:v>
                </c:pt>
                <c:pt idx="24">
                  <c:v>11830.19305019305</c:v>
                </c:pt>
                <c:pt idx="25">
                  <c:v>11830.19305019305</c:v>
                </c:pt>
                <c:pt idx="26">
                  <c:v>13481.18404118404</c:v>
                </c:pt>
                <c:pt idx="27">
                  <c:v>18426.76962676962</c:v>
                </c:pt>
                <c:pt idx="28">
                  <c:v>18426.76962676962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360.1481481481482</c:v>
                </c:pt>
                <c:pt idx="2">
                  <c:v>4386.814814814815</c:v>
                </c:pt>
                <c:pt idx="3">
                  <c:v>4461.62962962963</c:v>
                </c:pt>
                <c:pt idx="4">
                  <c:v>4461.62962962963</c:v>
                </c:pt>
                <c:pt idx="5">
                  <c:v>4461.62962962963</c:v>
                </c:pt>
                <c:pt idx="6">
                  <c:v>4461.62962962963</c:v>
                </c:pt>
                <c:pt idx="7">
                  <c:v>4461.62962962963</c:v>
                </c:pt>
                <c:pt idx="8">
                  <c:v>4461.62962962963</c:v>
                </c:pt>
                <c:pt idx="9">
                  <c:v>4461.62962962963</c:v>
                </c:pt>
                <c:pt idx="10">
                  <c:v>8101.62962962963</c:v>
                </c:pt>
                <c:pt idx="11">
                  <c:v>12612.74074074074</c:v>
                </c:pt>
                <c:pt idx="12">
                  <c:v>12800.88888888889</c:v>
                </c:pt>
                <c:pt idx="13">
                  <c:v>12800.88888888889</c:v>
                </c:pt>
                <c:pt idx="14">
                  <c:v>13966.38271604938</c:v>
                </c:pt>
                <c:pt idx="15">
                  <c:v>13966.38271604938</c:v>
                </c:pt>
                <c:pt idx="16">
                  <c:v>13966.38271604938</c:v>
                </c:pt>
                <c:pt idx="17">
                  <c:v>16655.27160493827</c:v>
                </c:pt>
                <c:pt idx="18">
                  <c:v>16655.27160493827</c:v>
                </c:pt>
                <c:pt idx="19">
                  <c:v>16655.27160493827</c:v>
                </c:pt>
                <c:pt idx="20">
                  <c:v>16655.27160493827</c:v>
                </c:pt>
                <c:pt idx="21">
                  <c:v>16655.27160493827</c:v>
                </c:pt>
                <c:pt idx="22">
                  <c:v>19017.07716049383</c:v>
                </c:pt>
                <c:pt idx="23">
                  <c:v>19017.07716049383</c:v>
                </c:pt>
                <c:pt idx="24">
                  <c:v>19017.07716049383</c:v>
                </c:pt>
                <c:pt idx="25">
                  <c:v>19017.07716049383</c:v>
                </c:pt>
                <c:pt idx="26">
                  <c:v>19017.07716049383</c:v>
                </c:pt>
                <c:pt idx="27">
                  <c:v>19017.07716049383</c:v>
                </c:pt>
                <c:pt idx="28">
                  <c:v>19017.07716049383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4617.299145299145</c:v>
                </c:pt>
                <c:pt idx="2">
                  <c:v>5713.299145299145</c:v>
                </c:pt>
                <c:pt idx="3">
                  <c:v>6020.136752136751</c:v>
                </c:pt>
                <c:pt idx="4">
                  <c:v>7682.358974358972</c:v>
                </c:pt>
                <c:pt idx="5">
                  <c:v>7682.358974358972</c:v>
                </c:pt>
                <c:pt idx="6">
                  <c:v>7682.358974358972</c:v>
                </c:pt>
                <c:pt idx="7">
                  <c:v>8875.948717948717</c:v>
                </c:pt>
                <c:pt idx="8">
                  <c:v>9609.79487179487</c:v>
                </c:pt>
                <c:pt idx="9">
                  <c:v>15476.46153846154</c:v>
                </c:pt>
                <c:pt idx="10">
                  <c:v>15476.46153846154</c:v>
                </c:pt>
                <c:pt idx="11">
                  <c:v>15476.46153846154</c:v>
                </c:pt>
                <c:pt idx="12">
                  <c:v>15476.46153846154</c:v>
                </c:pt>
                <c:pt idx="13">
                  <c:v>16253.89743589744</c:v>
                </c:pt>
                <c:pt idx="14">
                  <c:v>20994.06837606838</c:v>
                </c:pt>
                <c:pt idx="15">
                  <c:v>22155.60683760684</c:v>
                </c:pt>
                <c:pt idx="16">
                  <c:v>22155.60683760684</c:v>
                </c:pt>
                <c:pt idx="17">
                  <c:v>23266.42244044372</c:v>
                </c:pt>
                <c:pt idx="18">
                  <c:v>23266.42244044372</c:v>
                </c:pt>
                <c:pt idx="19">
                  <c:v>23266.42244044372</c:v>
                </c:pt>
                <c:pt idx="20">
                  <c:v>23266.42244044372</c:v>
                </c:pt>
                <c:pt idx="21">
                  <c:v>23266.42244044372</c:v>
                </c:pt>
                <c:pt idx="22">
                  <c:v>23910.03946172031</c:v>
                </c:pt>
                <c:pt idx="23">
                  <c:v>23910.03946172031</c:v>
                </c:pt>
                <c:pt idx="24">
                  <c:v>23910.03946172031</c:v>
                </c:pt>
                <c:pt idx="25">
                  <c:v>23910.03946172031</c:v>
                </c:pt>
                <c:pt idx="26">
                  <c:v>23910.03946172031</c:v>
                </c:pt>
                <c:pt idx="27">
                  <c:v>25143.19549008911</c:v>
                </c:pt>
                <c:pt idx="28">
                  <c:v>25143.19549008911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1066.666666666667</c:v>
                </c:pt>
                <c:pt idx="2">
                  <c:v>1983.219512195122</c:v>
                </c:pt>
                <c:pt idx="3">
                  <c:v>2014.878048780488</c:v>
                </c:pt>
                <c:pt idx="4">
                  <c:v>3840.406504065041</c:v>
                </c:pt>
                <c:pt idx="5">
                  <c:v>3840.406504065041</c:v>
                </c:pt>
                <c:pt idx="6">
                  <c:v>6622.19512195122</c:v>
                </c:pt>
                <c:pt idx="7">
                  <c:v>6622.19512195122</c:v>
                </c:pt>
                <c:pt idx="8">
                  <c:v>6622.19512195122</c:v>
                </c:pt>
                <c:pt idx="9">
                  <c:v>7491.029810298102</c:v>
                </c:pt>
                <c:pt idx="10">
                  <c:v>8998.875338753387</c:v>
                </c:pt>
                <c:pt idx="11">
                  <c:v>10245.59620596206</c:v>
                </c:pt>
                <c:pt idx="12">
                  <c:v>10245.59620596206</c:v>
                </c:pt>
                <c:pt idx="13">
                  <c:v>10790.57181571816</c:v>
                </c:pt>
                <c:pt idx="14">
                  <c:v>10790.57181571816</c:v>
                </c:pt>
                <c:pt idx="15">
                  <c:v>10790.57181571816</c:v>
                </c:pt>
                <c:pt idx="16">
                  <c:v>10790.57181571816</c:v>
                </c:pt>
                <c:pt idx="17">
                  <c:v>10790.57181571816</c:v>
                </c:pt>
                <c:pt idx="18">
                  <c:v>11283.22764227642</c:v>
                </c:pt>
                <c:pt idx="19">
                  <c:v>11283.22764227642</c:v>
                </c:pt>
                <c:pt idx="20">
                  <c:v>12849.40650406504</c:v>
                </c:pt>
                <c:pt idx="21">
                  <c:v>12849.40650406504</c:v>
                </c:pt>
                <c:pt idx="22">
                  <c:v>12849.40650406504</c:v>
                </c:pt>
                <c:pt idx="23">
                  <c:v>14119.86720867209</c:v>
                </c:pt>
                <c:pt idx="24">
                  <c:v>14403.81029810298</c:v>
                </c:pt>
                <c:pt idx="25">
                  <c:v>14403.81029810298</c:v>
                </c:pt>
                <c:pt idx="26">
                  <c:v>14403.81029810298</c:v>
                </c:pt>
                <c:pt idx="27">
                  <c:v>14403.81029810298</c:v>
                </c:pt>
                <c:pt idx="28">
                  <c:v>14403.81029810298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914.9090909090908</c:v>
                </c:pt>
                <c:pt idx="10">
                  <c:v>7725.414141414142</c:v>
                </c:pt>
                <c:pt idx="11">
                  <c:v>9230.464646464647</c:v>
                </c:pt>
                <c:pt idx="12">
                  <c:v>11176.99663299663</c:v>
                </c:pt>
                <c:pt idx="13">
                  <c:v>11176.99663299663</c:v>
                </c:pt>
                <c:pt idx="14">
                  <c:v>11176.99663299663</c:v>
                </c:pt>
                <c:pt idx="15">
                  <c:v>11176.99663299663</c:v>
                </c:pt>
                <c:pt idx="16">
                  <c:v>17976.79461279461</c:v>
                </c:pt>
                <c:pt idx="17">
                  <c:v>17976.79461279461</c:v>
                </c:pt>
                <c:pt idx="18">
                  <c:v>17976.79461279461</c:v>
                </c:pt>
                <c:pt idx="19">
                  <c:v>18134.20202020202</c:v>
                </c:pt>
                <c:pt idx="20">
                  <c:v>18817.20855614973</c:v>
                </c:pt>
                <c:pt idx="21">
                  <c:v>18817.20855614973</c:v>
                </c:pt>
                <c:pt idx="22">
                  <c:v>18817.20855614973</c:v>
                </c:pt>
                <c:pt idx="23">
                  <c:v>18817.20855614973</c:v>
                </c:pt>
                <c:pt idx="24">
                  <c:v>18817.20855614973</c:v>
                </c:pt>
                <c:pt idx="25">
                  <c:v>18817.20855614973</c:v>
                </c:pt>
                <c:pt idx="26">
                  <c:v>18817.20855614973</c:v>
                </c:pt>
                <c:pt idx="27">
                  <c:v>18817.20855614973</c:v>
                </c:pt>
                <c:pt idx="28">
                  <c:v>18817.20855614973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526.1538461538461</c:v>
                </c:pt>
                <c:pt idx="7">
                  <c:v>5008.205128205128</c:v>
                </c:pt>
                <c:pt idx="8">
                  <c:v>5008.205128205128</c:v>
                </c:pt>
                <c:pt idx="9">
                  <c:v>5192.820512820514</c:v>
                </c:pt>
                <c:pt idx="10">
                  <c:v>8032.649572649573</c:v>
                </c:pt>
                <c:pt idx="11">
                  <c:v>8448.03418803419</c:v>
                </c:pt>
                <c:pt idx="12">
                  <c:v>13158.2905982906</c:v>
                </c:pt>
                <c:pt idx="13">
                  <c:v>13158.2905982906</c:v>
                </c:pt>
                <c:pt idx="14">
                  <c:v>13158.2905982906</c:v>
                </c:pt>
                <c:pt idx="15">
                  <c:v>16471.11111111111</c:v>
                </c:pt>
                <c:pt idx="16">
                  <c:v>18383.93162393162</c:v>
                </c:pt>
                <c:pt idx="17">
                  <c:v>18383.93162393162</c:v>
                </c:pt>
                <c:pt idx="18">
                  <c:v>18383.93162393162</c:v>
                </c:pt>
                <c:pt idx="19">
                  <c:v>18383.93162393162</c:v>
                </c:pt>
                <c:pt idx="20">
                  <c:v>18383.93162393162</c:v>
                </c:pt>
                <c:pt idx="21">
                  <c:v>18951.11111111111</c:v>
                </c:pt>
                <c:pt idx="22">
                  <c:v>18951.11111111111</c:v>
                </c:pt>
                <c:pt idx="23">
                  <c:v>18951.11111111111</c:v>
                </c:pt>
                <c:pt idx="24">
                  <c:v>18951.11111111111</c:v>
                </c:pt>
                <c:pt idx="25">
                  <c:v>18951.11111111111</c:v>
                </c:pt>
                <c:pt idx="26">
                  <c:v>18951.11111111111</c:v>
                </c:pt>
                <c:pt idx="27">
                  <c:v>18951.11111111111</c:v>
                </c:pt>
                <c:pt idx="28">
                  <c:v>18951.11111111111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1994.385964912281</c:v>
                </c:pt>
                <c:pt idx="7">
                  <c:v>1994.385964912281</c:v>
                </c:pt>
                <c:pt idx="8">
                  <c:v>1994.385964912281</c:v>
                </c:pt>
                <c:pt idx="9">
                  <c:v>2962.105263157895</c:v>
                </c:pt>
                <c:pt idx="10">
                  <c:v>6552.631578947368</c:v>
                </c:pt>
                <c:pt idx="11">
                  <c:v>9232.631578947368</c:v>
                </c:pt>
                <c:pt idx="12">
                  <c:v>10831.9298245614</c:v>
                </c:pt>
                <c:pt idx="13">
                  <c:v>10831.9298245614</c:v>
                </c:pt>
                <c:pt idx="14">
                  <c:v>10831.9298245614</c:v>
                </c:pt>
                <c:pt idx="15">
                  <c:v>10831.9298245614</c:v>
                </c:pt>
                <c:pt idx="16">
                  <c:v>11824.61988304094</c:v>
                </c:pt>
                <c:pt idx="17">
                  <c:v>11824.61988304094</c:v>
                </c:pt>
                <c:pt idx="18">
                  <c:v>13778.7865497076</c:v>
                </c:pt>
                <c:pt idx="19">
                  <c:v>13778.7865497076</c:v>
                </c:pt>
                <c:pt idx="20">
                  <c:v>13778.7865497076</c:v>
                </c:pt>
                <c:pt idx="21">
                  <c:v>13778.7865497076</c:v>
                </c:pt>
                <c:pt idx="22">
                  <c:v>18686.68128654971</c:v>
                </c:pt>
                <c:pt idx="23">
                  <c:v>18686.68128654971</c:v>
                </c:pt>
                <c:pt idx="24">
                  <c:v>18686.68128654971</c:v>
                </c:pt>
                <c:pt idx="25">
                  <c:v>18686.68128654971</c:v>
                </c:pt>
                <c:pt idx="26">
                  <c:v>18686.68128654971</c:v>
                </c:pt>
                <c:pt idx="27">
                  <c:v>18686.68128654971</c:v>
                </c:pt>
                <c:pt idx="28">
                  <c:v>18686.68128654971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1470.51282051282</c:v>
                </c:pt>
                <c:pt idx="7">
                  <c:v>1470.51282051282</c:v>
                </c:pt>
                <c:pt idx="8">
                  <c:v>1470.51282051282</c:v>
                </c:pt>
                <c:pt idx="9">
                  <c:v>1470.51282051282</c:v>
                </c:pt>
                <c:pt idx="10">
                  <c:v>1470.51282051282</c:v>
                </c:pt>
                <c:pt idx="11">
                  <c:v>1470.51282051282</c:v>
                </c:pt>
                <c:pt idx="12">
                  <c:v>1470.51282051282</c:v>
                </c:pt>
                <c:pt idx="13">
                  <c:v>1470.51282051282</c:v>
                </c:pt>
                <c:pt idx="14">
                  <c:v>1470.51282051282</c:v>
                </c:pt>
                <c:pt idx="15">
                  <c:v>1470.51282051282</c:v>
                </c:pt>
                <c:pt idx="16">
                  <c:v>1470.51282051282</c:v>
                </c:pt>
                <c:pt idx="17">
                  <c:v>6208.051282051282</c:v>
                </c:pt>
                <c:pt idx="18">
                  <c:v>6299.397435897436</c:v>
                </c:pt>
                <c:pt idx="19">
                  <c:v>6299.397435897436</c:v>
                </c:pt>
                <c:pt idx="20">
                  <c:v>6299.397435897436</c:v>
                </c:pt>
                <c:pt idx="21">
                  <c:v>9704.52564102564</c:v>
                </c:pt>
                <c:pt idx="22">
                  <c:v>9704.52564102564</c:v>
                </c:pt>
                <c:pt idx="23">
                  <c:v>9704.52564102564</c:v>
                </c:pt>
                <c:pt idx="24">
                  <c:v>9704.52564102564</c:v>
                </c:pt>
                <c:pt idx="25">
                  <c:v>9704.52564102564</c:v>
                </c:pt>
                <c:pt idx="26">
                  <c:v>9704.52564102564</c:v>
                </c:pt>
                <c:pt idx="27">
                  <c:v>13538.37179487179</c:v>
                </c:pt>
                <c:pt idx="28">
                  <c:v>13538.37179487179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2497.939393939393</c:v>
                </c:pt>
                <c:pt idx="5">
                  <c:v>2497.939393939393</c:v>
                </c:pt>
                <c:pt idx="6">
                  <c:v>2497.939393939393</c:v>
                </c:pt>
                <c:pt idx="7">
                  <c:v>4490.060606060606</c:v>
                </c:pt>
                <c:pt idx="8">
                  <c:v>4898.060606060606</c:v>
                </c:pt>
                <c:pt idx="9">
                  <c:v>4898.060606060606</c:v>
                </c:pt>
                <c:pt idx="10">
                  <c:v>11952.60606060606</c:v>
                </c:pt>
                <c:pt idx="11">
                  <c:v>16033.81818181818</c:v>
                </c:pt>
                <c:pt idx="12">
                  <c:v>18029.77777777778</c:v>
                </c:pt>
                <c:pt idx="13">
                  <c:v>18029.77777777778</c:v>
                </c:pt>
                <c:pt idx="14">
                  <c:v>18144.2558922559</c:v>
                </c:pt>
                <c:pt idx="15">
                  <c:v>18144.2558922559</c:v>
                </c:pt>
                <c:pt idx="16">
                  <c:v>18144.2558922559</c:v>
                </c:pt>
                <c:pt idx="17">
                  <c:v>18144.2558922559</c:v>
                </c:pt>
                <c:pt idx="18">
                  <c:v>18144.2558922559</c:v>
                </c:pt>
                <c:pt idx="19">
                  <c:v>18144.2558922559</c:v>
                </c:pt>
                <c:pt idx="20">
                  <c:v>18144.2558922559</c:v>
                </c:pt>
                <c:pt idx="21">
                  <c:v>18144.2558922559</c:v>
                </c:pt>
                <c:pt idx="22">
                  <c:v>18144.2558922559</c:v>
                </c:pt>
                <c:pt idx="23">
                  <c:v>18144.2558922559</c:v>
                </c:pt>
                <c:pt idx="24">
                  <c:v>20022.89388508743</c:v>
                </c:pt>
                <c:pt idx="25">
                  <c:v>20022.89388508743</c:v>
                </c:pt>
                <c:pt idx="26">
                  <c:v>20022.89388508743</c:v>
                </c:pt>
                <c:pt idx="27">
                  <c:v>21609.81144781145</c:v>
                </c:pt>
                <c:pt idx="28">
                  <c:v>21609.81144781145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11.53846153846154</c:v>
                </c:pt>
                <c:pt idx="4">
                  <c:v>4521.897435897436</c:v>
                </c:pt>
                <c:pt idx="5">
                  <c:v>4693.82905982906</c:v>
                </c:pt>
                <c:pt idx="6">
                  <c:v>5757.418803418805</c:v>
                </c:pt>
                <c:pt idx="7">
                  <c:v>6454.854700854702</c:v>
                </c:pt>
                <c:pt idx="8">
                  <c:v>6519.909645909647</c:v>
                </c:pt>
                <c:pt idx="9">
                  <c:v>8276.319902319903</c:v>
                </c:pt>
                <c:pt idx="10">
                  <c:v>11031.1916971917</c:v>
                </c:pt>
                <c:pt idx="11">
                  <c:v>11031.1916971917</c:v>
                </c:pt>
                <c:pt idx="12">
                  <c:v>11031.1916971917</c:v>
                </c:pt>
                <c:pt idx="13">
                  <c:v>11031.1916971917</c:v>
                </c:pt>
                <c:pt idx="14">
                  <c:v>11031.1916971917</c:v>
                </c:pt>
                <c:pt idx="15">
                  <c:v>12338.88400488401</c:v>
                </c:pt>
                <c:pt idx="16">
                  <c:v>12871.64753764754</c:v>
                </c:pt>
                <c:pt idx="17">
                  <c:v>17210.10907610908</c:v>
                </c:pt>
                <c:pt idx="18">
                  <c:v>17210.10907610908</c:v>
                </c:pt>
                <c:pt idx="19">
                  <c:v>17210.10907610908</c:v>
                </c:pt>
                <c:pt idx="20">
                  <c:v>17379.13471713472</c:v>
                </c:pt>
                <c:pt idx="21">
                  <c:v>17379.13471713472</c:v>
                </c:pt>
                <c:pt idx="22">
                  <c:v>17379.13471713472</c:v>
                </c:pt>
                <c:pt idx="23">
                  <c:v>17379.13471713472</c:v>
                </c:pt>
                <c:pt idx="24">
                  <c:v>17379.13471713472</c:v>
                </c:pt>
                <c:pt idx="25">
                  <c:v>17379.13471713472</c:v>
                </c:pt>
                <c:pt idx="26">
                  <c:v>17379.13471713472</c:v>
                </c:pt>
                <c:pt idx="27">
                  <c:v>17379.13471713472</c:v>
                </c:pt>
                <c:pt idx="28">
                  <c:v>17379.13471713472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4173.333333333333</c:v>
                </c:pt>
                <c:pt idx="5">
                  <c:v>4406.37037037037</c:v>
                </c:pt>
                <c:pt idx="6">
                  <c:v>4406.37037037037</c:v>
                </c:pt>
                <c:pt idx="7">
                  <c:v>4406.37037037037</c:v>
                </c:pt>
                <c:pt idx="8">
                  <c:v>4406.37037037037</c:v>
                </c:pt>
                <c:pt idx="9">
                  <c:v>4930.814814814815</c:v>
                </c:pt>
                <c:pt idx="10">
                  <c:v>5467.851851851852</c:v>
                </c:pt>
                <c:pt idx="11">
                  <c:v>5641.185185185185</c:v>
                </c:pt>
                <c:pt idx="12">
                  <c:v>5641.185185185185</c:v>
                </c:pt>
                <c:pt idx="13">
                  <c:v>5641.185185185185</c:v>
                </c:pt>
                <c:pt idx="14">
                  <c:v>5641.185185185185</c:v>
                </c:pt>
                <c:pt idx="15">
                  <c:v>6527.851851851852</c:v>
                </c:pt>
                <c:pt idx="16">
                  <c:v>6527.851851851852</c:v>
                </c:pt>
                <c:pt idx="17">
                  <c:v>6527.851851851852</c:v>
                </c:pt>
                <c:pt idx="18">
                  <c:v>6527.851851851852</c:v>
                </c:pt>
                <c:pt idx="19">
                  <c:v>6527.851851851852</c:v>
                </c:pt>
                <c:pt idx="20">
                  <c:v>6632.296296296296</c:v>
                </c:pt>
                <c:pt idx="21">
                  <c:v>8362.666666666668</c:v>
                </c:pt>
                <c:pt idx="22">
                  <c:v>11372.66666666667</c:v>
                </c:pt>
                <c:pt idx="23">
                  <c:v>11372.66666666667</c:v>
                </c:pt>
                <c:pt idx="24">
                  <c:v>14954.88888888889</c:v>
                </c:pt>
                <c:pt idx="25">
                  <c:v>14954.88888888889</c:v>
                </c:pt>
                <c:pt idx="26">
                  <c:v>14954.88888888889</c:v>
                </c:pt>
                <c:pt idx="27">
                  <c:v>14954.88888888889</c:v>
                </c:pt>
                <c:pt idx="28">
                  <c:v>14954.88888888889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27.51322751322752</c:v>
                </c:pt>
                <c:pt idx="4">
                  <c:v>366.5608465608465</c:v>
                </c:pt>
                <c:pt idx="5">
                  <c:v>2486.560846560847</c:v>
                </c:pt>
                <c:pt idx="6">
                  <c:v>2859.417989417989</c:v>
                </c:pt>
                <c:pt idx="7">
                  <c:v>4905.132275132275</c:v>
                </c:pt>
                <c:pt idx="8">
                  <c:v>4905.132275132275</c:v>
                </c:pt>
                <c:pt idx="9">
                  <c:v>9393.227513227514</c:v>
                </c:pt>
                <c:pt idx="10">
                  <c:v>10255.72751322751</c:v>
                </c:pt>
                <c:pt idx="11">
                  <c:v>11749.06084656085</c:v>
                </c:pt>
                <c:pt idx="12">
                  <c:v>16021.75925925926</c:v>
                </c:pt>
                <c:pt idx="13">
                  <c:v>16391.60052910053</c:v>
                </c:pt>
                <c:pt idx="14">
                  <c:v>16391.60052910053</c:v>
                </c:pt>
                <c:pt idx="15">
                  <c:v>16852.1164021164</c:v>
                </c:pt>
                <c:pt idx="16">
                  <c:v>16852.1164021164</c:v>
                </c:pt>
                <c:pt idx="17">
                  <c:v>17725.96560846561</c:v>
                </c:pt>
                <c:pt idx="18">
                  <c:v>17725.96560846561</c:v>
                </c:pt>
                <c:pt idx="19">
                  <c:v>17725.96560846561</c:v>
                </c:pt>
                <c:pt idx="20">
                  <c:v>18471.6798941799</c:v>
                </c:pt>
                <c:pt idx="21">
                  <c:v>18471.6798941799</c:v>
                </c:pt>
                <c:pt idx="22">
                  <c:v>18471.6798941799</c:v>
                </c:pt>
                <c:pt idx="23">
                  <c:v>18471.6798941799</c:v>
                </c:pt>
                <c:pt idx="24">
                  <c:v>18471.6798941799</c:v>
                </c:pt>
                <c:pt idx="25">
                  <c:v>18471.6798941799</c:v>
                </c:pt>
                <c:pt idx="26">
                  <c:v>18471.6798941799</c:v>
                </c:pt>
                <c:pt idx="27">
                  <c:v>18471.6798941799</c:v>
                </c:pt>
                <c:pt idx="28">
                  <c:v>18471.6798941799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693000"/>
        <c:axId val="-1992809752"/>
      </c:lineChart>
      <c:dateAx>
        <c:axId val="-19926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992809752"/>
        <c:crosses val="autoZero"/>
        <c:auto val="1"/>
        <c:lblOffset val="100"/>
        <c:baseTimeUnit val="days"/>
      </c:dateAx>
      <c:valAx>
        <c:axId val="-19928097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199269300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2000" b="1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0</xdr:row>
      <xdr:rowOff>266700</xdr:rowOff>
    </xdr:from>
    <xdr:to>
      <xdr:col>16</xdr:col>
      <xdr:colOff>596900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349248</xdr:colOff>
      <xdr:row>27</xdr:row>
      <xdr:rowOff>142874</xdr:rowOff>
    </xdr:from>
    <xdr:to>
      <xdr:col>34</xdr:col>
      <xdr:colOff>158750</xdr:colOff>
      <xdr:row>62</xdr:row>
      <xdr:rowOff>111125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444498</xdr:colOff>
      <xdr:row>3</xdr:row>
      <xdr:rowOff>492124</xdr:rowOff>
    </xdr:from>
    <xdr:to>
      <xdr:col>34</xdr:col>
      <xdr:colOff>555625</xdr:colOff>
      <xdr:row>36</xdr:row>
      <xdr:rowOff>111125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1"/>
  <sheetViews>
    <sheetView showRuler="0" workbookViewId="0">
      <selection activeCell="B15" sqref="B15"/>
    </sheetView>
  </sheetViews>
  <sheetFormatPr baseColWidth="10" defaultRowHeight="15" x14ac:dyDescent="0"/>
  <cols>
    <col min="1" max="1" width="12.1640625" style="34" customWidth="1"/>
    <col min="2" max="2" width="13" style="34" customWidth="1"/>
    <col min="3" max="3" width="9.6640625" style="45" customWidth="1"/>
    <col min="4" max="4" width="15.1640625" style="34" customWidth="1"/>
    <col min="5" max="5" width="13.1640625" style="30" customWidth="1"/>
    <col min="6" max="6" width="10.83203125" style="29" customWidth="1"/>
    <col min="7" max="8" width="10.5" style="29" customWidth="1"/>
    <col min="9" max="12" width="10.33203125" style="29" customWidth="1"/>
    <col min="13" max="15" width="10.33203125" style="72" customWidth="1"/>
    <col min="16" max="16" width="10.6640625" style="31" customWidth="1"/>
    <col min="17" max="17" width="12.5" style="31" customWidth="1"/>
    <col min="18" max="18" width="13.5" style="30" customWidth="1"/>
    <col min="19" max="19" width="13.5" style="29" customWidth="1"/>
    <col min="20" max="20" width="16.33203125" style="31" customWidth="1"/>
    <col min="21" max="21" width="11.6640625" style="31" customWidth="1"/>
    <col min="22" max="22" width="14.1640625" style="31" customWidth="1"/>
    <col min="23" max="23" width="69.83203125" style="32" customWidth="1"/>
    <col min="24" max="16384" width="10.83203125" style="29"/>
  </cols>
  <sheetData>
    <row r="1" spans="1:23" s="36" customFormat="1" ht="91" customHeight="1">
      <c r="A1" s="35" t="s">
        <v>14</v>
      </c>
      <c r="B1" s="35" t="s">
        <v>1</v>
      </c>
      <c r="C1" s="43" t="s">
        <v>21</v>
      </c>
      <c r="D1" s="35" t="s">
        <v>24</v>
      </c>
      <c r="E1" s="37" t="s">
        <v>15</v>
      </c>
      <c r="F1" s="36" t="s">
        <v>16</v>
      </c>
      <c r="G1" s="36" t="s">
        <v>30</v>
      </c>
      <c r="H1" s="36" t="s">
        <v>31</v>
      </c>
      <c r="I1" s="36" t="s">
        <v>32</v>
      </c>
      <c r="J1" s="36" t="s">
        <v>33</v>
      </c>
      <c r="K1" s="36" t="s">
        <v>34</v>
      </c>
      <c r="L1" s="36" t="s">
        <v>35</v>
      </c>
      <c r="M1" s="69" t="s">
        <v>103</v>
      </c>
      <c r="N1" s="69" t="s">
        <v>104</v>
      </c>
      <c r="O1" s="69" t="s">
        <v>105</v>
      </c>
      <c r="P1" s="38" t="s">
        <v>40</v>
      </c>
      <c r="Q1" s="38" t="s">
        <v>17</v>
      </c>
      <c r="R1" s="37" t="s">
        <v>22</v>
      </c>
      <c r="S1" s="36" t="s">
        <v>18</v>
      </c>
      <c r="T1" s="38" t="s">
        <v>19</v>
      </c>
      <c r="U1" s="38" t="s">
        <v>54</v>
      </c>
      <c r="V1" s="38" t="s">
        <v>130</v>
      </c>
      <c r="W1" s="39" t="s">
        <v>23</v>
      </c>
    </row>
    <row r="2" spans="1:23" s="23" customFormat="1">
      <c r="A2" s="22">
        <v>43189</v>
      </c>
      <c r="B2" s="22" t="s">
        <v>28</v>
      </c>
      <c r="C2" s="40" t="s">
        <v>69</v>
      </c>
      <c r="D2" s="22" t="s">
        <v>113</v>
      </c>
      <c r="E2" s="24">
        <v>1</v>
      </c>
      <c r="F2" s="23">
        <v>820</v>
      </c>
      <c r="G2" s="25">
        <v>256</v>
      </c>
      <c r="H2" s="25">
        <v>31</v>
      </c>
      <c r="I2" s="23">
        <v>252</v>
      </c>
      <c r="J2" s="23">
        <v>8</v>
      </c>
      <c r="K2" s="23">
        <v>254</v>
      </c>
      <c r="L2" s="23">
        <v>2</v>
      </c>
      <c r="M2" s="25">
        <f>G2+H2</f>
        <v>287</v>
      </c>
      <c r="N2" s="23">
        <f>I2+J2</f>
        <v>260</v>
      </c>
      <c r="O2" s="23">
        <f>K2+L2</f>
        <v>256</v>
      </c>
      <c r="P2" s="26">
        <f>AVERAGE(M2:O2)/E2</f>
        <v>267.66666666666669</v>
      </c>
      <c r="Q2" s="26">
        <f>P2*F2</f>
        <v>219486.66666666669</v>
      </c>
      <c r="R2" s="24">
        <f>800/P2</f>
        <v>2.9887920298879203</v>
      </c>
      <c r="S2" s="74"/>
      <c r="T2" s="26">
        <f>Q2-(R2*P2*3)</f>
        <v>217086.66666666669</v>
      </c>
      <c r="U2" s="26">
        <v>1</v>
      </c>
      <c r="V2" s="26"/>
      <c r="W2" s="28"/>
    </row>
    <row r="3" spans="1:23" s="23" customFormat="1">
      <c r="A3" s="22">
        <v>43189</v>
      </c>
      <c r="B3" s="22" t="s">
        <v>29</v>
      </c>
      <c r="C3" s="40" t="s">
        <v>120</v>
      </c>
      <c r="D3" s="22" t="s">
        <v>113</v>
      </c>
      <c r="E3" s="24">
        <v>1</v>
      </c>
      <c r="F3" s="23">
        <v>440</v>
      </c>
      <c r="G3" s="25">
        <v>130</v>
      </c>
      <c r="H3" s="25">
        <v>32</v>
      </c>
      <c r="I3" s="23">
        <v>108</v>
      </c>
      <c r="J3" s="23">
        <v>27</v>
      </c>
      <c r="K3" s="23">
        <v>137</v>
      </c>
      <c r="L3" s="23">
        <v>8</v>
      </c>
      <c r="M3" s="70">
        <f>G3+H3</f>
        <v>162</v>
      </c>
      <c r="N3" s="71">
        <f>I3+J3</f>
        <v>135</v>
      </c>
      <c r="O3" s="71">
        <f>K3+L3</f>
        <v>145</v>
      </c>
      <c r="P3" s="26">
        <f t="shared" ref="P3:P42" si="0">AVERAGE(M3:O3)/E3</f>
        <v>147.33333333333334</v>
      </c>
      <c r="Q3" s="26">
        <f t="shared" ref="Q3:Q65" si="1">P3*F3</f>
        <v>64826.666666666672</v>
      </c>
      <c r="R3" s="24">
        <f>800/P3</f>
        <v>5.4298642533936645</v>
      </c>
      <c r="S3" s="74"/>
      <c r="T3" s="26">
        <f t="shared" ref="T3:T66" si="2">Q3-(R3*P3*3)</f>
        <v>62426.666666666672</v>
      </c>
      <c r="U3" s="26">
        <v>2</v>
      </c>
      <c r="V3" s="26"/>
      <c r="W3" s="28"/>
    </row>
    <row r="4" spans="1:23" s="23" customFormat="1">
      <c r="A4" s="22">
        <v>43189</v>
      </c>
      <c r="B4" s="22" t="s">
        <v>28</v>
      </c>
      <c r="C4" s="40" t="s">
        <v>78</v>
      </c>
      <c r="D4" s="22" t="s">
        <v>53</v>
      </c>
      <c r="E4" s="24">
        <v>1</v>
      </c>
      <c r="F4" s="23">
        <v>500</v>
      </c>
      <c r="G4" s="23">
        <v>231</v>
      </c>
      <c r="H4" s="23">
        <v>5</v>
      </c>
      <c r="I4" s="23">
        <v>265</v>
      </c>
      <c r="J4" s="23">
        <v>4</v>
      </c>
      <c r="K4" s="23">
        <v>238</v>
      </c>
      <c r="L4" s="23">
        <v>4</v>
      </c>
      <c r="M4" s="70">
        <f t="shared" ref="M4:M42" si="3">G4+H4</f>
        <v>236</v>
      </c>
      <c r="N4" s="71">
        <f t="shared" ref="N4:N42" si="4">I4+J4</f>
        <v>269</v>
      </c>
      <c r="O4" s="71">
        <f t="shared" ref="O4:O42" si="5">K4+L4</f>
        <v>242</v>
      </c>
      <c r="P4" s="26">
        <f t="shared" si="0"/>
        <v>249</v>
      </c>
      <c r="Q4" s="26">
        <f t="shared" si="1"/>
        <v>124500</v>
      </c>
      <c r="R4" s="24">
        <f>800/P4</f>
        <v>3.2128514056224899</v>
      </c>
      <c r="S4" s="27"/>
      <c r="T4" s="26">
        <f t="shared" si="2"/>
        <v>122100</v>
      </c>
      <c r="U4" s="26">
        <v>3</v>
      </c>
      <c r="V4" s="26"/>
      <c r="W4" s="28"/>
    </row>
    <row r="5" spans="1:23" s="23" customFormat="1">
      <c r="A5" s="22">
        <v>43189</v>
      </c>
      <c r="B5" s="22" t="s">
        <v>36</v>
      </c>
      <c r="C5" s="98" t="s">
        <v>42</v>
      </c>
      <c r="D5" s="22" t="s">
        <v>137</v>
      </c>
      <c r="E5" s="24">
        <v>0.3</v>
      </c>
      <c r="F5" s="23">
        <v>820</v>
      </c>
      <c r="G5" s="23">
        <v>79</v>
      </c>
      <c r="H5" s="23">
        <v>13</v>
      </c>
      <c r="I5" s="23">
        <v>67</v>
      </c>
      <c r="J5" s="23">
        <v>6</v>
      </c>
      <c r="K5" s="23">
        <v>74</v>
      </c>
      <c r="L5" s="23">
        <v>1</v>
      </c>
      <c r="M5" s="25">
        <f t="shared" si="3"/>
        <v>92</v>
      </c>
      <c r="N5" s="23">
        <f t="shared" si="4"/>
        <v>73</v>
      </c>
      <c r="O5" s="23">
        <f t="shared" si="5"/>
        <v>75</v>
      </c>
      <c r="P5" s="26">
        <f t="shared" si="0"/>
        <v>266.66666666666669</v>
      </c>
      <c r="Q5" s="26">
        <f t="shared" si="1"/>
        <v>218666.66666666669</v>
      </c>
      <c r="R5" s="24">
        <f>800/P5</f>
        <v>3</v>
      </c>
      <c r="S5" s="27"/>
      <c r="T5" s="26">
        <f t="shared" si="2"/>
        <v>216266.66666666669</v>
      </c>
      <c r="U5" s="26">
        <v>4</v>
      </c>
      <c r="V5" s="26"/>
      <c r="W5" s="28"/>
    </row>
    <row r="6" spans="1:23" s="23" customFormat="1">
      <c r="A6" s="22">
        <v>43189</v>
      </c>
      <c r="B6" s="22" t="s">
        <v>36</v>
      </c>
      <c r="C6" s="40" t="s">
        <v>38</v>
      </c>
      <c r="D6" s="22" t="s">
        <v>137</v>
      </c>
      <c r="E6" s="24">
        <v>0.25</v>
      </c>
      <c r="F6" s="23">
        <v>920</v>
      </c>
      <c r="G6" s="23">
        <v>241</v>
      </c>
      <c r="H6" s="23">
        <v>2</v>
      </c>
      <c r="I6" s="23">
        <v>259</v>
      </c>
      <c r="J6" s="23">
        <v>0</v>
      </c>
      <c r="K6" s="23">
        <v>227</v>
      </c>
      <c r="L6" s="23">
        <v>5</v>
      </c>
      <c r="M6" s="25">
        <f t="shared" si="3"/>
        <v>243</v>
      </c>
      <c r="N6" s="23">
        <f t="shared" si="4"/>
        <v>259</v>
      </c>
      <c r="O6" s="23">
        <f t="shared" si="5"/>
        <v>232</v>
      </c>
      <c r="P6" s="26">
        <f t="shared" si="0"/>
        <v>978.66666666666663</v>
      </c>
      <c r="Q6" s="26">
        <f t="shared" si="1"/>
        <v>900373.33333333326</v>
      </c>
      <c r="R6" s="24">
        <f>800/P6</f>
        <v>0.81743869209809272</v>
      </c>
      <c r="S6" s="27"/>
      <c r="T6" s="26">
        <f t="shared" si="2"/>
        <v>897973.33333333326</v>
      </c>
      <c r="U6" s="26">
        <v>5</v>
      </c>
      <c r="V6" s="26">
        <v>2</v>
      </c>
      <c r="W6" s="28" t="s">
        <v>55</v>
      </c>
    </row>
    <row r="7" spans="1:23" s="23" customFormat="1">
      <c r="A7" s="22">
        <v>43189</v>
      </c>
      <c r="B7" s="22" t="s">
        <v>37</v>
      </c>
      <c r="C7" s="40" t="s">
        <v>39</v>
      </c>
      <c r="D7" s="22" t="s">
        <v>137</v>
      </c>
      <c r="E7" s="24">
        <v>0.5</v>
      </c>
      <c r="F7" s="23">
        <v>480</v>
      </c>
      <c r="G7" s="23">
        <v>64</v>
      </c>
      <c r="H7" s="23">
        <v>16</v>
      </c>
      <c r="I7" s="23">
        <v>63</v>
      </c>
      <c r="J7" s="23">
        <v>5</v>
      </c>
      <c r="K7" s="23">
        <v>57</v>
      </c>
      <c r="L7" s="23">
        <v>4</v>
      </c>
      <c r="M7" s="25">
        <f t="shared" si="3"/>
        <v>80</v>
      </c>
      <c r="N7" s="23">
        <f t="shared" si="4"/>
        <v>68</v>
      </c>
      <c r="O7" s="23">
        <f t="shared" si="5"/>
        <v>61</v>
      </c>
      <c r="P7" s="26">
        <f t="shared" si="0"/>
        <v>139.33333333333334</v>
      </c>
      <c r="Q7" s="26">
        <f t="shared" si="1"/>
        <v>66880</v>
      </c>
      <c r="R7" s="24">
        <f t="shared" ref="R7:R68" si="6">800/P7</f>
        <v>5.741626794258373</v>
      </c>
      <c r="S7" s="27"/>
      <c r="T7" s="26">
        <f t="shared" si="2"/>
        <v>64480</v>
      </c>
      <c r="U7" s="26">
        <v>6</v>
      </c>
      <c r="V7" s="26"/>
      <c r="W7" s="28"/>
    </row>
    <row r="8" spans="1:23" s="55" customFormat="1">
      <c r="A8" s="124">
        <v>43190</v>
      </c>
      <c r="B8" s="52" t="s">
        <v>29</v>
      </c>
      <c r="C8" s="53" t="s">
        <v>120</v>
      </c>
      <c r="D8" s="52" t="s">
        <v>47</v>
      </c>
      <c r="E8" s="54">
        <v>0.25</v>
      </c>
      <c r="F8" s="55">
        <v>900</v>
      </c>
      <c r="G8" s="55">
        <v>191</v>
      </c>
      <c r="H8" s="55">
        <v>8</v>
      </c>
      <c r="I8" s="55">
        <v>196</v>
      </c>
      <c r="J8" s="55">
        <v>7</v>
      </c>
      <c r="K8" s="55">
        <v>198</v>
      </c>
      <c r="L8" s="55">
        <v>4</v>
      </c>
      <c r="M8" s="125">
        <f t="shared" si="3"/>
        <v>199</v>
      </c>
      <c r="N8" s="55">
        <f t="shared" si="4"/>
        <v>203</v>
      </c>
      <c r="O8" s="55">
        <f t="shared" si="5"/>
        <v>202</v>
      </c>
      <c r="P8" s="56">
        <f t="shared" si="0"/>
        <v>805.33333333333337</v>
      </c>
      <c r="Q8" s="56">
        <f t="shared" si="1"/>
        <v>724800</v>
      </c>
      <c r="R8" s="54">
        <f t="shared" si="6"/>
        <v>0.99337748344370858</v>
      </c>
      <c r="S8" s="57">
        <f>1.03*P8</f>
        <v>829.49333333333334</v>
      </c>
      <c r="T8" s="56">
        <f t="shared" si="2"/>
        <v>722400</v>
      </c>
      <c r="U8" s="56">
        <v>7</v>
      </c>
      <c r="V8" s="56">
        <v>2</v>
      </c>
      <c r="W8" s="58" t="s">
        <v>56</v>
      </c>
    </row>
    <row r="9" spans="1:23" s="55" customFormat="1">
      <c r="A9" s="124">
        <v>43190</v>
      </c>
      <c r="B9" s="52" t="s">
        <v>36</v>
      </c>
      <c r="C9" s="53" t="s">
        <v>42</v>
      </c>
      <c r="D9" s="52" t="s">
        <v>53</v>
      </c>
      <c r="E9" s="54">
        <v>0.25</v>
      </c>
      <c r="F9" s="55">
        <v>520</v>
      </c>
      <c r="G9" s="55">
        <v>87</v>
      </c>
      <c r="H9" s="55">
        <v>13</v>
      </c>
      <c r="I9" s="55">
        <v>88</v>
      </c>
      <c r="J9" s="55">
        <v>10</v>
      </c>
      <c r="K9" s="55">
        <v>64</v>
      </c>
      <c r="L9" s="55">
        <v>9</v>
      </c>
      <c r="M9" s="125">
        <f t="shared" si="3"/>
        <v>100</v>
      </c>
      <c r="N9" s="55">
        <f t="shared" si="4"/>
        <v>98</v>
      </c>
      <c r="O9" s="55">
        <f t="shared" si="5"/>
        <v>73</v>
      </c>
      <c r="P9" s="56">
        <f t="shared" si="0"/>
        <v>361.33333333333331</v>
      </c>
      <c r="Q9" s="56">
        <f t="shared" si="1"/>
        <v>187893.33333333331</v>
      </c>
      <c r="R9" s="54">
        <f t="shared" si="6"/>
        <v>2.2140221402214024</v>
      </c>
      <c r="S9" s="57"/>
      <c r="T9" s="56">
        <f t="shared" si="2"/>
        <v>185493.33333333331</v>
      </c>
      <c r="U9" s="56">
        <v>8</v>
      </c>
      <c r="V9" s="56"/>
      <c r="W9" s="58"/>
    </row>
    <row r="10" spans="1:23" s="55" customFormat="1">
      <c r="A10" s="124">
        <v>43190</v>
      </c>
      <c r="B10" s="52" t="s">
        <v>36</v>
      </c>
      <c r="C10" s="53" t="s">
        <v>38</v>
      </c>
      <c r="D10" s="52" t="s">
        <v>53</v>
      </c>
      <c r="E10" s="54">
        <v>0.25</v>
      </c>
      <c r="F10" s="55">
        <v>685</v>
      </c>
      <c r="G10" s="55">
        <v>62</v>
      </c>
      <c r="H10" s="55">
        <v>12</v>
      </c>
      <c r="I10" s="55">
        <v>45</v>
      </c>
      <c r="J10" s="55">
        <v>18</v>
      </c>
      <c r="K10" s="55">
        <v>84</v>
      </c>
      <c r="L10" s="55">
        <v>13</v>
      </c>
      <c r="M10" s="125">
        <f t="shared" si="3"/>
        <v>74</v>
      </c>
      <c r="N10" s="55">
        <f t="shared" si="4"/>
        <v>63</v>
      </c>
      <c r="O10" s="55">
        <f t="shared" si="5"/>
        <v>97</v>
      </c>
      <c r="P10" s="56">
        <f t="shared" si="0"/>
        <v>312</v>
      </c>
      <c r="Q10" s="56">
        <f t="shared" si="1"/>
        <v>213720</v>
      </c>
      <c r="R10" s="54">
        <f t="shared" si="6"/>
        <v>2.5641025641025643</v>
      </c>
      <c r="S10" s="57"/>
      <c r="T10" s="56">
        <f t="shared" si="2"/>
        <v>211320</v>
      </c>
      <c r="U10" s="56">
        <v>9</v>
      </c>
      <c r="V10" s="56"/>
      <c r="W10" s="58"/>
    </row>
    <row r="11" spans="1:23" s="23" customFormat="1">
      <c r="A11" s="22">
        <v>43191</v>
      </c>
      <c r="B11" s="22" t="s">
        <v>28</v>
      </c>
      <c r="C11" s="40" t="s">
        <v>69</v>
      </c>
      <c r="D11" s="22" t="s">
        <v>53</v>
      </c>
      <c r="E11" s="24">
        <v>0.3</v>
      </c>
      <c r="F11" s="23">
        <v>330</v>
      </c>
      <c r="G11" s="23">
        <v>3</v>
      </c>
      <c r="H11" s="23">
        <v>3</v>
      </c>
      <c r="I11" s="23">
        <v>9</v>
      </c>
      <c r="J11" s="23">
        <v>3</v>
      </c>
      <c r="K11" s="23">
        <v>9</v>
      </c>
      <c r="L11" s="23">
        <v>3</v>
      </c>
      <c r="M11" s="70">
        <f t="shared" si="3"/>
        <v>6</v>
      </c>
      <c r="N11" s="71">
        <f t="shared" si="4"/>
        <v>12</v>
      </c>
      <c r="O11" s="71">
        <f t="shared" si="5"/>
        <v>12</v>
      </c>
      <c r="P11" s="26">
        <f t="shared" si="0"/>
        <v>33.333333333333336</v>
      </c>
      <c r="Q11" s="26">
        <f t="shared" si="1"/>
        <v>11000</v>
      </c>
      <c r="R11" s="24">
        <f t="shared" si="6"/>
        <v>24</v>
      </c>
      <c r="S11" s="27"/>
      <c r="T11" s="26">
        <f t="shared" si="2"/>
        <v>8600</v>
      </c>
      <c r="U11" s="26" t="s">
        <v>65</v>
      </c>
      <c r="V11" s="26"/>
      <c r="W11" s="28"/>
    </row>
    <row r="12" spans="1:23" s="23" customFormat="1">
      <c r="A12" s="22">
        <v>43191</v>
      </c>
      <c r="B12" s="22" t="s">
        <v>59</v>
      </c>
      <c r="C12" s="40" t="s">
        <v>60</v>
      </c>
      <c r="D12" s="22" t="s">
        <v>53</v>
      </c>
      <c r="E12" s="24">
        <v>0.3</v>
      </c>
      <c r="F12" s="23">
        <v>400</v>
      </c>
      <c r="G12" s="23">
        <v>0</v>
      </c>
      <c r="H12" s="23">
        <v>2</v>
      </c>
      <c r="I12" s="23">
        <v>4</v>
      </c>
      <c r="J12" s="23">
        <v>2</v>
      </c>
      <c r="K12" s="23">
        <v>4</v>
      </c>
      <c r="L12" s="23">
        <v>1</v>
      </c>
      <c r="M12" s="70">
        <f t="shared" si="3"/>
        <v>2</v>
      </c>
      <c r="N12" s="71">
        <f t="shared" si="4"/>
        <v>6</v>
      </c>
      <c r="O12" s="71">
        <f t="shared" si="5"/>
        <v>5</v>
      </c>
      <c r="P12" s="26">
        <f t="shared" si="0"/>
        <v>14.444444444444445</v>
      </c>
      <c r="Q12" s="26">
        <f t="shared" si="1"/>
        <v>5777.7777777777783</v>
      </c>
      <c r="R12" s="24">
        <f t="shared" si="6"/>
        <v>55.384615384615387</v>
      </c>
      <c r="S12" s="27"/>
      <c r="T12" s="26">
        <f t="shared" si="2"/>
        <v>3377.7777777777783</v>
      </c>
      <c r="U12" s="26" t="s">
        <v>65</v>
      </c>
      <c r="V12" s="26"/>
      <c r="W12" s="28"/>
    </row>
    <row r="13" spans="1:23" s="23" customFormat="1">
      <c r="A13" s="22">
        <v>43191</v>
      </c>
      <c r="B13" s="22" t="s">
        <v>28</v>
      </c>
      <c r="C13" s="40" t="s">
        <v>50</v>
      </c>
      <c r="D13" s="22" t="s">
        <v>63</v>
      </c>
      <c r="E13" s="24">
        <v>0.35</v>
      </c>
      <c r="F13" s="23">
        <v>750</v>
      </c>
      <c r="G13" s="23">
        <v>75</v>
      </c>
      <c r="H13" s="23">
        <v>6</v>
      </c>
      <c r="I13" s="23">
        <v>102</v>
      </c>
      <c r="J13" s="23">
        <v>15</v>
      </c>
      <c r="K13" s="23">
        <v>82</v>
      </c>
      <c r="L13" s="23">
        <v>5</v>
      </c>
      <c r="M13" s="70">
        <f t="shared" si="3"/>
        <v>81</v>
      </c>
      <c r="N13" s="71">
        <f t="shared" si="4"/>
        <v>117</v>
      </c>
      <c r="O13" s="71">
        <f t="shared" si="5"/>
        <v>87</v>
      </c>
      <c r="P13" s="26">
        <f t="shared" si="0"/>
        <v>271.42857142857144</v>
      </c>
      <c r="Q13" s="26">
        <f t="shared" si="1"/>
        <v>203571.42857142858</v>
      </c>
      <c r="R13" s="24">
        <f t="shared" si="6"/>
        <v>2.9473684210526314</v>
      </c>
      <c r="S13" s="27">
        <f>3.24*P13</f>
        <v>879.42857142857156</v>
      </c>
      <c r="T13" s="26">
        <f t="shared" si="2"/>
        <v>201171.42857142858</v>
      </c>
      <c r="U13" s="26">
        <v>10</v>
      </c>
      <c r="V13" s="26"/>
      <c r="W13" s="28"/>
    </row>
    <row r="14" spans="1:23" s="23" customFormat="1">
      <c r="A14" s="22">
        <v>43191</v>
      </c>
      <c r="B14" s="22" t="s">
        <v>29</v>
      </c>
      <c r="C14" s="40" t="s">
        <v>62</v>
      </c>
      <c r="D14" s="22" t="s">
        <v>125</v>
      </c>
      <c r="E14" s="24">
        <v>0.35</v>
      </c>
      <c r="F14" s="23">
        <v>725</v>
      </c>
      <c r="G14" s="23">
        <v>21</v>
      </c>
      <c r="H14" s="23">
        <v>0</v>
      </c>
      <c r="I14" s="23">
        <v>25</v>
      </c>
      <c r="J14" s="23">
        <v>1</v>
      </c>
      <c r="K14" s="23">
        <v>13</v>
      </c>
      <c r="L14" s="23">
        <v>1</v>
      </c>
      <c r="M14" s="70">
        <f t="shared" si="3"/>
        <v>21</v>
      </c>
      <c r="N14" s="71">
        <f t="shared" si="4"/>
        <v>26</v>
      </c>
      <c r="O14" s="71">
        <f t="shared" si="5"/>
        <v>14</v>
      </c>
      <c r="P14" s="26">
        <f t="shared" si="0"/>
        <v>58.095238095238095</v>
      </c>
      <c r="Q14" s="26">
        <f t="shared" si="1"/>
        <v>42119.047619047618</v>
      </c>
      <c r="R14" s="24">
        <f t="shared" si="6"/>
        <v>13.770491803278688</v>
      </c>
      <c r="S14" s="27">
        <f>14.24*P14</f>
        <v>827.27619047619044</v>
      </c>
      <c r="T14" s="26">
        <f t="shared" si="2"/>
        <v>39719.047619047618</v>
      </c>
      <c r="U14" s="26">
        <v>11</v>
      </c>
      <c r="V14" s="26"/>
      <c r="W14" s="28"/>
    </row>
    <row r="15" spans="1:23" s="23" customFormat="1">
      <c r="A15" s="22">
        <v>43191</v>
      </c>
      <c r="B15" s="22" t="s">
        <v>29</v>
      </c>
      <c r="C15" s="40" t="s">
        <v>120</v>
      </c>
      <c r="D15" s="22" t="s">
        <v>53</v>
      </c>
      <c r="E15" s="24">
        <v>1</v>
      </c>
      <c r="F15" s="23">
        <v>400</v>
      </c>
      <c r="G15" s="23">
        <v>28</v>
      </c>
      <c r="H15" s="23">
        <v>4</v>
      </c>
      <c r="I15" s="23">
        <v>30</v>
      </c>
      <c r="J15" s="23">
        <v>4</v>
      </c>
      <c r="K15" s="23">
        <v>32</v>
      </c>
      <c r="L15" s="23">
        <v>3</v>
      </c>
      <c r="M15" s="70">
        <f t="shared" si="3"/>
        <v>32</v>
      </c>
      <c r="N15" s="71">
        <f t="shared" si="4"/>
        <v>34</v>
      </c>
      <c r="O15" s="71">
        <f t="shared" si="5"/>
        <v>35</v>
      </c>
      <c r="P15" s="26">
        <f t="shared" si="0"/>
        <v>33.666666666666664</v>
      </c>
      <c r="Q15" s="26">
        <f t="shared" si="1"/>
        <v>13466.666666666666</v>
      </c>
      <c r="R15" s="24">
        <f t="shared" si="6"/>
        <v>23.762376237623766</v>
      </c>
      <c r="S15" s="27"/>
      <c r="T15" s="26">
        <f t="shared" si="2"/>
        <v>11066.666666666666</v>
      </c>
      <c r="U15" s="26">
        <v>12</v>
      </c>
      <c r="V15" s="26"/>
      <c r="W15" s="28"/>
    </row>
    <row r="16" spans="1:23" s="23" customFormat="1">
      <c r="A16" s="22">
        <v>43191</v>
      </c>
      <c r="B16" s="22" t="s">
        <v>36</v>
      </c>
      <c r="C16" s="40" t="s">
        <v>42</v>
      </c>
      <c r="D16" s="22" t="s">
        <v>53</v>
      </c>
      <c r="E16" s="24">
        <v>1</v>
      </c>
      <c r="F16" s="23">
        <v>330</v>
      </c>
      <c r="G16" s="23">
        <v>23</v>
      </c>
      <c r="H16" s="23">
        <v>0</v>
      </c>
      <c r="I16" s="23">
        <v>19</v>
      </c>
      <c r="J16" s="23">
        <v>2</v>
      </c>
      <c r="K16" s="23">
        <v>12</v>
      </c>
      <c r="L16" s="23">
        <v>3</v>
      </c>
      <c r="M16" s="70">
        <f t="shared" si="3"/>
        <v>23</v>
      </c>
      <c r="N16" s="71">
        <f t="shared" si="4"/>
        <v>21</v>
      </c>
      <c r="O16" s="71">
        <f t="shared" si="5"/>
        <v>15</v>
      </c>
      <c r="P16" s="26">
        <f t="shared" si="0"/>
        <v>19.666666666666668</v>
      </c>
      <c r="Q16" s="26">
        <f t="shared" si="1"/>
        <v>6490</v>
      </c>
      <c r="R16" s="24">
        <f t="shared" si="6"/>
        <v>40.677966101694913</v>
      </c>
      <c r="S16" s="27"/>
      <c r="T16" s="26">
        <f t="shared" si="2"/>
        <v>4090</v>
      </c>
      <c r="U16" s="26" t="s">
        <v>65</v>
      </c>
      <c r="V16" s="26"/>
      <c r="W16" s="28"/>
    </row>
    <row r="17" spans="1:23" s="23" customFormat="1">
      <c r="A17" s="22">
        <v>43191</v>
      </c>
      <c r="B17" s="22" t="s">
        <v>36</v>
      </c>
      <c r="C17" s="40" t="s">
        <v>38</v>
      </c>
      <c r="D17" s="22" t="s">
        <v>53</v>
      </c>
      <c r="E17" s="24">
        <v>1</v>
      </c>
      <c r="F17" s="23">
        <v>500</v>
      </c>
      <c r="G17" s="23">
        <v>119</v>
      </c>
      <c r="H17" s="23">
        <v>6</v>
      </c>
      <c r="I17" s="23">
        <v>115</v>
      </c>
      <c r="J17" s="23">
        <v>2</v>
      </c>
      <c r="K17" s="23">
        <v>114</v>
      </c>
      <c r="L17" s="23">
        <v>3</v>
      </c>
      <c r="M17" s="70">
        <f t="shared" si="3"/>
        <v>125</v>
      </c>
      <c r="N17" s="71">
        <f t="shared" si="4"/>
        <v>117</v>
      </c>
      <c r="O17" s="71">
        <f t="shared" si="5"/>
        <v>117</v>
      </c>
      <c r="P17" s="26">
        <f t="shared" si="0"/>
        <v>119.66666666666667</v>
      </c>
      <c r="Q17" s="26">
        <f t="shared" si="1"/>
        <v>59833.333333333336</v>
      </c>
      <c r="R17" s="24">
        <f t="shared" si="6"/>
        <v>6.6852367688022278</v>
      </c>
      <c r="S17" s="27"/>
      <c r="T17" s="26">
        <f t="shared" si="2"/>
        <v>57433.333333333336</v>
      </c>
      <c r="U17" s="26">
        <v>13</v>
      </c>
      <c r="V17" s="26"/>
      <c r="W17" s="28"/>
    </row>
    <row r="18" spans="1:23" s="23" customFormat="1">
      <c r="A18" s="22">
        <v>43191</v>
      </c>
      <c r="B18" s="22" t="s">
        <v>61</v>
      </c>
      <c r="C18" s="40" t="s">
        <v>67</v>
      </c>
      <c r="D18" s="22" t="s">
        <v>53</v>
      </c>
      <c r="E18" s="24">
        <v>1</v>
      </c>
      <c r="F18" s="23">
        <v>375</v>
      </c>
      <c r="G18" s="23">
        <v>2</v>
      </c>
      <c r="H18" s="23">
        <v>4</v>
      </c>
      <c r="I18" s="23">
        <v>2</v>
      </c>
      <c r="J18" s="23">
        <v>5</v>
      </c>
      <c r="K18" s="23">
        <v>1</v>
      </c>
      <c r="L18" s="23">
        <v>4</v>
      </c>
      <c r="M18" s="70">
        <f t="shared" si="3"/>
        <v>6</v>
      </c>
      <c r="N18" s="71">
        <f t="shared" si="4"/>
        <v>7</v>
      </c>
      <c r="O18" s="71">
        <f t="shared" si="5"/>
        <v>5</v>
      </c>
      <c r="P18" s="26">
        <f t="shared" si="0"/>
        <v>6</v>
      </c>
      <c r="Q18" s="26">
        <f t="shared" si="1"/>
        <v>2250</v>
      </c>
      <c r="R18" s="24">
        <f t="shared" si="6"/>
        <v>133.33333333333334</v>
      </c>
      <c r="S18" s="27"/>
      <c r="T18" s="26" t="s">
        <v>20</v>
      </c>
      <c r="U18" s="26" t="s">
        <v>65</v>
      </c>
      <c r="V18" s="26"/>
      <c r="W18" s="28"/>
    </row>
    <row r="19" spans="1:23" s="55" customFormat="1">
      <c r="A19" s="52">
        <v>43192</v>
      </c>
      <c r="B19" s="52" t="s">
        <v>61</v>
      </c>
      <c r="C19" s="53" t="s">
        <v>66</v>
      </c>
      <c r="D19" s="52" t="s">
        <v>137</v>
      </c>
      <c r="E19" s="54">
        <v>0.25</v>
      </c>
      <c r="F19" s="55">
        <v>840</v>
      </c>
      <c r="G19" s="55">
        <v>118</v>
      </c>
      <c r="H19" s="55">
        <v>1</v>
      </c>
      <c r="I19" s="55">
        <v>133</v>
      </c>
      <c r="J19" s="55">
        <v>1</v>
      </c>
      <c r="K19" s="55">
        <v>113</v>
      </c>
      <c r="L19" s="55">
        <v>2</v>
      </c>
      <c r="M19" s="70">
        <f t="shared" si="3"/>
        <v>119</v>
      </c>
      <c r="N19" s="71">
        <f t="shared" si="4"/>
        <v>134</v>
      </c>
      <c r="O19" s="71">
        <f t="shared" si="5"/>
        <v>115</v>
      </c>
      <c r="P19" s="26">
        <f t="shared" si="0"/>
        <v>490.66666666666669</v>
      </c>
      <c r="Q19" s="56">
        <f t="shared" si="1"/>
        <v>412160</v>
      </c>
      <c r="R19" s="54">
        <f t="shared" si="6"/>
        <v>1.6304347826086956</v>
      </c>
      <c r="S19" s="57">
        <f>1.65*P19</f>
        <v>809.6</v>
      </c>
      <c r="T19" s="56">
        <f t="shared" si="2"/>
        <v>409760</v>
      </c>
      <c r="U19" s="56">
        <v>14</v>
      </c>
      <c r="V19" s="56">
        <v>2</v>
      </c>
      <c r="W19" s="58"/>
    </row>
    <row r="20" spans="1:23" s="55" customFormat="1">
      <c r="A20" s="52">
        <v>43192</v>
      </c>
      <c r="B20" s="52" t="s">
        <v>61</v>
      </c>
      <c r="C20" s="53" t="s">
        <v>67</v>
      </c>
      <c r="D20" s="52" t="s">
        <v>72</v>
      </c>
      <c r="E20" s="54">
        <v>0.25</v>
      </c>
      <c r="F20" s="55">
        <v>920</v>
      </c>
      <c r="G20" s="55">
        <v>212</v>
      </c>
      <c r="H20" s="55">
        <v>6</v>
      </c>
      <c r="I20" s="55">
        <v>218</v>
      </c>
      <c r="J20" s="55">
        <v>7</v>
      </c>
      <c r="K20" s="55">
        <v>268</v>
      </c>
      <c r="L20" s="55">
        <v>6</v>
      </c>
      <c r="M20" s="70">
        <f t="shared" si="3"/>
        <v>218</v>
      </c>
      <c r="N20" s="71">
        <f t="shared" si="4"/>
        <v>225</v>
      </c>
      <c r="O20" s="71">
        <f t="shared" si="5"/>
        <v>274</v>
      </c>
      <c r="P20" s="26">
        <f t="shared" si="0"/>
        <v>956</v>
      </c>
      <c r="Q20" s="56">
        <f t="shared" si="1"/>
        <v>879520</v>
      </c>
      <c r="R20" s="54">
        <f t="shared" si="6"/>
        <v>0.83682008368200833</v>
      </c>
      <c r="S20" s="57">
        <f>0.86*P20</f>
        <v>822.16</v>
      </c>
      <c r="T20" s="56">
        <f t="shared" si="2"/>
        <v>877120</v>
      </c>
      <c r="U20" s="56">
        <v>15</v>
      </c>
      <c r="V20" s="56">
        <v>2</v>
      </c>
      <c r="W20" s="58"/>
    </row>
    <row r="21" spans="1:23" s="55" customFormat="1">
      <c r="A21" s="52">
        <v>43192</v>
      </c>
      <c r="B21" s="52" t="s">
        <v>36</v>
      </c>
      <c r="C21" s="53" t="s">
        <v>38</v>
      </c>
      <c r="D21" s="52" t="s">
        <v>74</v>
      </c>
      <c r="E21" s="54">
        <v>0.25</v>
      </c>
      <c r="F21" s="55">
        <v>850</v>
      </c>
      <c r="G21" s="55">
        <v>69</v>
      </c>
      <c r="H21" s="55">
        <v>22</v>
      </c>
      <c r="I21" s="55">
        <v>81</v>
      </c>
      <c r="J21" s="55">
        <v>23</v>
      </c>
      <c r="K21" s="55">
        <v>51</v>
      </c>
      <c r="L21" s="55">
        <v>40</v>
      </c>
      <c r="M21" s="70">
        <f t="shared" si="3"/>
        <v>91</v>
      </c>
      <c r="N21" s="71">
        <f t="shared" si="4"/>
        <v>104</v>
      </c>
      <c r="O21" s="71">
        <f t="shared" si="5"/>
        <v>91</v>
      </c>
      <c r="P21" s="26">
        <f t="shared" si="0"/>
        <v>381.33333333333331</v>
      </c>
      <c r="Q21" s="56">
        <f t="shared" si="1"/>
        <v>324133.33333333331</v>
      </c>
      <c r="R21" s="54">
        <f t="shared" si="6"/>
        <v>2.0979020979020979</v>
      </c>
      <c r="S21" s="73">
        <f>2.99*P21</f>
        <v>1140.1866666666667</v>
      </c>
      <c r="T21" s="56">
        <f t="shared" si="2"/>
        <v>321733.33333333331</v>
      </c>
      <c r="U21" s="56">
        <v>16</v>
      </c>
      <c r="V21" s="56">
        <v>2</v>
      </c>
      <c r="W21" s="58"/>
    </row>
    <row r="22" spans="1:23" s="55" customFormat="1">
      <c r="A22" s="52">
        <v>43192</v>
      </c>
      <c r="B22" s="52" t="s">
        <v>37</v>
      </c>
      <c r="C22" s="53" t="s">
        <v>68</v>
      </c>
      <c r="D22" s="52" t="s">
        <v>76</v>
      </c>
      <c r="E22" s="54">
        <v>0.25</v>
      </c>
      <c r="F22" s="55">
        <v>850</v>
      </c>
      <c r="G22" s="55">
        <v>142</v>
      </c>
      <c r="H22" s="55">
        <v>9</v>
      </c>
      <c r="I22" s="55">
        <v>137</v>
      </c>
      <c r="J22" s="55">
        <v>14</v>
      </c>
      <c r="K22" s="55">
        <v>132</v>
      </c>
      <c r="L22" s="55">
        <v>10</v>
      </c>
      <c r="M22" s="70">
        <f t="shared" si="3"/>
        <v>151</v>
      </c>
      <c r="N22" s="71">
        <f t="shared" si="4"/>
        <v>151</v>
      </c>
      <c r="O22" s="71">
        <f t="shared" si="5"/>
        <v>142</v>
      </c>
      <c r="P22" s="26">
        <f t="shared" si="0"/>
        <v>592</v>
      </c>
      <c r="Q22" s="56">
        <f t="shared" si="1"/>
        <v>503200</v>
      </c>
      <c r="R22" s="54">
        <f t="shared" si="6"/>
        <v>1.3513513513513513</v>
      </c>
      <c r="S22" s="57">
        <f>1.46*P22</f>
        <v>864.31999999999994</v>
      </c>
      <c r="T22" s="56">
        <f t="shared" si="2"/>
        <v>500800</v>
      </c>
      <c r="U22" s="56">
        <v>17</v>
      </c>
      <c r="V22" s="56">
        <v>2</v>
      </c>
      <c r="W22" s="58"/>
    </row>
    <row r="23" spans="1:23" s="55" customFormat="1">
      <c r="A23" s="52">
        <v>43192</v>
      </c>
      <c r="B23" s="52" t="s">
        <v>36</v>
      </c>
      <c r="C23" s="53" t="s">
        <v>42</v>
      </c>
      <c r="D23" s="52" t="s">
        <v>53</v>
      </c>
      <c r="E23" s="54">
        <v>0.25</v>
      </c>
      <c r="F23" s="55">
        <v>545</v>
      </c>
      <c r="G23" s="55">
        <v>28</v>
      </c>
      <c r="H23" s="55">
        <v>132</v>
      </c>
      <c r="I23" s="55">
        <v>27</v>
      </c>
      <c r="J23" s="55">
        <v>161</v>
      </c>
      <c r="K23" s="55">
        <v>22</v>
      </c>
      <c r="L23" s="55">
        <v>145</v>
      </c>
      <c r="M23" s="70">
        <f t="shared" si="3"/>
        <v>160</v>
      </c>
      <c r="N23" s="71">
        <f t="shared" si="4"/>
        <v>188</v>
      </c>
      <c r="O23" s="71">
        <f t="shared" si="5"/>
        <v>167</v>
      </c>
      <c r="P23" s="26">
        <f t="shared" si="0"/>
        <v>686.66666666666663</v>
      </c>
      <c r="Q23" s="56">
        <f t="shared" si="1"/>
        <v>374233.33333333331</v>
      </c>
      <c r="R23" s="54">
        <f t="shared" si="6"/>
        <v>1.1650485436893205</v>
      </c>
      <c r="S23" s="57"/>
      <c r="T23" s="56">
        <f t="shared" si="2"/>
        <v>371833.33333333331</v>
      </c>
      <c r="U23" s="56">
        <v>18</v>
      </c>
      <c r="V23" s="56">
        <v>2</v>
      </c>
      <c r="W23" s="58"/>
    </row>
    <row r="24" spans="1:23" s="55" customFormat="1">
      <c r="A24" s="52">
        <v>43192</v>
      </c>
      <c r="B24" s="52" t="s">
        <v>28</v>
      </c>
      <c r="C24" s="53" t="s">
        <v>69</v>
      </c>
      <c r="D24" s="52" t="s">
        <v>53</v>
      </c>
      <c r="E24" s="54">
        <v>0.25</v>
      </c>
      <c r="F24" s="55">
        <v>750</v>
      </c>
      <c r="G24" s="55">
        <v>54</v>
      </c>
      <c r="H24" s="55">
        <v>85</v>
      </c>
      <c r="I24" s="55">
        <v>75</v>
      </c>
      <c r="J24" s="55">
        <v>94</v>
      </c>
      <c r="K24" s="55">
        <v>81</v>
      </c>
      <c r="L24" s="55">
        <v>68</v>
      </c>
      <c r="M24" s="70">
        <f t="shared" si="3"/>
        <v>139</v>
      </c>
      <c r="N24" s="71">
        <f t="shared" si="4"/>
        <v>169</v>
      </c>
      <c r="O24" s="71">
        <f t="shared" si="5"/>
        <v>149</v>
      </c>
      <c r="P24" s="26">
        <f t="shared" si="0"/>
        <v>609.33333333333337</v>
      </c>
      <c r="Q24" s="56">
        <f t="shared" si="1"/>
        <v>457000</v>
      </c>
      <c r="R24" s="54">
        <f t="shared" si="6"/>
        <v>1.3129102844638949</v>
      </c>
      <c r="S24" s="57"/>
      <c r="T24" s="56">
        <f t="shared" si="2"/>
        <v>454600</v>
      </c>
      <c r="U24" s="56">
        <v>19</v>
      </c>
      <c r="V24" s="56">
        <v>2</v>
      </c>
      <c r="W24" s="58"/>
    </row>
    <row r="25" spans="1:23" s="55" customFormat="1">
      <c r="A25" s="52">
        <v>43192</v>
      </c>
      <c r="B25" s="52" t="s">
        <v>59</v>
      </c>
      <c r="C25" s="53" t="s">
        <v>70</v>
      </c>
      <c r="D25" s="52" t="s">
        <v>73</v>
      </c>
      <c r="E25" s="54">
        <v>0.25</v>
      </c>
      <c r="F25" s="55">
        <v>900</v>
      </c>
      <c r="G25" s="55">
        <v>200</v>
      </c>
      <c r="H25" s="55">
        <v>20</v>
      </c>
      <c r="I25" s="55">
        <v>180</v>
      </c>
      <c r="J25" s="55">
        <v>19</v>
      </c>
      <c r="K25" s="55">
        <v>182</v>
      </c>
      <c r="L25" s="55">
        <v>25</v>
      </c>
      <c r="M25" s="70">
        <f t="shared" si="3"/>
        <v>220</v>
      </c>
      <c r="N25" s="71">
        <f t="shared" si="4"/>
        <v>199</v>
      </c>
      <c r="O25" s="71">
        <f t="shared" si="5"/>
        <v>207</v>
      </c>
      <c r="P25" s="26">
        <f t="shared" si="0"/>
        <v>834.66666666666663</v>
      </c>
      <c r="Q25" s="56">
        <f t="shared" si="1"/>
        <v>751200</v>
      </c>
      <c r="R25" s="54">
        <f t="shared" si="6"/>
        <v>0.95846645367412142</v>
      </c>
      <c r="S25" s="57">
        <f>1.07*P25</f>
        <v>893.09333333333336</v>
      </c>
      <c r="T25" s="56">
        <f t="shared" si="2"/>
        <v>748800</v>
      </c>
      <c r="U25" s="56">
        <v>20</v>
      </c>
      <c r="V25" s="56">
        <v>2</v>
      </c>
      <c r="W25" s="58"/>
    </row>
    <row r="26" spans="1:23" s="55" customFormat="1">
      <c r="A26" s="52">
        <v>43192</v>
      </c>
      <c r="B26" s="52" t="s">
        <v>59</v>
      </c>
      <c r="C26" s="53" t="s">
        <v>60</v>
      </c>
      <c r="D26" s="52" t="s">
        <v>53</v>
      </c>
      <c r="E26" s="54">
        <v>1</v>
      </c>
      <c r="F26" s="55">
        <v>480</v>
      </c>
      <c r="G26" s="55">
        <v>137</v>
      </c>
      <c r="H26" s="55">
        <v>12</v>
      </c>
      <c r="I26" s="55">
        <v>149</v>
      </c>
      <c r="J26" s="55">
        <v>4</v>
      </c>
      <c r="K26" s="55">
        <v>140</v>
      </c>
      <c r="L26" s="55">
        <v>3</v>
      </c>
      <c r="M26" s="70">
        <f t="shared" si="3"/>
        <v>149</v>
      </c>
      <c r="N26" s="71">
        <f t="shared" si="4"/>
        <v>153</v>
      </c>
      <c r="O26" s="71">
        <f t="shared" si="5"/>
        <v>143</v>
      </c>
      <c r="P26" s="26">
        <f t="shared" si="0"/>
        <v>148.33333333333334</v>
      </c>
      <c r="Q26" s="56">
        <f t="shared" si="1"/>
        <v>71200</v>
      </c>
      <c r="R26" s="54">
        <f t="shared" si="6"/>
        <v>5.393258426966292</v>
      </c>
      <c r="S26" s="57"/>
      <c r="T26" s="56">
        <f t="shared" si="2"/>
        <v>68800</v>
      </c>
      <c r="U26" s="56">
        <v>21</v>
      </c>
      <c r="V26" s="56">
        <v>1</v>
      </c>
      <c r="W26" s="58"/>
    </row>
    <row r="27" spans="1:23" s="55" customFormat="1">
      <c r="A27" s="52">
        <v>43192</v>
      </c>
      <c r="B27" s="52" t="s">
        <v>29</v>
      </c>
      <c r="C27" s="53" t="s">
        <v>62</v>
      </c>
      <c r="D27" s="52" t="s">
        <v>75</v>
      </c>
      <c r="E27" s="59">
        <v>0.25</v>
      </c>
      <c r="F27" s="55">
        <v>760</v>
      </c>
      <c r="G27" s="55">
        <v>110</v>
      </c>
      <c r="H27" s="55">
        <v>2</v>
      </c>
      <c r="I27" s="55">
        <v>94</v>
      </c>
      <c r="J27" s="55">
        <v>4</v>
      </c>
      <c r="K27" s="55">
        <v>99</v>
      </c>
      <c r="L27" s="55">
        <v>4</v>
      </c>
      <c r="M27" s="70">
        <f t="shared" si="3"/>
        <v>112</v>
      </c>
      <c r="N27" s="71">
        <f t="shared" si="4"/>
        <v>98</v>
      </c>
      <c r="O27" s="71">
        <f t="shared" si="5"/>
        <v>103</v>
      </c>
      <c r="P27" s="26">
        <f t="shared" si="0"/>
        <v>417.33333333333331</v>
      </c>
      <c r="Q27" s="56">
        <f t="shared" si="1"/>
        <v>317173.33333333331</v>
      </c>
      <c r="R27" s="54">
        <f t="shared" si="6"/>
        <v>1.9169329073482428</v>
      </c>
      <c r="S27" s="57">
        <f>1.98*P27</f>
        <v>826.31999999999994</v>
      </c>
      <c r="T27" s="56">
        <f t="shared" si="2"/>
        <v>314773.33333333331</v>
      </c>
      <c r="U27" s="56">
        <v>22</v>
      </c>
      <c r="V27" s="56">
        <v>2</v>
      </c>
      <c r="W27" s="58"/>
    </row>
    <row r="28" spans="1:23" s="23" customFormat="1">
      <c r="A28" s="22">
        <v>43193</v>
      </c>
      <c r="B28" s="22" t="s">
        <v>37</v>
      </c>
      <c r="C28" s="40" t="s">
        <v>39</v>
      </c>
      <c r="D28" s="22" t="s">
        <v>79</v>
      </c>
      <c r="E28" s="24">
        <v>0.25</v>
      </c>
      <c r="F28" s="23">
        <v>840</v>
      </c>
      <c r="G28" s="23">
        <v>55</v>
      </c>
      <c r="H28" s="23">
        <v>0</v>
      </c>
      <c r="I28" s="23">
        <v>4</v>
      </c>
      <c r="J28" s="23">
        <v>1</v>
      </c>
      <c r="K28" s="23">
        <v>47</v>
      </c>
      <c r="L28" s="23">
        <v>1</v>
      </c>
      <c r="M28" s="70">
        <f t="shared" si="3"/>
        <v>55</v>
      </c>
      <c r="N28" s="71">
        <f t="shared" si="4"/>
        <v>5</v>
      </c>
      <c r="O28" s="71">
        <f t="shared" si="5"/>
        <v>48</v>
      </c>
      <c r="P28" s="26">
        <f t="shared" si="0"/>
        <v>144</v>
      </c>
      <c r="Q28" s="26">
        <f t="shared" si="1"/>
        <v>120960</v>
      </c>
      <c r="R28" s="24">
        <f t="shared" si="6"/>
        <v>5.5555555555555554</v>
      </c>
      <c r="S28" s="27">
        <f>5.66*P28</f>
        <v>815.04</v>
      </c>
      <c r="T28" s="26">
        <f t="shared" si="2"/>
        <v>118560</v>
      </c>
      <c r="U28" s="26">
        <v>23</v>
      </c>
      <c r="V28" s="26"/>
      <c r="W28" s="28"/>
    </row>
    <row r="29" spans="1:23" s="23" customFormat="1">
      <c r="A29" s="22">
        <v>43193</v>
      </c>
      <c r="B29" s="22" t="s">
        <v>61</v>
      </c>
      <c r="C29" s="40" t="s">
        <v>67</v>
      </c>
      <c r="D29" s="22" t="s">
        <v>53</v>
      </c>
      <c r="E29" s="24">
        <v>0.5</v>
      </c>
      <c r="F29" s="23">
        <v>470</v>
      </c>
      <c r="G29" s="23">
        <v>29</v>
      </c>
      <c r="H29" s="23">
        <v>5</v>
      </c>
      <c r="I29" s="23">
        <v>25</v>
      </c>
      <c r="J29" s="23">
        <v>10</v>
      </c>
      <c r="K29" s="23">
        <v>24</v>
      </c>
      <c r="L29" s="23">
        <v>14</v>
      </c>
      <c r="M29" s="70">
        <f t="shared" si="3"/>
        <v>34</v>
      </c>
      <c r="N29" s="71">
        <f t="shared" si="4"/>
        <v>35</v>
      </c>
      <c r="O29" s="71">
        <f t="shared" si="5"/>
        <v>38</v>
      </c>
      <c r="P29" s="26">
        <f t="shared" si="0"/>
        <v>71.333333333333329</v>
      </c>
      <c r="Q29" s="26">
        <f t="shared" si="1"/>
        <v>33526.666666666664</v>
      </c>
      <c r="R29" s="24">
        <f t="shared" si="6"/>
        <v>11.214953271028039</v>
      </c>
      <c r="S29" s="27"/>
      <c r="T29" s="26">
        <f t="shared" si="2"/>
        <v>31126.666666666664</v>
      </c>
      <c r="U29" s="26">
        <v>24</v>
      </c>
      <c r="V29" s="26"/>
      <c r="W29" s="28"/>
    </row>
    <row r="30" spans="1:23" s="23" customFormat="1">
      <c r="A30" s="22">
        <v>43193</v>
      </c>
      <c r="B30" s="22" t="s">
        <v>37</v>
      </c>
      <c r="C30" s="40" t="s">
        <v>68</v>
      </c>
      <c r="D30" s="22" t="s">
        <v>53</v>
      </c>
      <c r="E30" s="24">
        <v>0.25</v>
      </c>
      <c r="F30" s="23">
        <v>880</v>
      </c>
      <c r="G30" s="23">
        <v>62</v>
      </c>
      <c r="H30" s="23">
        <v>32</v>
      </c>
      <c r="I30" s="23">
        <v>66</v>
      </c>
      <c r="J30" s="23">
        <v>38</v>
      </c>
      <c r="K30" s="23">
        <v>64</v>
      </c>
      <c r="L30" s="23">
        <v>44</v>
      </c>
      <c r="M30" s="70">
        <f t="shared" si="3"/>
        <v>94</v>
      </c>
      <c r="N30" s="71">
        <f t="shared" si="4"/>
        <v>104</v>
      </c>
      <c r="O30" s="71">
        <f t="shared" si="5"/>
        <v>108</v>
      </c>
      <c r="P30" s="26">
        <f t="shared" si="0"/>
        <v>408</v>
      </c>
      <c r="Q30" s="26">
        <f t="shared" si="1"/>
        <v>359040</v>
      </c>
      <c r="R30" s="24">
        <f t="shared" si="6"/>
        <v>1.9607843137254901</v>
      </c>
      <c r="S30" s="27"/>
      <c r="T30" s="26">
        <f t="shared" si="2"/>
        <v>356640</v>
      </c>
      <c r="U30" s="26">
        <v>25</v>
      </c>
      <c r="V30" s="26"/>
      <c r="W30" s="28"/>
    </row>
    <row r="31" spans="1:23" s="23" customFormat="1">
      <c r="A31" s="22">
        <v>43193</v>
      </c>
      <c r="B31" s="22" t="s">
        <v>59</v>
      </c>
      <c r="C31" s="40" t="s">
        <v>70</v>
      </c>
      <c r="D31" s="22" t="s">
        <v>53</v>
      </c>
      <c r="E31" s="24">
        <v>0.5</v>
      </c>
      <c r="F31" s="23">
        <v>520</v>
      </c>
      <c r="G31" s="23">
        <v>30</v>
      </c>
      <c r="H31" s="23">
        <v>17</v>
      </c>
      <c r="I31" s="23">
        <v>23</v>
      </c>
      <c r="J31" s="23">
        <v>14</v>
      </c>
      <c r="K31" s="23">
        <v>28</v>
      </c>
      <c r="L31" s="23">
        <v>9</v>
      </c>
      <c r="M31" s="70">
        <f t="shared" si="3"/>
        <v>47</v>
      </c>
      <c r="N31" s="71">
        <f t="shared" si="4"/>
        <v>37</v>
      </c>
      <c r="O31" s="71">
        <f t="shared" si="5"/>
        <v>37</v>
      </c>
      <c r="P31" s="26">
        <f t="shared" si="0"/>
        <v>80.666666666666671</v>
      </c>
      <c r="Q31" s="26">
        <f t="shared" si="1"/>
        <v>41946.666666666672</v>
      </c>
      <c r="R31" s="24">
        <f t="shared" si="6"/>
        <v>9.9173553719008254</v>
      </c>
      <c r="S31" s="27"/>
      <c r="T31" s="26">
        <f t="shared" si="2"/>
        <v>39546.666666666672</v>
      </c>
      <c r="U31" s="26">
        <v>26</v>
      </c>
      <c r="V31" s="26"/>
      <c r="W31" s="28"/>
    </row>
    <row r="32" spans="1:23" s="23" customFormat="1">
      <c r="A32" s="22">
        <v>43193</v>
      </c>
      <c r="B32" s="22" t="s">
        <v>59</v>
      </c>
      <c r="C32" s="40" t="s">
        <v>60</v>
      </c>
      <c r="D32" s="22" t="s">
        <v>80</v>
      </c>
      <c r="E32" s="24">
        <v>0.2</v>
      </c>
      <c r="F32" s="23">
        <v>840</v>
      </c>
      <c r="G32" s="23">
        <v>76</v>
      </c>
      <c r="H32" s="23">
        <v>3</v>
      </c>
      <c r="I32" s="23">
        <v>116</v>
      </c>
      <c r="J32" s="23">
        <v>10</v>
      </c>
      <c r="K32" s="23">
        <v>102</v>
      </c>
      <c r="L32" s="23">
        <v>11</v>
      </c>
      <c r="M32" s="70">
        <f t="shared" si="3"/>
        <v>79</v>
      </c>
      <c r="N32" s="71">
        <f t="shared" si="4"/>
        <v>126</v>
      </c>
      <c r="O32" s="71">
        <f t="shared" si="5"/>
        <v>113</v>
      </c>
      <c r="P32" s="26">
        <f t="shared" si="0"/>
        <v>530</v>
      </c>
      <c r="Q32" s="26">
        <f t="shared" si="1"/>
        <v>445200</v>
      </c>
      <c r="R32" s="24">
        <f t="shared" si="6"/>
        <v>1.5094339622641511</v>
      </c>
      <c r="S32" s="27">
        <f>1.63*P32</f>
        <v>863.9</v>
      </c>
      <c r="T32" s="26">
        <f t="shared" si="2"/>
        <v>442800</v>
      </c>
      <c r="U32" s="26">
        <v>27</v>
      </c>
      <c r="V32" s="26"/>
      <c r="W32" s="28"/>
    </row>
    <row r="33" spans="1:23" s="23" customFormat="1" ht="16" customHeight="1">
      <c r="A33" s="22">
        <v>43193</v>
      </c>
      <c r="B33" s="22" t="s">
        <v>28</v>
      </c>
      <c r="C33" s="40" t="s">
        <v>78</v>
      </c>
      <c r="D33" s="22" t="s">
        <v>53</v>
      </c>
      <c r="E33" s="24">
        <v>0.3</v>
      </c>
      <c r="F33" s="23">
        <v>840</v>
      </c>
      <c r="G33" s="23">
        <v>54</v>
      </c>
      <c r="H33" s="23">
        <v>45</v>
      </c>
      <c r="I33" s="23">
        <v>37</v>
      </c>
      <c r="J33" s="23">
        <v>58</v>
      </c>
      <c r="K33" s="23">
        <v>54</v>
      </c>
      <c r="L33" s="23">
        <v>39</v>
      </c>
      <c r="M33" s="70">
        <f t="shared" si="3"/>
        <v>99</v>
      </c>
      <c r="N33" s="71">
        <f t="shared" si="4"/>
        <v>95</v>
      </c>
      <c r="O33" s="71">
        <f t="shared" si="5"/>
        <v>93</v>
      </c>
      <c r="P33" s="26">
        <f t="shared" si="0"/>
        <v>318.88888888888891</v>
      </c>
      <c r="Q33" s="26">
        <f t="shared" si="1"/>
        <v>267866.66666666669</v>
      </c>
      <c r="R33" s="24">
        <f t="shared" si="6"/>
        <v>2.508710801393728</v>
      </c>
      <c r="S33" s="27"/>
      <c r="T33" s="26">
        <f t="shared" si="2"/>
        <v>265466.66666666669</v>
      </c>
      <c r="U33" s="26">
        <v>28</v>
      </c>
      <c r="V33" s="26"/>
      <c r="W33" s="28"/>
    </row>
    <row r="34" spans="1:23" s="55" customFormat="1">
      <c r="A34" s="52">
        <v>43194</v>
      </c>
      <c r="B34" s="52" t="s">
        <v>83</v>
      </c>
      <c r="C34" s="53" t="s">
        <v>95</v>
      </c>
      <c r="D34" s="52" t="s">
        <v>53</v>
      </c>
      <c r="E34" s="54">
        <v>0.4</v>
      </c>
      <c r="F34" s="55">
        <v>540</v>
      </c>
      <c r="G34" s="55">
        <v>37</v>
      </c>
      <c r="H34" s="55">
        <v>2</v>
      </c>
      <c r="I34" s="55">
        <v>46</v>
      </c>
      <c r="J34" s="55">
        <v>1</v>
      </c>
      <c r="K34" s="55">
        <v>64</v>
      </c>
      <c r="L34" s="55">
        <v>2</v>
      </c>
      <c r="M34" s="125">
        <f t="shared" si="3"/>
        <v>39</v>
      </c>
      <c r="N34" s="55">
        <f t="shared" si="4"/>
        <v>47</v>
      </c>
      <c r="O34" s="55">
        <f t="shared" si="5"/>
        <v>66</v>
      </c>
      <c r="P34" s="56">
        <f t="shared" si="0"/>
        <v>126.66666666666666</v>
      </c>
      <c r="Q34" s="56">
        <f t="shared" si="1"/>
        <v>68400</v>
      </c>
      <c r="R34" s="54">
        <f t="shared" si="6"/>
        <v>6.3157894736842106</v>
      </c>
      <c r="S34" s="126"/>
      <c r="T34" s="56">
        <f t="shared" si="2"/>
        <v>66000</v>
      </c>
      <c r="U34" s="56">
        <v>29</v>
      </c>
      <c r="V34" s="56"/>
      <c r="W34" s="58"/>
    </row>
    <row r="35" spans="1:23" s="55" customFormat="1">
      <c r="A35" s="52">
        <v>43194</v>
      </c>
      <c r="B35" s="52" t="s">
        <v>59</v>
      </c>
      <c r="C35" s="53" t="s">
        <v>60</v>
      </c>
      <c r="D35" s="52" t="s">
        <v>53</v>
      </c>
      <c r="E35" s="54">
        <v>0.4</v>
      </c>
      <c r="F35" s="55">
        <v>540</v>
      </c>
      <c r="G35" s="55">
        <v>59</v>
      </c>
      <c r="H35" s="55">
        <v>0</v>
      </c>
      <c r="I35" s="55">
        <v>55</v>
      </c>
      <c r="J35" s="55">
        <v>1</v>
      </c>
      <c r="K35" s="55">
        <v>58</v>
      </c>
      <c r="L35" s="55">
        <v>1</v>
      </c>
      <c r="M35" s="125">
        <f t="shared" si="3"/>
        <v>59</v>
      </c>
      <c r="N35" s="55">
        <f t="shared" si="4"/>
        <v>56</v>
      </c>
      <c r="O35" s="55">
        <f t="shared" si="5"/>
        <v>59</v>
      </c>
      <c r="P35" s="56">
        <f t="shared" si="0"/>
        <v>145</v>
      </c>
      <c r="Q35" s="56">
        <f t="shared" si="1"/>
        <v>78300</v>
      </c>
      <c r="R35" s="54">
        <f t="shared" si="6"/>
        <v>5.5172413793103452</v>
      </c>
      <c r="S35" s="57"/>
      <c r="T35" s="56">
        <f t="shared" si="2"/>
        <v>75900</v>
      </c>
      <c r="U35" s="56">
        <v>30</v>
      </c>
      <c r="V35" s="56"/>
      <c r="W35" s="58"/>
    </row>
    <row r="36" spans="1:23" s="55" customFormat="1">
      <c r="A36" s="52">
        <v>43194</v>
      </c>
      <c r="B36" s="52" t="s">
        <v>28</v>
      </c>
      <c r="C36" s="53" t="s">
        <v>69</v>
      </c>
      <c r="D36" s="52" t="s">
        <v>113</v>
      </c>
      <c r="E36" s="54">
        <v>0.2</v>
      </c>
      <c r="F36" s="55">
        <v>925</v>
      </c>
      <c r="G36" s="55">
        <v>151</v>
      </c>
      <c r="H36" s="55">
        <v>3</v>
      </c>
      <c r="I36" s="55">
        <v>152</v>
      </c>
      <c r="J36" s="55">
        <v>0</v>
      </c>
      <c r="K36" s="55">
        <v>151</v>
      </c>
      <c r="L36" s="55">
        <v>0</v>
      </c>
      <c r="M36" s="125">
        <f t="shared" si="3"/>
        <v>154</v>
      </c>
      <c r="N36" s="55">
        <f t="shared" si="4"/>
        <v>152</v>
      </c>
      <c r="O36" s="55">
        <f t="shared" si="5"/>
        <v>151</v>
      </c>
      <c r="P36" s="56">
        <f t="shared" si="0"/>
        <v>761.66666666666663</v>
      </c>
      <c r="Q36" s="56">
        <f t="shared" si="1"/>
        <v>704541.66666666663</v>
      </c>
      <c r="R36" s="54">
        <f t="shared" si="6"/>
        <v>1.0503282275711161</v>
      </c>
      <c r="S36" s="126"/>
      <c r="T36" s="56">
        <f t="shared" si="2"/>
        <v>702141.66666666663</v>
      </c>
      <c r="U36" s="56">
        <v>31</v>
      </c>
      <c r="V36" s="56"/>
      <c r="W36" s="58"/>
    </row>
    <row r="37" spans="1:23" s="55" customFormat="1">
      <c r="A37" s="52">
        <v>43194</v>
      </c>
      <c r="B37" s="52" t="s">
        <v>37</v>
      </c>
      <c r="C37" s="53" t="s">
        <v>68</v>
      </c>
      <c r="D37" s="52" t="s">
        <v>53</v>
      </c>
      <c r="E37" s="54">
        <v>0.25</v>
      </c>
      <c r="F37" s="55">
        <v>560</v>
      </c>
      <c r="G37" s="55">
        <v>87</v>
      </c>
      <c r="H37" s="55">
        <v>0</v>
      </c>
      <c r="I37" s="55">
        <v>93</v>
      </c>
      <c r="J37" s="55">
        <v>0</v>
      </c>
      <c r="K37" s="55">
        <v>90</v>
      </c>
      <c r="L37" s="55">
        <v>1</v>
      </c>
      <c r="M37" s="125">
        <f t="shared" si="3"/>
        <v>87</v>
      </c>
      <c r="N37" s="55">
        <f t="shared" si="4"/>
        <v>93</v>
      </c>
      <c r="O37" s="55">
        <f t="shared" si="5"/>
        <v>91</v>
      </c>
      <c r="P37" s="56">
        <f t="shared" si="0"/>
        <v>361.33333333333331</v>
      </c>
      <c r="Q37" s="56">
        <f t="shared" si="1"/>
        <v>202346.66666666666</v>
      </c>
      <c r="R37" s="54">
        <f t="shared" si="6"/>
        <v>2.2140221402214024</v>
      </c>
      <c r="S37" s="57"/>
      <c r="T37" s="56">
        <f t="shared" si="2"/>
        <v>199946.66666666666</v>
      </c>
      <c r="U37" s="56">
        <v>32</v>
      </c>
      <c r="V37" s="56"/>
      <c r="W37" s="58"/>
    </row>
    <row r="38" spans="1:23" s="55" customFormat="1">
      <c r="A38" s="52">
        <v>43194</v>
      </c>
      <c r="B38" s="52" t="s">
        <v>84</v>
      </c>
      <c r="C38" s="53" t="s">
        <v>96</v>
      </c>
      <c r="D38" s="52" t="s">
        <v>137</v>
      </c>
      <c r="E38" s="54">
        <v>0.25</v>
      </c>
      <c r="F38" s="55">
        <v>725</v>
      </c>
      <c r="G38" s="55">
        <v>71</v>
      </c>
      <c r="H38" s="55">
        <v>0</v>
      </c>
      <c r="I38" s="55">
        <v>64</v>
      </c>
      <c r="J38" s="55">
        <v>1</v>
      </c>
      <c r="K38" s="55">
        <v>58</v>
      </c>
      <c r="L38" s="55">
        <v>2</v>
      </c>
      <c r="M38" s="125">
        <f t="shared" si="3"/>
        <v>71</v>
      </c>
      <c r="N38" s="55">
        <f t="shared" si="4"/>
        <v>65</v>
      </c>
      <c r="O38" s="55">
        <f t="shared" si="5"/>
        <v>60</v>
      </c>
      <c r="P38" s="56">
        <f t="shared" si="0"/>
        <v>261.33333333333331</v>
      </c>
      <c r="Q38" s="56">
        <f t="shared" si="1"/>
        <v>189466.66666666666</v>
      </c>
      <c r="R38" s="54">
        <f t="shared" si="6"/>
        <v>3.0612244897959187</v>
      </c>
      <c r="S38" s="126"/>
      <c r="T38" s="56">
        <f t="shared" si="2"/>
        <v>187066.66666666666</v>
      </c>
      <c r="U38" s="56">
        <v>33</v>
      </c>
      <c r="V38" s="56"/>
      <c r="W38" s="58"/>
    </row>
    <row r="39" spans="1:23" s="55" customFormat="1">
      <c r="A39" s="52">
        <v>43194</v>
      </c>
      <c r="B39" s="52" t="s">
        <v>61</v>
      </c>
      <c r="C39" s="53" t="s">
        <v>67</v>
      </c>
      <c r="D39" s="52" t="s">
        <v>53</v>
      </c>
      <c r="E39" s="54">
        <v>0.25</v>
      </c>
      <c r="F39" s="55">
        <v>850</v>
      </c>
      <c r="G39" s="55">
        <v>58</v>
      </c>
      <c r="H39" s="55">
        <v>1</v>
      </c>
      <c r="I39" s="55">
        <v>61</v>
      </c>
      <c r="J39" s="55">
        <v>2</v>
      </c>
      <c r="K39" s="55">
        <v>59</v>
      </c>
      <c r="L39" s="55">
        <v>2</v>
      </c>
      <c r="M39" s="125">
        <f t="shared" si="3"/>
        <v>59</v>
      </c>
      <c r="N39" s="55">
        <f t="shared" si="4"/>
        <v>63</v>
      </c>
      <c r="O39" s="55">
        <f t="shared" si="5"/>
        <v>61</v>
      </c>
      <c r="P39" s="56">
        <f t="shared" si="0"/>
        <v>244</v>
      </c>
      <c r="Q39" s="56">
        <f t="shared" si="1"/>
        <v>207400</v>
      </c>
      <c r="R39" s="54">
        <f t="shared" si="6"/>
        <v>3.278688524590164</v>
      </c>
      <c r="S39" s="57"/>
      <c r="T39" s="56">
        <f t="shared" si="2"/>
        <v>205000</v>
      </c>
      <c r="U39" s="56">
        <v>34</v>
      </c>
      <c r="V39" s="56"/>
      <c r="W39" s="58"/>
    </row>
    <row r="40" spans="1:23" s="55" customFormat="1">
      <c r="A40" s="52">
        <v>43194</v>
      </c>
      <c r="B40" s="52" t="s">
        <v>36</v>
      </c>
      <c r="C40" s="53" t="s">
        <v>42</v>
      </c>
      <c r="D40" s="52" t="s">
        <v>53</v>
      </c>
      <c r="E40" s="54">
        <v>0.2</v>
      </c>
      <c r="F40" s="55">
        <v>940</v>
      </c>
      <c r="G40" s="55">
        <v>112</v>
      </c>
      <c r="H40" s="55">
        <v>8</v>
      </c>
      <c r="I40" s="55">
        <v>105</v>
      </c>
      <c r="J40" s="55">
        <v>5</v>
      </c>
      <c r="K40" s="55">
        <v>123</v>
      </c>
      <c r="L40" s="55">
        <v>11</v>
      </c>
      <c r="M40" s="125">
        <f t="shared" si="3"/>
        <v>120</v>
      </c>
      <c r="N40" s="55">
        <f t="shared" si="4"/>
        <v>110</v>
      </c>
      <c r="O40" s="55">
        <f t="shared" si="5"/>
        <v>134</v>
      </c>
      <c r="P40" s="56">
        <f t="shared" si="0"/>
        <v>606.66666666666663</v>
      </c>
      <c r="Q40" s="56">
        <f t="shared" si="1"/>
        <v>570266.66666666663</v>
      </c>
      <c r="R40" s="54">
        <f t="shared" si="6"/>
        <v>1.3186813186813187</v>
      </c>
      <c r="S40" s="126"/>
      <c r="T40" s="56">
        <f t="shared" si="2"/>
        <v>567866.66666666663</v>
      </c>
      <c r="U40" s="56">
        <v>35</v>
      </c>
      <c r="V40" s="56"/>
      <c r="W40" s="58" t="s">
        <v>108</v>
      </c>
    </row>
    <row r="41" spans="1:23" s="55" customFormat="1">
      <c r="A41" s="52">
        <v>43194</v>
      </c>
      <c r="B41" s="52" t="s">
        <v>37</v>
      </c>
      <c r="C41" s="53" t="s">
        <v>39</v>
      </c>
      <c r="D41" s="52" t="s">
        <v>53</v>
      </c>
      <c r="E41" s="54">
        <v>0.15</v>
      </c>
      <c r="F41" s="55">
        <v>850</v>
      </c>
      <c r="G41" s="55">
        <v>106</v>
      </c>
      <c r="H41" s="55">
        <v>1</v>
      </c>
      <c r="I41" s="55">
        <v>114</v>
      </c>
      <c r="J41" s="55">
        <v>2</v>
      </c>
      <c r="K41" s="55">
        <v>117</v>
      </c>
      <c r="L41" s="55">
        <v>0</v>
      </c>
      <c r="M41" s="125">
        <f t="shared" si="3"/>
        <v>107</v>
      </c>
      <c r="N41" s="55">
        <f t="shared" si="4"/>
        <v>116</v>
      </c>
      <c r="O41" s="55">
        <f t="shared" si="5"/>
        <v>117</v>
      </c>
      <c r="P41" s="56">
        <f t="shared" si="0"/>
        <v>755.55555555555554</v>
      </c>
      <c r="Q41" s="56">
        <f t="shared" si="1"/>
        <v>642222.22222222225</v>
      </c>
      <c r="R41" s="54">
        <f t="shared" si="6"/>
        <v>1.0588235294117647</v>
      </c>
      <c r="S41" s="57"/>
      <c r="T41" s="56">
        <f t="shared" si="2"/>
        <v>639822.22222222225</v>
      </c>
      <c r="U41" s="56">
        <v>36</v>
      </c>
      <c r="V41" s="56"/>
      <c r="W41" s="58"/>
    </row>
    <row r="42" spans="1:23" s="55" customFormat="1">
      <c r="A42" s="52">
        <v>43194</v>
      </c>
      <c r="B42" s="52" t="s">
        <v>84</v>
      </c>
      <c r="C42" s="53" t="s">
        <v>97</v>
      </c>
      <c r="D42" s="52" t="s">
        <v>102</v>
      </c>
      <c r="E42" s="54">
        <v>0.4</v>
      </c>
      <c r="F42" s="55">
        <v>740</v>
      </c>
      <c r="G42" s="55">
        <v>92</v>
      </c>
      <c r="H42" s="55">
        <v>1</v>
      </c>
      <c r="I42" s="55">
        <v>105</v>
      </c>
      <c r="J42" s="55">
        <v>2</v>
      </c>
      <c r="K42" s="55">
        <v>109</v>
      </c>
      <c r="L42" s="55">
        <v>1</v>
      </c>
      <c r="M42" s="125">
        <f t="shared" si="3"/>
        <v>93</v>
      </c>
      <c r="N42" s="55">
        <f t="shared" si="4"/>
        <v>107</v>
      </c>
      <c r="O42" s="55">
        <f t="shared" si="5"/>
        <v>110</v>
      </c>
      <c r="P42" s="56">
        <f t="shared" si="0"/>
        <v>258.33333333333331</v>
      </c>
      <c r="Q42" s="56">
        <f t="shared" si="1"/>
        <v>191166.66666666666</v>
      </c>
      <c r="R42" s="54">
        <f t="shared" si="6"/>
        <v>3.0967741935483875</v>
      </c>
      <c r="S42" s="127">
        <f>3.68*P42</f>
        <v>950.66666666666663</v>
      </c>
      <c r="T42" s="56">
        <f t="shared" si="2"/>
        <v>188766.66666666666</v>
      </c>
      <c r="U42" s="56">
        <v>37</v>
      </c>
      <c r="V42" s="56"/>
      <c r="W42" s="58"/>
    </row>
    <row r="43" spans="1:23" s="23" customFormat="1">
      <c r="A43" s="22">
        <v>43195</v>
      </c>
      <c r="B43" s="22" t="s">
        <v>83</v>
      </c>
      <c r="C43" s="40" t="s">
        <v>95</v>
      </c>
      <c r="D43" s="22" t="s">
        <v>98</v>
      </c>
      <c r="E43" s="24">
        <v>0.25</v>
      </c>
      <c r="F43" s="23">
        <v>920</v>
      </c>
      <c r="G43" s="23">
        <v>168</v>
      </c>
      <c r="I43" s="23">
        <v>160</v>
      </c>
      <c r="K43" s="23">
        <v>147</v>
      </c>
      <c r="M43" s="71"/>
      <c r="N43" s="71"/>
      <c r="O43" s="71"/>
      <c r="P43" s="26">
        <f t="shared" ref="P43:P69" si="7">AVERAGE(G43,I43,K43)/E43</f>
        <v>633.33333333333337</v>
      </c>
      <c r="Q43" s="26">
        <f>P43*F43</f>
        <v>582666.66666666674</v>
      </c>
      <c r="R43" s="24">
        <f t="shared" si="6"/>
        <v>1.263157894736842</v>
      </c>
      <c r="S43" s="27"/>
      <c r="T43" s="26">
        <f t="shared" si="2"/>
        <v>580266.66666666674</v>
      </c>
      <c r="U43" s="26">
        <v>38</v>
      </c>
      <c r="V43" s="26"/>
      <c r="W43" s="28"/>
    </row>
    <row r="44" spans="1:23" s="23" customFormat="1">
      <c r="A44" s="22">
        <v>43195</v>
      </c>
      <c r="B44" s="22" t="s">
        <v>29</v>
      </c>
      <c r="C44" s="40" t="s">
        <v>62</v>
      </c>
      <c r="D44" s="22" t="s">
        <v>137</v>
      </c>
      <c r="E44" s="24">
        <v>0.3</v>
      </c>
      <c r="F44" s="23">
        <v>645</v>
      </c>
      <c r="G44" s="23">
        <v>197</v>
      </c>
      <c r="I44" s="23">
        <v>218</v>
      </c>
      <c r="K44" s="23">
        <v>161</v>
      </c>
      <c r="M44" s="71"/>
      <c r="N44" s="71"/>
      <c r="O44" s="71"/>
      <c r="P44" s="26">
        <f>AVERAGE(G44,I44,K44)/E44</f>
        <v>640</v>
      </c>
      <c r="Q44" s="26">
        <f t="shared" si="1"/>
        <v>412800</v>
      </c>
      <c r="R44" s="24">
        <f t="shared" si="6"/>
        <v>1.25</v>
      </c>
      <c r="S44" s="27"/>
      <c r="T44" s="26">
        <f t="shared" si="2"/>
        <v>410400</v>
      </c>
      <c r="U44" s="26">
        <v>39</v>
      </c>
      <c r="V44" s="26"/>
      <c r="W44" s="28"/>
    </row>
    <row r="45" spans="1:23" s="23" customFormat="1">
      <c r="A45" s="22">
        <v>43195</v>
      </c>
      <c r="B45" s="22" t="s">
        <v>59</v>
      </c>
      <c r="C45" s="40" t="s">
        <v>60</v>
      </c>
      <c r="D45" s="22" t="s">
        <v>137</v>
      </c>
      <c r="E45" s="24">
        <v>0.25</v>
      </c>
      <c r="F45" s="23">
        <v>900</v>
      </c>
      <c r="G45" s="23">
        <v>123</v>
      </c>
      <c r="I45" s="23">
        <v>125</v>
      </c>
      <c r="K45" s="23">
        <v>110</v>
      </c>
      <c r="M45" s="71"/>
      <c r="N45" s="71"/>
      <c r="O45" s="71"/>
      <c r="P45" s="26">
        <f>AVERAGE(G45,I45,K45)/E45</f>
        <v>477.33333333333331</v>
      </c>
      <c r="Q45" s="26">
        <f>P45*F45</f>
        <v>429600</v>
      </c>
      <c r="R45" s="24">
        <f t="shared" si="6"/>
        <v>1.6759776536312849</v>
      </c>
      <c r="S45" s="27"/>
      <c r="T45" s="26">
        <f t="shared" si="2"/>
        <v>427200</v>
      </c>
      <c r="U45" s="26">
        <v>40</v>
      </c>
      <c r="V45" s="26"/>
      <c r="W45" s="28"/>
    </row>
    <row r="46" spans="1:23" s="23" customFormat="1">
      <c r="A46" s="22">
        <v>43195</v>
      </c>
      <c r="B46" s="22" t="s">
        <v>61</v>
      </c>
      <c r="C46" s="40" t="s">
        <v>67</v>
      </c>
      <c r="D46" s="22" t="s">
        <v>53</v>
      </c>
      <c r="E46" s="24">
        <v>0.5</v>
      </c>
      <c r="F46" s="23">
        <v>500</v>
      </c>
      <c r="G46" s="23">
        <v>139</v>
      </c>
      <c r="I46" s="23">
        <v>146</v>
      </c>
      <c r="K46" s="23">
        <v>123</v>
      </c>
      <c r="M46" s="71"/>
      <c r="N46" s="71"/>
      <c r="O46" s="71"/>
      <c r="P46" s="26">
        <f>AVERAGE(G46,I46,K46)/E46</f>
        <v>272</v>
      </c>
      <c r="Q46" s="26">
        <f t="shared" si="1"/>
        <v>136000</v>
      </c>
      <c r="R46" s="24">
        <f t="shared" si="6"/>
        <v>2.9411764705882355</v>
      </c>
      <c r="S46" s="27"/>
      <c r="T46" s="26">
        <f t="shared" si="2"/>
        <v>133600</v>
      </c>
      <c r="U46" s="26">
        <v>41</v>
      </c>
      <c r="V46" s="26"/>
      <c r="W46" s="28"/>
    </row>
    <row r="47" spans="1:23" s="23" customFormat="1">
      <c r="A47" s="22">
        <v>43195</v>
      </c>
      <c r="B47" s="22" t="s">
        <v>36</v>
      </c>
      <c r="C47" s="40" t="s">
        <v>38</v>
      </c>
      <c r="D47" s="22" t="s">
        <v>168</v>
      </c>
      <c r="E47" s="24">
        <v>0.3</v>
      </c>
      <c r="F47" s="23">
        <v>735</v>
      </c>
      <c r="G47" s="23">
        <v>100</v>
      </c>
      <c r="I47" s="23">
        <v>94</v>
      </c>
      <c r="K47" s="23">
        <v>91</v>
      </c>
      <c r="M47" s="71"/>
      <c r="N47" s="71"/>
      <c r="O47" s="71"/>
      <c r="P47" s="26">
        <f t="shared" si="7"/>
        <v>316.66666666666669</v>
      </c>
      <c r="Q47" s="26">
        <f t="shared" si="1"/>
        <v>232750</v>
      </c>
      <c r="R47" s="24">
        <f t="shared" si="6"/>
        <v>2.5263157894736841</v>
      </c>
      <c r="S47" s="27"/>
      <c r="T47" s="26">
        <f t="shared" si="2"/>
        <v>230350</v>
      </c>
      <c r="U47" s="26">
        <v>42</v>
      </c>
      <c r="V47" s="26"/>
      <c r="W47" s="28"/>
    </row>
    <row r="48" spans="1:23" s="23" customFormat="1">
      <c r="A48" s="22">
        <v>43195</v>
      </c>
      <c r="B48" s="22" t="s">
        <v>61</v>
      </c>
      <c r="C48" s="40" t="s">
        <v>66</v>
      </c>
      <c r="D48" s="22" t="s">
        <v>107</v>
      </c>
      <c r="E48" s="24">
        <v>0.3</v>
      </c>
      <c r="F48" s="23">
        <v>865</v>
      </c>
      <c r="G48" s="23">
        <v>108</v>
      </c>
      <c r="I48" s="23">
        <v>113</v>
      </c>
      <c r="K48" s="23">
        <v>121</v>
      </c>
      <c r="M48" s="71"/>
      <c r="N48" s="71"/>
      <c r="O48" s="71"/>
      <c r="P48" s="26">
        <f>AVERAGE(G48,I48,K48)/E48</f>
        <v>380</v>
      </c>
      <c r="Q48" s="26">
        <f>P48*F48</f>
        <v>328700</v>
      </c>
      <c r="R48" s="24">
        <f t="shared" si="6"/>
        <v>2.1052631578947367</v>
      </c>
      <c r="S48" s="27"/>
      <c r="T48" s="26">
        <f t="shared" si="2"/>
        <v>326300</v>
      </c>
      <c r="U48" s="26">
        <v>43</v>
      </c>
      <c r="V48" s="26"/>
      <c r="W48" s="28"/>
    </row>
    <row r="49" spans="1:23" s="55" customFormat="1">
      <c r="A49" s="52">
        <v>43196</v>
      </c>
      <c r="B49" s="52" t="s">
        <v>61</v>
      </c>
      <c r="C49" s="53" t="s">
        <v>66</v>
      </c>
      <c r="D49" s="52" t="s">
        <v>53</v>
      </c>
      <c r="E49" s="54">
        <v>0.5</v>
      </c>
      <c r="F49" s="55">
        <v>495</v>
      </c>
      <c r="G49" s="55">
        <v>87</v>
      </c>
      <c r="H49" s="55">
        <v>3</v>
      </c>
      <c r="I49" s="55">
        <v>59</v>
      </c>
      <c r="J49" s="55">
        <v>0</v>
      </c>
      <c r="K49" s="55">
        <v>58</v>
      </c>
      <c r="L49" s="55">
        <v>0</v>
      </c>
      <c r="M49" s="125">
        <f t="shared" ref="M49:M69" si="8">G49+H49</f>
        <v>90</v>
      </c>
      <c r="N49" s="55">
        <f t="shared" ref="N49:N69" si="9">I49+J49</f>
        <v>59</v>
      </c>
      <c r="O49" s="55">
        <f t="shared" ref="O49:O69" si="10">K49+L49</f>
        <v>58</v>
      </c>
      <c r="P49" s="56">
        <f t="shared" si="7"/>
        <v>136</v>
      </c>
      <c r="Q49" s="56">
        <f t="shared" si="1"/>
        <v>67320</v>
      </c>
      <c r="R49" s="54">
        <f t="shared" si="6"/>
        <v>5.882352941176471</v>
      </c>
      <c r="S49" s="57"/>
      <c r="T49" s="56">
        <f t="shared" si="2"/>
        <v>64920</v>
      </c>
      <c r="U49" s="56">
        <v>44</v>
      </c>
      <c r="V49" s="56"/>
      <c r="W49" s="58"/>
    </row>
    <row r="50" spans="1:23" s="55" customFormat="1">
      <c r="A50" s="52">
        <v>43196</v>
      </c>
      <c r="B50" s="52" t="s">
        <v>36</v>
      </c>
      <c r="C50" s="53" t="s">
        <v>38</v>
      </c>
      <c r="D50" s="52" t="s">
        <v>53</v>
      </c>
      <c r="E50" s="54">
        <v>0.4</v>
      </c>
      <c r="F50" s="55">
        <v>530</v>
      </c>
      <c r="G50" s="55">
        <v>111</v>
      </c>
      <c r="H50" s="55">
        <v>0</v>
      </c>
      <c r="I50" s="55">
        <v>104</v>
      </c>
      <c r="J50" s="55">
        <v>0</v>
      </c>
      <c r="K50" s="55">
        <v>109</v>
      </c>
      <c r="L50" s="55">
        <v>0</v>
      </c>
      <c r="M50" s="125">
        <f t="shared" si="8"/>
        <v>111</v>
      </c>
      <c r="N50" s="55">
        <f t="shared" si="9"/>
        <v>104</v>
      </c>
      <c r="O50" s="55">
        <f t="shared" si="10"/>
        <v>109</v>
      </c>
      <c r="P50" s="56">
        <f t="shared" si="7"/>
        <v>270</v>
      </c>
      <c r="Q50" s="56">
        <f t="shared" si="1"/>
        <v>143100</v>
      </c>
      <c r="R50" s="54">
        <f t="shared" si="6"/>
        <v>2.9629629629629628</v>
      </c>
      <c r="S50" s="57"/>
      <c r="T50" s="56">
        <f t="shared" si="2"/>
        <v>140700</v>
      </c>
      <c r="U50" s="56">
        <v>45</v>
      </c>
      <c r="V50" s="56"/>
      <c r="W50" s="58"/>
    </row>
    <row r="51" spans="1:23" s="55" customFormat="1">
      <c r="A51" s="52">
        <v>43196</v>
      </c>
      <c r="B51" s="52" t="s">
        <v>61</v>
      </c>
      <c r="C51" s="53" t="s">
        <v>67</v>
      </c>
      <c r="D51" s="52" t="s">
        <v>53</v>
      </c>
      <c r="E51" s="54">
        <v>0.7</v>
      </c>
      <c r="F51" s="55">
        <v>370</v>
      </c>
      <c r="G51" s="55">
        <v>24</v>
      </c>
      <c r="H51" s="55">
        <v>1</v>
      </c>
      <c r="I51" s="55">
        <v>17</v>
      </c>
      <c r="J51" s="55">
        <v>0</v>
      </c>
      <c r="K51" s="55">
        <v>31</v>
      </c>
      <c r="L51" s="55">
        <v>1</v>
      </c>
      <c r="M51" s="125">
        <f t="shared" si="8"/>
        <v>25</v>
      </c>
      <c r="N51" s="55">
        <f t="shared" si="9"/>
        <v>17</v>
      </c>
      <c r="O51" s="55">
        <f t="shared" si="10"/>
        <v>32</v>
      </c>
      <c r="P51" s="56">
        <f t="shared" si="7"/>
        <v>34.285714285714285</v>
      </c>
      <c r="Q51" s="56">
        <f t="shared" si="1"/>
        <v>12685.714285714286</v>
      </c>
      <c r="R51" s="54">
        <f t="shared" si="6"/>
        <v>23.333333333333336</v>
      </c>
      <c r="S51" s="57"/>
      <c r="T51" s="56">
        <f t="shared" si="2"/>
        <v>10285.714285714286</v>
      </c>
      <c r="U51" s="56">
        <v>46</v>
      </c>
      <c r="V51" s="56"/>
      <c r="W51" s="58"/>
    </row>
    <row r="52" spans="1:23" s="55" customFormat="1">
      <c r="A52" s="52">
        <v>43196</v>
      </c>
      <c r="B52" s="52" t="s">
        <v>37</v>
      </c>
      <c r="C52" s="53" t="s">
        <v>68</v>
      </c>
      <c r="D52" s="52" t="s">
        <v>53</v>
      </c>
      <c r="E52" s="54">
        <v>0.25</v>
      </c>
      <c r="F52" s="55">
        <v>750</v>
      </c>
      <c r="G52" s="55">
        <v>113</v>
      </c>
      <c r="H52" s="55">
        <v>0</v>
      </c>
      <c r="I52" s="55">
        <v>111</v>
      </c>
      <c r="J52" s="55">
        <v>0</v>
      </c>
      <c r="K52" s="55">
        <v>87</v>
      </c>
      <c r="L52" s="55">
        <v>0</v>
      </c>
      <c r="M52" s="125">
        <f t="shared" si="8"/>
        <v>113</v>
      </c>
      <c r="N52" s="55">
        <f t="shared" si="9"/>
        <v>111</v>
      </c>
      <c r="O52" s="55">
        <f t="shared" si="10"/>
        <v>87</v>
      </c>
      <c r="P52" s="56">
        <f t="shared" si="7"/>
        <v>414.66666666666669</v>
      </c>
      <c r="Q52" s="56">
        <f t="shared" si="1"/>
        <v>311000</v>
      </c>
      <c r="R52" s="54">
        <f t="shared" si="6"/>
        <v>1.9292604501607715</v>
      </c>
      <c r="S52" s="57">
        <f>R52*P52</f>
        <v>800</v>
      </c>
      <c r="T52" s="56">
        <f t="shared" si="2"/>
        <v>308600</v>
      </c>
      <c r="U52" s="56">
        <v>47</v>
      </c>
      <c r="V52" s="56"/>
      <c r="W52" s="58"/>
    </row>
    <row r="53" spans="1:23" s="131" customFormat="1" ht="16" thickBot="1">
      <c r="A53" s="128">
        <v>43196</v>
      </c>
      <c r="B53" s="128" t="s">
        <v>28</v>
      </c>
      <c r="C53" s="129" t="s">
        <v>69</v>
      </c>
      <c r="D53" s="128" t="s">
        <v>99</v>
      </c>
      <c r="E53" s="130">
        <v>0.3</v>
      </c>
      <c r="F53" s="131">
        <v>660</v>
      </c>
      <c r="G53" s="131">
        <v>131</v>
      </c>
      <c r="H53" s="131">
        <v>0</v>
      </c>
      <c r="I53" s="131">
        <v>143</v>
      </c>
      <c r="J53" s="131">
        <v>0</v>
      </c>
      <c r="K53" s="131">
        <v>133</v>
      </c>
      <c r="L53" s="131">
        <v>1</v>
      </c>
      <c r="M53" s="132">
        <f t="shared" si="8"/>
        <v>131</v>
      </c>
      <c r="N53" s="131">
        <f t="shared" si="9"/>
        <v>143</v>
      </c>
      <c r="O53" s="131">
        <f t="shared" si="10"/>
        <v>134</v>
      </c>
      <c r="P53" s="133">
        <f t="shared" si="7"/>
        <v>452.22222222222223</v>
      </c>
      <c r="Q53" s="133">
        <f t="shared" si="1"/>
        <v>298466.66666666669</v>
      </c>
      <c r="R53" s="130">
        <f t="shared" si="6"/>
        <v>1.769041769041769</v>
      </c>
      <c r="S53" s="134">
        <f>R53*P53</f>
        <v>800</v>
      </c>
      <c r="T53" s="133">
        <f t="shared" si="2"/>
        <v>296066.66666666669</v>
      </c>
      <c r="U53" s="133">
        <v>48</v>
      </c>
      <c r="V53" s="133"/>
      <c r="W53" s="135"/>
    </row>
    <row r="54" spans="1:23" s="23" customFormat="1">
      <c r="A54" s="22">
        <v>43197</v>
      </c>
      <c r="B54" s="22" t="s">
        <v>37</v>
      </c>
      <c r="C54" s="40" t="s">
        <v>39</v>
      </c>
      <c r="D54" s="22" t="s">
        <v>53</v>
      </c>
      <c r="E54" s="24">
        <v>1</v>
      </c>
      <c r="F54" s="23">
        <v>450</v>
      </c>
      <c r="G54" s="23">
        <v>27</v>
      </c>
      <c r="H54" s="23">
        <v>0</v>
      </c>
      <c r="I54" s="23">
        <v>17</v>
      </c>
      <c r="J54" s="23">
        <v>0</v>
      </c>
      <c r="K54" s="23">
        <v>19</v>
      </c>
      <c r="L54" s="23">
        <v>0</v>
      </c>
      <c r="M54" s="71">
        <f t="shared" si="8"/>
        <v>27</v>
      </c>
      <c r="N54" s="71">
        <f t="shared" si="9"/>
        <v>17</v>
      </c>
      <c r="O54" s="71">
        <f t="shared" si="10"/>
        <v>19</v>
      </c>
      <c r="P54" s="26">
        <f>AVERAGE(G54,I54,K54)/E54</f>
        <v>21</v>
      </c>
      <c r="Q54" s="26">
        <f t="shared" si="1"/>
        <v>9450</v>
      </c>
      <c r="R54" s="24">
        <f t="shared" si="6"/>
        <v>38.095238095238095</v>
      </c>
      <c r="S54" s="27"/>
      <c r="T54" s="26">
        <f t="shared" si="2"/>
        <v>7050</v>
      </c>
      <c r="U54" s="26">
        <v>49</v>
      </c>
      <c r="V54" s="26">
        <v>1</v>
      </c>
      <c r="W54" s="28"/>
    </row>
    <row r="55" spans="1:23" s="23" customFormat="1">
      <c r="A55" s="22">
        <v>43197</v>
      </c>
      <c r="B55" s="22" t="s">
        <v>36</v>
      </c>
      <c r="C55" s="40" t="s">
        <v>38</v>
      </c>
      <c r="D55" s="22" t="s">
        <v>106</v>
      </c>
      <c r="E55" s="24">
        <v>0.1</v>
      </c>
      <c r="F55" s="23">
        <v>975</v>
      </c>
      <c r="G55" s="23">
        <v>111</v>
      </c>
      <c r="H55" s="23">
        <v>2</v>
      </c>
      <c r="I55" s="23">
        <v>106</v>
      </c>
      <c r="J55" s="23">
        <v>0</v>
      </c>
      <c r="K55" s="23">
        <v>135</v>
      </c>
      <c r="L55" s="23">
        <v>0</v>
      </c>
      <c r="M55" s="71">
        <f t="shared" si="8"/>
        <v>113</v>
      </c>
      <c r="N55" s="71">
        <f t="shared" si="9"/>
        <v>106</v>
      </c>
      <c r="O55" s="71">
        <f t="shared" si="10"/>
        <v>135</v>
      </c>
      <c r="P55" s="26">
        <f>AVERAGE(G55,I55,K55)/E55</f>
        <v>1173.3333333333333</v>
      </c>
      <c r="Q55" s="26">
        <f t="shared" si="1"/>
        <v>1144000</v>
      </c>
      <c r="R55" s="24">
        <f t="shared" si="6"/>
        <v>0.68181818181818188</v>
      </c>
      <c r="S55" s="27"/>
      <c r="T55" s="26">
        <f t="shared" si="2"/>
        <v>1141600</v>
      </c>
      <c r="U55" s="26">
        <v>50</v>
      </c>
      <c r="V55" s="26">
        <v>3</v>
      </c>
      <c r="W55" s="28"/>
    </row>
    <row r="56" spans="1:23" s="23" customFormat="1">
      <c r="A56" s="22">
        <v>43197</v>
      </c>
      <c r="B56" s="22" t="s">
        <v>36</v>
      </c>
      <c r="C56" s="40" t="s">
        <v>42</v>
      </c>
      <c r="D56" s="22" t="s">
        <v>122</v>
      </c>
      <c r="E56" s="24">
        <v>0.3</v>
      </c>
      <c r="F56" s="23">
        <v>700</v>
      </c>
      <c r="G56" s="23">
        <v>81</v>
      </c>
      <c r="H56" s="23">
        <v>3</v>
      </c>
      <c r="I56" s="23">
        <v>69</v>
      </c>
      <c r="J56" s="23">
        <v>5</v>
      </c>
      <c r="K56" s="23">
        <v>79</v>
      </c>
      <c r="L56" s="23">
        <v>3</v>
      </c>
      <c r="M56" s="71">
        <f t="shared" si="8"/>
        <v>84</v>
      </c>
      <c r="N56" s="71">
        <f t="shared" si="9"/>
        <v>74</v>
      </c>
      <c r="O56" s="71">
        <f t="shared" si="10"/>
        <v>82</v>
      </c>
      <c r="P56" s="26">
        <f>AVERAGE(G56,I56,K56)/E56</f>
        <v>254.44444444444443</v>
      </c>
      <c r="Q56" s="26">
        <f t="shared" si="1"/>
        <v>178111.11111111109</v>
      </c>
      <c r="R56" s="24">
        <f>800/P56</f>
        <v>3.14410480349345</v>
      </c>
      <c r="S56" s="27"/>
      <c r="T56" s="26">
        <f t="shared" si="2"/>
        <v>175711.11111111109</v>
      </c>
      <c r="U56" s="26">
        <v>51</v>
      </c>
      <c r="V56" s="26">
        <v>1</v>
      </c>
      <c r="W56" s="28"/>
    </row>
    <row r="57" spans="1:23" s="23" customFormat="1">
      <c r="A57" s="22">
        <v>43197</v>
      </c>
      <c r="B57" s="22" t="s">
        <v>61</v>
      </c>
      <c r="C57" s="40" t="s">
        <v>67</v>
      </c>
      <c r="D57" s="22" t="s">
        <v>109</v>
      </c>
      <c r="E57" s="24">
        <v>0.2</v>
      </c>
      <c r="F57" s="23">
        <v>750</v>
      </c>
      <c r="G57" s="23">
        <v>81</v>
      </c>
      <c r="H57" s="23">
        <v>0</v>
      </c>
      <c r="I57" s="23">
        <v>89</v>
      </c>
      <c r="J57" s="23">
        <v>0</v>
      </c>
      <c r="K57" s="23">
        <v>104</v>
      </c>
      <c r="L57" s="23">
        <v>0</v>
      </c>
      <c r="M57" s="71">
        <f t="shared" si="8"/>
        <v>81</v>
      </c>
      <c r="N57" s="71">
        <f t="shared" si="9"/>
        <v>89</v>
      </c>
      <c r="O57" s="71">
        <f t="shared" si="10"/>
        <v>104</v>
      </c>
      <c r="P57" s="26">
        <f>AVERAGE(G57,I57,K57)/E57</f>
        <v>456.66666666666663</v>
      </c>
      <c r="Q57" s="26">
        <f t="shared" si="1"/>
        <v>342500</v>
      </c>
      <c r="R57" s="24">
        <f t="shared" si="6"/>
        <v>1.7518248175182483</v>
      </c>
      <c r="S57" s="27"/>
      <c r="T57" s="26">
        <f t="shared" si="2"/>
        <v>340100</v>
      </c>
      <c r="U57" s="26">
        <v>52</v>
      </c>
      <c r="V57" s="26">
        <v>1</v>
      </c>
      <c r="W57" s="28"/>
    </row>
    <row r="58" spans="1:23" s="23" customFormat="1">
      <c r="A58" s="22">
        <v>43197</v>
      </c>
      <c r="B58" s="22" t="s">
        <v>84</v>
      </c>
      <c r="C58" s="40" t="s">
        <v>96</v>
      </c>
      <c r="D58" s="22" t="s">
        <v>116</v>
      </c>
      <c r="E58" s="24">
        <v>0.7</v>
      </c>
      <c r="F58" s="23">
        <v>490</v>
      </c>
      <c r="G58" s="23">
        <v>137</v>
      </c>
      <c r="H58" s="23">
        <v>0</v>
      </c>
      <c r="I58" s="23">
        <v>124</v>
      </c>
      <c r="J58" s="23">
        <v>0</v>
      </c>
      <c r="K58" s="23">
        <v>133</v>
      </c>
      <c r="L58" s="23">
        <v>1</v>
      </c>
      <c r="M58" s="71">
        <f t="shared" si="8"/>
        <v>137</v>
      </c>
      <c r="N58" s="71">
        <f t="shared" si="9"/>
        <v>124</v>
      </c>
      <c r="O58" s="71">
        <f t="shared" si="10"/>
        <v>134</v>
      </c>
      <c r="P58" s="26">
        <f t="shared" si="7"/>
        <v>187.61904761904765</v>
      </c>
      <c r="Q58" s="26">
        <f t="shared" si="1"/>
        <v>91933.333333333343</v>
      </c>
      <c r="R58" s="24">
        <f t="shared" si="6"/>
        <v>4.2639593908629436</v>
      </c>
      <c r="S58" s="27"/>
      <c r="T58" s="26">
        <f t="shared" si="2"/>
        <v>89533.333333333343</v>
      </c>
      <c r="U58" s="26">
        <v>53</v>
      </c>
      <c r="V58" s="26">
        <v>1</v>
      </c>
      <c r="W58" s="28"/>
    </row>
    <row r="59" spans="1:23" s="23" customFormat="1">
      <c r="A59" s="22">
        <v>43197</v>
      </c>
      <c r="B59" s="22" t="s">
        <v>37</v>
      </c>
      <c r="C59" s="40" t="s">
        <v>68</v>
      </c>
      <c r="D59" s="22" t="s">
        <v>53</v>
      </c>
      <c r="E59" s="24">
        <v>1</v>
      </c>
      <c r="F59" s="23">
        <v>470</v>
      </c>
      <c r="G59" s="23">
        <v>26</v>
      </c>
      <c r="H59" s="23">
        <v>0</v>
      </c>
      <c r="I59" s="23">
        <v>21</v>
      </c>
      <c r="J59" s="23">
        <v>0</v>
      </c>
      <c r="K59" s="23">
        <v>19</v>
      </c>
      <c r="L59" s="23">
        <v>0</v>
      </c>
      <c r="M59" s="71">
        <f t="shared" si="8"/>
        <v>26</v>
      </c>
      <c r="N59" s="71">
        <f t="shared" si="9"/>
        <v>21</v>
      </c>
      <c r="O59" s="71">
        <f t="shared" si="10"/>
        <v>19</v>
      </c>
      <c r="P59" s="26">
        <f t="shared" si="7"/>
        <v>22</v>
      </c>
      <c r="Q59" s="26">
        <f t="shared" si="1"/>
        <v>10340</v>
      </c>
      <c r="R59" s="24">
        <f t="shared" si="6"/>
        <v>36.363636363636367</v>
      </c>
      <c r="S59" s="27"/>
      <c r="T59" s="26">
        <f t="shared" si="2"/>
        <v>7940</v>
      </c>
      <c r="U59" s="26">
        <v>54</v>
      </c>
      <c r="V59" s="26">
        <v>1</v>
      </c>
      <c r="W59" s="28"/>
    </row>
    <row r="60" spans="1:23" s="23" customFormat="1">
      <c r="A60" s="22">
        <v>43197</v>
      </c>
      <c r="B60" s="22" t="s">
        <v>28</v>
      </c>
      <c r="C60" s="40" t="s">
        <v>69</v>
      </c>
      <c r="D60" s="22" t="s">
        <v>53</v>
      </c>
      <c r="E60" s="24">
        <v>1</v>
      </c>
      <c r="F60" s="23">
        <v>460</v>
      </c>
      <c r="G60" s="23">
        <v>53</v>
      </c>
      <c r="H60" s="23">
        <v>0</v>
      </c>
      <c r="I60" s="23">
        <v>61</v>
      </c>
      <c r="J60" s="23">
        <v>0</v>
      </c>
      <c r="K60" s="23">
        <v>59</v>
      </c>
      <c r="L60" s="23">
        <v>1</v>
      </c>
      <c r="M60" s="71">
        <f t="shared" si="8"/>
        <v>53</v>
      </c>
      <c r="N60" s="71">
        <f t="shared" si="9"/>
        <v>61</v>
      </c>
      <c r="O60" s="71">
        <f t="shared" si="10"/>
        <v>60</v>
      </c>
      <c r="P60" s="26">
        <f t="shared" si="7"/>
        <v>57.666666666666664</v>
      </c>
      <c r="Q60" s="26">
        <f t="shared" si="1"/>
        <v>26526.666666666664</v>
      </c>
      <c r="R60" s="24">
        <f t="shared" si="6"/>
        <v>13.872832369942197</v>
      </c>
      <c r="S60" s="27"/>
      <c r="T60" s="26">
        <f t="shared" si="2"/>
        <v>24126.666666666664</v>
      </c>
      <c r="U60" s="26">
        <v>55</v>
      </c>
      <c r="V60" s="26">
        <v>1</v>
      </c>
      <c r="W60" s="28"/>
    </row>
    <row r="61" spans="1:23" s="23" customFormat="1">
      <c r="A61" s="22">
        <v>43197</v>
      </c>
      <c r="B61" s="22" t="s">
        <v>59</v>
      </c>
      <c r="C61" s="40" t="s">
        <v>70</v>
      </c>
      <c r="D61" s="22" t="s">
        <v>117</v>
      </c>
      <c r="E61" s="24">
        <v>0.5</v>
      </c>
      <c r="F61" s="23">
        <v>600</v>
      </c>
      <c r="G61" s="23">
        <v>66</v>
      </c>
      <c r="H61" s="23">
        <v>1</v>
      </c>
      <c r="I61" s="23">
        <v>88</v>
      </c>
      <c r="J61" s="23">
        <v>0</v>
      </c>
      <c r="K61" s="23">
        <v>82</v>
      </c>
      <c r="L61" s="23">
        <v>0</v>
      </c>
      <c r="M61" s="71">
        <f t="shared" si="8"/>
        <v>67</v>
      </c>
      <c r="N61" s="71">
        <f t="shared" si="9"/>
        <v>88</v>
      </c>
      <c r="O61" s="71">
        <f t="shared" si="10"/>
        <v>82</v>
      </c>
      <c r="P61" s="26">
        <f t="shared" si="7"/>
        <v>157.33333333333334</v>
      </c>
      <c r="Q61" s="26">
        <f t="shared" si="1"/>
        <v>94400</v>
      </c>
      <c r="R61" s="24">
        <f t="shared" si="6"/>
        <v>5.0847457627118642</v>
      </c>
      <c r="S61" s="27"/>
      <c r="T61" s="26">
        <f t="shared" si="2"/>
        <v>92000</v>
      </c>
      <c r="U61" s="26">
        <v>56</v>
      </c>
      <c r="V61" s="26">
        <v>1</v>
      </c>
      <c r="W61" s="28"/>
    </row>
    <row r="62" spans="1:23" s="23" customFormat="1">
      <c r="A62" s="22">
        <v>43197</v>
      </c>
      <c r="B62" s="22" t="s">
        <v>83</v>
      </c>
      <c r="C62" s="40" t="s">
        <v>114</v>
      </c>
      <c r="D62" s="22" t="s">
        <v>118</v>
      </c>
      <c r="E62" s="24">
        <v>0.5</v>
      </c>
      <c r="F62" s="23">
        <v>740</v>
      </c>
      <c r="G62" s="23">
        <v>115</v>
      </c>
      <c r="H62" s="23">
        <v>0</v>
      </c>
      <c r="I62" s="23">
        <v>100</v>
      </c>
      <c r="J62" s="23">
        <v>0</v>
      </c>
      <c r="K62" s="23">
        <v>91</v>
      </c>
      <c r="L62" s="23">
        <v>0</v>
      </c>
      <c r="M62" s="71">
        <f t="shared" si="8"/>
        <v>115</v>
      </c>
      <c r="N62" s="71">
        <f t="shared" si="9"/>
        <v>100</v>
      </c>
      <c r="O62" s="71">
        <f t="shared" si="10"/>
        <v>91</v>
      </c>
      <c r="P62" s="26">
        <f t="shared" si="7"/>
        <v>204</v>
      </c>
      <c r="Q62" s="26">
        <f t="shared" si="1"/>
        <v>150960</v>
      </c>
      <c r="R62" s="24">
        <f t="shared" si="6"/>
        <v>3.9215686274509802</v>
      </c>
      <c r="S62" s="27"/>
      <c r="T62" s="26">
        <f t="shared" si="2"/>
        <v>148560</v>
      </c>
      <c r="U62" s="26">
        <v>57</v>
      </c>
      <c r="V62" s="26">
        <v>1</v>
      </c>
      <c r="W62" s="28"/>
    </row>
    <row r="63" spans="1:23" s="23" customFormat="1">
      <c r="A63" s="22">
        <v>43197</v>
      </c>
      <c r="B63" s="22" t="s">
        <v>59</v>
      </c>
      <c r="C63" s="40" t="s">
        <v>60</v>
      </c>
      <c r="D63" s="22" t="s">
        <v>119</v>
      </c>
      <c r="E63" s="24">
        <v>0.1</v>
      </c>
      <c r="F63" s="23">
        <v>975</v>
      </c>
      <c r="G63" s="23">
        <v>98</v>
      </c>
      <c r="H63" s="23">
        <v>0</v>
      </c>
      <c r="I63" s="23">
        <v>93</v>
      </c>
      <c r="J63" s="23">
        <v>0</v>
      </c>
      <c r="K63" s="23">
        <v>99</v>
      </c>
      <c r="L63" s="23">
        <v>0</v>
      </c>
      <c r="M63" s="71">
        <f t="shared" si="8"/>
        <v>98</v>
      </c>
      <c r="N63" s="71">
        <f t="shared" si="9"/>
        <v>93</v>
      </c>
      <c r="O63" s="71">
        <f t="shared" si="10"/>
        <v>99</v>
      </c>
      <c r="P63" s="26">
        <f t="shared" si="7"/>
        <v>966.66666666666663</v>
      </c>
      <c r="Q63" s="26">
        <f t="shared" si="1"/>
        <v>942500</v>
      </c>
      <c r="R63" s="24">
        <f t="shared" si="6"/>
        <v>0.82758620689655171</v>
      </c>
      <c r="S63" s="27"/>
      <c r="T63" s="26">
        <f t="shared" si="2"/>
        <v>940100</v>
      </c>
      <c r="U63" s="26">
        <v>58</v>
      </c>
      <c r="V63" s="26">
        <v>3</v>
      </c>
      <c r="W63" s="28"/>
    </row>
    <row r="64" spans="1:23" s="23" customFormat="1">
      <c r="A64" s="22">
        <v>43197</v>
      </c>
      <c r="B64" s="22" t="s">
        <v>29</v>
      </c>
      <c r="C64" s="40" t="s">
        <v>62</v>
      </c>
      <c r="D64" s="22" t="s">
        <v>53</v>
      </c>
      <c r="E64" s="24">
        <v>0.5</v>
      </c>
      <c r="F64" s="23">
        <v>520</v>
      </c>
      <c r="G64" s="23">
        <v>36</v>
      </c>
      <c r="H64" s="23">
        <v>0</v>
      </c>
      <c r="I64" s="23">
        <v>28</v>
      </c>
      <c r="J64" s="23">
        <v>1</v>
      </c>
      <c r="K64" s="23">
        <v>33</v>
      </c>
      <c r="L64" s="23">
        <v>0</v>
      </c>
      <c r="M64" s="71">
        <f t="shared" si="8"/>
        <v>36</v>
      </c>
      <c r="N64" s="71">
        <f t="shared" si="9"/>
        <v>29</v>
      </c>
      <c r="O64" s="71">
        <f t="shared" si="10"/>
        <v>33</v>
      </c>
      <c r="P64" s="26">
        <f t="shared" si="7"/>
        <v>64.666666666666671</v>
      </c>
      <c r="Q64" s="26">
        <f t="shared" si="1"/>
        <v>33626.666666666672</v>
      </c>
      <c r="R64" s="24">
        <f t="shared" si="6"/>
        <v>12.371134020618555</v>
      </c>
      <c r="S64" s="27"/>
      <c r="T64" s="26">
        <f t="shared" si="2"/>
        <v>31226.666666666672</v>
      </c>
      <c r="U64" s="26">
        <v>59</v>
      </c>
      <c r="V64" s="26">
        <v>1</v>
      </c>
      <c r="W64" s="28"/>
    </row>
    <row r="65" spans="1:24" s="23" customFormat="1">
      <c r="A65" s="22">
        <v>43197</v>
      </c>
      <c r="B65" s="22" t="s">
        <v>83</v>
      </c>
      <c r="C65" s="40" t="s">
        <v>95</v>
      </c>
      <c r="D65" s="22" t="s">
        <v>53</v>
      </c>
      <c r="E65" s="24">
        <v>0.5</v>
      </c>
      <c r="F65" s="23">
        <v>450</v>
      </c>
      <c r="G65" s="23">
        <v>29</v>
      </c>
      <c r="H65" s="23">
        <v>0</v>
      </c>
      <c r="I65" s="23">
        <v>27</v>
      </c>
      <c r="J65" s="23">
        <v>0</v>
      </c>
      <c r="K65" s="23">
        <v>24</v>
      </c>
      <c r="L65" s="23">
        <v>0</v>
      </c>
      <c r="M65" s="71">
        <f t="shared" si="8"/>
        <v>29</v>
      </c>
      <c r="N65" s="71">
        <f t="shared" si="9"/>
        <v>27</v>
      </c>
      <c r="O65" s="71">
        <f t="shared" si="10"/>
        <v>24</v>
      </c>
      <c r="P65" s="26">
        <f t="shared" si="7"/>
        <v>53.333333333333336</v>
      </c>
      <c r="Q65" s="26">
        <f t="shared" si="1"/>
        <v>24000</v>
      </c>
      <c r="R65" s="24">
        <f t="shared" si="6"/>
        <v>15</v>
      </c>
      <c r="S65" s="27"/>
      <c r="T65" s="26">
        <f t="shared" si="2"/>
        <v>21600</v>
      </c>
      <c r="U65" s="26">
        <v>60</v>
      </c>
      <c r="V65" s="26">
        <v>1</v>
      </c>
      <c r="W65" s="28"/>
    </row>
    <row r="66" spans="1:24" s="23" customFormat="1">
      <c r="A66" s="22">
        <v>43197</v>
      </c>
      <c r="B66" s="22" t="s">
        <v>28</v>
      </c>
      <c r="C66" s="40" t="s">
        <v>78</v>
      </c>
      <c r="D66" s="22" t="s">
        <v>53</v>
      </c>
      <c r="E66" s="24">
        <v>0.5</v>
      </c>
      <c r="F66" s="23">
        <v>450</v>
      </c>
      <c r="G66" s="23">
        <v>16</v>
      </c>
      <c r="H66" s="23">
        <v>3</v>
      </c>
      <c r="I66" s="23">
        <v>10</v>
      </c>
      <c r="J66" s="23">
        <v>12</v>
      </c>
      <c r="K66" s="23">
        <v>6</v>
      </c>
      <c r="L66" s="23">
        <v>9</v>
      </c>
      <c r="M66" s="71">
        <f t="shared" si="8"/>
        <v>19</v>
      </c>
      <c r="N66" s="71">
        <f t="shared" si="9"/>
        <v>22</v>
      </c>
      <c r="O66" s="71">
        <f t="shared" si="10"/>
        <v>15</v>
      </c>
      <c r="P66" s="26">
        <f t="shared" si="7"/>
        <v>21.333333333333332</v>
      </c>
      <c r="Q66" s="26">
        <f t="shared" ref="Q66:Q128" si="11">P66*F66</f>
        <v>9600</v>
      </c>
      <c r="R66" s="24">
        <f t="shared" si="6"/>
        <v>37.5</v>
      </c>
      <c r="S66" s="27"/>
      <c r="T66" s="26">
        <f t="shared" si="2"/>
        <v>7200</v>
      </c>
      <c r="U66" s="26">
        <v>61</v>
      </c>
      <c r="V66" s="26">
        <v>1</v>
      </c>
      <c r="W66" s="28"/>
    </row>
    <row r="67" spans="1:24" s="67" customFormat="1">
      <c r="A67" s="75">
        <v>43198</v>
      </c>
      <c r="B67" s="75" t="s">
        <v>61</v>
      </c>
      <c r="C67" s="76" t="s">
        <v>66</v>
      </c>
      <c r="D67" s="75" t="s">
        <v>123</v>
      </c>
      <c r="E67" s="77">
        <v>0.1</v>
      </c>
      <c r="F67" s="67">
        <v>970</v>
      </c>
      <c r="G67" s="67">
        <v>124</v>
      </c>
      <c r="H67" s="67">
        <v>0</v>
      </c>
      <c r="I67" s="67">
        <v>114</v>
      </c>
      <c r="J67" s="67">
        <v>0</v>
      </c>
      <c r="K67" s="67">
        <v>122</v>
      </c>
      <c r="L67" s="67">
        <v>0</v>
      </c>
      <c r="M67" s="67">
        <f t="shared" si="8"/>
        <v>124</v>
      </c>
      <c r="N67" s="67">
        <f t="shared" si="9"/>
        <v>114</v>
      </c>
      <c r="O67" s="67">
        <f t="shared" si="10"/>
        <v>122</v>
      </c>
      <c r="P67" s="78">
        <f t="shared" si="7"/>
        <v>1200</v>
      </c>
      <c r="Q67" s="78">
        <f t="shared" si="11"/>
        <v>1164000</v>
      </c>
      <c r="R67" s="77">
        <f t="shared" si="6"/>
        <v>0.66666666666666663</v>
      </c>
      <c r="S67" s="80"/>
      <c r="T67" s="78">
        <f t="shared" ref="T67:T98" si="12">Q67-(R67*P67*3)</f>
        <v>1161600</v>
      </c>
      <c r="U67" s="78">
        <v>62</v>
      </c>
      <c r="V67" s="78">
        <v>3</v>
      </c>
      <c r="W67" s="79"/>
    </row>
    <row r="68" spans="1:24" s="67" customFormat="1">
      <c r="A68" s="75">
        <v>43198</v>
      </c>
      <c r="B68" s="75" t="s">
        <v>37</v>
      </c>
      <c r="C68" s="76" t="s">
        <v>39</v>
      </c>
      <c r="D68" s="75" t="s">
        <v>115</v>
      </c>
      <c r="E68" s="77">
        <v>0.1</v>
      </c>
      <c r="F68" s="67">
        <v>970</v>
      </c>
      <c r="G68" s="67">
        <v>203</v>
      </c>
      <c r="H68" s="67">
        <v>0</v>
      </c>
      <c r="I68" s="67">
        <v>218</v>
      </c>
      <c r="J68" s="67">
        <v>0</v>
      </c>
      <c r="K68" s="67">
        <v>219</v>
      </c>
      <c r="L68" s="67">
        <v>0</v>
      </c>
      <c r="M68" s="67">
        <f t="shared" si="8"/>
        <v>203</v>
      </c>
      <c r="N68" s="67">
        <f t="shared" si="9"/>
        <v>218</v>
      </c>
      <c r="O68" s="67">
        <f t="shared" si="10"/>
        <v>219</v>
      </c>
      <c r="P68" s="78">
        <f t="shared" si="7"/>
        <v>2133.3333333333335</v>
      </c>
      <c r="Q68" s="78">
        <f t="shared" si="11"/>
        <v>2069333.3333333335</v>
      </c>
      <c r="R68" s="77">
        <f t="shared" si="6"/>
        <v>0.375</v>
      </c>
      <c r="S68" s="80"/>
      <c r="T68" s="78">
        <f t="shared" si="12"/>
        <v>2066933.3333333335</v>
      </c>
      <c r="U68" s="78">
        <v>63</v>
      </c>
      <c r="V68" s="78">
        <v>4</v>
      </c>
      <c r="W68" s="79"/>
    </row>
    <row r="69" spans="1:24" s="67" customFormat="1">
      <c r="A69" s="75">
        <v>43198</v>
      </c>
      <c r="B69" s="75" t="s">
        <v>36</v>
      </c>
      <c r="C69" s="76" t="s">
        <v>42</v>
      </c>
      <c r="D69" s="75" t="s">
        <v>53</v>
      </c>
      <c r="E69" s="77">
        <v>0.4</v>
      </c>
      <c r="F69" s="67">
        <v>490</v>
      </c>
      <c r="G69" s="67">
        <v>245</v>
      </c>
      <c r="H69" s="67">
        <v>1</v>
      </c>
      <c r="I69" s="67">
        <v>267</v>
      </c>
      <c r="J69" s="67">
        <v>1</v>
      </c>
      <c r="K69" s="67">
        <v>245</v>
      </c>
      <c r="L69" s="67">
        <v>1</v>
      </c>
      <c r="M69" s="67">
        <f t="shared" si="8"/>
        <v>246</v>
      </c>
      <c r="N69" s="67">
        <f t="shared" si="9"/>
        <v>268</v>
      </c>
      <c r="O69" s="67">
        <f t="shared" si="10"/>
        <v>246</v>
      </c>
      <c r="P69" s="78">
        <f t="shared" si="7"/>
        <v>630.83333333333337</v>
      </c>
      <c r="Q69" s="78">
        <f t="shared" si="11"/>
        <v>309108.33333333337</v>
      </c>
      <c r="R69" s="77">
        <f t="shared" ref="R69:R132" si="13">800/P69</f>
        <v>1.2681638044914134</v>
      </c>
      <c r="S69" s="80"/>
      <c r="T69" s="78">
        <f t="shared" si="12"/>
        <v>306708.33333333337</v>
      </c>
      <c r="U69" s="78">
        <v>64</v>
      </c>
      <c r="V69" s="78">
        <v>1</v>
      </c>
      <c r="W69" s="79"/>
    </row>
    <row r="70" spans="1:24" s="67" customFormat="1">
      <c r="A70" s="75">
        <v>43198</v>
      </c>
      <c r="B70" s="75" t="s">
        <v>61</v>
      </c>
      <c r="C70" s="76" t="s">
        <v>67</v>
      </c>
      <c r="D70" s="75" t="s">
        <v>53</v>
      </c>
      <c r="E70" s="77">
        <v>0.3</v>
      </c>
      <c r="F70" s="67">
        <v>790</v>
      </c>
      <c r="G70" s="67">
        <v>193</v>
      </c>
      <c r="H70" s="67">
        <v>0</v>
      </c>
      <c r="I70" s="67">
        <v>214</v>
      </c>
      <c r="J70" s="67">
        <v>0</v>
      </c>
      <c r="K70" s="67">
        <v>205</v>
      </c>
      <c r="L70" s="67">
        <v>0</v>
      </c>
      <c r="M70" s="67">
        <f t="shared" ref="M70:M111" si="14">G70+H70</f>
        <v>193</v>
      </c>
      <c r="N70" s="67">
        <f t="shared" ref="N70:N111" si="15">I70+J70</f>
        <v>214</v>
      </c>
      <c r="O70" s="67">
        <f t="shared" ref="O70:O111" si="16">K70+L70</f>
        <v>205</v>
      </c>
      <c r="P70" s="78">
        <f t="shared" ref="P70:P133" si="17">AVERAGE(G70,I70,K70)/E70</f>
        <v>680</v>
      </c>
      <c r="Q70" s="78">
        <f t="shared" si="11"/>
        <v>537200</v>
      </c>
      <c r="R70" s="77">
        <f t="shared" si="13"/>
        <v>1.1764705882352942</v>
      </c>
      <c r="S70" s="80"/>
      <c r="T70" s="78">
        <f t="shared" si="12"/>
        <v>534800</v>
      </c>
      <c r="U70" s="78">
        <v>65</v>
      </c>
      <c r="V70" s="78">
        <v>2</v>
      </c>
      <c r="W70" s="79"/>
    </row>
    <row r="71" spans="1:24" s="67" customFormat="1">
      <c r="A71" s="75">
        <v>43198</v>
      </c>
      <c r="B71" s="75" t="s">
        <v>84</v>
      </c>
      <c r="C71" s="76" t="s">
        <v>96</v>
      </c>
      <c r="D71" s="75" t="s">
        <v>53</v>
      </c>
      <c r="E71" s="81">
        <v>0.3</v>
      </c>
      <c r="F71" s="68">
        <v>810</v>
      </c>
      <c r="G71" s="68">
        <v>116</v>
      </c>
      <c r="H71" s="68">
        <v>0</v>
      </c>
      <c r="I71" s="68">
        <v>130</v>
      </c>
      <c r="J71" s="68">
        <v>0</v>
      </c>
      <c r="K71" s="68">
        <v>133</v>
      </c>
      <c r="L71" s="68">
        <v>0</v>
      </c>
      <c r="M71" s="67">
        <f t="shared" si="14"/>
        <v>116</v>
      </c>
      <c r="N71" s="67">
        <f t="shared" si="15"/>
        <v>130</v>
      </c>
      <c r="O71" s="67">
        <f t="shared" si="16"/>
        <v>133</v>
      </c>
      <c r="P71" s="78">
        <f t="shared" si="17"/>
        <v>421.11111111111109</v>
      </c>
      <c r="Q71" s="82">
        <f t="shared" si="11"/>
        <v>341100</v>
      </c>
      <c r="R71" s="77">
        <f t="shared" si="13"/>
        <v>1.8997361477572561</v>
      </c>
      <c r="S71" s="80"/>
      <c r="T71" s="78">
        <f t="shared" si="12"/>
        <v>338700</v>
      </c>
      <c r="U71" s="78">
        <v>66</v>
      </c>
      <c r="V71" s="78">
        <v>1</v>
      </c>
      <c r="W71" s="83"/>
      <c r="X71" s="68"/>
    </row>
    <row r="72" spans="1:24" s="68" customFormat="1">
      <c r="A72" s="75">
        <v>43198</v>
      </c>
      <c r="B72" s="75" t="s">
        <v>37</v>
      </c>
      <c r="C72" s="76" t="s">
        <v>68</v>
      </c>
      <c r="D72" s="75" t="s">
        <v>124</v>
      </c>
      <c r="E72" s="77">
        <v>0.1</v>
      </c>
      <c r="F72" s="67">
        <v>925</v>
      </c>
      <c r="G72" s="67">
        <v>135</v>
      </c>
      <c r="H72" s="68">
        <v>0</v>
      </c>
      <c r="I72" s="67">
        <v>170</v>
      </c>
      <c r="J72" s="68">
        <v>0</v>
      </c>
      <c r="K72" s="67">
        <v>139</v>
      </c>
      <c r="L72" s="68">
        <v>0</v>
      </c>
      <c r="M72" s="67">
        <f t="shared" si="14"/>
        <v>135</v>
      </c>
      <c r="N72" s="67">
        <f t="shared" si="15"/>
        <v>170</v>
      </c>
      <c r="O72" s="67">
        <f t="shared" si="16"/>
        <v>139</v>
      </c>
      <c r="P72" s="78">
        <f t="shared" si="17"/>
        <v>1480</v>
      </c>
      <c r="Q72" s="78">
        <f t="shared" si="11"/>
        <v>1369000</v>
      </c>
      <c r="R72" s="77">
        <f t="shared" si="13"/>
        <v>0.54054054054054057</v>
      </c>
      <c r="S72" s="80"/>
      <c r="T72" s="78">
        <f t="shared" si="12"/>
        <v>1366600</v>
      </c>
      <c r="U72" s="78">
        <v>67</v>
      </c>
      <c r="V72" s="78">
        <v>3</v>
      </c>
      <c r="W72" s="79"/>
      <c r="X72" s="67"/>
    </row>
    <row r="73" spans="1:24" s="68" customFormat="1">
      <c r="A73" s="75">
        <v>43198</v>
      </c>
      <c r="B73" s="75" t="s">
        <v>83</v>
      </c>
      <c r="C73" s="76" t="s">
        <v>114</v>
      </c>
      <c r="D73" s="75" t="s">
        <v>53</v>
      </c>
      <c r="E73" s="81">
        <v>0.1</v>
      </c>
      <c r="F73" s="68">
        <v>980</v>
      </c>
      <c r="G73" s="68">
        <v>103</v>
      </c>
      <c r="H73" s="68">
        <v>0</v>
      </c>
      <c r="I73" s="68">
        <v>134</v>
      </c>
      <c r="J73" s="68">
        <v>0</v>
      </c>
      <c r="K73" s="68">
        <v>107</v>
      </c>
      <c r="L73" s="68">
        <v>0</v>
      </c>
      <c r="M73" s="67">
        <f t="shared" si="14"/>
        <v>103</v>
      </c>
      <c r="N73" s="67">
        <f t="shared" si="15"/>
        <v>134</v>
      </c>
      <c r="O73" s="67">
        <f t="shared" si="16"/>
        <v>107</v>
      </c>
      <c r="P73" s="78">
        <f>AVERAGE(G73,I73,K73)/E73</f>
        <v>1146.6666666666667</v>
      </c>
      <c r="Q73" s="82">
        <f t="shared" si="11"/>
        <v>1123733.3333333335</v>
      </c>
      <c r="R73" s="77">
        <f t="shared" si="13"/>
        <v>0.69767441860465107</v>
      </c>
      <c r="S73" s="80"/>
      <c r="T73" s="78">
        <f t="shared" si="12"/>
        <v>1121333.3333333335</v>
      </c>
      <c r="U73" s="78">
        <v>68</v>
      </c>
      <c r="V73" s="78">
        <v>3</v>
      </c>
      <c r="W73" s="84"/>
    </row>
    <row r="74" spans="1:24" s="68" customFormat="1">
      <c r="A74" s="75">
        <v>43198</v>
      </c>
      <c r="B74" s="75" t="s">
        <v>59</v>
      </c>
      <c r="C74" s="76" t="s">
        <v>60</v>
      </c>
      <c r="D74" s="75" t="s">
        <v>53</v>
      </c>
      <c r="E74" s="81">
        <v>0.4</v>
      </c>
      <c r="F74" s="68">
        <v>630</v>
      </c>
      <c r="G74" s="68">
        <v>113</v>
      </c>
      <c r="H74" s="68">
        <v>0</v>
      </c>
      <c r="I74" s="68">
        <v>107</v>
      </c>
      <c r="J74" s="68">
        <v>0</v>
      </c>
      <c r="K74" s="68">
        <v>125</v>
      </c>
      <c r="L74" s="68">
        <v>0</v>
      </c>
      <c r="M74" s="67">
        <f t="shared" si="14"/>
        <v>113</v>
      </c>
      <c r="N74" s="67">
        <f t="shared" si="15"/>
        <v>107</v>
      </c>
      <c r="O74" s="67">
        <f t="shared" si="16"/>
        <v>125</v>
      </c>
      <c r="P74" s="78">
        <f t="shared" si="17"/>
        <v>287.5</v>
      </c>
      <c r="Q74" s="82">
        <f t="shared" si="11"/>
        <v>181125</v>
      </c>
      <c r="R74" s="77">
        <f t="shared" si="13"/>
        <v>2.7826086956521738</v>
      </c>
      <c r="S74" s="80"/>
      <c r="T74" s="78">
        <f t="shared" si="12"/>
        <v>178725</v>
      </c>
      <c r="U74" s="78">
        <v>69</v>
      </c>
      <c r="V74" s="78">
        <v>1</v>
      </c>
      <c r="W74" s="83"/>
    </row>
    <row r="75" spans="1:24" s="68" customFormat="1">
      <c r="A75" s="75">
        <v>43198</v>
      </c>
      <c r="B75" s="85" t="s">
        <v>29</v>
      </c>
      <c r="C75" s="86" t="s">
        <v>62</v>
      </c>
      <c r="D75" s="85" t="s">
        <v>64</v>
      </c>
      <c r="E75" s="81">
        <v>0.4</v>
      </c>
      <c r="F75" s="68">
        <v>680</v>
      </c>
      <c r="G75" s="68">
        <v>141</v>
      </c>
      <c r="H75" s="68">
        <v>0</v>
      </c>
      <c r="I75" s="68">
        <v>163</v>
      </c>
      <c r="J75" s="68">
        <v>0</v>
      </c>
      <c r="K75" s="68">
        <v>153</v>
      </c>
      <c r="L75" s="68">
        <v>0</v>
      </c>
      <c r="M75" s="67">
        <f t="shared" si="14"/>
        <v>141</v>
      </c>
      <c r="N75" s="67">
        <f t="shared" si="15"/>
        <v>163</v>
      </c>
      <c r="O75" s="67">
        <f t="shared" si="16"/>
        <v>153</v>
      </c>
      <c r="P75" s="78">
        <f t="shared" si="17"/>
        <v>380.83333333333331</v>
      </c>
      <c r="Q75" s="82">
        <f t="shared" si="11"/>
        <v>258966.66666666666</v>
      </c>
      <c r="R75" s="77">
        <f t="shared" si="13"/>
        <v>2.1006564551422322</v>
      </c>
      <c r="S75" s="80"/>
      <c r="T75" s="78">
        <f t="shared" si="12"/>
        <v>256566.66666666666</v>
      </c>
      <c r="U75" s="78">
        <v>70</v>
      </c>
      <c r="V75" s="78">
        <v>1</v>
      </c>
      <c r="W75" s="83"/>
    </row>
    <row r="76" spans="1:24" s="68" customFormat="1">
      <c r="A76" s="75">
        <v>43198</v>
      </c>
      <c r="B76" s="85" t="s">
        <v>83</v>
      </c>
      <c r="C76" s="86" t="s">
        <v>95</v>
      </c>
      <c r="D76" s="85" t="s">
        <v>121</v>
      </c>
      <c r="E76" s="81">
        <v>0.3</v>
      </c>
      <c r="F76" s="68">
        <v>740</v>
      </c>
      <c r="G76" s="68">
        <v>135</v>
      </c>
      <c r="H76" s="68">
        <v>0</v>
      </c>
      <c r="I76" s="68">
        <v>139</v>
      </c>
      <c r="J76" s="68">
        <v>0</v>
      </c>
      <c r="K76" s="68">
        <v>175</v>
      </c>
      <c r="L76" s="68">
        <v>0</v>
      </c>
      <c r="M76" s="67">
        <f t="shared" si="14"/>
        <v>135</v>
      </c>
      <c r="N76" s="67">
        <f t="shared" si="15"/>
        <v>139</v>
      </c>
      <c r="O76" s="67">
        <f t="shared" si="16"/>
        <v>175</v>
      </c>
      <c r="P76" s="78">
        <f t="shared" si="17"/>
        <v>498.88888888888886</v>
      </c>
      <c r="Q76" s="82">
        <f t="shared" si="11"/>
        <v>369177.77777777775</v>
      </c>
      <c r="R76" s="77">
        <f t="shared" si="13"/>
        <v>1.603563474387528</v>
      </c>
      <c r="S76" s="80"/>
      <c r="T76" s="78">
        <f t="shared" si="12"/>
        <v>366777.77777777775</v>
      </c>
      <c r="U76" s="78">
        <v>71</v>
      </c>
      <c r="V76" s="78">
        <v>2</v>
      </c>
      <c r="W76" s="83"/>
    </row>
    <row r="77" spans="1:24" s="68" customFormat="1">
      <c r="A77" s="75">
        <v>43198</v>
      </c>
      <c r="B77" s="75" t="s">
        <v>28</v>
      </c>
      <c r="C77" s="76" t="s">
        <v>78</v>
      </c>
      <c r="D77" s="75" t="s">
        <v>48</v>
      </c>
      <c r="E77" s="81">
        <v>0.3</v>
      </c>
      <c r="F77" s="68">
        <v>700</v>
      </c>
      <c r="G77" s="68">
        <v>109</v>
      </c>
      <c r="H77" s="68">
        <v>0</v>
      </c>
      <c r="I77" s="68">
        <v>92</v>
      </c>
      <c r="J77" s="68">
        <v>0</v>
      </c>
      <c r="K77" s="68">
        <v>105</v>
      </c>
      <c r="L77" s="68">
        <v>0</v>
      </c>
      <c r="M77" s="67">
        <f t="shared" si="14"/>
        <v>109</v>
      </c>
      <c r="N77" s="67">
        <f t="shared" si="15"/>
        <v>92</v>
      </c>
      <c r="O77" s="67">
        <f t="shared" si="16"/>
        <v>105</v>
      </c>
      <c r="P77" s="78">
        <f t="shared" si="17"/>
        <v>340</v>
      </c>
      <c r="Q77" s="82">
        <f t="shared" si="11"/>
        <v>238000</v>
      </c>
      <c r="R77" s="77">
        <f t="shared" si="13"/>
        <v>2.3529411764705883</v>
      </c>
      <c r="S77" s="80"/>
      <c r="T77" s="78">
        <f t="shared" si="12"/>
        <v>235600</v>
      </c>
      <c r="U77" s="78">
        <v>72</v>
      </c>
      <c r="V77" s="78">
        <v>2</v>
      </c>
      <c r="W77" s="84"/>
    </row>
    <row r="78" spans="1:24" s="68" customFormat="1">
      <c r="A78" s="75">
        <v>43198</v>
      </c>
      <c r="B78" s="75" t="s">
        <v>29</v>
      </c>
      <c r="C78" s="76" t="s">
        <v>120</v>
      </c>
      <c r="D78" s="75" t="s">
        <v>49</v>
      </c>
      <c r="E78" s="81">
        <v>0.25</v>
      </c>
      <c r="F78" s="68">
        <v>910</v>
      </c>
      <c r="G78" s="68">
        <v>169</v>
      </c>
      <c r="H78" s="68">
        <v>0</v>
      </c>
      <c r="I78" s="68">
        <v>197</v>
      </c>
      <c r="J78" s="68">
        <v>0</v>
      </c>
      <c r="K78" s="68">
        <v>174</v>
      </c>
      <c r="L78" s="68">
        <v>0</v>
      </c>
      <c r="M78" s="67">
        <f t="shared" si="14"/>
        <v>169</v>
      </c>
      <c r="N78" s="67">
        <f t="shared" si="15"/>
        <v>197</v>
      </c>
      <c r="O78" s="67">
        <f t="shared" si="16"/>
        <v>174</v>
      </c>
      <c r="P78" s="78">
        <f t="shared" si="17"/>
        <v>720</v>
      </c>
      <c r="Q78" s="82">
        <f t="shared" si="11"/>
        <v>655200</v>
      </c>
      <c r="R78" s="77">
        <f t="shared" si="13"/>
        <v>1.1111111111111112</v>
      </c>
      <c r="S78" s="80"/>
      <c r="T78" s="78">
        <f t="shared" si="12"/>
        <v>652800</v>
      </c>
      <c r="U78" s="78">
        <v>73</v>
      </c>
      <c r="V78" s="78">
        <v>2</v>
      </c>
      <c r="W78" s="84"/>
    </row>
    <row r="79" spans="1:24" s="68" customFormat="1">
      <c r="A79" s="75">
        <v>43198</v>
      </c>
      <c r="B79" s="87" t="s">
        <v>59</v>
      </c>
      <c r="C79" s="88" t="s">
        <v>70</v>
      </c>
      <c r="D79" s="87" t="s">
        <v>53</v>
      </c>
      <c r="E79" s="81">
        <v>0.5</v>
      </c>
      <c r="F79" s="68">
        <v>500</v>
      </c>
      <c r="G79" s="68">
        <v>92</v>
      </c>
      <c r="H79" s="68">
        <v>0</v>
      </c>
      <c r="I79" s="68">
        <v>103</v>
      </c>
      <c r="J79" s="68">
        <v>0</v>
      </c>
      <c r="K79" s="68">
        <v>95</v>
      </c>
      <c r="L79" s="68">
        <v>0</v>
      </c>
      <c r="M79" s="67">
        <f t="shared" si="14"/>
        <v>92</v>
      </c>
      <c r="N79" s="67">
        <f t="shared" si="15"/>
        <v>103</v>
      </c>
      <c r="O79" s="67">
        <f t="shared" si="16"/>
        <v>95</v>
      </c>
      <c r="P79" s="78">
        <f t="shared" si="17"/>
        <v>193.33333333333334</v>
      </c>
      <c r="Q79" s="82">
        <f t="shared" si="11"/>
        <v>96666.666666666672</v>
      </c>
      <c r="R79" s="77">
        <f t="shared" si="13"/>
        <v>4.137931034482758</v>
      </c>
      <c r="S79" s="80"/>
      <c r="T79" s="78">
        <f t="shared" si="12"/>
        <v>94266.666666666672</v>
      </c>
      <c r="U79" s="78">
        <v>74</v>
      </c>
      <c r="V79" s="78">
        <v>1</v>
      </c>
      <c r="W79" s="83"/>
    </row>
    <row r="80" spans="1:24">
      <c r="A80" s="22">
        <v>43199</v>
      </c>
      <c r="B80" s="33" t="s">
        <v>29</v>
      </c>
      <c r="C80" s="44" t="s">
        <v>120</v>
      </c>
      <c r="D80" s="33" t="s">
        <v>53</v>
      </c>
      <c r="E80" s="30">
        <v>0.1</v>
      </c>
      <c r="F80" s="29">
        <v>840</v>
      </c>
      <c r="G80" s="29">
        <v>95</v>
      </c>
      <c r="H80" s="29">
        <v>0</v>
      </c>
      <c r="I80" s="29">
        <v>87</v>
      </c>
      <c r="J80" s="29">
        <v>0</v>
      </c>
      <c r="K80" s="29">
        <v>108</v>
      </c>
      <c r="L80" s="29">
        <v>0</v>
      </c>
      <c r="M80" s="72">
        <f t="shared" si="14"/>
        <v>95</v>
      </c>
      <c r="N80" s="72">
        <f t="shared" si="15"/>
        <v>87</v>
      </c>
      <c r="O80" s="72">
        <f t="shared" si="16"/>
        <v>108</v>
      </c>
      <c r="P80" s="26">
        <f t="shared" si="17"/>
        <v>966.66666666666663</v>
      </c>
      <c r="Q80" s="31">
        <f t="shared" si="11"/>
        <v>812000</v>
      </c>
      <c r="R80" s="24">
        <f t="shared" si="13"/>
        <v>0.82758620689655171</v>
      </c>
      <c r="S80" s="27"/>
      <c r="T80" s="26">
        <f t="shared" si="12"/>
        <v>809600</v>
      </c>
      <c r="U80" s="26">
        <v>75</v>
      </c>
      <c r="V80" s="26"/>
    </row>
    <row r="81" spans="1:23">
      <c r="A81" s="22">
        <v>43199</v>
      </c>
      <c r="B81" s="34" t="s">
        <v>83</v>
      </c>
      <c r="C81" s="45" t="s">
        <v>95</v>
      </c>
      <c r="D81" s="34" t="s">
        <v>53</v>
      </c>
      <c r="E81" s="30">
        <v>0.5</v>
      </c>
      <c r="F81" s="29">
        <v>450</v>
      </c>
      <c r="G81" s="29">
        <v>68</v>
      </c>
      <c r="H81" s="29">
        <v>2</v>
      </c>
      <c r="I81" s="29">
        <v>64</v>
      </c>
      <c r="J81" s="29">
        <v>0</v>
      </c>
      <c r="K81" s="29">
        <v>48</v>
      </c>
      <c r="L81" s="29">
        <v>1</v>
      </c>
      <c r="M81" s="72">
        <f t="shared" si="14"/>
        <v>70</v>
      </c>
      <c r="N81" s="72">
        <f t="shared" si="15"/>
        <v>64</v>
      </c>
      <c r="O81" s="72">
        <f t="shared" si="16"/>
        <v>49</v>
      </c>
      <c r="P81" s="26">
        <f t="shared" si="17"/>
        <v>120</v>
      </c>
      <c r="Q81" s="31">
        <f t="shared" si="11"/>
        <v>54000</v>
      </c>
      <c r="R81" s="24">
        <f t="shared" si="13"/>
        <v>6.666666666666667</v>
      </c>
      <c r="S81" s="27"/>
      <c r="T81" s="26">
        <f t="shared" si="12"/>
        <v>51600</v>
      </c>
      <c r="U81" s="26">
        <v>76</v>
      </c>
      <c r="V81" s="26"/>
    </row>
    <row r="82" spans="1:23">
      <c r="A82" s="22">
        <v>43199</v>
      </c>
      <c r="B82" s="34" t="s">
        <v>59</v>
      </c>
      <c r="C82" s="45" t="s">
        <v>60</v>
      </c>
      <c r="D82" s="34" t="s">
        <v>133</v>
      </c>
      <c r="E82" s="30">
        <v>0.3</v>
      </c>
      <c r="F82" s="29">
        <v>720</v>
      </c>
      <c r="G82" s="29">
        <v>137</v>
      </c>
      <c r="H82" s="29">
        <v>0</v>
      </c>
      <c r="I82" s="29">
        <v>121</v>
      </c>
      <c r="J82" s="29">
        <v>0</v>
      </c>
      <c r="K82" s="29">
        <v>134</v>
      </c>
      <c r="L82" s="29">
        <v>0</v>
      </c>
      <c r="M82" s="72">
        <f t="shared" si="14"/>
        <v>137</v>
      </c>
      <c r="N82" s="72">
        <f t="shared" si="15"/>
        <v>121</v>
      </c>
      <c r="O82" s="72">
        <f t="shared" si="16"/>
        <v>134</v>
      </c>
      <c r="P82" s="26">
        <f t="shared" si="17"/>
        <v>435.55555555555554</v>
      </c>
      <c r="Q82" s="31">
        <f t="shared" si="11"/>
        <v>313600</v>
      </c>
      <c r="R82" s="24">
        <f t="shared" si="13"/>
        <v>1.8367346938775511</v>
      </c>
      <c r="S82" s="27"/>
      <c r="T82" s="26">
        <f t="shared" si="12"/>
        <v>311200</v>
      </c>
      <c r="U82" s="26">
        <v>77</v>
      </c>
      <c r="V82" s="26"/>
    </row>
    <row r="83" spans="1:23">
      <c r="A83" s="22">
        <v>43199</v>
      </c>
      <c r="B83" s="33" t="s">
        <v>83</v>
      </c>
      <c r="C83" s="44" t="s">
        <v>114</v>
      </c>
      <c r="D83" s="33" t="s">
        <v>131</v>
      </c>
      <c r="E83" s="30">
        <v>0.3</v>
      </c>
      <c r="F83" s="29">
        <v>745</v>
      </c>
      <c r="G83" s="29">
        <v>103</v>
      </c>
      <c r="H83" s="29">
        <v>0</v>
      </c>
      <c r="I83" s="29">
        <v>94</v>
      </c>
      <c r="J83" s="29">
        <v>1</v>
      </c>
      <c r="K83" s="29">
        <v>103</v>
      </c>
      <c r="L83" s="29">
        <v>0</v>
      </c>
      <c r="M83" s="72">
        <f t="shared" si="14"/>
        <v>103</v>
      </c>
      <c r="N83" s="72">
        <f t="shared" si="15"/>
        <v>95</v>
      </c>
      <c r="O83" s="72">
        <f t="shared" si="16"/>
        <v>103</v>
      </c>
      <c r="P83" s="26">
        <f t="shared" si="17"/>
        <v>333.33333333333337</v>
      </c>
      <c r="Q83" s="31">
        <f t="shared" si="11"/>
        <v>248333.33333333337</v>
      </c>
      <c r="R83" s="24">
        <f t="shared" si="13"/>
        <v>2.4</v>
      </c>
      <c r="S83" s="27"/>
      <c r="T83" s="26">
        <f t="shared" si="12"/>
        <v>245933.33333333337</v>
      </c>
      <c r="U83" s="26">
        <v>78</v>
      </c>
      <c r="V83" s="26"/>
    </row>
    <row r="84" spans="1:23">
      <c r="A84" s="22">
        <v>43199</v>
      </c>
      <c r="B84" s="33" t="s">
        <v>59</v>
      </c>
      <c r="C84" s="44" t="s">
        <v>70</v>
      </c>
      <c r="D84" s="33" t="s">
        <v>53</v>
      </c>
      <c r="E84" s="30">
        <v>0.5</v>
      </c>
      <c r="F84" s="29">
        <v>450</v>
      </c>
      <c r="G84" s="29">
        <v>38</v>
      </c>
      <c r="H84" s="29">
        <v>0</v>
      </c>
      <c r="I84" s="29">
        <v>32</v>
      </c>
      <c r="J84" s="29">
        <v>0</v>
      </c>
      <c r="K84" s="29">
        <v>34</v>
      </c>
      <c r="L84" s="29">
        <v>0</v>
      </c>
      <c r="M84" s="72">
        <f t="shared" si="14"/>
        <v>38</v>
      </c>
      <c r="N84" s="72">
        <f t="shared" si="15"/>
        <v>32</v>
      </c>
      <c r="O84" s="72">
        <f t="shared" si="16"/>
        <v>34</v>
      </c>
      <c r="P84" s="26">
        <f t="shared" si="17"/>
        <v>69.333333333333329</v>
      </c>
      <c r="Q84" s="31">
        <f t="shared" si="11"/>
        <v>31199.999999999996</v>
      </c>
      <c r="R84" s="24">
        <f t="shared" si="13"/>
        <v>11.53846153846154</v>
      </c>
      <c r="S84" s="27"/>
      <c r="T84" s="26">
        <f t="shared" si="12"/>
        <v>28799.999999999996</v>
      </c>
      <c r="U84" s="26">
        <v>79</v>
      </c>
      <c r="V84" s="26"/>
    </row>
    <row r="85" spans="1:23">
      <c r="A85" s="22">
        <v>43199</v>
      </c>
      <c r="B85" s="34" t="s">
        <v>37</v>
      </c>
      <c r="C85" s="45" t="s">
        <v>39</v>
      </c>
      <c r="D85" s="34" t="s">
        <v>53</v>
      </c>
      <c r="E85" s="30">
        <v>0.4</v>
      </c>
      <c r="F85" s="29">
        <v>500</v>
      </c>
      <c r="G85" s="29">
        <v>78</v>
      </c>
      <c r="H85" s="29">
        <v>0</v>
      </c>
      <c r="I85" s="29">
        <v>59</v>
      </c>
      <c r="J85" s="29">
        <v>0</v>
      </c>
      <c r="K85" s="29">
        <v>66</v>
      </c>
      <c r="L85" s="29">
        <v>0</v>
      </c>
      <c r="M85" s="72">
        <f t="shared" si="14"/>
        <v>78</v>
      </c>
      <c r="N85" s="72">
        <f t="shared" si="15"/>
        <v>59</v>
      </c>
      <c r="O85" s="72">
        <f t="shared" si="16"/>
        <v>66</v>
      </c>
      <c r="P85" s="26">
        <f t="shared" si="17"/>
        <v>169.16666666666666</v>
      </c>
      <c r="Q85" s="31">
        <f t="shared" si="11"/>
        <v>84583.333333333328</v>
      </c>
      <c r="R85" s="24">
        <f t="shared" si="13"/>
        <v>4.7290640394088674</v>
      </c>
      <c r="S85" s="27"/>
      <c r="T85" s="26">
        <f t="shared" si="12"/>
        <v>82183.333333333328</v>
      </c>
      <c r="U85" s="26">
        <v>80</v>
      </c>
      <c r="V85" s="26"/>
    </row>
    <row r="86" spans="1:23">
      <c r="A86" s="22">
        <v>43199</v>
      </c>
      <c r="B86" s="34" t="s">
        <v>36</v>
      </c>
      <c r="C86" s="45" t="s">
        <v>42</v>
      </c>
      <c r="D86" s="34" t="s">
        <v>51</v>
      </c>
      <c r="E86" s="30">
        <v>0.3</v>
      </c>
      <c r="F86" s="29">
        <v>620</v>
      </c>
      <c r="G86" s="29">
        <v>129</v>
      </c>
      <c r="H86" s="29">
        <v>1</v>
      </c>
      <c r="I86" s="29">
        <v>121</v>
      </c>
      <c r="J86" s="29">
        <v>1</v>
      </c>
      <c r="K86" s="29">
        <v>121</v>
      </c>
      <c r="L86" s="29">
        <v>0</v>
      </c>
      <c r="M86" s="72">
        <f t="shared" si="14"/>
        <v>130</v>
      </c>
      <c r="N86" s="72">
        <f t="shared" si="15"/>
        <v>122</v>
      </c>
      <c r="O86" s="72">
        <f t="shared" si="16"/>
        <v>121</v>
      </c>
      <c r="P86" s="26">
        <f>AVERAGE(G86,I86,K86)/E86</f>
        <v>412.22222222222223</v>
      </c>
      <c r="Q86" s="31">
        <f t="shared" si="11"/>
        <v>255577.77777777778</v>
      </c>
      <c r="R86" s="24">
        <f t="shared" si="13"/>
        <v>1.940700808625337</v>
      </c>
      <c r="S86" s="27"/>
      <c r="T86" s="26">
        <f t="shared" si="12"/>
        <v>253177.77777777778</v>
      </c>
      <c r="U86" s="26">
        <v>81</v>
      </c>
      <c r="V86" s="26"/>
    </row>
    <row r="87" spans="1:23">
      <c r="A87" s="22">
        <v>43199</v>
      </c>
      <c r="B87" s="34" t="s">
        <v>84</v>
      </c>
      <c r="C87" s="45" t="s">
        <v>96</v>
      </c>
      <c r="D87" s="34" t="s">
        <v>100</v>
      </c>
      <c r="E87" s="30">
        <v>0.3</v>
      </c>
      <c r="F87" s="29">
        <v>670</v>
      </c>
      <c r="G87" s="29">
        <v>120</v>
      </c>
      <c r="H87" s="29">
        <v>0</v>
      </c>
      <c r="I87" s="29">
        <v>95</v>
      </c>
      <c r="J87" s="29">
        <v>0</v>
      </c>
      <c r="K87" s="29">
        <v>127</v>
      </c>
      <c r="L87" s="29">
        <v>0</v>
      </c>
      <c r="M87" s="72">
        <f t="shared" si="14"/>
        <v>120</v>
      </c>
      <c r="N87" s="72">
        <f t="shared" si="15"/>
        <v>95</v>
      </c>
      <c r="O87" s="72">
        <f t="shared" si="16"/>
        <v>127</v>
      </c>
      <c r="P87" s="26">
        <f t="shared" si="17"/>
        <v>380</v>
      </c>
      <c r="Q87" s="31">
        <f t="shared" si="11"/>
        <v>254600</v>
      </c>
      <c r="R87" s="24">
        <f t="shared" si="13"/>
        <v>2.1052631578947367</v>
      </c>
      <c r="S87" s="27"/>
      <c r="T87" s="26">
        <f t="shared" si="12"/>
        <v>252200</v>
      </c>
      <c r="U87" s="26">
        <v>82</v>
      </c>
      <c r="V87" s="26"/>
    </row>
    <row r="88" spans="1:23">
      <c r="A88" s="22">
        <v>43199</v>
      </c>
      <c r="B88" s="34" t="s">
        <v>61</v>
      </c>
      <c r="C88" s="45" t="s">
        <v>66</v>
      </c>
      <c r="D88" s="34" t="s">
        <v>71</v>
      </c>
      <c r="E88" s="30">
        <v>0.2</v>
      </c>
      <c r="F88" s="29">
        <v>840</v>
      </c>
      <c r="G88" s="29">
        <v>165</v>
      </c>
      <c r="H88" s="29">
        <v>0</v>
      </c>
      <c r="I88" s="29">
        <v>158</v>
      </c>
      <c r="J88" s="29">
        <v>0</v>
      </c>
      <c r="K88" s="29">
        <v>158</v>
      </c>
      <c r="L88" s="29">
        <v>0</v>
      </c>
      <c r="M88" s="72">
        <f t="shared" si="14"/>
        <v>165</v>
      </c>
      <c r="N88" s="72">
        <f t="shared" si="15"/>
        <v>158</v>
      </c>
      <c r="O88" s="72">
        <f t="shared" si="16"/>
        <v>158</v>
      </c>
      <c r="P88" s="26">
        <f t="shared" ref="P88:P96" si="18">AVERAGE(G88,I88,K88)/E88</f>
        <v>801.66666666666663</v>
      </c>
      <c r="Q88" s="31">
        <f t="shared" si="11"/>
        <v>673400</v>
      </c>
      <c r="R88" s="24">
        <f t="shared" si="13"/>
        <v>0.99792099792099798</v>
      </c>
      <c r="S88" s="27"/>
      <c r="T88" s="26">
        <f t="shared" si="12"/>
        <v>671000</v>
      </c>
      <c r="U88" s="26">
        <v>83</v>
      </c>
      <c r="V88" s="26"/>
    </row>
    <row r="89" spans="1:23" s="68" customFormat="1">
      <c r="A89" s="87">
        <v>43200</v>
      </c>
      <c r="B89" s="87" t="s">
        <v>61</v>
      </c>
      <c r="C89" s="88" t="s">
        <v>66</v>
      </c>
      <c r="D89" s="87" t="s">
        <v>53</v>
      </c>
      <c r="E89" s="81">
        <v>0.3</v>
      </c>
      <c r="F89" s="68">
        <v>600</v>
      </c>
      <c r="G89" s="68">
        <v>149</v>
      </c>
      <c r="H89" s="68">
        <v>0</v>
      </c>
      <c r="I89" s="68">
        <v>180</v>
      </c>
      <c r="J89" s="68">
        <v>1</v>
      </c>
      <c r="K89" s="68">
        <v>165</v>
      </c>
      <c r="L89" s="68">
        <v>0</v>
      </c>
      <c r="M89" s="68">
        <f t="shared" si="14"/>
        <v>149</v>
      </c>
      <c r="N89" s="68">
        <f t="shared" si="15"/>
        <v>181</v>
      </c>
      <c r="O89" s="68">
        <f t="shared" si="16"/>
        <v>165</v>
      </c>
      <c r="P89" s="78">
        <f t="shared" si="18"/>
        <v>548.88888888888891</v>
      </c>
      <c r="Q89" s="82">
        <f t="shared" si="11"/>
        <v>329333.33333333337</v>
      </c>
      <c r="R89" s="77">
        <f t="shared" si="13"/>
        <v>1.4574898785425101</v>
      </c>
      <c r="S89" s="80"/>
      <c r="T89" s="78">
        <f t="shared" si="12"/>
        <v>326933.33333333337</v>
      </c>
      <c r="U89" s="78">
        <v>84</v>
      </c>
      <c r="V89" s="78">
        <v>1</v>
      </c>
      <c r="W89" s="83"/>
    </row>
    <row r="90" spans="1:23" s="68" customFormat="1">
      <c r="A90" s="87">
        <v>43200</v>
      </c>
      <c r="B90" s="87" t="s">
        <v>37</v>
      </c>
      <c r="C90" s="88" t="s">
        <v>39</v>
      </c>
      <c r="D90" s="87" t="s">
        <v>53</v>
      </c>
      <c r="E90" s="81">
        <v>0.7</v>
      </c>
      <c r="F90" s="68">
        <v>400</v>
      </c>
      <c r="G90" s="68">
        <v>22</v>
      </c>
      <c r="H90" s="68">
        <v>0</v>
      </c>
      <c r="I90" s="68">
        <v>27</v>
      </c>
      <c r="J90" s="68">
        <v>0</v>
      </c>
      <c r="K90" s="68">
        <v>19</v>
      </c>
      <c r="L90" s="68">
        <v>0</v>
      </c>
      <c r="M90" s="68">
        <f t="shared" si="14"/>
        <v>22</v>
      </c>
      <c r="N90" s="68">
        <f t="shared" si="15"/>
        <v>27</v>
      </c>
      <c r="O90" s="68">
        <f t="shared" si="16"/>
        <v>19</v>
      </c>
      <c r="P90" s="78">
        <f t="shared" si="18"/>
        <v>32.380952380952387</v>
      </c>
      <c r="Q90" s="82">
        <f t="shared" si="11"/>
        <v>12952.380952380954</v>
      </c>
      <c r="R90" s="77">
        <f t="shared" si="13"/>
        <v>24.70588235294117</v>
      </c>
      <c r="S90" s="80"/>
      <c r="T90" s="78">
        <f t="shared" si="12"/>
        <v>10552.380952380954</v>
      </c>
      <c r="U90" s="78" t="s">
        <v>20</v>
      </c>
      <c r="V90" s="78" t="s">
        <v>20</v>
      </c>
      <c r="W90" s="83"/>
    </row>
    <row r="91" spans="1:23" s="68" customFormat="1">
      <c r="A91" s="87">
        <v>43200</v>
      </c>
      <c r="B91" s="87" t="s">
        <v>84</v>
      </c>
      <c r="C91" s="88" t="s">
        <v>96</v>
      </c>
      <c r="D91" s="87" t="s">
        <v>53</v>
      </c>
      <c r="E91" s="81">
        <v>0.4</v>
      </c>
      <c r="F91" s="68">
        <v>530</v>
      </c>
      <c r="G91" s="68">
        <v>114</v>
      </c>
      <c r="H91" s="68">
        <v>0</v>
      </c>
      <c r="I91" s="68">
        <v>125</v>
      </c>
      <c r="J91" s="68">
        <v>0</v>
      </c>
      <c r="K91" s="68">
        <v>105</v>
      </c>
      <c r="L91" s="68">
        <v>0</v>
      </c>
      <c r="M91" s="68">
        <f t="shared" si="14"/>
        <v>114</v>
      </c>
      <c r="N91" s="68">
        <f t="shared" si="15"/>
        <v>125</v>
      </c>
      <c r="O91" s="68">
        <f t="shared" si="16"/>
        <v>105</v>
      </c>
      <c r="P91" s="78">
        <f t="shared" si="18"/>
        <v>286.66666666666669</v>
      </c>
      <c r="Q91" s="82">
        <f t="shared" si="11"/>
        <v>151933.33333333334</v>
      </c>
      <c r="R91" s="77">
        <f t="shared" si="13"/>
        <v>2.7906976744186043</v>
      </c>
      <c r="S91" s="80"/>
      <c r="T91" s="78">
        <f t="shared" si="12"/>
        <v>149533.33333333334</v>
      </c>
      <c r="U91" s="78">
        <v>85</v>
      </c>
      <c r="V91" s="78">
        <v>1</v>
      </c>
      <c r="W91" s="83"/>
    </row>
    <row r="92" spans="1:23" s="68" customFormat="1">
      <c r="A92" s="87">
        <v>43200</v>
      </c>
      <c r="B92" s="87" t="s">
        <v>83</v>
      </c>
      <c r="C92" s="88" t="s">
        <v>114</v>
      </c>
      <c r="D92" s="87" t="s">
        <v>53</v>
      </c>
      <c r="E92" s="81">
        <v>0.3</v>
      </c>
      <c r="F92" s="68">
        <v>745</v>
      </c>
      <c r="G92" s="68">
        <v>129</v>
      </c>
      <c r="H92" s="68">
        <v>0</v>
      </c>
      <c r="I92" s="68">
        <v>119</v>
      </c>
      <c r="J92" s="68">
        <v>0</v>
      </c>
      <c r="K92" s="68">
        <v>140</v>
      </c>
      <c r="L92" s="68">
        <v>0</v>
      </c>
      <c r="M92" s="68">
        <f t="shared" si="14"/>
        <v>129</v>
      </c>
      <c r="N92" s="68">
        <f t="shared" si="15"/>
        <v>119</v>
      </c>
      <c r="O92" s="68">
        <f t="shared" si="16"/>
        <v>140</v>
      </c>
      <c r="P92" s="78">
        <f t="shared" si="18"/>
        <v>431.11111111111114</v>
      </c>
      <c r="Q92" s="82">
        <f t="shared" si="11"/>
        <v>321177.77777777781</v>
      </c>
      <c r="R92" s="77">
        <f t="shared" si="13"/>
        <v>1.8556701030927834</v>
      </c>
      <c r="S92" s="80"/>
      <c r="T92" s="78">
        <f t="shared" si="12"/>
        <v>318777.77777777781</v>
      </c>
      <c r="U92" s="78">
        <v>86</v>
      </c>
      <c r="V92" s="78">
        <v>1</v>
      </c>
      <c r="W92" s="83"/>
    </row>
    <row r="93" spans="1:23" s="68" customFormat="1">
      <c r="A93" s="87">
        <v>43200</v>
      </c>
      <c r="B93" s="87" t="s">
        <v>59</v>
      </c>
      <c r="C93" s="88" t="s">
        <v>60</v>
      </c>
      <c r="D93" s="87" t="s">
        <v>53</v>
      </c>
      <c r="E93" s="81">
        <v>0.1</v>
      </c>
      <c r="F93" s="68">
        <v>860</v>
      </c>
      <c r="G93" s="68">
        <v>100</v>
      </c>
      <c r="H93" s="68">
        <v>0</v>
      </c>
      <c r="I93" s="68">
        <v>104</v>
      </c>
      <c r="J93" s="68">
        <v>0</v>
      </c>
      <c r="K93" s="68">
        <v>109</v>
      </c>
      <c r="L93" s="68">
        <v>1</v>
      </c>
      <c r="M93" s="68">
        <f t="shared" si="14"/>
        <v>100</v>
      </c>
      <c r="N93" s="68">
        <f t="shared" si="15"/>
        <v>104</v>
      </c>
      <c r="O93" s="68">
        <f t="shared" si="16"/>
        <v>110</v>
      </c>
      <c r="P93" s="78">
        <f t="shared" si="18"/>
        <v>1043.3333333333333</v>
      </c>
      <c r="Q93" s="82">
        <f t="shared" si="11"/>
        <v>897266.66666666663</v>
      </c>
      <c r="R93" s="77">
        <f t="shared" si="13"/>
        <v>0.7667731629392972</v>
      </c>
      <c r="S93" s="80"/>
      <c r="T93" s="78">
        <f t="shared" si="12"/>
        <v>894866.66666666663</v>
      </c>
      <c r="U93" s="78">
        <v>87</v>
      </c>
      <c r="V93" s="78">
        <v>2</v>
      </c>
      <c r="W93" s="83"/>
    </row>
    <row r="94" spans="1:23" s="68" customFormat="1">
      <c r="A94" s="87">
        <v>43200</v>
      </c>
      <c r="B94" s="87" t="s">
        <v>83</v>
      </c>
      <c r="C94" s="88" t="s">
        <v>95</v>
      </c>
      <c r="D94" s="87" t="s">
        <v>136</v>
      </c>
      <c r="E94" s="81">
        <v>0.15</v>
      </c>
      <c r="F94" s="68">
        <v>825</v>
      </c>
      <c r="G94" s="68">
        <v>102</v>
      </c>
      <c r="H94" s="68">
        <v>0</v>
      </c>
      <c r="I94" s="68">
        <v>130</v>
      </c>
      <c r="J94" s="68">
        <v>0</v>
      </c>
      <c r="K94" s="68">
        <v>102</v>
      </c>
      <c r="L94" s="68">
        <v>0</v>
      </c>
      <c r="M94" s="68">
        <f t="shared" si="14"/>
        <v>102</v>
      </c>
      <c r="N94" s="68">
        <f t="shared" si="15"/>
        <v>130</v>
      </c>
      <c r="O94" s="68">
        <f t="shared" si="16"/>
        <v>102</v>
      </c>
      <c r="P94" s="78">
        <f t="shared" si="18"/>
        <v>742.22222222222217</v>
      </c>
      <c r="Q94" s="82">
        <f t="shared" si="11"/>
        <v>612333.33333333326</v>
      </c>
      <c r="R94" s="77">
        <f t="shared" si="13"/>
        <v>1.0778443113772456</v>
      </c>
      <c r="S94" s="80"/>
      <c r="T94" s="78">
        <f t="shared" si="12"/>
        <v>609933.33333333326</v>
      </c>
      <c r="U94" s="78">
        <v>88</v>
      </c>
      <c r="V94" s="78">
        <v>2</v>
      </c>
      <c r="W94" s="83"/>
    </row>
    <row r="95" spans="1:23" s="68" customFormat="1">
      <c r="A95" s="87">
        <v>43200</v>
      </c>
      <c r="B95" s="87" t="s">
        <v>29</v>
      </c>
      <c r="C95" s="88" t="s">
        <v>120</v>
      </c>
      <c r="D95" s="87" t="s">
        <v>53</v>
      </c>
      <c r="E95" s="81">
        <v>0.5</v>
      </c>
      <c r="F95" s="68">
        <v>400</v>
      </c>
      <c r="G95" s="68">
        <v>45</v>
      </c>
      <c r="H95" s="68">
        <v>2</v>
      </c>
      <c r="I95" s="68">
        <v>46</v>
      </c>
      <c r="J95" s="68">
        <v>1</v>
      </c>
      <c r="K95" s="68">
        <v>36</v>
      </c>
      <c r="L95" s="68">
        <v>3</v>
      </c>
      <c r="M95" s="68">
        <f t="shared" si="14"/>
        <v>47</v>
      </c>
      <c r="N95" s="68">
        <f t="shared" si="15"/>
        <v>47</v>
      </c>
      <c r="O95" s="68">
        <f t="shared" si="16"/>
        <v>39</v>
      </c>
      <c r="P95" s="78">
        <f t="shared" si="18"/>
        <v>84.666666666666671</v>
      </c>
      <c r="Q95" s="82">
        <f t="shared" si="11"/>
        <v>33866.666666666672</v>
      </c>
      <c r="R95" s="77">
        <f t="shared" si="13"/>
        <v>9.4488188976377945</v>
      </c>
      <c r="S95" s="80"/>
      <c r="T95" s="78">
        <f t="shared" si="12"/>
        <v>31466.666666666672</v>
      </c>
      <c r="U95" s="78">
        <v>89</v>
      </c>
      <c r="V95" s="78">
        <v>1</v>
      </c>
      <c r="W95" s="83"/>
    </row>
    <row r="96" spans="1:23" s="68" customFormat="1">
      <c r="A96" s="87">
        <v>43200</v>
      </c>
      <c r="B96" s="87" t="s">
        <v>29</v>
      </c>
      <c r="C96" s="88" t="s">
        <v>62</v>
      </c>
      <c r="D96" s="87" t="s">
        <v>135</v>
      </c>
      <c r="E96" s="81">
        <v>0.1</v>
      </c>
      <c r="F96" s="68">
        <v>850</v>
      </c>
      <c r="G96" s="68">
        <v>75</v>
      </c>
      <c r="H96" s="68">
        <v>0</v>
      </c>
      <c r="I96" s="68">
        <v>93</v>
      </c>
      <c r="J96" s="68">
        <v>0</v>
      </c>
      <c r="K96" s="68">
        <v>82</v>
      </c>
      <c r="L96" s="68">
        <v>0</v>
      </c>
      <c r="M96" s="68">
        <f t="shared" si="14"/>
        <v>75</v>
      </c>
      <c r="N96" s="68">
        <f t="shared" si="15"/>
        <v>93</v>
      </c>
      <c r="O96" s="68">
        <f t="shared" si="16"/>
        <v>82</v>
      </c>
      <c r="P96" s="78">
        <f t="shared" si="18"/>
        <v>833.33333333333326</v>
      </c>
      <c r="Q96" s="82">
        <f t="shared" si="11"/>
        <v>708333.33333333326</v>
      </c>
      <c r="R96" s="77">
        <f t="shared" si="13"/>
        <v>0.96000000000000008</v>
      </c>
      <c r="S96" s="80"/>
      <c r="T96" s="78">
        <f t="shared" si="12"/>
        <v>705933.33333333326</v>
      </c>
      <c r="U96" s="78">
        <v>90</v>
      </c>
      <c r="V96" s="78">
        <v>2</v>
      </c>
      <c r="W96" s="83"/>
    </row>
    <row r="97" spans="1:23" s="68" customFormat="1">
      <c r="A97" s="87">
        <v>43200</v>
      </c>
      <c r="B97" s="87" t="s">
        <v>28</v>
      </c>
      <c r="C97" s="88" t="s">
        <v>78</v>
      </c>
      <c r="D97" s="87" t="s">
        <v>134</v>
      </c>
      <c r="E97" s="81">
        <v>0.3</v>
      </c>
      <c r="F97" s="68">
        <v>650</v>
      </c>
      <c r="G97" s="68">
        <v>134</v>
      </c>
      <c r="H97" s="68">
        <v>0</v>
      </c>
      <c r="I97" s="68">
        <v>91</v>
      </c>
      <c r="J97" s="68">
        <v>1</v>
      </c>
      <c r="K97" s="68">
        <v>93</v>
      </c>
      <c r="L97" s="68">
        <v>0</v>
      </c>
      <c r="M97" s="68">
        <f t="shared" si="14"/>
        <v>134</v>
      </c>
      <c r="N97" s="68">
        <f t="shared" si="15"/>
        <v>92</v>
      </c>
      <c r="O97" s="68">
        <f t="shared" si="16"/>
        <v>93</v>
      </c>
      <c r="P97" s="78">
        <f t="shared" si="17"/>
        <v>353.33333333333337</v>
      </c>
      <c r="Q97" s="82">
        <f t="shared" si="11"/>
        <v>229666.66666666669</v>
      </c>
      <c r="R97" s="77">
        <f t="shared" si="13"/>
        <v>2.2641509433962264</v>
      </c>
      <c r="S97" s="80"/>
      <c r="T97" s="78">
        <f t="shared" si="12"/>
        <v>227266.66666666669</v>
      </c>
      <c r="U97" s="78">
        <v>91</v>
      </c>
      <c r="V97" s="78">
        <v>1</v>
      </c>
      <c r="W97" s="83"/>
    </row>
    <row r="98" spans="1:23">
      <c r="A98" s="34">
        <v>43201</v>
      </c>
      <c r="B98" s="34" t="s">
        <v>59</v>
      </c>
      <c r="C98" s="45" t="s">
        <v>60</v>
      </c>
      <c r="D98" s="34" t="s">
        <v>53</v>
      </c>
      <c r="E98" s="30">
        <v>0.5</v>
      </c>
      <c r="F98" s="29">
        <v>500</v>
      </c>
      <c r="G98" s="29">
        <v>69</v>
      </c>
      <c r="H98" s="29">
        <v>0</v>
      </c>
      <c r="I98" s="29">
        <v>93</v>
      </c>
      <c r="J98" s="29">
        <v>0</v>
      </c>
      <c r="K98" s="29">
        <v>71</v>
      </c>
      <c r="L98" s="29">
        <v>0</v>
      </c>
      <c r="M98" s="72">
        <f t="shared" si="14"/>
        <v>69</v>
      </c>
      <c r="N98" s="72">
        <f t="shared" si="15"/>
        <v>93</v>
      </c>
      <c r="O98" s="72">
        <f t="shared" si="16"/>
        <v>71</v>
      </c>
      <c r="P98" s="78">
        <f t="shared" si="17"/>
        <v>155.33333333333334</v>
      </c>
      <c r="Q98" s="31">
        <f t="shared" si="11"/>
        <v>77666.666666666672</v>
      </c>
      <c r="R98" s="24">
        <f t="shared" si="13"/>
        <v>5.1502145922746774</v>
      </c>
      <c r="S98" s="27"/>
      <c r="T98" s="26">
        <f t="shared" si="12"/>
        <v>75266.666666666672</v>
      </c>
      <c r="U98" s="26">
        <v>92</v>
      </c>
      <c r="V98" s="26"/>
    </row>
    <row r="99" spans="1:23">
      <c r="A99" s="34">
        <v>43201</v>
      </c>
      <c r="B99" s="34" t="s">
        <v>36</v>
      </c>
      <c r="C99" s="45" t="s">
        <v>42</v>
      </c>
      <c r="D99" s="34" t="s">
        <v>53</v>
      </c>
      <c r="E99" s="30">
        <v>0.5</v>
      </c>
      <c r="F99" s="29">
        <v>630</v>
      </c>
      <c r="G99" s="29">
        <v>91</v>
      </c>
      <c r="H99" s="29">
        <v>1</v>
      </c>
      <c r="I99" s="29">
        <v>95</v>
      </c>
      <c r="J99" s="29">
        <v>1</v>
      </c>
      <c r="K99" s="29">
        <v>80</v>
      </c>
      <c r="L99" s="29">
        <v>1</v>
      </c>
      <c r="M99" s="72">
        <f t="shared" si="14"/>
        <v>92</v>
      </c>
      <c r="N99" s="72">
        <f t="shared" si="15"/>
        <v>96</v>
      </c>
      <c r="O99" s="72">
        <f t="shared" si="16"/>
        <v>81</v>
      </c>
      <c r="P99" s="78">
        <f t="shared" si="17"/>
        <v>177.33333333333334</v>
      </c>
      <c r="Q99" s="31">
        <f t="shared" si="11"/>
        <v>111720</v>
      </c>
      <c r="R99" s="24">
        <f t="shared" si="13"/>
        <v>4.511278195488722</v>
      </c>
      <c r="S99" s="27"/>
      <c r="T99" s="26">
        <f t="shared" ref="T99:T129" si="19">Q99-(R99*P99*3)</f>
        <v>109320</v>
      </c>
      <c r="U99" s="26">
        <v>93</v>
      </c>
      <c r="V99" s="26"/>
    </row>
    <row r="100" spans="1:23">
      <c r="A100" s="34">
        <v>43201</v>
      </c>
      <c r="B100" s="34" t="s">
        <v>36</v>
      </c>
      <c r="C100" s="45" t="s">
        <v>38</v>
      </c>
      <c r="D100" s="34" t="s">
        <v>52</v>
      </c>
      <c r="E100" s="30">
        <v>0.5</v>
      </c>
      <c r="F100" s="29">
        <v>600</v>
      </c>
      <c r="G100" s="29">
        <v>140</v>
      </c>
      <c r="H100" s="29">
        <v>1</v>
      </c>
      <c r="I100" s="29">
        <v>121</v>
      </c>
      <c r="J100" s="29">
        <v>0</v>
      </c>
      <c r="K100" s="29">
        <v>118</v>
      </c>
      <c r="L100" s="29">
        <v>0</v>
      </c>
      <c r="M100" s="72">
        <f t="shared" si="14"/>
        <v>141</v>
      </c>
      <c r="N100" s="72">
        <f t="shared" si="15"/>
        <v>121</v>
      </c>
      <c r="O100" s="72">
        <f t="shared" si="16"/>
        <v>118</v>
      </c>
      <c r="P100" s="78">
        <f>AVERAGE(G100,I100,K100)/E100</f>
        <v>252.66666666666666</v>
      </c>
      <c r="Q100" s="31">
        <f t="shared" si="11"/>
        <v>151600</v>
      </c>
      <c r="R100" s="24">
        <f t="shared" si="13"/>
        <v>3.1662269129287601</v>
      </c>
      <c r="S100" s="27"/>
      <c r="T100" s="26">
        <f t="shared" si="19"/>
        <v>149200</v>
      </c>
      <c r="U100" s="26">
        <v>94</v>
      </c>
      <c r="V100" s="26"/>
    </row>
    <row r="101" spans="1:23" s="68" customFormat="1">
      <c r="A101" s="87">
        <v>43202</v>
      </c>
      <c r="B101" s="87" t="s">
        <v>61</v>
      </c>
      <c r="C101" s="88" t="s">
        <v>66</v>
      </c>
      <c r="D101" s="87" t="s">
        <v>53</v>
      </c>
      <c r="E101" s="81">
        <v>0.6</v>
      </c>
      <c r="F101" s="68">
        <v>500</v>
      </c>
      <c r="G101" s="68">
        <v>27</v>
      </c>
      <c r="H101" s="68">
        <v>1</v>
      </c>
      <c r="I101" s="68">
        <v>16</v>
      </c>
      <c r="J101" s="68">
        <v>0</v>
      </c>
      <c r="K101" s="68">
        <v>25</v>
      </c>
      <c r="L101" s="68">
        <v>1</v>
      </c>
      <c r="M101" s="68">
        <f t="shared" si="14"/>
        <v>28</v>
      </c>
      <c r="N101" s="68">
        <f t="shared" si="15"/>
        <v>16</v>
      </c>
      <c r="O101" s="68">
        <f t="shared" si="16"/>
        <v>26</v>
      </c>
      <c r="P101" s="78">
        <f t="shared" si="17"/>
        <v>37.777777777777779</v>
      </c>
      <c r="Q101" s="82">
        <f t="shared" si="11"/>
        <v>18888.888888888891</v>
      </c>
      <c r="R101" s="77">
        <f t="shared" si="13"/>
        <v>21.176470588235293</v>
      </c>
      <c r="S101" s="80"/>
      <c r="T101" s="78">
        <f t="shared" si="19"/>
        <v>16488.888888888891</v>
      </c>
      <c r="U101" s="78">
        <v>95</v>
      </c>
      <c r="V101" s="78"/>
      <c r="W101" s="83"/>
    </row>
    <row r="102" spans="1:23" s="68" customFormat="1">
      <c r="A102" s="87">
        <v>43202</v>
      </c>
      <c r="B102" s="87" t="s">
        <v>36</v>
      </c>
      <c r="C102" s="88" t="s">
        <v>38</v>
      </c>
      <c r="D102" s="87" t="s">
        <v>53</v>
      </c>
      <c r="E102" s="81">
        <v>0.1</v>
      </c>
      <c r="F102" s="68">
        <v>940</v>
      </c>
      <c r="G102" s="68">
        <v>89</v>
      </c>
      <c r="H102" s="68">
        <v>0</v>
      </c>
      <c r="I102" s="68">
        <v>113</v>
      </c>
      <c r="J102" s="68">
        <v>0</v>
      </c>
      <c r="K102" s="68">
        <v>93</v>
      </c>
      <c r="L102" s="68">
        <v>0</v>
      </c>
      <c r="M102" s="68">
        <f t="shared" si="14"/>
        <v>89</v>
      </c>
      <c r="N102" s="68">
        <f t="shared" si="15"/>
        <v>113</v>
      </c>
      <c r="O102" s="68">
        <f t="shared" si="16"/>
        <v>93</v>
      </c>
      <c r="P102" s="78">
        <f t="shared" si="17"/>
        <v>983.33333333333326</v>
      </c>
      <c r="Q102" s="82">
        <f t="shared" si="11"/>
        <v>924333.33333333326</v>
      </c>
      <c r="R102" s="77">
        <f t="shared" si="13"/>
        <v>0.81355932203389836</v>
      </c>
      <c r="S102" s="80"/>
      <c r="T102" s="78">
        <f t="shared" si="19"/>
        <v>921933.33333333326</v>
      </c>
      <c r="U102" s="78">
        <v>96</v>
      </c>
      <c r="V102" s="78"/>
      <c r="W102" s="83"/>
    </row>
    <row r="103" spans="1:23" s="68" customFormat="1">
      <c r="A103" s="87">
        <v>43202</v>
      </c>
      <c r="B103" s="87" t="s">
        <v>28</v>
      </c>
      <c r="C103" s="88" t="s">
        <v>78</v>
      </c>
      <c r="D103" s="87" t="s">
        <v>53</v>
      </c>
      <c r="E103" s="81">
        <v>0.4</v>
      </c>
      <c r="F103" s="68">
        <v>580</v>
      </c>
      <c r="G103" s="68">
        <v>87</v>
      </c>
      <c r="H103" s="68">
        <v>0</v>
      </c>
      <c r="I103" s="68">
        <v>76</v>
      </c>
      <c r="J103" s="68">
        <v>1</v>
      </c>
      <c r="K103" s="68">
        <v>67</v>
      </c>
      <c r="L103" s="68">
        <v>0</v>
      </c>
      <c r="M103" s="68">
        <f t="shared" si="14"/>
        <v>87</v>
      </c>
      <c r="N103" s="68">
        <f t="shared" si="15"/>
        <v>77</v>
      </c>
      <c r="O103" s="68">
        <f t="shared" si="16"/>
        <v>67</v>
      </c>
      <c r="P103" s="78">
        <f t="shared" si="17"/>
        <v>191.66666666666666</v>
      </c>
      <c r="Q103" s="82">
        <f t="shared" si="11"/>
        <v>111166.66666666666</v>
      </c>
      <c r="R103" s="77">
        <f t="shared" si="13"/>
        <v>4.1739130434782608</v>
      </c>
      <c r="S103" s="80"/>
      <c r="T103" s="78">
        <f t="shared" si="19"/>
        <v>108766.66666666666</v>
      </c>
      <c r="U103" s="78">
        <v>97</v>
      </c>
      <c r="V103" s="78"/>
      <c r="W103" s="83"/>
    </row>
    <row r="104" spans="1:23" s="68" customFormat="1">
      <c r="A104" s="87">
        <v>43202</v>
      </c>
      <c r="B104" s="87" t="s">
        <v>29</v>
      </c>
      <c r="C104" s="88" t="s">
        <v>120</v>
      </c>
      <c r="D104" s="87" t="s">
        <v>148</v>
      </c>
      <c r="E104" s="81">
        <v>0.3</v>
      </c>
      <c r="F104" s="68">
        <v>790</v>
      </c>
      <c r="G104" s="68">
        <v>75</v>
      </c>
      <c r="H104" s="68">
        <v>0</v>
      </c>
      <c r="I104" s="68">
        <v>83</v>
      </c>
      <c r="J104" s="68">
        <v>0</v>
      </c>
      <c r="K104" s="68">
        <v>81</v>
      </c>
      <c r="L104" s="68">
        <v>0</v>
      </c>
      <c r="M104" s="68">
        <f t="shared" si="14"/>
        <v>75</v>
      </c>
      <c r="N104" s="68">
        <f t="shared" si="15"/>
        <v>83</v>
      </c>
      <c r="O104" s="68">
        <f t="shared" si="16"/>
        <v>81</v>
      </c>
      <c r="P104" s="78">
        <f t="shared" si="17"/>
        <v>265.5555555555556</v>
      </c>
      <c r="Q104" s="82">
        <f t="shared" si="11"/>
        <v>209788.88888888893</v>
      </c>
      <c r="R104" s="77">
        <f t="shared" si="13"/>
        <v>3.0125523012552295</v>
      </c>
      <c r="S104" s="80"/>
      <c r="T104" s="78">
        <f t="shared" si="19"/>
        <v>207388.88888888893</v>
      </c>
      <c r="U104" s="78">
        <v>98</v>
      </c>
      <c r="V104" s="78"/>
      <c r="W104" s="83"/>
    </row>
    <row r="105" spans="1:23" s="68" customFormat="1">
      <c r="A105" s="87">
        <v>43202</v>
      </c>
      <c r="B105" s="87" t="s">
        <v>37</v>
      </c>
      <c r="C105" s="88" t="s">
        <v>39</v>
      </c>
      <c r="D105" s="87" t="s">
        <v>146</v>
      </c>
      <c r="E105" s="81">
        <v>0.3</v>
      </c>
      <c r="F105" s="68">
        <v>525</v>
      </c>
      <c r="G105" s="68">
        <v>81</v>
      </c>
      <c r="H105" s="68">
        <v>0</v>
      </c>
      <c r="I105" s="68">
        <v>97</v>
      </c>
      <c r="J105" s="68">
        <v>0</v>
      </c>
      <c r="K105" s="68">
        <v>88</v>
      </c>
      <c r="L105" s="68">
        <v>0</v>
      </c>
      <c r="M105" s="68">
        <f t="shared" si="14"/>
        <v>81</v>
      </c>
      <c r="N105" s="68">
        <f t="shared" si="15"/>
        <v>97</v>
      </c>
      <c r="O105" s="68">
        <f t="shared" si="16"/>
        <v>88</v>
      </c>
      <c r="P105" s="78">
        <f t="shared" si="17"/>
        <v>295.5555555555556</v>
      </c>
      <c r="Q105" s="82">
        <f t="shared" si="11"/>
        <v>155166.66666666669</v>
      </c>
      <c r="R105" s="77">
        <f t="shared" si="13"/>
        <v>2.7067669172932325</v>
      </c>
      <c r="S105" s="80"/>
      <c r="T105" s="78">
        <f t="shared" si="19"/>
        <v>152766.66666666669</v>
      </c>
      <c r="U105" s="78">
        <v>99</v>
      </c>
      <c r="V105" s="78"/>
      <c r="W105" s="83"/>
    </row>
    <row r="106" spans="1:23">
      <c r="A106" s="34">
        <v>43203</v>
      </c>
      <c r="B106" s="34" t="s">
        <v>83</v>
      </c>
      <c r="C106" s="45" t="s">
        <v>95</v>
      </c>
      <c r="D106" s="34" t="s">
        <v>166</v>
      </c>
      <c r="E106" s="30">
        <v>0.2</v>
      </c>
      <c r="F106" s="29">
        <v>850</v>
      </c>
      <c r="G106" s="29">
        <v>101</v>
      </c>
      <c r="H106" s="29">
        <v>0</v>
      </c>
      <c r="I106" s="29">
        <v>110</v>
      </c>
      <c r="J106" s="29">
        <v>0</v>
      </c>
      <c r="K106" s="29">
        <v>93</v>
      </c>
      <c r="L106" s="29">
        <v>0</v>
      </c>
      <c r="M106" s="72">
        <f t="shared" si="14"/>
        <v>101</v>
      </c>
      <c r="N106" s="72">
        <f t="shared" si="15"/>
        <v>110</v>
      </c>
      <c r="O106" s="72">
        <f t="shared" si="16"/>
        <v>93</v>
      </c>
      <c r="P106" s="26">
        <f t="shared" ref="P106:P112" si="20">AVERAGE(G106,I106,K106)/E106</f>
        <v>506.66666666666663</v>
      </c>
      <c r="Q106" s="31">
        <f t="shared" si="11"/>
        <v>430666.66666666663</v>
      </c>
      <c r="R106" s="24">
        <f t="shared" si="13"/>
        <v>1.5789473684210527</v>
      </c>
      <c r="S106" s="27"/>
      <c r="T106" s="26">
        <f t="shared" si="19"/>
        <v>428266.66666666663</v>
      </c>
      <c r="U106" s="26">
        <v>100</v>
      </c>
      <c r="V106" s="26"/>
    </row>
    <row r="107" spans="1:23">
      <c r="A107" s="34">
        <v>43203</v>
      </c>
      <c r="B107" s="34" t="s">
        <v>59</v>
      </c>
      <c r="C107" s="45" t="s">
        <v>60</v>
      </c>
      <c r="D107" s="34" t="s">
        <v>53</v>
      </c>
      <c r="E107" s="30">
        <v>0.4</v>
      </c>
      <c r="F107" s="29">
        <v>550</v>
      </c>
      <c r="G107" s="29">
        <v>74</v>
      </c>
      <c r="H107" s="29">
        <v>0</v>
      </c>
      <c r="I107" s="29">
        <v>76</v>
      </c>
      <c r="J107" s="29">
        <v>0</v>
      </c>
      <c r="K107" s="29">
        <v>61</v>
      </c>
      <c r="L107" s="29">
        <v>3</v>
      </c>
      <c r="M107" s="72">
        <f t="shared" si="14"/>
        <v>74</v>
      </c>
      <c r="N107" s="72">
        <f t="shared" si="15"/>
        <v>76</v>
      </c>
      <c r="O107" s="72">
        <f t="shared" si="16"/>
        <v>64</v>
      </c>
      <c r="P107" s="26">
        <f t="shared" si="20"/>
        <v>175.83333333333331</v>
      </c>
      <c r="Q107" s="31">
        <f t="shared" si="11"/>
        <v>96708.333333333328</v>
      </c>
      <c r="R107" s="24">
        <f t="shared" si="13"/>
        <v>4.5497630331753562</v>
      </c>
      <c r="S107" s="27"/>
      <c r="T107" s="26">
        <f t="shared" si="19"/>
        <v>94308.333333333328</v>
      </c>
      <c r="U107" s="26">
        <v>101</v>
      </c>
      <c r="V107" s="26"/>
    </row>
    <row r="108" spans="1:23">
      <c r="A108" s="34">
        <v>43203</v>
      </c>
      <c r="B108" s="34" t="s">
        <v>59</v>
      </c>
      <c r="C108" s="45" t="s">
        <v>70</v>
      </c>
      <c r="D108" s="34" t="s">
        <v>111</v>
      </c>
      <c r="E108" s="30">
        <v>0.4</v>
      </c>
      <c r="F108" s="29">
        <v>560</v>
      </c>
      <c r="G108" s="29">
        <v>106</v>
      </c>
      <c r="H108" s="29">
        <v>0</v>
      </c>
      <c r="I108" s="29">
        <v>122</v>
      </c>
      <c r="J108" s="29">
        <v>0</v>
      </c>
      <c r="K108" s="29">
        <v>114</v>
      </c>
      <c r="L108" s="29">
        <v>0</v>
      </c>
      <c r="M108" s="72">
        <f t="shared" si="14"/>
        <v>106</v>
      </c>
      <c r="N108" s="72">
        <f t="shared" si="15"/>
        <v>122</v>
      </c>
      <c r="O108" s="72">
        <f t="shared" si="16"/>
        <v>114</v>
      </c>
      <c r="P108" s="26">
        <f t="shared" si="20"/>
        <v>285</v>
      </c>
      <c r="Q108" s="31">
        <f t="shared" si="11"/>
        <v>159600</v>
      </c>
      <c r="R108" s="24">
        <f t="shared" si="13"/>
        <v>2.807017543859649</v>
      </c>
      <c r="S108" s="27"/>
      <c r="T108" s="26">
        <f t="shared" si="19"/>
        <v>157200</v>
      </c>
      <c r="U108" s="26">
        <v>102</v>
      </c>
      <c r="V108" s="26"/>
    </row>
    <row r="109" spans="1:23">
      <c r="A109" s="34">
        <v>43203</v>
      </c>
      <c r="B109" s="34" t="s">
        <v>28</v>
      </c>
      <c r="C109" s="45" t="s">
        <v>69</v>
      </c>
      <c r="D109" s="34" t="s">
        <v>149</v>
      </c>
      <c r="E109" s="30">
        <v>0.2</v>
      </c>
      <c r="F109" s="29">
        <v>900</v>
      </c>
      <c r="G109" s="29">
        <v>108</v>
      </c>
      <c r="H109" s="29">
        <v>0</v>
      </c>
      <c r="I109" s="29">
        <v>136</v>
      </c>
      <c r="J109" s="29">
        <v>0</v>
      </c>
      <c r="K109" s="29">
        <v>106</v>
      </c>
      <c r="L109" s="29">
        <v>0</v>
      </c>
      <c r="M109" s="72">
        <f t="shared" si="14"/>
        <v>108</v>
      </c>
      <c r="N109" s="72">
        <f t="shared" si="15"/>
        <v>136</v>
      </c>
      <c r="O109" s="72">
        <f t="shared" si="16"/>
        <v>106</v>
      </c>
      <c r="P109" s="26">
        <f t="shared" si="20"/>
        <v>583.33333333333337</v>
      </c>
      <c r="Q109" s="31">
        <f t="shared" si="11"/>
        <v>525000</v>
      </c>
      <c r="R109" s="24">
        <f t="shared" si="13"/>
        <v>1.3714285714285714</v>
      </c>
      <c r="S109" s="27"/>
      <c r="T109" s="26">
        <f t="shared" si="19"/>
        <v>522600</v>
      </c>
      <c r="U109" s="26">
        <v>103</v>
      </c>
      <c r="V109" s="26"/>
    </row>
    <row r="110" spans="1:23">
      <c r="A110" s="34">
        <v>43203</v>
      </c>
      <c r="B110" s="34" t="s">
        <v>61</v>
      </c>
      <c r="C110" s="45" t="s">
        <v>67</v>
      </c>
      <c r="D110" s="34" t="s">
        <v>151</v>
      </c>
      <c r="E110" s="30">
        <v>0.3</v>
      </c>
      <c r="F110" s="29">
        <v>750</v>
      </c>
      <c r="G110" s="29">
        <v>91</v>
      </c>
      <c r="H110" s="29">
        <v>0</v>
      </c>
      <c r="I110" s="29">
        <v>111</v>
      </c>
      <c r="J110" s="29">
        <v>0</v>
      </c>
      <c r="K110" s="29">
        <v>104</v>
      </c>
      <c r="L110" s="29">
        <v>0</v>
      </c>
      <c r="M110" s="72">
        <f t="shared" si="14"/>
        <v>91</v>
      </c>
      <c r="N110" s="72">
        <f t="shared" si="15"/>
        <v>111</v>
      </c>
      <c r="O110" s="72">
        <f t="shared" si="16"/>
        <v>104</v>
      </c>
      <c r="P110" s="26">
        <f t="shared" si="20"/>
        <v>340</v>
      </c>
      <c r="Q110" s="31">
        <f t="shared" si="11"/>
        <v>255000</v>
      </c>
      <c r="R110" s="24">
        <f t="shared" si="13"/>
        <v>2.3529411764705883</v>
      </c>
      <c r="S110" s="27"/>
      <c r="T110" s="26">
        <f t="shared" si="19"/>
        <v>252600</v>
      </c>
      <c r="U110" s="26">
        <v>104</v>
      </c>
      <c r="V110" s="26"/>
    </row>
    <row r="111" spans="1:23">
      <c r="A111" s="34">
        <v>43203</v>
      </c>
      <c r="B111" s="34" t="s">
        <v>36</v>
      </c>
      <c r="C111" s="45" t="s">
        <v>38</v>
      </c>
      <c r="D111" s="34" t="s">
        <v>53</v>
      </c>
      <c r="E111" s="30">
        <v>0.4</v>
      </c>
      <c r="F111" s="29">
        <v>600</v>
      </c>
      <c r="G111" s="29">
        <v>153</v>
      </c>
      <c r="H111" s="29">
        <v>0</v>
      </c>
      <c r="I111" s="29">
        <v>139</v>
      </c>
      <c r="J111" s="29">
        <v>0</v>
      </c>
      <c r="K111" s="29">
        <v>161</v>
      </c>
      <c r="L111" s="29">
        <v>0</v>
      </c>
      <c r="M111" s="72">
        <f t="shared" si="14"/>
        <v>153</v>
      </c>
      <c r="N111" s="72">
        <f t="shared" si="15"/>
        <v>139</v>
      </c>
      <c r="O111" s="72">
        <f t="shared" si="16"/>
        <v>161</v>
      </c>
      <c r="P111" s="26">
        <f t="shared" si="20"/>
        <v>377.5</v>
      </c>
      <c r="Q111" s="31">
        <f t="shared" si="11"/>
        <v>226500</v>
      </c>
      <c r="R111" s="24">
        <f t="shared" si="13"/>
        <v>2.1192052980132452</v>
      </c>
      <c r="S111" s="27"/>
      <c r="T111" s="26">
        <f t="shared" si="19"/>
        <v>224100</v>
      </c>
      <c r="U111" s="26">
        <v>105</v>
      </c>
      <c r="V111" s="26"/>
    </row>
    <row r="112" spans="1:23">
      <c r="A112" s="34">
        <v>43203</v>
      </c>
      <c r="B112" s="22" t="s">
        <v>37</v>
      </c>
      <c r="C112" s="40" t="s">
        <v>39</v>
      </c>
      <c r="D112" s="34" t="s">
        <v>53</v>
      </c>
      <c r="E112" s="30">
        <v>0.4</v>
      </c>
      <c r="F112" s="29">
        <v>640</v>
      </c>
      <c r="G112" s="29">
        <v>156</v>
      </c>
      <c r="H112" s="29">
        <v>0</v>
      </c>
      <c r="I112" s="29">
        <v>185</v>
      </c>
      <c r="J112" s="29">
        <v>0</v>
      </c>
      <c r="K112" s="29">
        <v>172</v>
      </c>
      <c r="L112" s="29">
        <v>0</v>
      </c>
      <c r="M112" s="72">
        <f>G112+H112</f>
        <v>156</v>
      </c>
      <c r="N112" s="72">
        <f>I112+J112</f>
        <v>185</v>
      </c>
      <c r="O112" s="72">
        <f>K112+L112</f>
        <v>172</v>
      </c>
      <c r="P112" s="26">
        <f t="shared" si="20"/>
        <v>427.5</v>
      </c>
      <c r="Q112" s="31">
        <f t="shared" si="11"/>
        <v>273600</v>
      </c>
      <c r="R112" s="24">
        <f t="shared" si="13"/>
        <v>1.871345029239766</v>
      </c>
      <c r="S112" s="27"/>
      <c r="T112" s="26">
        <f t="shared" si="19"/>
        <v>271200</v>
      </c>
      <c r="U112" s="26">
        <v>106</v>
      </c>
      <c r="V112" s="26"/>
    </row>
    <row r="113" spans="1:23" s="68" customFormat="1">
      <c r="A113" s="75">
        <v>43204</v>
      </c>
      <c r="B113" s="75" t="s">
        <v>37</v>
      </c>
      <c r="C113" s="76" t="s">
        <v>39</v>
      </c>
      <c r="D113" s="87" t="s">
        <v>53</v>
      </c>
      <c r="E113" s="81">
        <v>0.15</v>
      </c>
      <c r="F113" s="68">
        <v>960</v>
      </c>
      <c r="G113" s="68">
        <v>171</v>
      </c>
      <c r="H113" s="68">
        <v>0</v>
      </c>
      <c r="I113" s="68">
        <v>176</v>
      </c>
      <c r="J113" s="68">
        <v>0</v>
      </c>
      <c r="K113" s="68">
        <v>146</v>
      </c>
      <c r="L113" s="68">
        <v>1</v>
      </c>
      <c r="M113" s="72">
        <f t="shared" ref="M113:M121" si="21">G113+H113</f>
        <v>171</v>
      </c>
      <c r="N113" s="72">
        <f t="shared" ref="N113:N121" si="22">I113+J113</f>
        <v>176</v>
      </c>
      <c r="O113" s="72">
        <f t="shared" ref="O113:O121" si="23">K113+L113</f>
        <v>147</v>
      </c>
      <c r="P113" s="78">
        <f t="shared" si="17"/>
        <v>1095.5555555555557</v>
      </c>
      <c r="Q113" s="82">
        <f t="shared" si="11"/>
        <v>1051733.3333333335</v>
      </c>
      <c r="R113" s="77">
        <f t="shared" si="13"/>
        <v>0.7302231237322514</v>
      </c>
      <c r="S113" s="80"/>
      <c r="T113" s="78">
        <f t="shared" si="19"/>
        <v>1049333.3333333335</v>
      </c>
      <c r="U113" s="78">
        <v>107</v>
      </c>
      <c r="V113" s="78"/>
      <c r="W113" s="83"/>
    </row>
    <row r="114" spans="1:23" s="68" customFormat="1">
      <c r="A114" s="75">
        <v>43204</v>
      </c>
      <c r="B114" s="75" t="s">
        <v>61</v>
      </c>
      <c r="C114" s="76" t="s">
        <v>67</v>
      </c>
      <c r="D114" s="87" t="s">
        <v>53</v>
      </c>
      <c r="E114" s="81">
        <v>0.6</v>
      </c>
      <c r="F114" s="68">
        <v>500</v>
      </c>
      <c r="G114" s="68">
        <v>144</v>
      </c>
      <c r="H114" s="68">
        <v>8</v>
      </c>
      <c r="I114" s="68">
        <v>117</v>
      </c>
      <c r="J114" s="68">
        <v>19</v>
      </c>
      <c r="K114" s="68">
        <v>113</v>
      </c>
      <c r="L114" s="68">
        <v>13</v>
      </c>
      <c r="M114" s="72">
        <f t="shared" si="21"/>
        <v>152</v>
      </c>
      <c r="N114" s="72">
        <f t="shared" si="22"/>
        <v>136</v>
      </c>
      <c r="O114" s="72">
        <f t="shared" si="23"/>
        <v>126</v>
      </c>
      <c r="P114" s="78">
        <f t="shared" si="17"/>
        <v>207.7777777777778</v>
      </c>
      <c r="Q114" s="82">
        <f t="shared" si="11"/>
        <v>103888.88888888891</v>
      </c>
      <c r="R114" s="77">
        <f t="shared" si="13"/>
        <v>3.8502673796791438</v>
      </c>
      <c r="S114" s="80"/>
      <c r="T114" s="78">
        <f t="shared" si="19"/>
        <v>101488.88888888891</v>
      </c>
      <c r="U114" s="78">
        <v>108</v>
      </c>
      <c r="V114" s="78"/>
      <c r="W114" s="142"/>
    </row>
    <row r="115" spans="1:23" s="68" customFormat="1">
      <c r="A115" s="75">
        <v>43204</v>
      </c>
      <c r="B115" s="75" t="s">
        <v>37</v>
      </c>
      <c r="C115" s="76" t="s">
        <v>68</v>
      </c>
      <c r="D115" s="87" t="s">
        <v>112</v>
      </c>
      <c r="E115" s="81">
        <v>0.5</v>
      </c>
      <c r="F115" s="68">
        <v>600</v>
      </c>
      <c r="G115" s="68">
        <v>140</v>
      </c>
      <c r="H115" s="68">
        <v>0</v>
      </c>
      <c r="I115" s="68">
        <v>145</v>
      </c>
      <c r="J115" s="68">
        <v>1</v>
      </c>
      <c r="K115" s="68">
        <v>137</v>
      </c>
      <c r="L115" s="68">
        <v>3</v>
      </c>
      <c r="M115" s="72">
        <f t="shared" si="21"/>
        <v>140</v>
      </c>
      <c r="N115" s="72">
        <f t="shared" si="22"/>
        <v>146</v>
      </c>
      <c r="O115" s="72">
        <f t="shared" si="23"/>
        <v>140</v>
      </c>
      <c r="P115" s="78">
        <f t="shared" si="17"/>
        <v>281.33333333333331</v>
      </c>
      <c r="Q115" s="82">
        <f t="shared" si="11"/>
        <v>168800</v>
      </c>
      <c r="R115" s="77">
        <f t="shared" si="13"/>
        <v>2.8436018957345972</v>
      </c>
      <c r="S115" s="80"/>
      <c r="T115" s="78">
        <f t="shared" si="19"/>
        <v>166400</v>
      </c>
      <c r="U115" s="78">
        <v>109</v>
      </c>
      <c r="V115" s="78"/>
      <c r="W115" s="83"/>
    </row>
    <row r="116" spans="1:23" s="68" customFormat="1">
      <c r="A116" s="75">
        <v>43204</v>
      </c>
      <c r="B116" s="75" t="s">
        <v>28</v>
      </c>
      <c r="C116" s="76" t="s">
        <v>69</v>
      </c>
      <c r="D116" s="87" t="s">
        <v>53</v>
      </c>
      <c r="E116" s="81">
        <v>0.6</v>
      </c>
      <c r="F116" s="68">
        <v>550</v>
      </c>
      <c r="G116" s="68">
        <v>97</v>
      </c>
      <c r="H116" s="68">
        <v>0</v>
      </c>
      <c r="I116" s="68">
        <v>97</v>
      </c>
      <c r="J116" s="68">
        <v>0</v>
      </c>
      <c r="K116" s="68">
        <v>959</v>
      </c>
      <c r="L116" s="68">
        <v>0</v>
      </c>
      <c r="M116" s="72">
        <f t="shared" si="21"/>
        <v>97</v>
      </c>
      <c r="N116" s="72">
        <f t="shared" si="22"/>
        <v>97</v>
      </c>
      <c r="O116" s="72">
        <f t="shared" si="23"/>
        <v>959</v>
      </c>
      <c r="P116" s="78">
        <f t="shared" si="17"/>
        <v>640.55555555555554</v>
      </c>
      <c r="Q116" s="82">
        <f t="shared" si="11"/>
        <v>352305.55555555556</v>
      </c>
      <c r="R116" s="77">
        <f t="shared" si="13"/>
        <v>1.2489158716392021</v>
      </c>
      <c r="S116" s="80"/>
      <c r="T116" s="78">
        <f t="shared" si="19"/>
        <v>349905.55555555556</v>
      </c>
      <c r="U116" s="78">
        <v>110</v>
      </c>
      <c r="V116" s="78"/>
      <c r="W116" s="83"/>
    </row>
    <row r="117" spans="1:23" s="68" customFormat="1">
      <c r="A117" s="75">
        <v>43204</v>
      </c>
      <c r="B117" s="75" t="s">
        <v>83</v>
      </c>
      <c r="C117" s="76" t="s">
        <v>114</v>
      </c>
      <c r="D117" s="87" t="s">
        <v>150</v>
      </c>
      <c r="E117" s="81">
        <v>0.1</v>
      </c>
      <c r="F117" s="68">
        <v>970</v>
      </c>
      <c r="G117" s="68">
        <v>105</v>
      </c>
      <c r="H117" s="68">
        <v>0</v>
      </c>
      <c r="I117" s="68">
        <v>122</v>
      </c>
      <c r="J117" s="68">
        <v>0</v>
      </c>
      <c r="K117" s="68">
        <v>120</v>
      </c>
      <c r="L117" s="68">
        <v>0</v>
      </c>
      <c r="M117" s="72">
        <f t="shared" si="21"/>
        <v>105</v>
      </c>
      <c r="N117" s="72">
        <f t="shared" si="22"/>
        <v>122</v>
      </c>
      <c r="O117" s="72">
        <f t="shared" si="23"/>
        <v>120</v>
      </c>
      <c r="P117" s="78">
        <f t="shared" si="17"/>
        <v>1156.6666666666667</v>
      </c>
      <c r="Q117" s="82">
        <f t="shared" si="11"/>
        <v>1121966.6666666667</v>
      </c>
      <c r="R117" s="77">
        <f t="shared" si="13"/>
        <v>0.69164265129682989</v>
      </c>
      <c r="S117" s="80"/>
      <c r="T117" s="78">
        <f t="shared" si="19"/>
        <v>1119566.6666666667</v>
      </c>
      <c r="U117" s="78">
        <v>111</v>
      </c>
      <c r="V117" s="78"/>
      <c r="W117" s="83"/>
    </row>
    <row r="118" spans="1:23" s="68" customFormat="1">
      <c r="A118" s="75">
        <v>43204</v>
      </c>
      <c r="B118" s="75" t="s">
        <v>83</v>
      </c>
      <c r="C118" s="76" t="s">
        <v>95</v>
      </c>
      <c r="D118" s="87" t="s">
        <v>53</v>
      </c>
      <c r="E118" s="81">
        <v>0.3</v>
      </c>
      <c r="F118" s="68">
        <v>600</v>
      </c>
      <c r="G118" s="68">
        <v>123</v>
      </c>
      <c r="H118" s="68">
        <v>0</v>
      </c>
      <c r="I118" s="68">
        <v>115</v>
      </c>
      <c r="J118" s="68">
        <v>0</v>
      </c>
      <c r="K118" s="68">
        <v>135</v>
      </c>
      <c r="L118" s="68">
        <v>0</v>
      </c>
      <c r="M118" s="72">
        <f t="shared" si="21"/>
        <v>123</v>
      </c>
      <c r="N118" s="72">
        <f t="shared" si="22"/>
        <v>115</v>
      </c>
      <c r="O118" s="72">
        <f t="shared" si="23"/>
        <v>135</v>
      </c>
      <c r="P118" s="78">
        <f t="shared" si="17"/>
        <v>414.44444444444446</v>
      </c>
      <c r="Q118" s="82">
        <f t="shared" si="11"/>
        <v>248666.66666666669</v>
      </c>
      <c r="R118" s="77">
        <f t="shared" si="13"/>
        <v>1.9302949061662198</v>
      </c>
      <c r="S118" s="80"/>
      <c r="T118" s="78">
        <f t="shared" si="19"/>
        <v>246266.66666666669</v>
      </c>
      <c r="U118" s="78">
        <v>112</v>
      </c>
      <c r="V118" s="78"/>
      <c r="W118" s="83"/>
    </row>
    <row r="119" spans="1:23" s="68" customFormat="1">
      <c r="A119" s="75">
        <v>43204</v>
      </c>
      <c r="B119" s="75" t="s">
        <v>84</v>
      </c>
      <c r="C119" s="76" t="s">
        <v>96</v>
      </c>
      <c r="D119" s="87" t="s">
        <v>164</v>
      </c>
      <c r="E119" s="81">
        <v>0.6</v>
      </c>
      <c r="F119" s="68">
        <v>485</v>
      </c>
      <c r="G119" s="68">
        <v>114</v>
      </c>
      <c r="H119" s="68">
        <v>2</v>
      </c>
      <c r="I119" s="68">
        <v>110</v>
      </c>
      <c r="J119" s="68">
        <v>1</v>
      </c>
      <c r="K119" s="68">
        <v>126</v>
      </c>
      <c r="L119" s="68">
        <v>3</v>
      </c>
      <c r="M119" s="72">
        <f t="shared" si="21"/>
        <v>116</v>
      </c>
      <c r="N119" s="72">
        <f t="shared" si="22"/>
        <v>111</v>
      </c>
      <c r="O119" s="72">
        <f t="shared" si="23"/>
        <v>129</v>
      </c>
      <c r="P119" s="78">
        <f t="shared" si="17"/>
        <v>194.44444444444446</v>
      </c>
      <c r="Q119" s="82">
        <f t="shared" si="11"/>
        <v>94305.555555555562</v>
      </c>
      <c r="R119" s="77">
        <f t="shared" si="13"/>
        <v>4.1142857142857139</v>
      </c>
      <c r="S119" s="80"/>
      <c r="T119" s="78">
        <f t="shared" si="19"/>
        <v>91905.555555555562</v>
      </c>
      <c r="U119" s="78">
        <v>113</v>
      </c>
      <c r="V119" s="78"/>
      <c r="W119" s="83"/>
    </row>
    <row r="120" spans="1:23">
      <c r="A120" s="22">
        <v>43205</v>
      </c>
      <c r="B120" s="22" t="s">
        <v>29</v>
      </c>
      <c r="C120" s="40" t="s">
        <v>120</v>
      </c>
      <c r="D120" s="34" t="s">
        <v>53</v>
      </c>
      <c r="E120" s="30">
        <v>0.25</v>
      </c>
      <c r="F120" s="29">
        <v>825</v>
      </c>
      <c r="G120" s="29">
        <v>144</v>
      </c>
      <c r="H120" s="29">
        <v>18</v>
      </c>
      <c r="I120" s="29">
        <v>143</v>
      </c>
      <c r="J120" s="29">
        <v>16</v>
      </c>
      <c r="K120" s="29">
        <v>153</v>
      </c>
      <c r="L120" s="29">
        <v>24</v>
      </c>
      <c r="M120" s="29">
        <f t="shared" si="21"/>
        <v>162</v>
      </c>
      <c r="N120" s="29">
        <f t="shared" si="22"/>
        <v>159</v>
      </c>
      <c r="O120" s="29">
        <f t="shared" si="23"/>
        <v>177</v>
      </c>
      <c r="P120" s="26">
        <f t="shared" si="17"/>
        <v>586.66666666666663</v>
      </c>
      <c r="Q120" s="31">
        <f t="shared" si="11"/>
        <v>483999.99999999994</v>
      </c>
      <c r="R120" s="24">
        <f t="shared" si="13"/>
        <v>1.3636363636363638</v>
      </c>
      <c r="S120" s="27"/>
      <c r="T120" s="26">
        <f t="shared" si="19"/>
        <v>481599.99999999994</v>
      </c>
      <c r="U120" s="26">
        <v>114</v>
      </c>
      <c r="V120" s="26">
        <v>3</v>
      </c>
    </row>
    <row r="121" spans="1:23">
      <c r="A121" s="22">
        <v>43205</v>
      </c>
      <c r="B121" s="22" t="s">
        <v>59</v>
      </c>
      <c r="C121" s="40" t="s">
        <v>60</v>
      </c>
      <c r="D121" s="34" t="s">
        <v>53</v>
      </c>
      <c r="E121" s="30">
        <v>0.4</v>
      </c>
      <c r="F121" s="29">
        <v>610</v>
      </c>
      <c r="G121" s="29">
        <v>113</v>
      </c>
      <c r="H121" s="29">
        <v>0</v>
      </c>
      <c r="I121" s="29">
        <v>124</v>
      </c>
      <c r="J121" s="29">
        <v>2</v>
      </c>
      <c r="K121" s="29">
        <v>124</v>
      </c>
      <c r="L121" s="29">
        <v>2</v>
      </c>
      <c r="M121" s="72">
        <f t="shared" si="21"/>
        <v>113</v>
      </c>
      <c r="N121" s="72">
        <f t="shared" si="22"/>
        <v>126</v>
      </c>
      <c r="O121" s="72">
        <f t="shared" si="23"/>
        <v>126</v>
      </c>
      <c r="P121" s="26">
        <f t="shared" si="17"/>
        <v>300.83333333333331</v>
      </c>
      <c r="Q121" s="31">
        <f t="shared" si="11"/>
        <v>183508.33333333331</v>
      </c>
      <c r="R121" s="24">
        <f t="shared" si="13"/>
        <v>2.6592797783933522</v>
      </c>
      <c r="S121" s="27"/>
      <c r="T121" s="26">
        <f t="shared" si="19"/>
        <v>181108.33333333331</v>
      </c>
      <c r="U121" s="26">
        <v>115</v>
      </c>
      <c r="V121" s="26">
        <v>2</v>
      </c>
    </row>
    <row r="122" spans="1:23">
      <c r="A122" s="22">
        <v>43205</v>
      </c>
      <c r="B122" s="96" t="s">
        <v>28</v>
      </c>
      <c r="C122" s="40" t="s">
        <v>69</v>
      </c>
      <c r="D122" s="34" t="s">
        <v>147</v>
      </c>
      <c r="E122" s="30">
        <v>0.25</v>
      </c>
      <c r="F122" s="29">
        <v>880</v>
      </c>
      <c r="G122" s="29">
        <v>171</v>
      </c>
      <c r="H122" s="29">
        <v>0</v>
      </c>
      <c r="I122" s="29">
        <v>193</v>
      </c>
      <c r="J122" s="29">
        <v>1</v>
      </c>
      <c r="K122" s="29">
        <v>185</v>
      </c>
      <c r="L122" s="29">
        <v>1</v>
      </c>
      <c r="M122" s="72">
        <f t="shared" ref="M122:M128" si="24">G122+H122</f>
        <v>171</v>
      </c>
      <c r="N122" s="72">
        <f t="shared" ref="N122:N128" si="25">I122+J122</f>
        <v>194</v>
      </c>
      <c r="O122" s="72">
        <f t="shared" ref="O122:O136" si="26">K122+L122</f>
        <v>186</v>
      </c>
      <c r="P122" s="26">
        <f t="shared" si="17"/>
        <v>732</v>
      </c>
      <c r="Q122" s="31">
        <f t="shared" si="11"/>
        <v>644160</v>
      </c>
      <c r="R122" s="24">
        <f t="shared" si="13"/>
        <v>1.0928961748633881</v>
      </c>
      <c r="S122" s="27"/>
      <c r="T122" s="26">
        <f t="shared" si="19"/>
        <v>641760</v>
      </c>
      <c r="U122" s="26">
        <v>116</v>
      </c>
      <c r="V122" s="26">
        <v>3</v>
      </c>
    </row>
    <row r="123" spans="1:23">
      <c r="A123" s="22">
        <v>43205</v>
      </c>
      <c r="B123" s="22" t="s">
        <v>61</v>
      </c>
      <c r="C123" s="40" t="s">
        <v>67</v>
      </c>
      <c r="D123" s="34" t="s">
        <v>53</v>
      </c>
      <c r="E123" s="30">
        <v>0.15</v>
      </c>
      <c r="F123" s="29">
        <v>940</v>
      </c>
      <c r="G123" s="29">
        <v>143</v>
      </c>
      <c r="H123" s="29">
        <v>0</v>
      </c>
      <c r="I123" s="29">
        <v>141</v>
      </c>
      <c r="J123" s="29">
        <v>0</v>
      </c>
      <c r="K123" s="29">
        <v>121</v>
      </c>
      <c r="L123" s="29">
        <v>0</v>
      </c>
      <c r="M123" s="72">
        <f t="shared" si="24"/>
        <v>143</v>
      </c>
      <c r="N123" s="72">
        <f t="shared" si="25"/>
        <v>141</v>
      </c>
      <c r="O123" s="72">
        <f t="shared" si="26"/>
        <v>121</v>
      </c>
      <c r="P123" s="26">
        <f t="shared" si="17"/>
        <v>900</v>
      </c>
      <c r="Q123" s="31">
        <f t="shared" si="11"/>
        <v>846000</v>
      </c>
      <c r="R123" s="24">
        <f t="shared" si="13"/>
        <v>0.88888888888888884</v>
      </c>
      <c r="S123" s="27"/>
      <c r="T123" s="26">
        <f t="shared" si="19"/>
        <v>843600</v>
      </c>
      <c r="U123" s="26">
        <v>117</v>
      </c>
      <c r="V123" s="26">
        <v>3</v>
      </c>
    </row>
    <row r="124" spans="1:23">
      <c r="A124" s="22">
        <v>43205</v>
      </c>
      <c r="B124" s="96" t="s">
        <v>36</v>
      </c>
      <c r="C124" s="40" t="s">
        <v>38</v>
      </c>
      <c r="D124" s="34" t="s">
        <v>53</v>
      </c>
      <c r="E124" s="30">
        <v>0.4</v>
      </c>
      <c r="F124" s="29">
        <v>700</v>
      </c>
      <c r="G124" s="29">
        <v>126</v>
      </c>
      <c r="H124" s="29">
        <v>0</v>
      </c>
      <c r="I124" s="29">
        <v>116</v>
      </c>
      <c r="J124" s="29">
        <v>0</v>
      </c>
      <c r="K124" s="29">
        <v>116</v>
      </c>
      <c r="L124" s="29">
        <v>0</v>
      </c>
      <c r="M124" s="72">
        <f t="shared" si="24"/>
        <v>126</v>
      </c>
      <c r="N124" s="72">
        <f t="shared" si="25"/>
        <v>116</v>
      </c>
      <c r="O124" s="72">
        <f t="shared" si="26"/>
        <v>116</v>
      </c>
      <c r="P124" s="26">
        <f t="shared" si="17"/>
        <v>298.33333333333331</v>
      </c>
      <c r="Q124" s="31">
        <f t="shared" si="11"/>
        <v>208833.33333333331</v>
      </c>
      <c r="R124" s="24">
        <f t="shared" si="13"/>
        <v>2.6815642458100561</v>
      </c>
      <c r="S124" s="27"/>
      <c r="T124" s="26">
        <f t="shared" si="19"/>
        <v>206433.33333333331</v>
      </c>
      <c r="U124" s="26">
        <v>118</v>
      </c>
      <c r="V124" s="26">
        <v>2</v>
      </c>
    </row>
    <row r="125" spans="1:23">
      <c r="A125" s="22">
        <v>43205</v>
      </c>
      <c r="B125" s="22" t="s">
        <v>84</v>
      </c>
      <c r="C125" s="40" t="s">
        <v>97</v>
      </c>
      <c r="D125" s="34" t="s">
        <v>165</v>
      </c>
      <c r="E125" s="30">
        <v>0.25</v>
      </c>
      <c r="F125" s="29">
        <v>890</v>
      </c>
      <c r="G125" s="29">
        <v>182</v>
      </c>
      <c r="H125" s="29">
        <v>1</v>
      </c>
      <c r="I125" s="29">
        <v>171</v>
      </c>
      <c r="J125" s="29">
        <v>1</v>
      </c>
      <c r="K125" s="29">
        <v>166</v>
      </c>
      <c r="L125" s="29">
        <v>1</v>
      </c>
      <c r="M125" s="72">
        <f t="shared" si="24"/>
        <v>183</v>
      </c>
      <c r="N125" s="72">
        <f t="shared" si="25"/>
        <v>172</v>
      </c>
      <c r="O125" s="72">
        <f t="shared" si="26"/>
        <v>167</v>
      </c>
      <c r="P125" s="26">
        <f t="shared" si="17"/>
        <v>692</v>
      </c>
      <c r="Q125" s="31">
        <f t="shared" si="11"/>
        <v>615880</v>
      </c>
      <c r="R125" s="24">
        <f t="shared" si="13"/>
        <v>1.1560693641618498</v>
      </c>
      <c r="S125" s="27"/>
      <c r="T125" s="26">
        <f t="shared" si="19"/>
        <v>613480</v>
      </c>
      <c r="U125" s="26">
        <v>119</v>
      </c>
      <c r="V125" s="26">
        <v>3</v>
      </c>
    </row>
    <row r="126" spans="1:23" s="68" customFormat="1">
      <c r="A126" s="75">
        <v>43206</v>
      </c>
      <c r="B126" s="75" t="s">
        <v>84</v>
      </c>
      <c r="C126" s="76" t="s">
        <v>96</v>
      </c>
      <c r="D126" s="87" t="s">
        <v>171</v>
      </c>
      <c r="E126" s="81">
        <v>0.4</v>
      </c>
      <c r="F126" s="68">
        <v>665</v>
      </c>
      <c r="G126" s="68">
        <v>118</v>
      </c>
      <c r="H126" s="68">
        <v>3</v>
      </c>
      <c r="I126" s="68">
        <v>104</v>
      </c>
      <c r="J126" s="68">
        <v>2</v>
      </c>
      <c r="K126" s="68">
        <v>113</v>
      </c>
      <c r="L126" s="68">
        <v>3</v>
      </c>
      <c r="M126" s="68">
        <f t="shared" si="24"/>
        <v>121</v>
      </c>
      <c r="N126" s="68">
        <f t="shared" si="25"/>
        <v>106</v>
      </c>
      <c r="O126" s="68">
        <f t="shared" si="26"/>
        <v>116</v>
      </c>
      <c r="P126" s="78">
        <f t="shared" si="17"/>
        <v>279.16666666666669</v>
      </c>
      <c r="Q126" s="82">
        <f t="shared" si="11"/>
        <v>185645.83333333334</v>
      </c>
      <c r="R126" s="77">
        <f t="shared" si="13"/>
        <v>2.8656716417910446</v>
      </c>
      <c r="S126" s="80"/>
      <c r="T126" s="78">
        <f t="shared" si="19"/>
        <v>183245.83333333334</v>
      </c>
      <c r="U126" s="78">
        <v>120</v>
      </c>
      <c r="V126" s="78"/>
      <c r="W126" s="83"/>
    </row>
    <row r="127" spans="1:23" s="68" customFormat="1">
      <c r="A127" s="75">
        <v>43206</v>
      </c>
      <c r="B127" s="75" t="s">
        <v>36</v>
      </c>
      <c r="C127" s="76" t="s">
        <v>42</v>
      </c>
      <c r="D127" s="87" t="s">
        <v>101</v>
      </c>
      <c r="E127" s="81">
        <v>0.6</v>
      </c>
      <c r="F127" s="68">
        <v>490</v>
      </c>
      <c r="G127" s="68">
        <v>122</v>
      </c>
      <c r="H127" s="68">
        <v>5</v>
      </c>
      <c r="I127" s="68">
        <v>128</v>
      </c>
      <c r="J127" s="68">
        <v>3</v>
      </c>
      <c r="K127" s="68">
        <v>121</v>
      </c>
      <c r="L127" s="68">
        <v>10</v>
      </c>
      <c r="M127" s="68">
        <f t="shared" si="24"/>
        <v>127</v>
      </c>
      <c r="N127" s="68">
        <f t="shared" si="25"/>
        <v>131</v>
      </c>
      <c r="O127" s="68">
        <f t="shared" si="26"/>
        <v>131</v>
      </c>
      <c r="P127" s="78">
        <f t="shared" si="17"/>
        <v>206.11111111111111</v>
      </c>
      <c r="Q127" s="82">
        <f t="shared" si="11"/>
        <v>100994.44444444445</v>
      </c>
      <c r="R127" s="77">
        <f t="shared" si="13"/>
        <v>3.881401617250674</v>
      </c>
      <c r="S127" s="80"/>
      <c r="T127" s="78">
        <f t="shared" si="19"/>
        <v>98594.444444444453</v>
      </c>
      <c r="U127" s="78">
        <v>121</v>
      </c>
      <c r="V127" s="78"/>
      <c r="W127" s="83"/>
    </row>
    <row r="128" spans="1:23" s="68" customFormat="1">
      <c r="A128" s="75">
        <v>43206</v>
      </c>
      <c r="B128" s="75" t="s">
        <v>84</v>
      </c>
      <c r="C128" s="76" t="s">
        <v>97</v>
      </c>
      <c r="D128" s="87" t="s">
        <v>53</v>
      </c>
      <c r="E128" s="81">
        <v>0.8</v>
      </c>
      <c r="F128" s="68">
        <v>475</v>
      </c>
      <c r="G128" s="68">
        <v>22</v>
      </c>
      <c r="H128" s="68">
        <v>0</v>
      </c>
      <c r="I128" s="68">
        <v>26</v>
      </c>
      <c r="J128" s="68">
        <v>0</v>
      </c>
      <c r="K128" s="68">
        <v>12</v>
      </c>
      <c r="L128" s="68">
        <v>0</v>
      </c>
      <c r="M128" s="68">
        <f t="shared" si="24"/>
        <v>22</v>
      </c>
      <c r="N128" s="68">
        <f t="shared" si="25"/>
        <v>26</v>
      </c>
      <c r="O128" s="68">
        <f t="shared" si="26"/>
        <v>12</v>
      </c>
      <c r="P128" s="78">
        <f t="shared" si="17"/>
        <v>25</v>
      </c>
      <c r="Q128" s="82">
        <f t="shared" si="11"/>
        <v>11875</v>
      </c>
      <c r="R128" s="77">
        <f t="shared" si="13"/>
        <v>32</v>
      </c>
      <c r="S128" s="80"/>
      <c r="T128" s="78">
        <f t="shared" si="19"/>
        <v>9475</v>
      </c>
      <c r="U128" s="78">
        <v>122</v>
      </c>
      <c r="V128" s="78"/>
      <c r="W128" s="83"/>
    </row>
    <row r="129" spans="1:23">
      <c r="A129" s="22">
        <v>43207</v>
      </c>
      <c r="B129" s="22" t="s">
        <v>83</v>
      </c>
      <c r="C129" s="40" t="s">
        <v>114</v>
      </c>
      <c r="D129" s="34" t="s">
        <v>53</v>
      </c>
      <c r="E129" s="30">
        <v>0.4</v>
      </c>
      <c r="F129" s="29">
        <v>580</v>
      </c>
      <c r="G129" s="29">
        <v>100</v>
      </c>
      <c r="H129" s="29">
        <v>15</v>
      </c>
      <c r="I129" s="29">
        <v>97</v>
      </c>
      <c r="J129" s="29">
        <v>20</v>
      </c>
      <c r="K129" s="29">
        <v>92</v>
      </c>
      <c r="L129" s="29">
        <v>23</v>
      </c>
      <c r="M129" s="72">
        <f>H129+I129</f>
        <v>112</v>
      </c>
      <c r="N129" s="72">
        <f>J129+K129</f>
        <v>112</v>
      </c>
      <c r="O129" s="72">
        <f t="shared" si="26"/>
        <v>115</v>
      </c>
      <c r="P129" s="26">
        <f t="shared" si="17"/>
        <v>240.83333333333331</v>
      </c>
      <c r="Q129" s="31">
        <f>P129*G129</f>
        <v>24083.333333333332</v>
      </c>
      <c r="R129" s="24">
        <f t="shared" si="13"/>
        <v>3.3217993079584778</v>
      </c>
      <c r="S129" s="27"/>
      <c r="T129" s="26">
        <f t="shared" si="19"/>
        <v>21683.333333333332</v>
      </c>
      <c r="U129" s="26">
        <v>123</v>
      </c>
      <c r="V129" s="26"/>
    </row>
    <row r="130" spans="1:23">
      <c r="A130" s="22">
        <v>43207</v>
      </c>
      <c r="B130" s="22" t="s">
        <v>28</v>
      </c>
      <c r="C130" s="40" t="s">
        <v>78</v>
      </c>
      <c r="D130" s="34" t="s">
        <v>53</v>
      </c>
      <c r="E130" s="30">
        <v>0.7</v>
      </c>
      <c r="F130" s="29">
        <v>490</v>
      </c>
      <c r="G130" s="144">
        <v>97</v>
      </c>
      <c r="H130" s="144">
        <v>10</v>
      </c>
      <c r="I130" s="144">
        <v>92</v>
      </c>
      <c r="J130" s="144">
        <v>10</v>
      </c>
      <c r="K130" s="144">
        <v>127</v>
      </c>
      <c r="L130" s="144">
        <v>6</v>
      </c>
      <c r="M130" s="72">
        <f>H130+I130</f>
        <v>102</v>
      </c>
      <c r="N130" s="72">
        <f>J130+K130</f>
        <v>137</v>
      </c>
      <c r="O130" s="72">
        <f t="shared" si="26"/>
        <v>133</v>
      </c>
      <c r="P130" s="26">
        <f>AVERAGE(G130,I130,K130)/E130</f>
        <v>150.47619047619048</v>
      </c>
      <c r="Q130" s="31">
        <f>P130*G130</f>
        <v>14596.190476190477</v>
      </c>
      <c r="R130" s="24">
        <f t="shared" si="13"/>
        <v>5.3164556962025316</v>
      </c>
      <c r="S130" s="27"/>
      <c r="T130" s="26">
        <f t="shared" ref="T130:T161" si="27">Q130-(R130*P130*3)</f>
        <v>12196.190476190477</v>
      </c>
      <c r="U130" s="26">
        <v>124</v>
      </c>
      <c r="V130" s="26"/>
    </row>
    <row r="131" spans="1:23" s="68" customFormat="1">
      <c r="A131" s="75">
        <v>43208</v>
      </c>
      <c r="B131" s="75" t="s">
        <v>36</v>
      </c>
      <c r="C131" s="76" t="s">
        <v>42</v>
      </c>
      <c r="D131" s="87" t="s">
        <v>53</v>
      </c>
      <c r="E131" s="81">
        <v>0.5</v>
      </c>
      <c r="F131" s="68">
        <v>700</v>
      </c>
      <c r="G131" s="68">
        <v>229</v>
      </c>
      <c r="H131" s="68">
        <v>0</v>
      </c>
      <c r="I131" s="68">
        <v>229</v>
      </c>
      <c r="J131" s="68">
        <v>0</v>
      </c>
      <c r="K131" s="68">
        <v>230</v>
      </c>
      <c r="L131" s="68">
        <v>0</v>
      </c>
      <c r="O131" s="68">
        <f t="shared" si="26"/>
        <v>230</v>
      </c>
      <c r="P131" s="78">
        <f t="shared" si="17"/>
        <v>458.66666666666669</v>
      </c>
      <c r="Q131" s="82">
        <f t="shared" ref="Q131:Q153" si="28">P131*F131</f>
        <v>321066.66666666669</v>
      </c>
      <c r="R131" s="77">
        <f t="shared" si="13"/>
        <v>1.7441860465116279</v>
      </c>
      <c r="S131" s="80"/>
      <c r="T131" s="78">
        <f t="shared" si="27"/>
        <v>318666.66666666669</v>
      </c>
      <c r="U131" s="78">
        <v>125</v>
      </c>
      <c r="V131" s="78"/>
      <c r="W131" s="83"/>
    </row>
    <row r="132" spans="1:23" s="68" customFormat="1">
      <c r="A132" s="75">
        <v>43208</v>
      </c>
      <c r="B132" s="75" t="s">
        <v>61</v>
      </c>
      <c r="C132" s="76" t="s">
        <v>67</v>
      </c>
      <c r="D132" s="87" t="s">
        <v>53</v>
      </c>
      <c r="E132" s="81">
        <v>0.5</v>
      </c>
      <c r="F132" s="68">
        <v>480</v>
      </c>
      <c r="G132" s="68">
        <v>35</v>
      </c>
      <c r="H132" s="68">
        <v>0</v>
      </c>
      <c r="I132" s="68">
        <v>40</v>
      </c>
      <c r="J132" s="68">
        <v>0</v>
      </c>
      <c r="K132" s="68">
        <v>28</v>
      </c>
      <c r="L132" s="68">
        <v>0</v>
      </c>
      <c r="O132" s="68">
        <f t="shared" si="26"/>
        <v>28</v>
      </c>
      <c r="P132" s="78">
        <f t="shared" si="17"/>
        <v>68.666666666666671</v>
      </c>
      <c r="Q132" s="82">
        <f t="shared" si="28"/>
        <v>32960</v>
      </c>
      <c r="R132" s="77">
        <f t="shared" si="13"/>
        <v>11.650485436893202</v>
      </c>
      <c r="S132" s="80"/>
      <c r="T132" s="78">
        <f t="shared" si="27"/>
        <v>30560</v>
      </c>
      <c r="U132" s="78">
        <v>126</v>
      </c>
      <c r="V132" s="78"/>
      <c r="W132" s="83"/>
    </row>
    <row r="133" spans="1:23" s="68" customFormat="1">
      <c r="A133" s="75">
        <v>43208</v>
      </c>
      <c r="B133" s="75" t="s">
        <v>37</v>
      </c>
      <c r="C133" s="76" t="s">
        <v>39</v>
      </c>
      <c r="D133" s="87" t="s">
        <v>53</v>
      </c>
      <c r="E133" s="81">
        <v>0.5</v>
      </c>
      <c r="F133" s="68">
        <v>590</v>
      </c>
      <c r="G133" s="68">
        <v>45</v>
      </c>
      <c r="H133" s="68">
        <v>0</v>
      </c>
      <c r="I133" s="68">
        <v>35</v>
      </c>
      <c r="J133" s="68">
        <v>0</v>
      </c>
      <c r="K133" s="68">
        <v>55</v>
      </c>
      <c r="L133" s="68">
        <v>0</v>
      </c>
      <c r="O133" s="68">
        <f t="shared" si="26"/>
        <v>55</v>
      </c>
      <c r="P133" s="78">
        <f t="shared" si="17"/>
        <v>90</v>
      </c>
      <c r="Q133" s="82">
        <f t="shared" si="28"/>
        <v>53100</v>
      </c>
      <c r="R133" s="77">
        <f t="shared" ref="R133:R161" si="29">800/P133</f>
        <v>8.8888888888888893</v>
      </c>
      <c r="S133" s="80"/>
      <c r="T133" s="78">
        <f t="shared" si="27"/>
        <v>50700</v>
      </c>
      <c r="U133" s="78">
        <v>127</v>
      </c>
      <c r="V133" s="78"/>
      <c r="W133" s="83"/>
    </row>
    <row r="134" spans="1:23" s="68" customFormat="1">
      <c r="A134" s="75">
        <v>43208</v>
      </c>
      <c r="B134" s="75" t="s">
        <v>83</v>
      </c>
      <c r="C134" s="76" t="s">
        <v>114</v>
      </c>
      <c r="D134" s="87" t="s">
        <v>53</v>
      </c>
      <c r="E134" s="81">
        <v>0.5</v>
      </c>
      <c r="F134" s="68">
        <v>550</v>
      </c>
      <c r="G134" s="68">
        <v>95</v>
      </c>
      <c r="H134" s="68">
        <v>0</v>
      </c>
      <c r="I134" s="68">
        <v>96</v>
      </c>
      <c r="J134" s="68">
        <v>0</v>
      </c>
      <c r="K134" s="68">
        <v>94</v>
      </c>
      <c r="L134" s="68">
        <v>0</v>
      </c>
      <c r="O134" s="68">
        <f t="shared" si="26"/>
        <v>94</v>
      </c>
      <c r="P134" s="78">
        <f t="shared" ref="P134:P152" si="30">AVERAGE(G134,I134,K134)/E134</f>
        <v>190</v>
      </c>
      <c r="Q134" s="82">
        <f t="shared" si="28"/>
        <v>104500</v>
      </c>
      <c r="R134" s="77">
        <f t="shared" si="29"/>
        <v>4.2105263157894735</v>
      </c>
      <c r="S134" s="80"/>
      <c r="T134" s="78">
        <f t="shared" si="27"/>
        <v>102100</v>
      </c>
      <c r="U134" s="78">
        <v>128</v>
      </c>
      <c r="V134" s="78"/>
      <c r="W134" s="83"/>
    </row>
    <row r="135" spans="1:23" s="68" customFormat="1">
      <c r="A135" s="75">
        <v>43208</v>
      </c>
      <c r="B135" s="75" t="s">
        <v>59</v>
      </c>
      <c r="C135" s="76" t="s">
        <v>60</v>
      </c>
      <c r="D135" s="87" t="s">
        <v>53</v>
      </c>
      <c r="E135" s="81">
        <v>0.5</v>
      </c>
      <c r="F135" s="68">
        <v>725</v>
      </c>
      <c r="G135" s="68">
        <v>104</v>
      </c>
      <c r="H135" s="68">
        <v>0</v>
      </c>
      <c r="I135" s="68">
        <v>120</v>
      </c>
      <c r="J135" s="68">
        <v>0</v>
      </c>
      <c r="K135" s="68">
        <v>100</v>
      </c>
      <c r="L135" s="68">
        <v>0</v>
      </c>
      <c r="O135" s="68">
        <f t="shared" si="26"/>
        <v>100</v>
      </c>
      <c r="P135" s="78">
        <f t="shared" si="30"/>
        <v>216</v>
      </c>
      <c r="Q135" s="82">
        <f t="shared" si="28"/>
        <v>156600</v>
      </c>
      <c r="R135" s="77">
        <f t="shared" si="29"/>
        <v>3.7037037037037037</v>
      </c>
      <c r="S135" s="80"/>
      <c r="T135" s="78">
        <f t="shared" si="27"/>
        <v>154200</v>
      </c>
      <c r="U135" s="78">
        <v>129</v>
      </c>
      <c r="V135" s="78"/>
      <c r="W135" s="83"/>
    </row>
    <row r="136" spans="1:23" s="68" customFormat="1">
      <c r="A136" s="75">
        <v>43208</v>
      </c>
      <c r="B136" s="75" t="s">
        <v>59</v>
      </c>
      <c r="C136" s="76" t="s">
        <v>70</v>
      </c>
      <c r="D136" s="87" t="s">
        <v>53</v>
      </c>
      <c r="E136" s="81">
        <v>0.5</v>
      </c>
      <c r="F136" s="68">
        <v>600</v>
      </c>
      <c r="G136" s="68">
        <v>11</v>
      </c>
      <c r="H136" s="68">
        <v>0</v>
      </c>
      <c r="I136" s="68">
        <v>14</v>
      </c>
      <c r="J136" s="68">
        <v>0</v>
      </c>
      <c r="K136" s="68">
        <v>22</v>
      </c>
      <c r="L136" s="68">
        <v>0</v>
      </c>
      <c r="O136" s="68">
        <f t="shared" si="26"/>
        <v>22</v>
      </c>
      <c r="P136" s="78">
        <f t="shared" si="30"/>
        <v>31.333333333333332</v>
      </c>
      <c r="Q136" s="82">
        <f t="shared" si="28"/>
        <v>18800</v>
      </c>
      <c r="R136" s="77">
        <f t="shared" si="29"/>
        <v>25.531914893617021</v>
      </c>
      <c r="S136" s="80"/>
      <c r="T136" s="78">
        <f t="shared" si="27"/>
        <v>16400</v>
      </c>
      <c r="U136" s="78">
        <v>130</v>
      </c>
      <c r="V136" s="78"/>
      <c r="W136" s="83"/>
    </row>
    <row r="137" spans="1:23">
      <c r="A137" s="22">
        <v>43209</v>
      </c>
      <c r="B137" s="22" t="s">
        <v>59</v>
      </c>
      <c r="C137" s="40" t="s">
        <v>70</v>
      </c>
      <c r="D137" s="34" t="s">
        <v>53</v>
      </c>
      <c r="E137" s="30">
        <v>0.25</v>
      </c>
      <c r="F137" s="29">
        <v>730</v>
      </c>
      <c r="G137" s="29">
        <v>118</v>
      </c>
      <c r="H137" s="29">
        <v>0</v>
      </c>
      <c r="I137" s="29">
        <v>96</v>
      </c>
      <c r="J137" s="29">
        <v>0</v>
      </c>
      <c r="K137" s="29">
        <v>106</v>
      </c>
      <c r="L137" s="29">
        <v>0</v>
      </c>
      <c r="P137" s="26">
        <f t="shared" si="30"/>
        <v>426.66666666666669</v>
      </c>
      <c r="Q137" s="31">
        <f t="shared" si="28"/>
        <v>311466.66666666669</v>
      </c>
      <c r="R137" s="24">
        <f t="shared" si="29"/>
        <v>1.875</v>
      </c>
      <c r="S137" s="27"/>
      <c r="T137" s="26">
        <f t="shared" si="27"/>
        <v>309066.66666666669</v>
      </c>
      <c r="U137" s="26">
        <v>131</v>
      </c>
      <c r="V137" s="26"/>
    </row>
    <row r="138" spans="1:23">
      <c r="A138" s="22">
        <v>43209</v>
      </c>
      <c r="B138" s="22" t="s">
        <v>29</v>
      </c>
      <c r="C138" s="40" t="s">
        <v>62</v>
      </c>
      <c r="D138" s="34" t="s">
        <v>53</v>
      </c>
      <c r="E138" s="30">
        <v>0.25</v>
      </c>
      <c r="F138" s="29">
        <v>350</v>
      </c>
      <c r="G138" s="29">
        <v>75</v>
      </c>
      <c r="H138" s="29">
        <v>0</v>
      </c>
      <c r="I138" s="29">
        <v>81</v>
      </c>
      <c r="J138" s="29">
        <v>0</v>
      </c>
      <c r="K138" s="29">
        <v>59</v>
      </c>
      <c r="L138" s="29">
        <v>0</v>
      </c>
      <c r="P138" s="26">
        <f t="shared" si="30"/>
        <v>286.66666666666669</v>
      </c>
      <c r="Q138" s="31">
        <f t="shared" si="28"/>
        <v>100333.33333333334</v>
      </c>
      <c r="R138" s="24">
        <f t="shared" si="29"/>
        <v>2.7906976744186043</v>
      </c>
      <c r="S138" s="27"/>
      <c r="T138" s="26">
        <f t="shared" si="27"/>
        <v>97933.333333333343</v>
      </c>
      <c r="U138" s="26">
        <v>132</v>
      </c>
      <c r="V138" s="26"/>
    </row>
    <row r="139" spans="1:23">
      <c r="A139" s="22">
        <v>43209</v>
      </c>
      <c r="B139" s="22" t="s">
        <v>83</v>
      </c>
      <c r="C139" s="40" t="s">
        <v>95</v>
      </c>
      <c r="D139" s="34" t="s">
        <v>53</v>
      </c>
      <c r="E139" s="30">
        <v>0.25</v>
      </c>
      <c r="F139" s="29">
        <v>350</v>
      </c>
      <c r="G139" s="29">
        <v>51</v>
      </c>
      <c r="H139" s="29">
        <v>0</v>
      </c>
      <c r="I139" s="29">
        <v>47</v>
      </c>
      <c r="J139" s="29">
        <v>0</v>
      </c>
      <c r="K139" s="29">
        <v>60</v>
      </c>
      <c r="L139" s="29">
        <v>0</v>
      </c>
      <c r="P139" s="26">
        <f t="shared" si="30"/>
        <v>210.66666666666666</v>
      </c>
      <c r="Q139" s="31">
        <f t="shared" si="28"/>
        <v>73733.333333333328</v>
      </c>
      <c r="R139" s="24">
        <f t="shared" si="29"/>
        <v>3.79746835443038</v>
      </c>
      <c r="S139" s="27"/>
      <c r="T139" s="26">
        <f t="shared" si="27"/>
        <v>71333.333333333328</v>
      </c>
      <c r="U139" s="26">
        <v>133</v>
      </c>
      <c r="V139" s="26"/>
    </row>
    <row r="140" spans="1:23" s="151" customFormat="1" ht="16" thickBot="1">
      <c r="A140" s="148">
        <v>43209</v>
      </c>
      <c r="B140" s="148" t="s">
        <v>84</v>
      </c>
      <c r="C140" s="149" t="s">
        <v>97</v>
      </c>
      <c r="D140" s="148" t="s">
        <v>169</v>
      </c>
      <c r="E140" s="150">
        <v>0.2</v>
      </c>
      <c r="F140" s="151">
        <v>830</v>
      </c>
      <c r="G140" s="151">
        <v>98</v>
      </c>
      <c r="H140" s="151">
        <v>0</v>
      </c>
      <c r="I140" s="151">
        <v>106</v>
      </c>
      <c r="J140" s="151">
        <v>0</v>
      </c>
      <c r="K140" s="151">
        <v>116</v>
      </c>
      <c r="L140" s="151">
        <v>0</v>
      </c>
      <c r="M140" s="152"/>
      <c r="N140" s="152"/>
      <c r="O140" s="152"/>
      <c r="P140" s="153">
        <f t="shared" si="30"/>
        <v>533.33333333333337</v>
      </c>
      <c r="Q140" s="153">
        <f t="shared" si="28"/>
        <v>442666.66666666669</v>
      </c>
      <c r="R140" s="150">
        <f t="shared" si="29"/>
        <v>1.5</v>
      </c>
      <c r="S140" s="154"/>
      <c r="T140" s="153">
        <f t="shared" si="27"/>
        <v>440266.66666666669</v>
      </c>
      <c r="U140" s="153">
        <v>134</v>
      </c>
      <c r="V140" s="153"/>
      <c r="W140" s="155"/>
    </row>
    <row r="141" spans="1:23" s="68" customFormat="1">
      <c r="A141" s="75">
        <v>43210</v>
      </c>
      <c r="B141" s="75" t="s">
        <v>37</v>
      </c>
      <c r="C141" s="76" t="s">
        <v>39</v>
      </c>
      <c r="D141" s="87" t="s">
        <v>53</v>
      </c>
      <c r="E141" s="81">
        <v>0.4</v>
      </c>
      <c r="F141" s="68">
        <v>630</v>
      </c>
      <c r="G141" s="68">
        <v>106</v>
      </c>
      <c r="H141" s="68">
        <v>0</v>
      </c>
      <c r="I141" s="68">
        <v>111</v>
      </c>
      <c r="J141" s="68">
        <v>0</v>
      </c>
      <c r="K141" s="68">
        <v>108</v>
      </c>
      <c r="L141" s="68">
        <v>0</v>
      </c>
      <c r="P141" s="78">
        <f t="shared" si="30"/>
        <v>270.83333333333331</v>
      </c>
      <c r="Q141" s="82">
        <f t="shared" si="28"/>
        <v>170625</v>
      </c>
      <c r="R141" s="77">
        <f t="shared" si="29"/>
        <v>2.953846153846154</v>
      </c>
      <c r="S141" s="80"/>
      <c r="T141" s="78">
        <f t="shared" si="27"/>
        <v>168225</v>
      </c>
      <c r="U141" s="78">
        <v>135</v>
      </c>
      <c r="V141" s="78"/>
      <c r="W141" s="83"/>
    </row>
    <row r="142" spans="1:23" s="68" customFormat="1">
      <c r="A142" s="75">
        <v>43210</v>
      </c>
      <c r="B142" s="75" t="s">
        <v>36</v>
      </c>
      <c r="C142" s="76" t="s">
        <v>38</v>
      </c>
      <c r="D142" s="87" t="s">
        <v>53</v>
      </c>
      <c r="E142" s="81">
        <v>0.4</v>
      </c>
      <c r="F142" s="68">
        <v>550</v>
      </c>
      <c r="G142" s="68">
        <v>77</v>
      </c>
      <c r="H142" s="68">
        <v>0</v>
      </c>
      <c r="I142" s="68">
        <v>90</v>
      </c>
      <c r="J142" s="68">
        <v>0</v>
      </c>
      <c r="K142" s="68">
        <v>97</v>
      </c>
      <c r="L142" s="68">
        <v>1</v>
      </c>
      <c r="P142" s="78">
        <f t="shared" si="30"/>
        <v>220</v>
      </c>
      <c r="Q142" s="82">
        <f t="shared" si="28"/>
        <v>121000</v>
      </c>
      <c r="R142" s="77">
        <f t="shared" si="29"/>
        <v>3.6363636363636362</v>
      </c>
      <c r="S142" s="80"/>
      <c r="T142" s="78">
        <f t="shared" si="27"/>
        <v>118600</v>
      </c>
      <c r="U142" s="78">
        <v>136</v>
      </c>
      <c r="V142" s="78"/>
      <c r="W142" s="83"/>
    </row>
    <row r="143" spans="1:23" s="68" customFormat="1">
      <c r="A143" s="75">
        <v>43210</v>
      </c>
      <c r="B143" s="75" t="s">
        <v>84</v>
      </c>
      <c r="C143" s="76" t="s">
        <v>96</v>
      </c>
      <c r="D143" s="87" t="s">
        <v>53</v>
      </c>
      <c r="E143" s="81">
        <v>0.2</v>
      </c>
      <c r="F143" s="68">
        <v>750</v>
      </c>
      <c r="G143" s="68">
        <v>127</v>
      </c>
      <c r="H143" s="68">
        <v>1</v>
      </c>
      <c r="I143" s="68">
        <v>139</v>
      </c>
      <c r="J143" s="68">
        <v>2</v>
      </c>
      <c r="K143" s="68">
        <v>107</v>
      </c>
      <c r="L143" s="68">
        <v>3</v>
      </c>
      <c r="P143" s="78">
        <f t="shared" si="30"/>
        <v>621.66666666666663</v>
      </c>
      <c r="Q143" s="82">
        <f t="shared" si="28"/>
        <v>466250</v>
      </c>
      <c r="R143" s="77">
        <f t="shared" si="29"/>
        <v>1.2868632707774799</v>
      </c>
      <c r="S143" s="80"/>
      <c r="T143" s="78">
        <f t="shared" si="27"/>
        <v>463850</v>
      </c>
      <c r="U143" s="78">
        <v>137</v>
      </c>
      <c r="V143" s="78"/>
      <c r="W143" s="83"/>
    </row>
    <row r="144" spans="1:23" s="68" customFormat="1">
      <c r="A144" s="75">
        <v>43210</v>
      </c>
      <c r="B144" s="75" t="s">
        <v>59</v>
      </c>
      <c r="C144" s="76" t="s">
        <v>70</v>
      </c>
      <c r="D144" s="87" t="s">
        <v>53</v>
      </c>
      <c r="E144" s="81">
        <v>0.25</v>
      </c>
      <c r="F144" s="68">
        <v>945</v>
      </c>
      <c r="G144" s="68">
        <v>137</v>
      </c>
      <c r="H144" s="68">
        <v>1</v>
      </c>
      <c r="I144" s="68">
        <v>155</v>
      </c>
      <c r="J144" s="68">
        <v>0</v>
      </c>
      <c r="K144" s="68">
        <v>138</v>
      </c>
      <c r="L144" s="68">
        <v>0</v>
      </c>
      <c r="P144" s="78">
        <f t="shared" si="30"/>
        <v>573.33333333333337</v>
      </c>
      <c r="Q144" s="82">
        <f t="shared" si="28"/>
        <v>541800</v>
      </c>
      <c r="R144" s="77">
        <f t="shared" si="29"/>
        <v>1.3953488372093021</v>
      </c>
      <c r="S144" s="76"/>
      <c r="T144" s="78">
        <f t="shared" si="27"/>
        <v>539400</v>
      </c>
      <c r="U144" s="78">
        <v>138</v>
      </c>
      <c r="V144" s="78"/>
      <c r="W144" s="83"/>
    </row>
    <row r="145" spans="1:23" s="68" customFormat="1">
      <c r="A145" s="75">
        <v>43210</v>
      </c>
      <c r="B145" s="87" t="s">
        <v>29</v>
      </c>
      <c r="C145" s="88" t="s">
        <v>62</v>
      </c>
      <c r="D145" s="87" t="s">
        <v>53</v>
      </c>
      <c r="E145" s="81">
        <v>0.6</v>
      </c>
      <c r="F145" s="68">
        <v>460</v>
      </c>
      <c r="G145" s="68">
        <v>39</v>
      </c>
      <c r="H145" s="68">
        <v>0</v>
      </c>
      <c r="I145" s="68">
        <v>49</v>
      </c>
      <c r="J145" s="68">
        <v>0</v>
      </c>
      <c r="K145" s="68">
        <v>51</v>
      </c>
      <c r="L145" s="68">
        <v>0</v>
      </c>
      <c r="P145" s="82">
        <f t="shared" si="30"/>
        <v>77.222222222222229</v>
      </c>
      <c r="Q145" s="82">
        <f t="shared" si="28"/>
        <v>35522.222222222226</v>
      </c>
      <c r="R145" s="81">
        <f t="shared" si="29"/>
        <v>10.359712230215827</v>
      </c>
      <c r="T145" s="82">
        <f t="shared" si="27"/>
        <v>33122.222222222226</v>
      </c>
      <c r="U145" s="82">
        <v>139</v>
      </c>
      <c r="V145" s="82"/>
      <c r="W145" s="83"/>
    </row>
    <row r="146" spans="1:23" s="68" customFormat="1">
      <c r="A146" s="75">
        <v>43210</v>
      </c>
      <c r="B146" s="87" t="s">
        <v>29</v>
      </c>
      <c r="C146" s="88" t="s">
        <v>120</v>
      </c>
      <c r="D146" s="87" t="s">
        <v>53</v>
      </c>
      <c r="E146" s="81">
        <v>0.2</v>
      </c>
      <c r="F146" s="68">
        <v>895</v>
      </c>
      <c r="G146" s="68">
        <v>95</v>
      </c>
      <c r="H146" s="68">
        <v>0</v>
      </c>
      <c r="I146" s="68">
        <v>97</v>
      </c>
      <c r="J146" s="68">
        <v>0</v>
      </c>
      <c r="K146" s="68">
        <v>93</v>
      </c>
      <c r="L146" s="68">
        <v>0</v>
      </c>
      <c r="P146" s="82">
        <f t="shared" si="30"/>
        <v>475</v>
      </c>
      <c r="Q146" s="82">
        <f t="shared" si="28"/>
        <v>425125</v>
      </c>
      <c r="R146" s="81">
        <f t="shared" si="29"/>
        <v>1.6842105263157894</v>
      </c>
      <c r="T146" s="82">
        <f t="shared" si="27"/>
        <v>422725</v>
      </c>
      <c r="U146" s="82">
        <v>140</v>
      </c>
      <c r="V146" s="82"/>
      <c r="W146" s="83"/>
    </row>
    <row r="147" spans="1:23">
      <c r="A147" s="34">
        <v>43211</v>
      </c>
      <c r="B147" s="34" t="s">
        <v>36</v>
      </c>
      <c r="C147" s="45" t="s">
        <v>42</v>
      </c>
      <c r="D147" s="34" t="s">
        <v>53</v>
      </c>
      <c r="E147" s="30">
        <v>0.3</v>
      </c>
      <c r="F147" s="29">
        <v>800</v>
      </c>
      <c r="G147" s="29">
        <v>99</v>
      </c>
      <c r="H147" s="29">
        <v>3</v>
      </c>
      <c r="I147" s="29">
        <v>99</v>
      </c>
      <c r="J147" s="29">
        <v>1</v>
      </c>
      <c r="K147" s="29">
        <v>95</v>
      </c>
      <c r="L147" s="29">
        <v>0</v>
      </c>
      <c r="P147" s="31">
        <f t="shared" si="30"/>
        <v>325.5555555555556</v>
      </c>
      <c r="Q147" s="31">
        <f t="shared" si="28"/>
        <v>260444.44444444447</v>
      </c>
      <c r="R147" s="30">
        <f t="shared" si="29"/>
        <v>2.4573378839590441</v>
      </c>
      <c r="T147" s="31">
        <f t="shared" si="27"/>
        <v>258044.44444444447</v>
      </c>
      <c r="U147" s="31">
        <v>141</v>
      </c>
    </row>
    <row r="148" spans="1:23">
      <c r="A148" s="34">
        <v>43211</v>
      </c>
      <c r="B148" s="34" t="s">
        <v>37</v>
      </c>
      <c r="C148" s="45" t="s">
        <v>39</v>
      </c>
      <c r="D148" s="34" t="s">
        <v>53</v>
      </c>
      <c r="E148" s="30">
        <v>0.15</v>
      </c>
      <c r="F148" s="29">
        <v>975</v>
      </c>
      <c r="G148" s="29">
        <v>157</v>
      </c>
      <c r="H148" s="29">
        <v>0</v>
      </c>
      <c r="I148" s="29">
        <v>166</v>
      </c>
      <c r="J148" s="29">
        <v>0</v>
      </c>
      <c r="K148" s="29">
        <v>147</v>
      </c>
      <c r="L148" s="29">
        <v>0</v>
      </c>
      <c r="P148" s="31">
        <f t="shared" si="30"/>
        <v>1044.4444444444443</v>
      </c>
      <c r="Q148" s="31">
        <f t="shared" si="28"/>
        <v>1018333.3333333333</v>
      </c>
      <c r="R148" s="30">
        <f t="shared" si="29"/>
        <v>0.76595744680851074</v>
      </c>
      <c r="T148" s="31">
        <f t="shared" si="27"/>
        <v>1015933.3333333333</v>
      </c>
      <c r="U148" s="31">
        <v>142</v>
      </c>
    </row>
    <row r="149" spans="1:23" s="68" customFormat="1">
      <c r="A149" s="87">
        <v>43212</v>
      </c>
      <c r="B149" s="87" t="s">
        <v>29</v>
      </c>
      <c r="C149" s="88" t="s">
        <v>62</v>
      </c>
      <c r="D149" s="87" t="s">
        <v>53</v>
      </c>
      <c r="E149" s="81">
        <v>0.3</v>
      </c>
      <c r="F149" s="68">
        <v>820</v>
      </c>
      <c r="G149" s="68">
        <v>102</v>
      </c>
      <c r="H149" s="68">
        <v>0</v>
      </c>
      <c r="I149" s="68">
        <v>106</v>
      </c>
      <c r="J149" s="68">
        <v>0</v>
      </c>
      <c r="K149" s="68">
        <v>99</v>
      </c>
      <c r="L149" s="68">
        <v>0</v>
      </c>
      <c r="P149" s="82">
        <f t="shared" si="30"/>
        <v>341.11111111111109</v>
      </c>
      <c r="Q149" s="82">
        <f t="shared" si="28"/>
        <v>279711.11111111107</v>
      </c>
      <c r="R149" s="81">
        <f t="shared" si="29"/>
        <v>2.3452768729641695</v>
      </c>
      <c r="T149" s="82">
        <f t="shared" si="27"/>
        <v>277311.11111111107</v>
      </c>
      <c r="U149" s="82">
        <v>143</v>
      </c>
      <c r="V149" s="82"/>
      <c r="W149" s="83"/>
    </row>
    <row r="150" spans="1:23" s="68" customFormat="1">
      <c r="A150" s="87">
        <v>43212</v>
      </c>
      <c r="B150" s="87" t="s">
        <v>59</v>
      </c>
      <c r="C150" s="88" t="s">
        <v>70</v>
      </c>
      <c r="D150" s="87" t="s">
        <v>53</v>
      </c>
      <c r="E150" s="81">
        <v>0.2</v>
      </c>
      <c r="F150" s="68">
        <v>960</v>
      </c>
      <c r="G150" s="68">
        <v>146</v>
      </c>
      <c r="H150" s="68" t="s">
        <v>184</v>
      </c>
      <c r="I150" s="68">
        <v>123</v>
      </c>
      <c r="J150" s="68">
        <v>0</v>
      </c>
      <c r="K150" s="68">
        <v>134</v>
      </c>
      <c r="L150" s="68">
        <v>0</v>
      </c>
      <c r="P150" s="82">
        <f t="shared" si="30"/>
        <v>671.66666666666663</v>
      </c>
      <c r="Q150" s="82">
        <f t="shared" si="28"/>
        <v>644800</v>
      </c>
      <c r="R150" s="81">
        <f t="shared" si="29"/>
        <v>1.1910669975186106</v>
      </c>
      <c r="T150" s="82">
        <f t="shared" si="27"/>
        <v>642400</v>
      </c>
      <c r="U150" s="82">
        <v>144</v>
      </c>
      <c r="V150" s="82"/>
      <c r="W150" s="83"/>
    </row>
    <row r="151" spans="1:23" s="68" customFormat="1">
      <c r="A151" s="87">
        <v>43212</v>
      </c>
      <c r="B151" s="87" t="s">
        <v>37</v>
      </c>
      <c r="C151" s="88" t="s">
        <v>68</v>
      </c>
      <c r="D151" s="87" t="s">
        <v>53</v>
      </c>
      <c r="E151" s="81">
        <v>0.3</v>
      </c>
      <c r="F151" s="68">
        <v>840</v>
      </c>
      <c r="G151" s="68">
        <v>88</v>
      </c>
      <c r="H151" s="68">
        <v>0</v>
      </c>
      <c r="I151" s="68">
        <v>58</v>
      </c>
      <c r="J151" s="68">
        <v>0</v>
      </c>
      <c r="K151" s="68">
        <v>82</v>
      </c>
      <c r="L151" s="68">
        <v>0</v>
      </c>
      <c r="P151" s="82">
        <f t="shared" si="30"/>
        <v>253.33333333333334</v>
      </c>
      <c r="Q151" s="82">
        <f t="shared" si="28"/>
        <v>212800</v>
      </c>
      <c r="R151" s="81">
        <f t="shared" si="29"/>
        <v>3.1578947368421053</v>
      </c>
      <c r="T151" s="82">
        <f t="shared" si="27"/>
        <v>210400</v>
      </c>
      <c r="U151" s="82">
        <v>145</v>
      </c>
      <c r="V151" s="82"/>
      <c r="W151" s="83"/>
    </row>
    <row r="152" spans="1:23" s="68" customFormat="1">
      <c r="A152" s="87">
        <v>43212</v>
      </c>
      <c r="B152" s="87" t="s">
        <v>36</v>
      </c>
      <c r="C152" s="88" t="s">
        <v>42</v>
      </c>
      <c r="D152" s="87" t="s">
        <v>53</v>
      </c>
      <c r="E152" s="81">
        <v>0.4</v>
      </c>
      <c r="F152" s="68">
        <v>550</v>
      </c>
      <c r="G152" s="68">
        <v>42</v>
      </c>
      <c r="H152" s="68">
        <v>0</v>
      </c>
      <c r="I152" s="68">
        <v>38</v>
      </c>
      <c r="J152" s="68">
        <v>0</v>
      </c>
      <c r="K152" s="68">
        <v>47</v>
      </c>
      <c r="L152" s="68">
        <v>0</v>
      </c>
      <c r="P152" s="82">
        <f t="shared" si="30"/>
        <v>105.83333333333333</v>
      </c>
      <c r="Q152" s="82">
        <f t="shared" si="28"/>
        <v>58208.333333333328</v>
      </c>
      <c r="R152" s="81">
        <f t="shared" si="29"/>
        <v>7.5590551181102361</v>
      </c>
      <c r="T152" s="82">
        <f t="shared" si="27"/>
        <v>55808.333333333328</v>
      </c>
      <c r="U152" s="82">
        <v>146</v>
      </c>
      <c r="V152" s="82"/>
      <c r="W152" s="83"/>
    </row>
    <row r="153" spans="1:23" s="68" customFormat="1">
      <c r="A153" s="87">
        <v>43212</v>
      </c>
      <c r="B153" s="87" t="s">
        <v>59</v>
      </c>
      <c r="C153" s="88" t="s">
        <v>66</v>
      </c>
      <c r="D153" s="87" t="s">
        <v>53</v>
      </c>
      <c r="E153" s="81">
        <v>0.3</v>
      </c>
      <c r="F153" s="68">
        <v>730</v>
      </c>
      <c r="G153" s="68">
        <v>126</v>
      </c>
      <c r="H153" s="68">
        <v>0</v>
      </c>
      <c r="I153" s="68">
        <v>114</v>
      </c>
      <c r="J153" s="68">
        <v>0</v>
      </c>
      <c r="K153" s="68">
        <v>119</v>
      </c>
      <c r="L153" s="68">
        <v>0</v>
      </c>
      <c r="P153" s="82">
        <f t="shared" ref="P153:P161" si="31">AVERAGE(G153,I153,K153)/E153</f>
        <v>398.88888888888891</v>
      </c>
      <c r="Q153" s="82">
        <f t="shared" si="28"/>
        <v>291188.88888888893</v>
      </c>
      <c r="R153" s="81">
        <f t="shared" si="29"/>
        <v>2.0055710306406684</v>
      </c>
      <c r="T153" s="82">
        <f t="shared" si="27"/>
        <v>288788.88888888893</v>
      </c>
      <c r="U153" s="82">
        <v>147</v>
      </c>
      <c r="V153" s="82"/>
      <c r="W153" s="83"/>
    </row>
    <row r="154" spans="1:23">
      <c r="A154" s="34">
        <v>43214</v>
      </c>
      <c r="B154" s="34" t="s">
        <v>29</v>
      </c>
      <c r="C154" s="45" t="s">
        <v>62</v>
      </c>
      <c r="D154" s="34" t="s">
        <v>53</v>
      </c>
      <c r="E154" s="30">
        <v>0.3</v>
      </c>
      <c r="F154" s="29">
        <v>770</v>
      </c>
      <c r="G154" s="29">
        <v>121</v>
      </c>
      <c r="H154" s="29">
        <v>0</v>
      </c>
      <c r="I154" s="29">
        <v>122</v>
      </c>
      <c r="J154" s="29">
        <v>0</v>
      </c>
      <c r="K154" s="29">
        <v>114</v>
      </c>
      <c r="L154" s="29">
        <v>0</v>
      </c>
      <c r="M154" s="29"/>
      <c r="N154" s="29"/>
      <c r="O154" s="29"/>
      <c r="P154" s="31">
        <f t="shared" si="31"/>
        <v>396.66666666666669</v>
      </c>
      <c r="Q154" s="31">
        <f t="shared" ref="Q154:Q161" si="32">P154*F154</f>
        <v>305433.33333333337</v>
      </c>
      <c r="R154" s="30">
        <f t="shared" si="29"/>
        <v>2.0168067226890756</v>
      </c>
      <c r="T154" s="31">
        <f t="shared" si="27"/>
        <v>303033.33333333337</v>
      </c>
      <c r="U154" s="31">
        <v>148</v>
      </c>
    </row>
    <row r="155" spans="1:23" s="68" customFormat="1">
      <c r="A155" s="87">
        <v>43215</v>
      </c>
      <c r="B155" s="87" t="s">
        <v>29</v>
      </c>
      <c r="C155" s="88" t="s">
        <v>62</v>
      </c>
      <c r="D155" s="87" t="s">
        <v>53</v>
      </c>
      <c r="E155" s="81">
        <v>0.2</v>
      </c>
      <c r="F155" s="68">
        <v>940</v>
      </c>
      <c r="G155" s="68">
        <v>190</v>
      </c>
      <c r="H155" s="68">
        <v>2</v>
      </c>
      <c r="I155" s="68">
        <v>197</v>
      </c>
      <c r="J155" s="68">
        <v>1</v>
      </c>
      <c r="K155" s="68">
        <v>197</v>
      </c>
      <c r="L155" s="68">
        <v>0</v>
      </c>
      <c r="P155" s="82">
        <f t="shared" si="31"/>
        <v>973.33333333333326</v>
      </c>
      <c r="Q155" s="82">
        <f t="shared" si="32"/>
        <v>914933.33333333326</v>
      </c>
      <c r="R155" s="81">
        <f t="shared" si="29"/>
        <v>0.82191780821917815</v>
      </c>
      <c r="T155" s="82">
        <f t="shared" si="27"/>
        <v>912533.33333333326</v>
      </c>
      <c r="U155" s="82">
        <v>149</v>
      </c>
      <c r="V155" s="82"/>
      <c r="W155" s="83"/>
    </row>
    <row r="156" spans="1:23" s="68" customFormat="1">
      <c r="A156" s="87">
        <v>43215</v>
      </c>
      <c r="B156" s="87" t="s">
        <v>28</v>
      </c>
      <c r="C156" s="88" t="s">
        <v>69</v>
      </c>
      <c r="D156" s="87" t="s">
        <v>53</v>
      </c>
      <c r="E156" s="81">
        <v>0.25</v>
      </c>
      <c r="F156" s="68">
        <v>875</v>
      </c>
      <c r="G156" s="68">
        <v>134</v>
      </c>
      <c r="H156" s="68">
        <v>2</v>
      </c>
      <c r="I156" s="68">
        <v>136</v>
      </c>
      <c r="J156" s="68">
        <v>3</v>
      </c>
      <c r="K156" s="68">
        <v>136</v>
      </c>
      <c r="L156" s="68">
        <v>2</v>
      </c>
      <c r="P156" s="82">
        <f t="shared" si="31"/>
        <v>541.33333333333337</v>
      </c>
      <c r="Q156" s="82">
        <f t="shared" si="32"/>
        <v>473666.66666666669</v>
      </c>
      <c r="R156" s="81">
        <f t="shared" si="29"/>
        <v>1.4778325123152709</v>
      </c>
      <c r="T156" s="82">
        <f t="shared" si="27"/>
        <v>471266.66666666669</v>
      </c>
      <c r="U156" s="82">
        <v>150</v>
      </c>
      <c r="V156" s="82"/>
      <c r="W156" s="83"/>
    </row>
    <row r="157" spans="1:23" s="68" customFormat="1">
      <c r="A157" s="87">
        <v>43215</v>
      </c>
      <c r="B157" s="87" t="s">
        <v>37</v>
      </c>
      <c r="C157" s="88" t="s">
        <v>39</v>
      </c>
      <c r="D157" s="87" t="s">
        <v>53</v>
      </c>
      <c r="E157" s="81">
        <v>0.3</v>
      </c>
      <c r="F157" s="68">
        <v>700</v>
      </c>
      <c r="G157" s="68">
        <v>110</v>
      </c>
      <c r="H157" s="68">
        <v>0</v>
      </c>
      <c r="I157" s="68">
        <v>130</v>
      </c>
      <c r="J157" s="68">
        <v>2</v>
      </c>
      <c r="K157" s="68">
        <v>125</v>
      </c>
      <c r="L157" s="68">
        <v>0</v>
      </c>
      <c r="P157" s="82">
        <f t="shared" si="31"/>
        <v>405.5555555555556</v>
      </c>
      <c r="Q157" s="82">
        <f t="shared" si="32"/>
        <v>283888.88888888893</v>
      </c>
      <c r="R157" s="81">
        <f t="shared" si="29"/>
        <v>1.9726027397260273</v>
      </c>
      <c r="T157" s="82">
        <f t="shared" si="27"/>
        <v>281488.88888888893</v>
      </c>
      <c r="U157" s="82">
        <v>151</v>
      </c>
      <c r="V157" s="82"/>
      <c r="W157" s="83"/>
    </row>
    <row r="158" spans="1:23" s="68" customFormat="1">
      <c r="A158" s="87">
        <v>43215</v>
      </c>
      <c r="B158" s="87" t="s">
        <v>84</v>
      </c>
      <c r="C158" s="88" t="s">
        <v>97</v>
      </c>
      <c r="D158" s="87" t="s">
        <v>53</v>
      </c>
      <c r="E158" s="81">
        <v>0.2</v>
      </c>
      <c r="F158" s="68">
        <v>840</v>
      </c>
      <c r="G158" s="68">
        <v>118</v>
      </c>
      <c r="H158" s="68">
        <v>0</v>
      </c>
      <c r="I158" s="68">
        <v>127</v>
      </c>
      <c r="J158" s="68">
        <v>1</v>
      </c>
      <c r="K158" s="68">
        <v>111</v>
      </c>
      <c r="L158" s="68">
        <v>0</v>
      </c>
      <c r="P158" s="82">
        <f t="shared" si="31"/>
        <v>593.33333333333337</v>
      </c>
      <c r="Q158" s="82">
        <f t="shared" si="32"/>
        <v>498400.00000000006</v>
      </c>
      <c r="R158" s="81">
        <f t="shared" si="29"/>
        <v>1.348314606741573</v>
      </c>
      <c r="T158" s="82">
        <f t="shared" si="27"/>
        <v>496000.00000000006</v>
      </c>
      <c r="U158" s="82">
        <v>152</v>
      </c>
      <c r="V158" s="82"/>
      <c r="W158" s="83"/>
    </row>
    <row r="159" spans="1:23" s="68" customFormat="1">
      <c r="A159" s="87">
        <v>43215</v>
      </c>
      <c r="B159" s="87" t="s">
        <v>36</v>
      </c>
      <c r="C159" s="88" t="s">
        <v>38</v>
      </c>
      <c r="D159" s="87" t="s">
        <v>53</v>
      </c>
      <c r="E159" s="81">
        <v>0.3</v>
      </c>
      <c r="F159" s="68">
        <v>650</v>
      </c>
      <c r="G159" s="68">
        <v>108</v>
      </c>
      <c r="H159" s="68">
        <v>1</v>
      </c>
      <c r="I159" s="68">
        <v>116</v>
      </c>
      <c r="J159" s="68">
        <v>0</v>
      </c>
      <c r="K159" s="68">
        <v>97</v>
      </c>
      <c r="L159" s="68">
        <v>1</v>
      </c>
      <c r="P159" s="82">
        <f t="shared" si="31"/>
        <v>356.66666666666669</v>
      </c>
      <c r="Q159" s="82">
        <f t="shared" si="32"/>
        <v>231833.33333333334</v>
      </c>
      <c r="R159" s="81">
        <f t="shared" si="29"/>
        <v>2.2429906542056073</v>
      </c>
      <c r="T159" s="82">
        <f t="shared" si="27"/>
        <v>229433.33333333334</v>
      </c>
      <c r="U159" s="82">
        <v>153</v>
      </c>
      <c r="V159" s="82"/>
      <c r="W159" s="83"/>
    </row>
    <row r="160" spans="1:23" s="68" customFormat="1">
      <c r="A160" s="87">
        <v>43215</v>
      </c>
      <c r="B160" s="87" t="s">
        <v>61</v>
      </c>
      <c r="C160" s="88" t="s">
        <v>66</v>
      </c>
      <c r="D160" s="87" t="s">
        <v>53</v>
      </c>
      <c r="E160" s="81">
        <v>0.3</v>
      </c>
      <c r="F160" s="68">
        <v>575</v>
      </c>
      <c r="G160" s="68">
        <v>115</v>
      </c>
      <c r="H160" s="68">
        <v>2</v>
      </c>
      <c r="I160" s="68">
        <v>116</v>
      </c>
      <c r="J160" s="68">
        <v>1</v>
      </c>
      <c r="K160" s="68">
        <v>154</v>
      </c>
      <c r="L160" s="68">
        <v>3</v>
      </c>
      <c r="P160" s="82">
        <f t="shared" si="31"/>
        <v>427.77777777777783</v>
      </c>
      <c r="Q160" s="82">
        <f t="shared" si="32"/>
        <v>245972.22222222225</v>
      </c>
      <c r="R160" s="81">
        <f t="shared" si="29"/>
        <v>1.8701298701298699</v>
      </c>
      <c r="T160" s="82">
        <f t="shared" si="27"/>
        <v>243572.22222222225</v>
      </c>
      <c r="U160" s="82">
        <v>154</v>
      </c>
      <c r="V160" s="82"/>
      <c r="W160" s="83"/>
    </row>
    <row r="161" spans="1:21">
      <c r="A161" s="34">
        <v>43217</v>
      </c>
      <c r="B161" s="34" t="s">
        <v>29</v>
      </c>
      <c r="C161" s="45" t="s">
        <v>62</v>
      </c>
      <c r="D161" s="34" t="s">
        <v>53</v>
      </c>
      <c r="E161" s="30">
        <v>0.3</v>
      </c>
      <c r="F161" s="29">
        <v>780</v>
      </c>
      <c r="G161" s="29">
        <v>112</v>
      </c>
      <c r="H161" s="29">
        <v>2</v>
      </c>
      <c r="I161" s="29">
        <v>108</v>
      </c>
      <c r="J161" s="29">
        <v>0</v>
      </c>
      <c r="K161" s="29">
        <v>110</v>
      </c>
      <c r="L161" s="29">
        <v>2</v>
      </c>
      <c r="P161" s="31">
        <f t="shared" si="31"/>
        <v>366.66666666666669</v>
      </c>
      <c r="Q161" s="31">
        <f t="shared" si="32"/>
        <v>286000</v>
      </c>
      <c r="R161" s="30">
        <f t="shared" si="29"/>
        <v>2.1818181818181817</v>
      </c>
      <c r="T161" s="31">
        <f t="shared" si="27"/>
        <v>283600</v>
      </c>
      <c r="U161" s="31">
        <v>155</v>
      </c>
    </row>
  </sheetData>
  <sortState ref="A91:A111">
    <sortCondition ref="A9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showRuler="0" workbookViewId="0">
      <selection activeCell="N23" sqref="N23"/>
    </sheetView>
  </sheetViews>
  <sheetFormatPr baseColWidth="10" defaultRowHeight="15" x14ac:dyDescent="0"/>
  <cols>
    <col min="1" max="1" width="11.83203125" style="191" customWidth="1"/>
    <col min="2" max="2" width="15.33203125" style="191" customWidth="1"/>
    <col min="3" max="3" width="14.83203125" style="191" customWidth="1"/>
    <col min="4" max="4" width="10.83203125" style="191"/>
    <col min="5" max="6" width="10.83203125" style="191" customWidth="1"/>
    <col min="7" max="7" width="13.83203125" style="191" customWidth="1"/>
    <col min="8" max="8" width="15.33203125" style="191" customWidth="1"/>
    <col min="9" max="10" width="14.1640625" style="191" customWidth="1"/>
    <col min="11" max="23" width="10.83203125" style="191"/>
    <col min="24" max="24" width="10.83203125" style="191" customWidth="1"/>
    <col min="25" max="16384" width="10.83203125" style="191"/>
  </cols>
  <sheetData>
    <row r="1" spans="1:24" s="196" customFormat="1">
      <c r="A1" s="196" t="s">
        <v>390</v>
      </c>
      <c r="B1" s="196" t="s">
        <v>389</v>
      </c>
      <c r="C1" s="196" t="s">
        <v>388</v>
      </c>
      <c r="D1" s="196" t="s">
        <v>157</v>
      </c>
      <c r="E1" s="196" t="s">
        <v>316</v>
      </c>
      <c r="F1" s="196" t="s">
        <v>317</v>
      </c>
      <c r="G1" s="196" t="s">
        <v>391</v>
      </c>
      <c r="H1" s="196" t="s">
        <v>392</v>
      </c>
      <c r="I1" s="196" t="s">
        <v>393</v>
      </c>
      <c r="J1" s="196" t="s">
        <v>394</v>
      </c>
    </row>
    <row r="2" spans="1:24">
      <c r="A2" s="201">
        <v>43190</v>
      </c>
      <c r="B2" s="201">
        <v>43226</v>
      </c>
      <c r="C2" s="194">
        <f>B2-A2</f>
        <v>36</v>
      </c>
      <c r="D2" s="191" t="s">
        <v>231</v>
      </c>
      <c r="E2" s="191" t="s">
        <v>312</v>
      </c>
      <c r="F2" s="191" t="s">
        <v>29</v>
      </c>
      <c r="G2" s="191">
        <v>12</v>
      </c>
      <c r="H2" s="191">
        <v>60</v>
      </c>
      <c r="I2" s="191">
        <v>3</v>
      </c>
      <c r="J2" s="191">
        <f t="shared" ref="J2:J33" si="0">SUM(G2:I2)</f>
        <v>75</v>
      </c>
      <c r="X2" s="202"/>
    </row>
    <row r="3" spans="1:24">
      <c r="A3" s="201">
        <v>43190</v>
      </c>
      <c r="B3" s="201">
        <v>43226</v>
      </c>
      <c r="C3" s="194">
        <f t="shared" ref="C3:C66" si="1">B3-A3</f>
        <v>36</v>
      </c>
      <c r="D3" s="191" t="s">
        <v>232</v>
      </c>
      <c r="E3" s="191" t="s">
        <v>312</v>
      </c>
      <c r="F3" s="191" t="s">
        <v>29</v>
      </c>
      <c r="G3" s="191">
        <v>16</v>
      </c>
      <c r="H3" s="191">
        <v>39</v>
      </c>
      <c r="I3" s="191">
        <v>8</v>
      </c>
      <c r="J3" s="191">
        <f t="shared" si="0"/>
        <v>63</v>
      </c>
    </row>
    <row r="4" spans="1:24">
      <c r="A4" s="201">
        <v>43190</v>
      </c>
      <c r="B4" s="201">
        <v>43226</v>
      </c>
      <c r="C4" s="194">
        <f t="shared" si="1"/>
        <v>36</v>
      </c>
      <c r="D4" s="191" t="s">
        <v>233</v>
      </c>
      <c r="E4" s="191" t="s">
        <v>312</v>
      </c>
      <c r="F4" s="191" t="s">
        <v>29</v>
      </c>
      <c r="G4" s="191">
        <v>3</v>
      </c>
      <c r="H4" s="191">
        <v>39</v>
      </c>
      <c r="I4" s="191">
        <v>1</v>
      </c>
      <c r="J4" s="191">
        <f t="shared" si="0"/>
        <v>43</v>
      </c>
    </row>
    <row r="5" spans="1:24">
      <c r="A5" s="201">
        <v>43191</v>
      </c>
      <c r="B5" s="201">
        <v>43226</v>
      </c>
      <c r="C5" s="194">
        <f t="shared" si="1"/>
        <v>35</v>
      </c>
      <c r="D5" s="191" t="s">
        <v>234</v>
      </c>
      <c r="E5" s="191" t="s">
        <v>313</v>
      </c>
      <c r="F5" s="191" t="s">
        <v>28</v>
      </c>
      <c r="G5" s="191">
        <v>2</v>
      </c>
      <c r="H5" s="191">
        <v>38</v>
      </c>
      <c r="I5" s="191">
        <v>0</v>
      </c>
      <c r="J5" s="191">
        <f t="shared" si="0"/>
        <v>40</v>
      </c>
    </row>
    <row r="6" spans="1:24">
      <c r="A6" s="201">
        <v>43191</v>
      </c>
      <c r="B6" s="201">
        <v>43226</v>
      </c>
      <c r="C6" s="194">
        <f t="shared" si="1"/>
        <v>35</v>
      </c>
      <c r="D6" s="191" t="s">
        <v>235</v>
      </c>
      <c r="E6" s="191" t="s">
        <v>313</v>
      </c>
      <c r="F6" s="191" t="s">
        <v>28</v>
      </c>
      <c r="G6" s="191">
        <v>0</v>
      </c>
      <c r="H6" s="191">
        <v>20</v>
      </c>
      <c r="I6" s="191">
        <v>1</v>
      </c>
      <c r="J6" s="191">
        <f t="shared" si="0"/>
        <v>21</v>
      </c>
    </row>
    <row r="7" spans="1:24">
      <c r="A7" s="201">
        <v>43191</v>
      </c>
      <c r="B7" s="201">
        <v>43226</v>
      </c>
      <c r="C7" s="194">
        <f t="shared" si="1"/>
        <v>35</v>
      </c>
      <c r="D7" s="191" t="s">
        <v>236</v>
      </c>
      <c r="E7" s="191" t="s">
        <v>313</v>
      </c>
      <c r="F7" s="191" t="s">
        <v>28</v>
      </c>
      <c r="G7" s="191">
        <v>1</v>
      </c>
      <c r="H7" s="191">
        <v>3</v>
      </c>
      <c r="I7" s="191">
        <v>0</v>
      </c>
      <c r="J7" s="191">
        <f t="shared" si="0"/>
        <v>4</v>
      </c>
    </row>
    <row r="8" spans="1:24">
      <c r="A8" s="201">
        <v>43192</v>
      </c>
      <c r="B8" s="201">
        <v>43228</v>
      </c>
      <c r="C8" s="194">
        <f t="shared" si="1"/>
        <v>36</v>
      </c>
      <c r="D8" s="191" t="s">
        <v>237</v>
      </c>
      <c r="E8" s="191" t="s">
        <v>314</v>
      </c>
      <c r="F8" s="191" t="s">
        <v>61</v>
      </c>
      <c r="G8" s="191">
        <v>20</v>
      </c>
      <c r="H8" s="191">
        <v>115</v>
      </c>
      <c r="I8" s="191">
        <v>12</v>
      </c>
      <c r="J8" s="191">
        <f t="shared" si="0"/>
        <v>147</v>
      </c>
    </row>
    <row r="9" spans="1:24">
      <c r="A9" s="201">
        <v>43192</v>
      </c>
      <c r="B9" s="201">
        <v>43228</v>
      </c>
      <c r="C9" s="194">
        <f t="shared" si="1"/>
        <v>36</v>
      </c>
      <c r="D9" s="191" t="s">
        <v>238</v>
      </c>
      <c r="E9" s="191" t="s">
        <v>314</v>
      </c>
      <c r="F9" s="191" t="s">
        <v>61</v>
      </c>
      <c r="G9" s="191">
        <v>6</v>
      </c>
      <c r="H9" s="191">
        <v>133</v>
      </c>
      <c r="I9" s="191">
        <v>2</v>
      </c>
      <c r="J9" s="191">
        <f t="shared" si="0"/>
        <v>141</v>
      </c>
    </row>
    <row r="10" spans="1:24">
      <c r="A10" s="201">
        <v>43192</v>
      </c>
      <c r="B10" s="201">
        <v>43228</v>
      </c>
      <c r="C10" s="194">
        <f t="shared" si="1"/>
        <v>36</v>
      </c>
      <c r="D10" s="191" t="s">
        <v>239</v>
      </c>
      <c r="E10" s="191" t="s">
        <v>314</v>
      </c>
      <c r="F10" s="191" t="s">
        <v>61</v>
      </c>
      <c r="G10" s="191">
        <v>12</v>
      </c>
      <c r="H10" s="191">
        <v>202</v>
      </c>
      <c r="I10" s="191">
        <v>4</v>
      </c>
      <c r="J10" s="191">
        <f t="shared" si="0"/>
        <v>218</v>
      </c>
    </row>
    <row r="11" spans="1:24">
      <c r="A11" s="201">
        <v>43192</v>
      </c>
      <c r="B11" s="201">
        <v>43228</v>
      </c>
      <c r="C11" s="194">
        <f t="shared" si="1"/>
        <v>36</v>
      </c>
      <c r="D11" s="191" t="s">
        <v>240</v>
      </c>
      <c r="E11" s="191" t="s">
        <v>312</v>
      </c>
      <c r="F11" s="191" t="s">
        <v>36</v>
      </c>
      <c r="G11" s="191">
        <v>8</v>
      </c>
      <c r="H11" s="191">
        <v>42</v>
      </c>
      <c r="I11" s="191">
        <v>7</v>
      </c>
      <c r="J11" s="191">
        <f t="shared" si="0"/>
        <v>57</v>
      </c>
    </row>
    <row r="12" spans="1:24">
      <c r="A12" s="201">
        <v>43192</v>
      </c>
      <c r="B12" s="201">
        <v>43228</v>
      </c>
      <c r="C12" s="194">
        <f t="shared" si="1"/>
        <v>36</v>
      </c>
      <c r="D12" s="191" t="s">
        <v>241</v>
      </c>
      <c r="E12" s="191" t="s">
        <v>312</v>
      </c>
      <c r="F12" s="191" t="s">
        <v>36</v>
      </c>
      <c r="G12" s="191">
        <v>10</v>
      </c>
      <c r="H12" s="191">
        <v>36</v>
      </c>
      <c r="I12" s="191">
        <v>3</v>
      </c>
      <c r="J12" s="191">
        <f t="shared" si="0"/>
        <v>49</v>
      </c>
    </row>
    <row r="13" spans="1:24">
      <c r="A13" s="201">
        <v>43192</v>
      </c>
      <c r="B13" s="201">
        <v>43228</v>
      </c>
      <c r="C13" s="194">
        <f t="shared" si="1"/>
        <v>36</v>
      </c>
      <c r="D13" s="191" t="s">
        <v>242</v>
      </c>
      <c r="E13" s="191" t="s">
        <v>312</v>
      </c>
      <c r="F13" s="191" t="s">
        <v>36</v>
      </c>
      <c r="G13" s="191">
        <v>2</v>
      </c>
      <c r="H13" s="191">
        <v>27</v>
      </c>
      <c r="I13" s="191">
        <v>2</v>
      </c>
      <c r="J13" s="191">
        <f t="shared" si="0"/>
        <v>31</v>
      </c>
    </row>
    <row r="14" spans="1:24">
      <c r="A14" s="201">
        <v>43192</v>
      </c>
      <c r="B14" s="201">
        <v>43228</v>
      </c>
      <c r="C14" s="194">
        <f t="shared" si="1"/>
        <v>36</v>
      </c>
      <c r="D14" s="191" t="s">
        <v>243</v>
      </c>
      <c r="E14" s="191" t="s">
        <v>313</v>
      </c>
      <c r="F14" s="191" t="s">
        <v>37</v>
      </c>
      <c r="G14" s="191">
        <v>28</v>
      </c>
      <c r="H14" s="191">
        <v>53</v>
      </c>
      <c r="I14" s="191">
        <v>7</v>
      </c>
      <c r="J14" s="191">
        <f t="shared" si="0"/>
        <v>88</v>
      </c>
    </row>
    <row r="15" spans="1:24">
      <c r="A15" s="201">
        <v>43192</v>
      </c>
      <c r="B15" s="201">
        <v>43228</v>
      </c>
      <c r="C15" s="194">
        <f t="shared" si="1"/>
        <v>36</v>
      </c>
      <c r="D15" s="191" t="s">
        <v>244</v>
      </c>
      <c r="E15" s="191" t="s">
        <v>313</v>
      </c>
      <c r="F15" s="191" t="s">
        <v>37</v>
      </c>
      <c r="G15" s="191">
        <v>19</v>
      </c>
      <c r="H15" s="191">
        <v>36</v>
      </c>
      <c r="I15" s="191">
        <v>5</v>
      </c>
      <c r="J15" s="191">
        <f t="shared" si="0"/>
        <v>60</v>
      </c>
    </row>
    <row r="16" spans="1:24">
      <c r="A16" s="201">
        <v>43192</v>
      </c>
      <c r="B16" s="201">
        <v>43228</v>
      </c>
      <c r="C16" s="194">
        <f t="shared" si="1"/>
        <v>36</v>
      </c>
      <c r="D16" s="191" t="s">
        <v>245</v>
      </c>
      <c r="E16" s="191" t="s">
        <v>313</v>
      </c>
      <c r="F16" s="191" t="s">
        <v>37</v>
      </c>
      <c r="G16" s="191">
        <v>28</v>
      </c>
      <c r="H16" s="191">
        <v>40</v>
      </c>
      <c r="I16" s="191">
        <v>15</v>
      </c>
      <c r="J16" s="191">
        <f t="shared" si="0"/>
        <v>83</v>
      </c>
    </row>
    <row r="17" spans="1:10">
      <c r="A17" s="201">
        <v>43192</v>
      </c>
      <c r="B17" s="201">
        <v>43228</v>
      </c>
      <c r="C17" s="194">
        <f t="shared" si="1"/>
        <v>36</v>
      </c>
      <c r="D17" s="191" t="s">
        <v>246</v>
      </c>
      <c r="E17" s="191" t="s">
        <v>314</v>
      </c>
      <c r="F17" s="191" t="s">
        <v>59</v>
      </c>
      <c r="G17" s="191">
        <v>4</v>
      </c>
      <c r="H17" s="191">
        <v>108</v>
      </c>
      <c r="I17" s="191">
        <v>3</v>
      </c>
      <c r="J17" s="191">
        <f t="shared" si="0"/>
        <v>115</v>
      </c>
    </row>
    <row r="18" spans="1:10">
      <c r="A18" s="201">
        <v>43192</v>
      </c>
      <c r="B18" s="201">
        <v>43228</v>
      </c>
      <c r="C18" s="194">
        <f t="shared" si="1"/>
        <v>36</v>
      </c>
      <c r="D18" s="191" t="s">
        <v>247</v>
      </c>
      <c r="E18" s="191" t="s">
        <v>314</v>
      </c>
      <c r="F18" s="191" t="s">
        <v>59</v>
      </c>
      <c r="G18" s="191">
        <v>16</v>
      </c>
      <c r="H18" s="191">
        <v>146</v>
      </c>
      <c r="I18" s="191">
        <v>4</v>
      </c>
      <c r="J18" s="191">
        <f t="shared" si="0"/>
        <v>166</v>
      </c>
    </row>
    <row r="19" spans="1:10">
      <c r="A19" s="201">
        <v>43192</v>
      </c>
      <c r="B19" s="201">
        <v>43228</v>
      </c>
      <c r="C19" s="194">
        <f t="shared" si="1"/>
        <v>36</v>
      </c>
      <c r="D19" s="191" t="s">
        <v>248</v>
      </c>
      <c r="E19" s="191" t="s">
        <v>314</v>
      </c>
      <c r="F19" s="191" t="s">
        <v>59</v>
      </c>
      <c r="G19" s="191">
        <v>2</v>
      </c>
      <c r="H19" s="191">
        <v>143</v>
      </c>
      <c r="I19" s="191">
        <v>1</v>
      </c>
      <c r="J19" s="191">
        <f t="shared" si="0"/>
        <v>146</v>
      </c>
    </row>
    <row r="20" spans="1:10">
      <c r="A20" s="201">
        <v>43192</v>
      </c>
      <c r="B20" s="201">
        <v>43228</v>
      </c>
      <c r="C20" s="194">
        <f t="shared" si="1"/>
        <v>36</v>
      </c>
      <c r="D20" s="191" t="s">
        <v>249</v>
      </c>
      <c r="E20" s="191" t="s">
        <v>312</v>
      </c>
      <c r="F20" s="191" t="s">
        <v>29</v>
      </c>
      <c r="G20" s="191">
        <v>5</v>
      </c>
      <c r="H20" s="191">
        <v>49</v>
      </c>
      <c r="I20" s="191">
        <v>15</v>
      </c>
      <c r="J20" s="191">
        <f t="shared" si="0"/>
        <v>69</v>
      </c>
    </row>
    <row r="21" spans="1:10">
      <c r="A21" s="201">
        <v>43192</v>
      </c>
      <c r="B21" s="201">
        <v>43228</v>
      </c>
      <c r="C21" s="194">
        <f t="shared" si="1"/>
        <v>36</v>
      </c>
      <c r="D21" s="191" t="s">
        <v>250</v>
      </c>
      <c r="E21" s="191" t="s">
        <v>312</v>
      </c>
      <c r="F21" s="191" t="s">
        <v>29</v>
      </c>
      <c r="G21" s="191">
        <v>5</v>
      </c>
      <c r="H21" s="191">
        <v>22</v>
      </c>
      <c r="I21" s="191">
        <v>6</v>
      </c>
      <c r="J21" s="191">
        <f t="shared" si="0"/>
        <v>33</v>
      </c>
    </row>
    <row r="22" spans="1:10">
      <c r="A22" s="201">
        <v>43192</v>
      </c>
      <c r="B22" s="201">
        <v>43228</v>
      </c>
      <c r="C22" s="194">
        <f t="shared" si="1"/>
        <v>36</v>
      </c>
      <c r="D22" s="191" t="s">
        <v>251</v>
      </c>
      <c r="E22" s="191" t="s">
        <v>312</v>
      </c>
      <c r="F22" s="191" t="s">
        <v>29</v>
      </c>
      <c r="G22" s="191">
        <v>4</v>
      </c>
      <c r="H22" s="191">
        <v>19</v>
      </c>
      <c r="I22" s="191">
        <v>4</v>
      </c>
      <c r="J22" s="191">
        <f t="shared" si="0"/>
        <v>27</v>
      </c>
    </row>
    <row r="23" spans="1:10">
      <c r="A23" s="201">
        <v>43193</v>
      </c>
      <c r="B23" s="201">
        <v>43228</v>
      </c>
      <c r="C23" s="194">
        <f t="shared" si="1"/>
        <v>35</v>
      </c>
      <c r="D23" s="191" t="s">
        <v>252</v>
      </c>
      <c r="E23" s="191" t="s">
        <v>313</v>
      </c>
      <c r="F23" s="191" t="s">
        <v>37</v>
      </c>
      <c r="G23" s="191">
        <v>0</v>
      </c>
      <c r="H23" s="191">
        <v>2</v>
      </c>
      <c r="I23" s="191">
        <v>0</v>
      </c>
      <c r="J23" s="191">
        <f t="shared" si="0"/>
        <v>2</v>
      </c>
    </row>
    <row r="24" spans="1:10">
      <c r="A24" s="201">
        <v>43193</v>
      </c>
      <c r="B24" s="201">
        <v>43228</v>
      </c>
      <c r="C24" s="194">
        <f t="shared" si="1"/>
        <v>35</v>
      </c>
      <c r="D24" s="191" t="s">
        <v>253</v>
      </c>
      <c r="E24" s="191" t="s">
        <v>313</v>
      </c>
      <c r="F24" s="191" t="s">
        <v>37</v>
      </c>
      <c r="G24" s="191">
        <v>0</v>
      </c>
      <c r="H24" s="191">
        <v>0</v>
      </c>
      <c r="I24" s="191">
        <v>0</v>
      </c>
      <c r="J24" s="191">
        <f t="shared" si="0"/>
        <v>0</v>
      </c>
    </row>
    <row r="25" spans="1:10">
      <c r="A25" s="201">
        <v>43193</v>
      </c>
      <c r="B25" s="201">
        <v>43228</v>
      </c>
      <c r="C25" s="194">
        <f t="shared" si="1"/>
        <v>35</v>
      </c>
      <c r="D25" s="191" t="s">
        <v>254</v>
      </c>
      <c r="E25" s="191" t="s">
        <v>313</v>
      </c>
      <c r="F25" s="191" t="s">
        <v>37</v>
      </c>
      <c r="G25" s="191">
        <v>1</v>
      </c>
      <c r="H25" s="191">
        <v>3</v>
      </c>
      <c r="I25" s="191">
        <v>0</v>
      </c>
      <c r="J25" s="191">
        <f t="shared" si="0"/>
        <v>4</v>
      </c>
    </row>
    <row r="26" spans="1:10">
      <c r="A26" s="201">
        <v>43193</v>
      </c>
      <c r="B26" s="201">
        <v>43228</v>
      </c>
      <c r="C26" s="194">
        <f t="shared" si="1"/>
        <v>35</v>
      </c>
      <c r="D26" s="191" t="s">
        <v>255</v>
      </c>
      <c r="E26" s="191" t="s">
        <v>314</v>
      </c>
      <c r="F26" s="191" t="s">
        <v>59</v>
      </c>
      <c r="G26" s="191">
        <v>1</v>
      </c>
      <c r="H26" s="191">
        <v>8</v>
      </c>
      <c r="I26" s="191">
        <v>0</v>
      </c>
      <c r="J26" s="191">
        <f t="shared" si="0"/>
        <v>9</v>
      </c>
    </row>
    <row r="27" spans="1:10">
      <c r="A27" s="201">
        <v>43193</v>
      </c>
      <c r="B27" s="201">
        <v>43228</v>
      </c>
      <c r="C27" s="194">
        <f t="shared" si="1"/>
        <v>35</v>
      </c>
      <c r="D27" s="191" t="s">
        <v>256</v>
      </c>
      <c r="E27" s="191" t="s">
        <v>314</v>
      </c>
      <c r="F27" s="191" t="s">
        <v>59</v>
      </c>
      <c r="G27" s="191">
        <v>2</v>
      </c>
      <c r="H27" s="191">
        <v>4</v>
      </c>
      <c r="I27" s="191">
        <v>0</v>
      </c>
      <c r="J27" s="191">
        <f t="shared" si="0"/>
        <v>6</v>
      </c>
    </row>
    <row r="28" spans="1:10">
      <c r="A28" s="201">
        <v>43193</v>
      </c>
      <c r="B28" s="201">
        <v>43228</v>
      </c>
      <c r="C28" s="194">
        <f t="shared" si="1"/>
        <v>35</v>
      </c>
      <c r="D28" s="191" t="s">
        <v>257</v>
      </c>
      <c r="E28" s="191" t="s">
        <v>314</v>
      </c>
      <c r="F28" s="191" t="s">
        <v>59</v>
      </c>
      <c r="G28" s="191">
        <v>2</v>
      </c>
      <c r="H28" s="191">
        <v>17</v>
      </c>
      <c r="I28" s="191">
        <v>0</v>
      </c>
      <c r="J28" s="191">
        <f t="shared" si="0"/>
        <v>19</v>
      </c>
    </row>
    <row r="29" spans="1:10">
      <c r="A29" s="201">
        <v>43194</v>
      </c>
      <c r="B29" s="201">
        <v>43230</v>
      </c>
      <c r="C29" s="194">
        <f t="shared" si="1"/>
        <v>36</v>
      </c>
      <c r="D29" s="191" t="s">
        <v>258</v>
      </c>
      <c r="E29" s="191" t="s">
        <v>315</v>
      </c>
      <c r="F29" s="191" t="s">
        <v>84</v>
      </c>
      <c r="G29" s="191">
        <v>2</v>
      </c>
      <c r="H29" s="191">
        <v>33</v>
      </c>
      <c r="I29" s="191">
        <v>1</v>
      </c>
      <c r="J29" s="191">
        <f t="shared" si="0"/>
        <v>36</v>
      </c>
    </row>
    <row r="30" spans="1:10">
      <c r="A30" s="201">
        <v>43194</v>
      </c>
      <c r="B30" s="201">
        <v>43230</v>
      </c>
      <c r="C30" s="194">
        <f t="shared" si="1"/>
        <v>36</v>
      </c>
      <c r="D30" s="191" t="s">
        <v>259</v>
      </c>
      <c r="E30" s="191" t="s">
        <v>315</v>
      </c>
      <c r="F30" s="191" t="s">
        <v>84</v>
      </c>
      <c r="G30" s="191">
        <v>0</v>
      </c>
      <c r="H30" s="191">
        <v>5</v>
      </c>
      <c r="I30" s="191">
        <v>2</v>
      </c>
      <c r="J30" s="191">
        <f t="shared" si="0"/>
        <v>7</v>
      </c>
    </row>
    <row r="31" spans="1:10">
      <c r="A31" s="201">
        <v>43194</v>
      </c>
      <c r="B31" s="201">
        <v>43230</v>
      </c>
      <c r="C31" s="194">
        <f t="shared" si="1"/>
        <v>36</v>
      </c>
      <c r="D31" s="191" t="s">
        <v>260</v>
      </c>
      <c r="E31" s="191" t="s">
        <v>315</v>
      </c>
      <c r="F31" s="191" t="s">
        <v>84</v>
      </c>
      <c r="G31" s="191">
        <v>0</v>
      </c>
      <c r="H31" s="191">
        <v>5</v>
      </c>
      <c r="I31" s="191">
        <v>1</v>
      </c>
      <c r="J31" s="191">
        <f t="shared" si="0"/>
        <v>6</v>
      </c>
    </row>
    <row r="32" spans="1:10">
      <c r="A32" s="201">
        <v>43195</v>
      </c>
      <c r="B32" s="201">
        <v>43230</v>
      </c>
      <c r="C32" s="194">
        <f t="shared" si="1"/>
        <v>35</v>
      </c>
      <c r="D32" s="191" t="s">
        <v>261</v>
      </c>
      <c r="E32" s="191" t="s">
        <v>315</v>
      </c>
      <c r="F32" s="191" t="s">
        <v>83</v>
      </c>
      <c r="G32" s="191">
        <v>1</v>
      </c>
      <c r="H32" s="191">
        <v>93</v>
      </c>
      <c r="I32" s="191">
        <v>8</v>
      </c>
      <c r="J32" s="191">
        <f t="shared" si="0"/>
        <v>102</v>
      </c>
    </row>
    <row r="33" spans="1:10">
      <c r="A33" s="201">
        <v>43195</v>
      </c>
      <c r="B33" s="201">
        <v>43230</v>
      </c>
      <c r="C33" s="194">
        <f t="shared" si="1"/>
        <v>35</v>
      </c>
      <c r="D33" s="191" t="s">
        <v>262</v>
      </c>
      <c r="E33" s="191" t="s">
        <v>315</v>
      </c>
      <c r="F33" s="191" t="s">
        <v>83</v>
      </c>
      <c r="G33" s="191">
        <v>1</v>
      </c>
      <c r="H33" s="191">
        <v>65</v>
      </c>
      <c r="I33" s="191">
        <v>30</v>
      </c>
      <c r="J33" s="191">
        <f t="shared" si="0"/>
        <v>96</v>
      </c>
    </row>
    <row r="34" spans="1:10">
      <c r="A34" s="201">
        <v>43195</v>
      </c>
      <c r="B34" s="201">
        <v>43230</v>
      </c>
      <c r="C34" s="194">
        <f t="shared" si="1"/>
        <v>35</v>
      </c>
      <c r="D34" s="191" t="s">
        <v>263</v>
      </c>
      <c r="E34" s="191" t="s">
        <v>315</v>
      </c>
      <c r="F34" s="191" t="s">
        <v>83</v>
      </c>
      <c r="G34" s="191">
        <v>0</v>
      </c>
      <c r="H34" s="191">
        <v>39</v>
      </c>
      <c r="I34" s="191">
        <v>4</v>
      </c>
      <c r="J34" s="191">
        <f t="shared" ref="J34:J65" si="2">SUM(G34:I34)</f>
        <v>43</v>
      </c>
    </row>
    <row r="35" spans="1:10">
      <c r="A35" s="201">
        <v>43195</v>
      </c>
      <c r="B35" s="201">
        <v>43230</v>
      </c>
      <c r="C35" s="194">
        <f t="shared" si="1"/>
        <v>35</v>
      </c>
      <c r="D35" s="191" t="s">
        <v>264</v>
      </c>
      <c r="E35" s="191" t="s">
        <v>314</v>
      </c>
      <c r="F35" s="191" t="s">
        <v>61</v>
      </c>
      <c r="G35" s="191">
        <v>1</v>
      </c>
      <c r="H35" s="191">
        <v>4</v>
      </c>
      <c r="I35" s="191">
        <v>1</v>
      </c>
      <c r="J35" s="191">
        <f t="shared" si="2"/>
        <v>6</v>
      </c>
    </row>
    <row r="36" spans="1:10">
      <c r="A36" s="201">
        <v>43195</v>
      </c>
      <c r="B36" s="201">
        <v>43230</v>
      </c>
      <c r="C36" s="194">
        <f t="shared" si="1"/>
        <v>35</v>
      </c>
      <c r="D36" s="191" t="s">
        <v>265</v>
      </c>
      <c r="E36" s="191" t="s">
        <v>314</v>
      </c>
      <c r="F36" s="191" t="s">
        <v>61</v>
      </c>
      <c r="G36" s="191">
        <v>0</v>
      </c>
      <c r="H36" s="191">
        <v>12</v>
      </c>
      <c r="I36" s="191">
        <v>0</v>
      </c>
      <c r="J36" s="191">
        <f t="shared" si="2"/>
        <v>12</v>
      </c>
    </row>
    <row r="37" spans="1:10">
      <c r="A37" s="201">
        <v>43195</v>
      </c>
      <c r="B37" s="201">
        <v>43230</v>
      </c>
      <c r="C37" s="194">
        <f t="shared" si="1"/>
        <v>35</v>
      </c>
      <c r="D37" s="191" t="s">
        <v>266</v>
      </c>
      <c r="E37" s="191" t="s">
        <v>314</v>
      </c>
      <c r="F37" s="191" t="s">
        <v>61</v>
      </c>
      <c r="G37" s="191">
        <v>1</v>
      </c>
      <c r="H37" s="191">
        <v>5</v>
      </c>
      <c r="I37" s="191">
        <v>0</v>
      </c>
      <c r="J37" s="191">
        <f t="shared" si="2"/>
        <v>6</v>
      </c>
    </row>
    <row r="38" spans="1:10">
      <c r="A38" s="201">
        <v>43196</v>
      </c>
      <c r="B38" s="201">
        <v>43233</v>
      </c>
      <c r="C38" s="194">
        <f t="shared" si="1"/>
        <v>37</v>
      </c>
      <c r="D38" s="191" t="s">
        <v>267</v>
      </c>
      <c r="E38" s="191" t="s">
        <v>313</v>
      </c>
      <c r="F38" s="191" t="s">
        <v>28</v>
      </c>
      <c r="G38" s="191">
        <v>1</v>
      </c>
      <c r="H38" s="191">
        <v>88</v>
      </c>
      <c r="I38" s="191">
        <v>0</v>
      </c>
      <c r="J38" s="191">
        <f t="shared" si="2"/>
        <v>89</v>
      </c>
    </row>
    <row r="39" spans="1:10">
      <c r="A39" s="201">
        <v>43196</v>
      </c>
      <c r="B39" s="201">
        <v>43233</v>
      </c>
      <c r="C39" s="194">
        <f t="shared" si="1"/>
        <v>37</v>
      </c>
      <c r="D39" s="191" t="s">
        <v>268</v>
      </c>
      <c r="E39" s="191" t="s">
        <v>313</v>
      </c>
      <c r="F39" s="191" t="s">
        <v>28</v>
      </c>
      <c r="G39" s="191">
        <v>2</v>
      </c>
      <c r="H39" s="191">
        <v>103</v>
      </c>
      <c r="I39" s="191">
        <v>4</v>
      </c>
      <c r="J39" s="191">
        <f t="shared" si="2"/>
        <v>109</v>
      </c>
    </row>
    <row r="40" spans="1:10">
      <c r="A40" s="201">
        <v>43196</v>
      </c>
      <c r="B40" s="201">
        <v>43233</v>
      </c>
      <c r="C40" s="194">
        <f t="shared" si="1"/>
        <v>37</v>
      </c>
      <c r="D40" s="191" t="s">
        <v>269</v>
      </c>
      <c r="E40" s="191" t="s">
        <v>313</v>
      </c>
      <c r="F40" s="191" t="s">
        <v>28</v>
      </c>
      <c r="G40" s="191">
        <v>0</v>
      </c>
      <c r="H40" s="191">
        <v>1</v>
      </c>
      <c r="I40" s="191">
        <v>0</v>
      </c>
      <c r="J40" s="191">
        <f t="shared" si="2"/>
        <v>1</v>
      </c>
    </row>
    <row r="41" spans="1:10">
      <c r="A41" s="201">
        <v>43197</v>
      </c>
      <c r="B41" s="201">
        <v>43233</v>
      </c>
      <c r="C41" s="194">
        <f t="shared" si="1"/>
        <v>36</v>
      </c>
      <c r="D41" s="191" t="s">
        <v>270</v>
      </c>
      <c r="E41" s="191" t="s">
        <v>312</v>
      </c>
      <c r="F41" s="191" t="s">
        <v>36</v>
      </c>
      <c r="G41" s="191">
        <v>13</v>
      </c>
      <c r="H41" s="191">
        <v>82</v>
      </c>
      <c r="I41" s="191">
        <v>6</v>
      </c>
      <c r="J41" s="191">
        <f t="shared" si="2"/>
        <v>101</v>
      </c>
    </row>
    <row r="42" spans="1:10">
      <c r="A42" s="201">
        <v>43197</v>
      </c>
      <c r="B42" s="201">
        <v>43233</v>
      </c>
      <c r="C42" s="194">
        <f t="shared" si="1"/>
        <v>36</v>
      </c>
      <c r="D42" s="191" t="s">
        <v>271</v>
      </c>
      <c r="E42" s="191" t="s">
        <v>312</v>
      </c>
      <c r="F42" s="191" t="s">
        <v>36</v>
      </c>
      <c r="G42" s="191">
        <v>8</v>
      </c>
      <c r="H42" s="191">
        <v>78</v>
      </c>
      <c r="I42" s="191">
        <v>5</v>
      </c>
      <c r="J42" s="191">
        <f t="shared" si="2"/>
        <v>91</v>
      </c>
    </row>
    <row r="43" spans="1:10">
      <c r="A43" s="201">
        <v>43197</v>
      </c>
      <c r="B43" s="201">
        <v>43233</v>
      </c>
      <c r="C43" s="194">
        <f t="shared" si="1"/>
        <v>36</v>
      </c>
      <c r="D43" s="191" t="s">
        <v>272</v>
      </c>
      <c r="E43" s="191" t="s">
        <v>312</v>
      </c>
      <c r="F43" s="191" t="s">
        <v>36</v>
      </c>
      <c r="G43" s="191">
        <v>15</v>
      </c>
      <c r="H43" s="191">
        <v>113</v>
      </c>
      <c r="I43" s="191">
        <v>13</v>
      </c>
      <c r="J43" s="191">
        <f t="shared" si="2"/>
        <v>141</v>
      </c>
    </row>
    <row r="44" spans="1:10">
      <c r="A44" s="201">
        <v>43197</v>
      </c>
      <c r="B44" s="201">
        <v>43233</v>
      </c>
      <c r="C44" s="194">
        <f t="shared" si="1"/>
        <v>36</v>
      </c>
      <c r="D44" s="191" t="s">
        <v>273</v>
      </c>
      <c r="E44" s="191" t="s">
        <v>312</v>
      </c>
      <c r="F44" s="191" t="s">
        <v>36</v>
      </c>
      <c r="G44" s="191">
        <v>2</v>
      </c>
      <c r="H44" s="191">
        <v>69</v>
      </c>
      <c r="I44" s="191">
        <v>11</v>
      </c>
      <c r="J44" s="191">
        <f t="shared" si="2"/>
        <v>82</v>
      </c>
    </row>
    <row r="45" spans="1:10">
      <c r="A45" s="201">
        <v>43197</v>
      </c>
      <c r="B45" s="201">
        <v>43233</v>
      </c>
      <c r="C45" s="194">
        <f t="shared" si="1"/>
        <v>36</v>
      </c>
      <c r="D45" s="191" t="s">
        <v>274</v>
      </c>
      <c r="E45" s="191" t="s">
        <v>312</v>
      </c>
      <c r="F45" s="191" t="s">
        <v>36</v>
      </c>
      <c r="G45" s="191">
        <v>3</v>
      </c>
      <c r="H45" s="191">
        <v>48</v>
      </c>
      <c r="I45" s="191">
        <v>6</v>
      </c>
      <c r="J45" s="191">
        <f t="shared" si="2"/>
        <v>57</v>
      </c>
    </row>
    <row r="46" spans="1:10">
      <c r="A46" s="201">
        <v>43197</v>
      </c>
      <c r="B46" s="201">
        <v>43233</v>
      </c>
      <c r="C46" s="194">
        <f t="shared" si="1"/>
        <v>36</v>
      </c>
      <c r="D46" s="191" t="s">
        <v>275</v>
      </c>
      <c r="E46" s="191" t="s">
        <v>312</v>
      </c>
      <c r="F46" s="191" t="s">
        <v>36</v>
      </c>
      <c r="G46" s="191">
        <v>1</v>
      </c>
      <c r="H46" s="191">
        <v>60</v>
      </c>
      <c r="I46" s="191">
        <v>3</v>
      </c>
      <c r="J46" s="191">
        <f t="shared" si="2"/>
        <v>64</v>
      </c>
    </row>
    <row r="47" spans="1:10">
      <c r="A47" s="201">
        <v>43197</v>
      </c>
      <c r="B47" s="201">
        <v>43233</v>
      </c>
      <c r="C47" s="194">
        <f t="shared" si="1"/>
        <v>36</v>
      </c>
      <c r="D47" s="191" t="s">
        <v>276</v>
      </c>
      <c r="E47" s="191" t="s">
        <v>314</v>
      </c>
      <c r="F47" s="191" t="s">
        <v>61</v>
      </c>
      <c r="G47" s="191">
        <v>27</v>
      </c>
      <c r="H47" s="191">
        <v>120</v>
      </c>
      <c r="I47" s="191">
        <v>20</v>
      </c>
      <c r="J47" s="191">
        <f t="shared" si="2"/>
        <v>167</v>
      </c>
    </row>
    <row r="48" spans="1:10">
      <c r="A48" s="201">
        <v>43197</v>
      </c>
      <c r="B48" s="201">
        <v>43233</v>
      </c>
      <c r="C48" s="194">
        <f t="shared" si="1"/>
        <v>36</v>
      </c>
      <c r="D48" s="191" t="s">
        <v>277</v>
      </c>
      <c r="E48" s="191" t="s">
        <v>314</v>
      </c>
      <c r="F48" s="191" t="s">
        <v>61</v>
      </c>
      <c r="G48" s="191">
        <v>22</v>
      </c>
      <c r="H48" s="191">
        <v>254</v>
      </c>
      <c r="I48" s="191">
        <v>21</v>
      </c>
      <c r="J48" s="191">
        <f t="shared" si="2"/>
        <v>297</v>
      </c>
    </row>
    <row r="49" spans="1:10">
      <c r="A49" s="201">
        <v>43197</v>
      </c>
      <c r="B49" s="201">
        <v>43233</v>
      </c>
      <c r="C49" s="194">
        <f t="shared" si="1"/>
        <v>36</v>
      </c>
      <c r="D49" s="191" t="s">
        <v>278</v>
      </c>
      <c r="E49" s="191" t="s">
        <v>314</v>
      </c>
      <c r="F49" s="191" t="s">
        <v>61</v>
      </c>
      <c r="G49" s="191">
        <v>23</v>
      </c>
      <c r="H49" s="191">
        <v>288</v>
      </c>
      <c r="I49" s="191">
        <v>16</v>
      </c>
      <c r="J49" s="191">
        <f t="shared" si="2"/>
        <v>327</v>
      </c>
    </row>
    <row r="50" spans="1:10">
      <c r="A50" s="201">
        <v>43197</v>
      </c>
      <c r="B50" s="201">
        <v>43233</v>
      </c>
      <c r="C50" s="194">
        <f t="shared" si="1"/>
        <v>36</v>
      </c>
      <c r="D50" s="191" t="s">
        <v>279</v>
      </c>
      <c r="E50" s="191" t="s">
        <v>315</v>
      </c>
      <c r="F50" s="191" t="s">
        <v>84</v>
      </c>
      <c r="G50" s="191">
        <v>0</v>
      </c>
      <c r="H50" s="191">
        <v>40</v>
      </c>
      <c r="I50" s="191">
        <v>3</v>
      </c>
      <c r="J50" s="191">
        <f t="shared" si="2"/>
        <v>43</v>
      </c>
    </row>
    <row r="51" spans="1:10">
      <c r="A51" s="201">
        <v>43197</v>
      </c>
      <c r="B51" s="201">
        <v>43233</v>
      </c>
      <c r="C51" s="194">
        <f t="shared" si="1"/>
        <v>36</v>
      </c>
      <c r="D51" s="191" t="s">
        <v>280</v>
      </c>
      <c r="E51" s="191" t="s">
        <v>315</v>
      </c>
      <c r="F51" s="191" t="s">
        <v>84</v>
      </c>
      <c r="G51" s="191">
        <v>1</v>
      </c>
      <c r="H51" s="191">
        <v>28</v>
      </c>
      <c r="I51" s="191">
        <v>3</v>
      </c>
      <c r="J51" s="191">
        <f t="shared" si="2"/>
        <v>32</v>
      </c>
    </row>
    <row r="52" spans="1:10">
      <c r="A52" s="201">
        <v>43197</v>
      </c>
      <c r="B52" s="201">
        <v>43233</v>
      </c>
      <c r="C52" s="194">
        <f t="shared" si="1"/>
        <v>36</v>
      </c>
      <c r="D52" s="191" t="s">
        <v>281</v>
      </c>
      <c r="E52" s="191" t="s">
        <v>315</v>
      </c>
      <c r="F52" s="191" t="s">
        <v>84</v>
      </c>
      <c r="G52" s="191">
        <v>2</v>
      </c>
      <c r="H52" s="191">
        <v>24</v>
      </c>
      <c r="I52" s="191">
        <v>0</v>
      </c>
      <c r="J52" s="191">
        <f t="shared" si="2"/>
        <v>26</v>
      </c>
    </row>
    <row r="53" spans="1:10">
      <c r="A53" s="201">
        <v>43197</v>
      </c>
      <c r="B53" s="201">
        <v>43233</v>
      </c>
      <c r="C53" s="194">
        <f t="shared" si="1"/>
        <v>36</v>
      </c>
      <c r="D53" s="191" t="s">
        <v>282</v>
      </c>
      <c r="E53" s="191" t="s">
        <v>314</v>
      </c>
      <c r="F53" s="191" t="s">
        <v>59</v>
      </c>
      <c r="G53" s="191">
        <v>3</v>
      </c>
      <c r="H53" s="191">
        <v>37</v>
      </c>
      <c r="I53" s="191">
        <v>2</v>
      </c>
      <c r="J53" s="191">
        <f t="shared" si="2"/>
        <v>42</v>
      </c>
    </row>
    <row r="54" spans="1:10">
      <c r="A54" s="201">
        <v>43197</v>
      </c>
      <c r="B54" s="201">
        <v>43233</v>
      </c>
      <c r="C54" s="194">
        <f t="shared" si="1"/>
        <v>36</v>
      </c>
      <c r="D54" s="191" t="s">
        <v>283</v>
      </c>
      <c r="E54" s="191" t="s">
        <v>314</v>
      </c>
      <c r="F54" s="191" t="s">
        <v>59</v>
      </c>
      <c r="G54" s="191">
        <v>0</v>
      </c>
      <c r="H54" s="191">
        <v>31</v>
      </c>
      <c r="I54" s="191">
        <v>0</v>
      </c>
      <c r="J54" s="191">
        <f t="shared" si="2"/>
        <v>31</v>
      </c>
    </row>
    <row r="55" spans="1:10">
      <c r="A55" s="201">
        <v>43197</v>
      </c>
      <c r="B55" s="201">
        <v>43233</v>
      </c>
      <c r="C55" s="194">
        <f t="shared" si="1"/>
        <v>36</v>
      </c>
      <c r="D55" s="191" t="s">
        <v>284</v>
      </c>
      <c r="E55" s="191" t="s">
        <v>314</v>
      </c>
      <c r="F55" s="191" t="s">
        <v>59</v>
      </c>
      <c r="G55" s="191">
        <v>2</v>
      </c>
      <c r="H55" s="191">
        <v>33</v>
      </c>
      <c r="I55" s="191">
        <v>4</v>
      </c>
      <c r="J55" s="191">
        <f t="shared" si="2"/>
        <v>39</v>
      </c>
    </row>
    <row r="56" spans="1:10">
      <c r="A56" s="201">
        <v>43197</v>
      </c>
      <c r="B56" s="201">
        <v>43233</v>
      </c>
      <c r="C56" s="194">
        <f t="shared" si="1"/>
        <v>36</v>
      </c>
      <c r="D56" s="191" t="s">
        <v>285</v>
      </c>
      <c r="E56" s="191" t="s">
        <v>315</v>
      </c>
      <c r="F56" s="191" t="s">
        <v>83</v>
      </c>
      <c r="G56" s="191">
        <v>1</v>
      </c>
      <c r="H56" s="191">
        <v>10</v>
      </c>
      <c r="I56" s="191">
        <v>1</v>
      </c>
      <c r="J56" s="191">
        <f t="shared" si="2"/>
        <v>12</v>
      </c>
    </row>
    <row r="57" spans="1:10">
      <c r="A57" s="201">
        <v>43197</v>
      </c>
      <c r="B57" s="201">
        <v>43233</v>
      </c>
      <c r="C57" s="194">
        <f t="shared" si="1"/>
        <v>36</v>
      </c>
      <c r="D57" s="191" t="s">
        <v>286</v>
      </c>
      <c r="E57" s="191" t="s">
        <v>315</v>
      </c>
      <c r="F57" s="191" t="s">
        <v>83</v>
      </c>
      <c r="G57" s="191">
        <v>10</v>
      </c>
      <c r="H57" s="191">
        <v>14</v>
      </c>
      <c r="I57" s="191">
        <v>0</v>
      </c>
      <c r="J57" s="191">
        <f t="shared" si="2"/>
        <v>24</v>
      </c>
    </row>
    <row r="58" spans="1:10">
      <c r="A58" s="201">
        <v>43197</v>
      </c>
      <c r="B58" s="201">
        <v>43233</v>
      </c>
      <c r="C58" s="194">
        <f t="shared" si="1"/>
        <v>36</v>
      </c>
      <c r="D58" s="191" t="s">
        <v>287</v>
      </c>
      <c r="E58" s="191" t="s">
        <v>315</v>
      </c>
      <c r="F58" s="191" t="s">
        <v>83</v>
      </c>
      <c r="G58" s="191">
        <v>1</v>
      </c>
      <c r="H58" s="191">
        <v>54</v>
      </c>
      <c r="I58" s="191">
        <v>2</v>
      </c>
      <c r="J58" s="191">
        <f t="shared" si="2"/>
        <v>57</v>
      </c>
    </row>
    <row r="59" spans="1:10">
      <c r="A59" s="201">
        <v>43197</v>
      </c>
      <c r="B59" s="201">
        <v>43233</v>
      </c>
      <c r="C59" s="194">
        <f t="shared" si="1"/>
        <v>36</v>
      </c>
      <c r="D59" s="191" t="s">
        <v>288</v>
      </c>
      <c r="E59" s="191" t="s">
        <v>314</v>
      </c>
      <c r="F59" s="191" t="s">
        <v>59</v>
      </c>
      <c r="G59" s="191">
        <v>4</v>
      </c>
      <c r="H59" s="191">
        <v>147</v>
      </c>
      <c r="I59" s="191">
        <v>10</v>
      </c>
      <c r="J59" s="191">
        <f t="shared" si="2"/>
        <v>161</v>
      </c>
    </row>
    <row r="60" spans="1:10">
      <c r="A60" s="201">
        <v>43197</v>
      </c>
      <c r="B60" s="201">
        <v>43233</v>
      </c>
      <c r="C60" s="194">
        <f t="shared" si="1"/>
        <v>36</v>
      </c>
      <c r="D60" s="191" t="s">
        <v>290</v>
      </c>
      <c r="E60" s="191" t="s">
        <v>314</v>
      </c>
      <c r="F60" s="191" t="s">
        <v>59</v>
      </c>
      <c r="G60" s="191">
        <v>8</v>
      </c>
      <c r="H60" s="191">
        <v>133</v>
      </c>
      <c r="I60" s="191">
        <v>8</v>
      </c>
      <c r="J60" s="191">
        <f t="shared" si="2"/>
        <v>149</v>
      </c>
    </row>
    <row r="61" spans="1:10">
      <c r="A61" s="201">
        <v>43197</v>
      </c>
      <c r="B61" s="201">
        <v>43233</v>
      </c>
      <c r="C61" s="194">
        <f t="shared" si="1"/>
        <v>36</v>
      </c>
      <c r="D61" s="191" t="s">
        <v>289</v>
      </c>
      <c r="E61" s="191" t="s">
        <v>314</v>
      </c>
      <c r="F61" s="191" t="s">
        <v>59</v>
      </c>
      <c r="G61" s="191">
        <v>14</v>
      </c>
      <c r="H61" s="191">
        <v>166</v>
      </c>
      <c r="I61" s="191">
        <v>21</v>
      </c>
      <c r="J61" s="191">
        <f t="shared" si="2"/>
        <v>201</v>
      </c>
    </row>
    <row r="62" spans="1:10">
      <c r="A62" s="201">
        <v>43198</v>
      </c>
      <c r="B62" s="201">
        <v>43233</v>
      </c>
      <c r="C62" s="194">
        <f t="shared" si="1"/>
        <v>35</v>
      </c>
      <c r="D62" s="191" t="s">
        <v>291</v>
      </c>
      <c r="E62" s="191" t="s">
        <v>314</v>
      </c>
      <c r="F62" s="191" t="s">
        <v>61</v>
      </c>
      <c r="G62" s="191">
        <v>15</v>
      </c>
      <c r="H62" s="191">
        <v>238</v>
      </c>
      <c r="I62" s="191">
        <v>7</v>
      </c>
      <c r="J62" s="191">
        <f t="shared" si="2"/>
        <v>260</v>
      </c>
    </row>
    <row r="63" spans="1:10">
      <c r="A63" s="201">
        <v>43198</v>
      </c>
      <c r="B63" s="201">
        <v>43233</v>
      </c>
      <c r="C63" s="194">
        <f t="shared" si="1"/>
        <v>35</v>
      </c>
      <c r="D63" s="191" t="s">
        <v>292</v>
      </c>
      <c r="E63" s="191" t="s">
        <v>314</v>
      </c>
      <c r="F63" s="191" t="s">
        <v>61</v>
      </c>
      <c r="G63" s="191">
        <v>12</v>
      </c>
      <c r="H63" s="191">
        <v>202</v>
      </c>
      <c r="I63" s="191">
        <v>2</v>
      </c>
      <c r="J63" s="191">
        <f t="shared" si="2"/>
        <v>216</v>
      </c>
    </row>
    <row r="64" spans="1:10">
      <c r="A64" s="201">
        <v>43198</v>
      </c>
      <c r="B64" s="201">
        <v>43233</v>
      </c>
      <c r="C64" s="194">
        <f t="shared" si="1"/>
        <v>35</v>
      </c>
      <c r="D64" s="191" t="s">
        <v>293</v>
      </c>
      <c r="E64" s="191" t="s">
        <v>314</v>
      </c>
      <c r="F64" s="191" t="s">
        <v>61</v>
      </c>
      <c r="G64" s="191">
        <v>18</v>
      </c>
      <c r="H64" s="191">
        <v>195</v>
      </c>
      <c r="I64" s="191">
        <v>11</v>
      </c>
      <c r="J64" s="191">
        <f t="shared" si="2"/>
        <v>224</v>
      </c>
    </row>
    <row r="65" spans="1:10">
      <c r="A65" s="201">
        <v>43198</v>
      </c>
      <c r="B65" s="201">
        <v>43233</v>
      </c>
      <c r="C65" s="194">
        <f t="shared" si="1"/>
        <v>35</v>
      </c>
      <c r="D65" s="191" t="s">
        <v>294</v>
      </c>
      <c r="E65" s="191" t="s">
        <v>313</v>
      </c>
      <c r="F65" s="191" t="s">
        <v>37</v>
      </c>
      <c r="G65" s="191">
        <v>5</v>
      </c>
      <c r="H65" s="191">
        <v>53</v>
      </c>
      <c r="I65" s="191">
        <v>2</v>
      </c>
      <c r="J65" s="191">
        <f t="shared" si="2"/>
        <v>60</v>
      </c>
    </row>
    <row r="66" spans="1:10">
      <c r="A66" s="201">
        <v>43198</v>
      </c>
      <c r="B66" s="201">
        <v>43233</v>
      </c>
      <c r="C66" s="194">
        <f t="shared" si="1"/>
        <v>35</v>
      </c>
      <c r="D66" s="191" t="s">
        <v>295</v>
      </c>
      <c r="E66" s="191" t="s">
        <v>313</v>
      </c>
      <c r="F66" s="191" t="s">
        <v>37</v>
      </c>
      <c r="G66" s="191">
        <v>8</v>
      </c>
      <c r="H66" s="191">
        <v>54</v>
      </c>
      <c r="I66" s="191">
        <v>1</v>
      </c>
      <c r="J66" s="191">
        <f t="shared" ref="J66:J97" si="3">SUM(G66:I66)</f>
        <v>63</v>
      </c>
    </row>
    <row r="67" spans="1:10">
      <c r="A67" s="201">
        <v>43198</v>
      </c>
      <c r="B67" s="201">
        <v>43233</v>
      </c>
      <c r="C67" s="194">
        <f t="shared" ref="C67:C130" si="4">B67-A67</f>
        <v>35</v>
      </c>
      <c r="D67" s="191" t="s">
        <v>296</v>
      </c>
      <c r="E67" s="191" t="s">
        <v>313</v>
      </c>
      <c r="F67" s="191" t="s">
        <v>37</v>
      </c>
      <c r="G67" s="191">
        <v>9</v>
      </c>
      <c r="H67" s="191">
        <v>80</v>
      </c>
      <c r="I67" s="191">
        <v>4</v>
      </c>
      <c r="J67" s="191">
        <f t="shared" si="3"/>
        <v>93</v>
      </c>
    </row>
    <row r="68" spans="1:10">
      <c r="A68" s="201">
        <v>43198</v>
      </c>
      <c r="B68" s="201">
        <v>43233</v>
      </c>
      <c r="C68" s="194">
        <f t="shared" si="4"/>
        <v>35</v>
      </c>
      <c r="D68" s="191" t="s">
        <v>297</v>
      </c>
      <c r="E68" s="191" t="s">
        <v>313</v>
      </c>
      <c r="F68" s="191" t="s">
        <v>37</v>
      </c>
      <c r="G68" s="191">
        <v>4</v>
      </c>
      <c r="H68" s="191">
        <v>99</v>
      </c>
      <c r="I68" s="191">
        <v>5</v>
      </c>
      <c r="J68" s="191">
        <f t="shared" si="3"/>
        <v>108</v>
      </c>
    </row>
    <row r="69" spans="1:10">
      <c r="A69" s="201">
        <v>43198</v>
      </c>
      <c r="B69" s="201">
        <v>43233</v>
      </c>
      <c r="C69" s="194">
        <f t="shared" si="4"/>
        <v>35</v>
      </c>
      <c r="D69" s="191" t="s">
        <v>299</v>
      </c>
      <c r="E69" s="191" t="s">
        <v>313</v>
      </c>
      <c r="F69" s="191" t="s">
        <v>37</v>
      </c>
      <c r="G69" s="191">
        <v>1</v>
      </c>
      <c r="H69" s="191">
        <v>55</v>
      </c>
      <c r="I69" s="191">
        <v>1</v>
      </c>
      <c r="J69" s="191">
        <f t="shared" si="3"/>
        <v>57</v>
      </c>
    </row>
    <row r="70" spans="1:10">
      <c r="A70" s="201">
        <v>43198</v>
      </c>
      <c r="B70" s="201">
        <v>43233</v>
      </c>
      <c r="C70" s="194">
        <f t="shared" si="4"/>
        <v>35</v>
      </c>
      <c r="D70" s="191" t="s">
        <v>298</v>
      </c>
      <c r="E70" s="191" t="s">
        <v>313</v>
      </c>
      <c r="F70" s="191" t="s">
        <v>37</v>
      </c>
      <c r="G70" s="191">
        <v>0</v>
      </c>
      <c r="H70" s="191">
        <v>51</v>
      </c>
      <c r="I70" s="191">
        <v>2</v>
      </c>
      <c r="J70" s="191">
        <f t="shared" si="3"/>
        <v>53</v>
      </c>
    </row>
    <row r="71" spans="1:10">
      <c r="A71" s="201">
        <v>43198</v>
      </c>
      <c r="B71" s="201">
        <v>43233</v>
      </c>
      <c r="C71" s="194">
        <f t="shared" si="4"/>
        <v>35</v>
      </c>
      <c r="D71" s="191" t="s">
        <v>300</v>
      </c>
      <c r="E71" s="191" t="s">
        <v>312</v>
      </c>
      <c r="F71" s="191" t="s">
        <v>29</v>
      </c>
      <c r="G71" s="191">
        <v>3</v>
      </c>
      <c r="H71" s="191">
        <v>102</v>
      </c>
      <c r="I71" s="191">
        <v>31</v>
      </c>
      <c r="J71" s="191">
        <f t="shared" si="3"/>
        <v>136</v>
      </c>
    </row>
    <row r="72" spans="1:10">
      <c r="A72" s="201">
        <v>43198</v>
      </c>
      <c r="B72" s="201">
        <v>43233</v>
      </c>
      <c r="C72" s="194">
        <f t="shared" si="4"/>
        <v>35</v>
      </c>
      <c r="D72" s="191" t="s">
        <v>301</v>
      </c>
      <c r="E72" s="191" t="s">
        <v>312</v>
      </c>
      <c r="F72" s="191" t="s">
        <v>29</v>
      </c>
      <c r="G72" s="191">
        <v>0</v>
      </c>
      <c r="H72" s="191">
        <v>25</v>
      </c>
      <c r="I72" s="191">
        <v>2</v>
      </c>
      <c r="J72" s="191">
        <f t="shared" si="3"/>
        <v>27</v>
      </c>
    </row>
    <row r="73" spans="1:10">
      <c r="A73" s="201">
        <v>43198</v>
      </c>
      <c r="B73" s="201">
        <v>43233</v>
      </c>
      <c r="C73" s="194">
        <f t="shared" si="4"/>
        <v>35</v>
      </c>
      <c r="D73" s="191" t="s">
        <v>302</v>
      </c>
      <c r="E73" s="191" t="s">
        <v>312</v>
      </c>
      <c r="F73" s="191" t="s">
        <v>29</v>
      </c>
      <c r="G73" s="191">
        <v>1</v>
      </c>
      <c r="H73" s="191">
        <v>3</v>
      </c>
      <c r="I73" s="191">
        <v>0</v>
      </c>
      <c r="J73" s="191">
        <f t="shared" si="3"/>
        <v>4</v>
      </c>
    </row>
    <row r="74" spans="1:10">
      <c r="A74" s="201">
        <v>43198</v>
      </c>
      <c r="B74" s="201">
        <v>43233</v>
      </c>
      <c r="C74" s="194">
        <f t="shared" si="4"/>
        <v>35</v>
      </c>
      <c r="D74" s="191" t="s">
        <v>303</v>
      </c>
      <c r="E74" s="191" t="s">
        <v>315</v>
      </c>
      <c r="F74" s="191" t="s">
        <v>83</v>
      </c>
      <c r="G74" s="191">
        <v>0</v>
      </c>
      <c r="H74" s="191">
        <v>28</v>
      </c>
      <c r="I74" s="191">
        <v>3</v>
      </c>
      <c r="J74" s="191">
        <f t="shared" si="3"/>
        <v>31</v>
      </c>
    </row>
    <row r="75" spans="1:10">
      <c r="A75" s="201">
        <v>43198</v>
      </c>
      <c r="B75" s="201">
        <v>43233</v>
      </c>
      <c r="C75" s="194">
        <f t="shared" si="4"/>
        <v>35</v>
      </c>
      <c r="D75" s="191" t="s">
        <v>304</v>
      </c>
      <c r="E75" s="191" t="s">
        <v>315</v>
      </c>
      <c r="F75" s="191" t="s">
        <v>83</v>
      </c>
      <c r="G75" s="191">
        <v>0</v>
      </c>
      <c r="H75" s="191">
        <v>10</v>
      </c>
      <c r="I75" s="191">
        <v>0</v>
      </c>
      <c r="J75" s="191">
        <f t="shared" si="3"/>
        <v>10</v>
      </c>
    </row>
    <row r="76" spans="1:10">
      <c r="A76" s="201">
        <v>43198</v>
      </c>
      <c r="B76" s="201">
        <v>43233</v>
      </c>
      <c r="C76" s="194">
        <f t="shared" si="4"/>
        <v>35</v>
      </c>
      <c r="D76" s="191" t="s">
        <v>305</v>
      </c>
      <c r="E76" s="191" t="s">
        <v>315</v>
      </c>
      <c r="F76" s="191" t="s">
        <v>83</v>
      </c>
      <c r="G76" s="191">
        <v>1</v>
      </c>
      <c r="H76" s="191">
        <v>20</v>
      </c>
      <c r="I76" s="191">
        <v>2</v>
      </c>
      <c r="J76" s="191">
        <f t="shared" si="3"/>
        <v>23</v>
      </c>
    </row>
    <row r="77" spans="1:10">
      <c r="A77" s="201">
        <v>43198</v>
      </c>
      <c r="B77" s="201">
        <v>43233</v>
      </c>
      <c r="C77" s="194">
        <f t="shared" si="4"/>
        <v>35</v>
      </c>
      <c r="D77" s="191" t="s">
        <v>306</v>
      </c>
      <c r="E77" s="191" t="s">
        <v>313</v>
      </c>
      <c r="F77" s="191" t="s">
        <v>28</v>
      </c>
      <c r="G77" s="191">
        <v>0</v>
      </c>
      <c r="H77" s="191">
        <v>44</v>
      </c>
      <c r="I77" s="191">
        <v>8</v>
      </c>
      <c r="J77" s="191">
        <f t="shared" si="3"/>
        <v>52</v>
      </c>
    </row>
    <row r="78" spans="1:10">
      <c r="A78" s="201">
        <v>43198</v>
      </c>
      <c r="B78" s="201">
        <v>43233</v>
      </c>
      <c r="C78" s="194">
        <f t="shared" si="4"/>
        <v>35</v>
      </c>
      <c r="D78" s="191" t="s">
        <v>307</v>
      </c>
      <c r="E78" s="191" t="s">
        <v>313</v>
      </c>
      <c r="F78" s="191" t="s">
        <v>28</v>
      </c>
      <c r="G78" s="191">
        <v>0</v>
      </c>
      <c r="H78" s="191">
        <v>60</v>
      </c>
      <c r="I78" s="191">
        <v>5</v>
      </c>
      <c r="J78" s="191">
        <f t="shared" si="3"/>
        <v>65</v>
      </c>
    </row>
    <row r="79" spans="1:10">
      <c r="A79" s="201">
        <v>43198</v>
      </c>
      <c r="B79" s="201">
        <v>43233</v>
      </c>
      <c r="C79" s="194">
        <f t="shared" si="4"/>
        <v>35</v>
      </c>
      <c r="D79" s="191" t="s">
        <v>308</v>
      </c>
      <c r="E79" s="191" t="s">
        <v>313</v>
      </c>
      <c r="F79" s="191" t="s">
        <v>28</v>
      </c>
      <c r="G79" s="191">
        <v>0</v>
      </c>
      <c r="H79" s="191">
        <v>44</v>
      </c>
      <c r="I79" s="191">
        <v>5</v>
      </c>
      <c r="J79" s="191">
        <f t="shared" si="3"/>
        <v>49</v>
      </c>
    </row>
    <row r="80" spans="1:10">
      <c r="A80" s="201">
        <v>43198</v>
      </c>
      <c r="B80" s="201">
        <v>43233</v>
      </c>
      <c r="C80" s="194">
        <f t="shared" si="4"/>
        <v>35</v>
      </c>
      <c r="D80" s="191" t="s">
        <v>309</v>
      </c>
      <c r="E80" s="191" t="s">
        <v>312</v>
      </c>
      <c r="F80" s="191" t="s">
        <v>29</v>
      </c>
      <c r="G80" s="191">
        <v>14</v>
      </c>
      <c r="H80" s="191">
        <v>173</v>
      </c>
      <c r="I80" s="191">
        <v>66</v>
      </c>
      <c r="J80" s="191">
        <f t="shared" si="3"/>
        <v>253</v>
      </c>
    </row>
    <row r="81" spans="1:10">
      <c r="A81" s="201">
        <v>43198</v>
      </c>
      <c r="B81" s="201">
        <v>43233</v>
      </c>
      <c r="C81" s="194">
        <f t="shared" si="4"/>
        <v>35</v>
      </c>
      <c r="D81" s="191" t="s">
        <v>310</v>
      </c>
      <c r="E81" s="191" t="s">
        <v>312</v>
      </c>
      <c r="F81" s="191" t="s">
        <v>29</v>
      </c>
      <c r="G81" s="191">
        <v>6</v>
      </c>
      <c r="H81" s="191">
        <v>161</v>
      </c>
      <c r="I81" s="191">
        <v>25</v>
      </c>
      <c r="J81" s="191">
        <f t="shared" si="3"/>
        <v>192</v>
      </c>
    </row>
    <row r="82" spans="1:10">
      <c r="A82" s="201">
        <v>43198</v>
      </c>
      <c r="B82" s="201">
        <v>43233</v>
      </c>
      <c r="C82" s="194">
        <f t="shared" si="4"/>
        <v>35</v>
      </c>
      <c r="D82" s="191" t="s">
        <v>311</v>
      </c>
      <c r="E82" s="191" t="s">
        <v>312</v>
      </c>
      <c r="F82" s="191" t="s">
        <v>29</v>
      </c>
      <c r="G82" s="191">
        <v>3</v>
      </c>
      <c r="H82" s="191">
        <v>140</v>
      </c>
      <c r="I82" s="191">
        <v>18</v>
      </c>
      <c r="J82" s="191">
        <f t="shared" si="3"/>
        <v>161</v>
      </c>
    </row>
    <row r="83" spans="1:10">
      <c r="A83" s="201">
        <v>43199</v>
      </c>
      <c r="B83" s="201">
        <v>43235</v>
      </c>
      <c r="C83" s="194">
        <f t="shared" si="4"/>
        <v>36</v>
      </c>
      <c r="D83" s="191" t="s">
        <v>318</v>
      </c>
      <c r="E83" s="191" t="s">
        <v>314</v>
      </c>
      <c r="F83" s="191" t="s">
        <v>59</v>
      </c>
      <c r="G83" s="191">
        <v>0</v>
      </c>
      <c r="H83" s="191">
        <v>51</v>
      </c>
      <c r="I83" s="191">
        <v>3</v>
      </c>
      <c r="J83" s="191">
        <f t="shared" si="3"/>
        <v>54</v>
      </c>
    </row>
    <row r="84" spans="1:10">
      <c r="A84" s="201">
        <v>43199</v>
      </c>
      <c r="B84" s="201">
        <v>43235</v>
      </c>
      <c r="C84" s="194">
        <f t="shared" si="4"/>
        <v>36</v>
      </c>
      <c r="D84" s="191" t="s">
        <v>319</v>
      </c>
      <c r="E84" s="191" t="s">
        <v>314</v>
      </c>
      <c r="F84" s="191" t="s">
        <v>59</v>
      </c>
      <c r="G84" s="191">
        <v>0</v>
      </c>
      <c r="H84" s="191">
        <v>29</v>
      </c>
      <c r="I84" s="191">
        <v>2</v>
      </c>
      <c r="J84" s="191">
        <f t="shared" si="3"/>
        <v>31</v>
      </c>
    </row>
    <row r="85" spans="1:10">
      <c r="A85" s="201">
        <v>43199</v>
      </c>
      <c r="B85" s="201">
        <v>43235</v>
      </c>
      <c r="C85" s="194">
        <f t="shared" si="4"/>
        <v>36</v>
      </c>
      <c r="D85" s="191" t="s">
        <v>320</v>
      </c>
      <c r="E85" s="191" t="s">
        <v>314</v>
      </c>
      <c r="F85" s="191" t="s">
        <v>59</v>
      </c>
      <c r="G85" s="191">
        <v>1</v>
      </c>
      <c r="H85" s="191">
        <v>17</v>
      </c>
      <c r="I85" s="191">
        <v>2</v>
      </c>
      <c r="J85" s="191">
        <f t="shared" si="3"/>
        <v>20</v>
      </c>
    </row>
    <row r="86" spans="1:10">
      <c r="A86" s="201">
        <v>43199</v>
      </c>
      <c r="B86" s="201">
        <v>43235</v>
      </c>
      <c r="C86" s="194">
        <f t="shared" si="4"/>
        <v>36</v>
      </c>
      <c r="D86" s="191" t="s">
        <v>321</v>
      </c>
      <c r="E86" s="191" t="s">
        <v>315</v>
      </c>
      <c r="F86" s="191" t="s">
        <v>83</v>
      </c>
      <c r="G86" s="191">
        <v>0</v>
      </c>
      <c r="H86" s="191">
        <v>24</v>
      </c>
      <c r="I86" s="191">
        <v>9</v>
      </c>
      <c r="J86" s="191">
        <f t="shared" si="3"/>
        <v>33</v>
      </c>
    </row>
    <row r="87" spans="1:10">
      <c r="A87" s="201">
        <v>43199</v>
      </c>
      <c r="B87" s="201">
        <v>43235</v>
      </c>
      <c r="C87" s="194">
        <f t="shared" si="4"/>
        <v>36</v>
      </c>
      <c r="D87" s="191" t="s">
        <v>322</v>
      </c>
      <c r="E87" s="191" t="s">
        <v>315</v>
      </c>
      <c r="F87" s="191" t="s">
        <v>83</v>
      </c>
      <c r="G87" s="191">
        <v>5</v>
      </c>
      <c r="H87" s="191">
        <v>71</v>
      </c>
      <c r="I87" s="191">
        <v>11</v>
      </c>
      <c r="J87" s="191">
        <f t="shared" si="3"/>
        <v>87</v>
      </c>
    </row>
    <row r="88" spans="1:10">
      <c r="A88" s="201">
        <v>43199</v>
      </c>
      <c r="B88" s="201">
        <v>43235</v>
      </c>
      <c r="C88" s="194">
        <f t="shared" si="4"/>
        <v>36</v>
      </c>
      <c r="D88" s="191" t="s">
        <v>323</v>
      </c>
      <c r="E88" s="191" t="s">
        <v>315</v>
      </c>
      <c r="F88" s="200" t="s">
        <v>83</v>
      </c>
      <c r="G88" s="191">
        <v>13</v>
      </c>
      <c r="H88" s="191">
        <v>49</v>
      </c>
      <c r="I88" s="191">
        <v>8</v>
      </c>
      <c r="J88" s="191">
        <f t="shared" si="3"/>
        <v>70</v>
      </c>
    </row>
    <row r="89" spans="1:10">
      <c r="A89" s="201">
        <v>43199</v>
      </c>
      <c r="B89" s="201">
        <v>43235</v>
      </c>
      <c r="C89" s="194">
        <f t="shared" si="4"/>
        <v>36</v>
      </c>
      <c r="D89" s="191" t="s">
        <v>324</v>
      </c>
      <c r="E89" s="191" t="s">
        <v>312</v>
      </c>
      <c r="F89" s="191" t="s">
        <v>36</v>
      </c>
      <c r="G89" s="191">
        <v>4</v>
      </c>
      <c r="H89" s="191">
        <v>39</v>
      </c>
      <c r="I89" s="191">
        <v>15</v>
      </c>
      <c r="J89" s="191">
        <f t="shared" si="3"/>
        <v>58</v>
      </c>
    </row>
    <row r="90" spans="1:10">
      <c r="A90" s="201">
        <v>43199</v>
      </c>
      <c r="B90" s="201">
        <v>43235</v>
      </c>
      <c r="C90" s="194">
        <f t="shared" si="4"/>
        <v>36</v>
      </c>
      <c r="D90" s="191" t="s">
        <v>325</v>
      </c>
      <c r="E90" s="191" t="s">
        <v>312</v>
      </c>
      <c r="F90" s="191" t="s">
        <v>36</v>
      </c>
      <c r="G90" s="191">
        <v>0</v>
      </c>
      <c r="H90" s="191">
        <v>53</v>
      </c>
      <c r="I90" s="191">
        <v>3</v>
      </c>
      <c r="J90" s="191">
        <f t="shared" si="3"/>
        <v>56</v>
      </c>
    </row>
    <row r="91" spans="1:10">
      <c r="A91" s="201">
        <v>43199</v>
      </c>
      <c r="B91" s="201">
        <v>43235</v>
      </c>
      <c r="C91" s="194">
        <f t="shared" si="4"/>
        <v>36</v>
      </c>
      <c r="D91" s="191" t="s">
        <v>326</v>
      </c>
      <c r="E91" s="191" t="s">
        <v>312</v>
      </c>
      <c r="F91" s="191" t="s">
        <v>36</v>
      </c>
      <c r="G91" s="191">
        <v>1</v>
      </c>
      <c r="H91" s="191">
        <v>51</v>
      </c>
      <c r="I91" s="191">
        <v>16</v>
      </c>
      <c r="J91" s="191">
        <f t="shared" si="3"/>
        <v>68</v>
      </c>
    </row>
    <row r="92" spans="1:10">
      <c r="A92" s="201">
        <v>43199</v>
      </c>
      <c r="B92" s="201">
        <v>43235</v>
      </c>
      <c r="C92" s="194">
        <f t="shared" si="4"/>
        <v>36</v>
      </c>
      <c r="D92" s="191" t="s">
        <v>327</v>
      </c>
      <c r="E92" s="191" t="s">
        <v>315</v>
      </c>
      <c r="F92" s="191" t="s">
        <v>84</v>
      </c>
      <c r="G92" s="191">
        <v>2</v>
      </c>
      <c r="H92" s="191">
        <v>2</v>
      </c>
      <c r="I92" s="191">
        <v>6</v>
      </c>
      <c r="J92" s="191">
        <f t="shared" si="3"/>
        <v>10</v>
      </c>
    </row>
    <row r="93" spans="1:10">
      <c r="A93" s="201">
        <v>43199</v>
      </c>
      <c r="B93" s="201">
        <v>43235</v>
      </c>
      <c r="C93" s="194">
        <f t="shared" si="4"/>
        <v>36</v>
      </c>
      <c r="D93" s="191" t="s">
        <v>328</v>
      </c>
      <c r="E93" s="191" t="s">
        <v>315</v>
      </c>
      <c r="F93" s="191" t="s">
        <v>84</v>
      </c>
      <c r="G93" s="191">
        <v>0</v>
      </c>
      <c r="H93" s="191">
        <v>4</v>
      </c>
      <c r="I93" s="191">
        <v>0</v>
      </c>
      <c r="J93" s="191">
        <f t="shared" si="3"/>
        <v>4</v>
      </c>
    </row>
    <row r="94" spans="1:10">
      <c r="A94" s="201">
        <v>43199</v>
      </c>
      <c r="B94" s="201">
        <v>43235</v>
      </c>
      <c r="C94" s="194">
        <f t="shared" si="4"/>
        <v>36</v>
      </c>
      <c r="D94" s="191" t="s">
        <v>329</v>
      </c>
      <c r="E94" s="191" t="s">
        <v>315</v>
      </c>
      <c r="F94" s="191" t="s">
        <v>84</v>
      </c>
      <c r="G94" s="191">
        <v>1</v>
      </c>
      <c r="H94" s="191">
        <v>24</v>
      </c>
      <c r="I94" s="191">
        <v>7</v>
      </c>
      <c r="J94" s="191">
        <f t="shared" si="3"/>
        <v>32</v>
      </c>
    </row>
    <row r="95" spans="1:10">
      <c r="A95" s="201">
        <v>43199</v>
      </c>
      <c r="B95" s="201">
        <v>43235</v>
      </c>
      <c r="C95" s="194">
        <f t="shared" si="4"/>
        <v>36</v>
      </c>
      <c r="D95" s="191" t="s">
        <v>330</v>
      </c>
      <c r="E95" s="191" t="s">
        <v>314</v>
      </c>
      <c r="F95" s="191" t="s">
        <v>61</v>
      </c>
      <c r="G95" s="191">
        <v>0</v>
      </c>
      <c r="H95" s="191">
        <v>18</v>
      </c>
      <c r="I95" s="191">
        <v>1</v>
      </c>
      <c r="J95" s="191">
        <f t="shared" si="3"/>
        <v>19</v>
      </c>
    </row>
    <row r="96" spans="1:10">
      <c r="A96" s="201">
        <v>43199</v>
      </c>
      <c r="B96" s="201">
        <v>43235</v>
      </c>
      <c r="C96" s="194">
        <f t="shared" si="4"/>
        <v>36</v>
      </c>
      <c r="D96" s="191" t="s">
        <v>331</v>
      </c>
      <c r="E96" s="191" t="s">
        <v>314</v>
      </c>
      <c r="F96" s="191" t="s">
        <v>61</v>
      </c>
      <c r="G96" s="191">
        <v>1</v>
      </c>
      <c r="H96" s="191">
        <v>43</v>
      </c>
      <c r="I96" s="191">
        <v>1</v>
      </c>
      <c r="J96" s="191">
        <f t="shared" si="3"/>
        <v>45</v>
      </c>
    </row>
    <row r="97" spans="1:10">
      <c r="A97" s="201">
        <v>43199</v>
      </c>
      <c r="B97" s="201">
        <v>43235</v>
      </c>
      <c r="C97" s="194">
        <f t="shared" si="4"/>
        <v>36</v>
      </c>
      <c r="D97" s="191" t="s">
        <v>332</v>
      </c>
      <c r="E97" s="191" t="s">
        <v>314</v>
      </c>
      <c r="F97" s="191" t="s">
        <v>61</v>
      </c>
      <c r="G97" s="191">
        <v>0</v>
      </c>
      <c r="H97" s="191">
        <v>95</v>
      </c>
      <c r="I97" s="191">
        <v>7</v>
      </c>
      <c r="J97" s="191">
        <f t="shared" si="3"/>
        <v>102</v>
      </c>
    </row>
    <row r="98" spans="1:10">
      <c r="A98" s="201">
        <v>43200</v>
      </c>
      <c r="B98" s="201">
        <v>43235</v>
      </c>
      <c r="C98" s="194">
        <f t="shared" si="4"/>
        <v>35</v>
      </c>
      <c r="D98" s="191" t="s">
        <v>333</v>
      </c>
      <c r="E98" s="191" t="s">
        <v>315</v>
      </c>
      <c r="F98" s="191" t="s">
        <v>83</v>
      </c>
      <c r="G98" s="191">
        <v>3</v>
      </c>
      <c r="H98" s="191">
        <v>16</v>
      </c>
      <c r="I98" s="191">
        <v>2</v>
      </c>
      <c r="J98" s="191">
        <f t="shared" ref="J98:J129" si="5">SUM(G98:I98)</f>
        <v>21</v>
      </c>
    </row>
    <row r="99" spans="1:10">
      <c r="A99" s="201">
        <v>43200</v>
      </c>
      <c r="B99" s="201">
        <v>43235</v>
      </c>
      <c r="C99" s="194">
        <f t="shared" si="4"/>
        <v>35</v>
      </c>
      <c r="D99" s="191" t="s">
        <v>334</v>
      </c>
      <c r="E99" s="191" t="s">
        <v>315</v>
      </c>
      <c r="F99" s="191" t="s">
        <v>83</v>
      </c>
      <c r="G99" s="191">
        <v>0</v>
      </c>
      <c r="H99" s="191">
        <v>35</v>
      </c>
      <c r="I99" s="191">
        <v>2</v>
      </c>
      <c r="J99" s="191">
        <f t="shared" si="5"/>
        <v>37</v>
      </c>
    </row>
    <row r="100" spans="1:10">
      <c r="A100" s="201">
        <v>43200</v>
      </c>
      <c r="B100" s="201">
        <v>43235</v>
      </c>
      <c r="C100" s="194">
        <f t="shared" si="4"/>
        <v>35</v>
      </c>
      <c r="D100" s="191" t="s">
        <v>335</v>
      </c>
      <c r="E100" s="191" t="s">
        <v>315</v>
      </c>
      <c r="F100" s="191" t="s">
        <v>83</v>
      </c>
      <c r="G100" s="191">
        <v>0</v>
      </c>
      <c r="H100" s="191">
        <v>60</v>
      </c>
      <c r="I100" s="191">
        <v>6</v>
      </c>
      <c r="J100" s="191">
        <f t="shared" si="5"/>
        <v>66</v>
      </c>
    </row>
    <row r="101" spans="1:10">
      <c r="A101" s="201">
        <v>43200</v>
      </c>
      <c r="B101" s="201">
        <v>43235</v>
      </c>
      <c r="C101" s="194">
        <f t="shared" si="4"/>
        <v>35</v>
      </c>
      <c r="D101" s="191" t="s">
        <v>375</v>
      </c>
      <c r="E101" s="191" t="s">
        <v>312</v>
      </c>
      <c r="F101" s="191" t="s">
        <v>29</v>
      </c>
      <c r="G101" s="191">
        <v>0</v>
      </c>
      <c r="H101" s="193">
        <v>59</v>
      </c>
      <c r="I101" s="193">
        <v>3</v>
      </c>
      <c r="J101" s="193">
        <f t="shared" si="5"/>
        <v>62</v>
      </c>
    </row>
    <row r="102" spans="1:10">
      <c r="A102" s="201">
        <v>43200</v>
      </c>
      <c r="B102" s="201">
        <v>43235</v>
      </c>
      <c r="C102" s="194">
        <f t="shared" si="4"/>
        <v>35</v>
      </c>
      <c r="D102" s="191" t="s">
        <v>376</v>
      </c>
      <c r="E102" s="191" t="s">
        <v>312</v>
      </c>
      <c r="F102" s="191" t="s">
        <v>29</v>
      </c>
      <c r="G102" s="191">
        <v>1</v>
      </c>
      <c r="H102" s="193">
        <v>104</v>
      </c>
      <c r="I102" s="193">
        <v>3</v>
      </c>
      <c r="J102" s="193">
        <f t="shared" si="5"/>
        <v>108</v>
      </c>
    </row>
    <row r="103" spans="1:10">
      <c r="A103" s="201">
        <v>43200</v>
      </c>
      <c r="B103" s="201">
        <v>43235</v>
      </c>
      <c r="C103" s="194">
        <f t="shared" si="4"/>
        <v>35</v>
      </c>
      <c r="D103" s="191" t="s">
        <v>377</v>
      </c>
      <c r="E103" s="191" t="s">
        <v>312</v>
      </c>
      <c r="F103" s="191" t="s">
        <v>29</v>
      </c>
      <c r="G103" s="191">
        <v>2</v>
      </c>
      <c r="H103" s="193">
        <v>48</v>
      </c>
      <c r="I103" s="193">
        <v>4</v>
      </c>
      <c r="J103" s="193">
        <f t="shared" si="5"/>
        <v>54</v>
      </c>
    </row>
    <row r="104" spans="1:10">
      <c r="A104" s="201">
        <v>43200</v>
      </c>
      <c r="B104" s="201">
        <v>43235</v>
      </c>
      <c r="C104" s="194">
        <f t="shared" si="4"/>
        <v>35</v>
      </c>
      <c r="D104" s="191" t="s">
        <v>378</v>
      </c>
      <c r="E104" s="191" t="s">
        <v>313</v>
      </c>
      <c r="F104" s="191" t="s">
        <v>28</v>
      </c>
      <c r="G104" s="191">
        <v>0</v>
      </c>
      <c r="H104" s="193">
        <v>14</v>
      </c>
      <c r="I104" s="193">
        <v>0</v>
      </c>
      <c r="J104" s="193">
        <f t="shared" si="5"/>
        <v>14</v>
      </c>
    </row>
    <row r="105" spans="1:10">
      <c r="A105" s="201">
        <v>43200</v>
      </c>
      <c r="B105" s="201">
        <v>43235</v>
      </c>
      <c r="C105" s="194">
        <f t="shared" si="4"/>
        <v>35</v>
      </c>
      <c r="D105" s="191" t="s">
        <v>379</v>
      </c>
      <c r="E105" s="191" t="s">
        <v>313</v>
      </c>
      <c r="F105" s="191" t="s">
        <v>28</v>
      </c>
      <c r="G105" s="191">
        <v>0</v>
      </c>
      <c r="H105" s="193">
        <v>16</v>
      </c>
      <c r="I105" s="193">
        <v>3</v>
      </c>
      <c r="J105" s="193">
        <f t="shared" si="5"/>
        <v>19</v>
      </c>
    </row>
    <row r="106" spans="1:10">
      <c r="A106" s="201">
        <v>43200</v>
      </c>
      <c r="B106" s="201">
        <v>43235</v>
      </c>
      <c r="C106" s="194">
        <f t="shared" si="4"/>
        <v>35</v>
      </c>
      <c r="D106" s="191" t="s">
        <v>380</v>
      </c>
      <c r="E106" s="191" t="s">
        <v>313</v>
      </c>
      <c r="F106" s="191" t="s">
        <v>28</v>
      </c>
      <c r="G106" s="191">
        <v>3</v>
      </c>
      <c r="H106" s="193">
        <v>53</v>
      </c>
      <c r="I106" s="193">
        <v>10</v>
      </c>
      <c r="J106" s="193">
        <f t="shared" si="5"/>
        <v>66</v>
      </c>
    </row>
    <row r="107" spans="1:10">
      <c r="A107" s="201">
        <v>43201</v>
      </c>
      <c r="B107" s="201">
        <v>43240</v>
      </c>
      <c r="C107" s="194">
        <f t="shared" si="4"/>
        <v>39</v>
      </c>
      <c r="D107" s="191" t="s">
        <v>336</v>
      </c>
      <c r="E107" s="191" t="s">
        <v>312</v>
      </c>
      <c r="F107" s="191" t="s">
        <v>36</v>
      </c>
      <c r="G107" s="191">
        <v>24</v>
      </c>
      <c r="H107" s="191">
        <v>77</v>
      </c>
      <c r="I107" s="191">
        <v>5</v>
      </c>
      <c r="J107" s="191">
        <f t="shared" si="5"/>
        <v>106</v>
      </c>
    </row>
    <row r="108" spans="1:10">
      <c r="A108" s="201">
        <v>43201</v>
      </c>
      <c r="B108" s="201">
        <v>43240</v>
      </c>
      <c r="C108" s="194">
        <f t="shared" si="4"/>
        <v>39</v>
      </c>
      <c r="D108" s="191" t="s">
        <v>337</v>
      </c>
      <c r="E108" s="191" t="s">
        <v>312</v>
      </c>
      <c r="F108" s="191" t="s">
        <v>36</v>
      </c>
      <c r="G108" s="191">
        <v>3</v>
      </c>
      <c r="H108" s="191">
        <v>146</v>
      </c>
      <c r="I108" s="191">
        <v>8</v>
      </c>
      <c r="J108" s="191">
        <f t="shared" si="5"/>
        <v>157</v>
      </c>
    </row>
    <row r="109" spans="1:10">
      <c r="A109" s="201">
        <v>43201</v>
      </c>
      <c r="B109" s="201">
        <v>43240</v>
      </c>
      <c r="C109" s="194">
        <f t="shared" si="4"/>
        <v>39</v>
      </c>
      <c r="D109" s="191" t="s">
        <v>338</v>
      </c>
      <c r="E109" s="191" t="s">
        <v>312</v>
      </c>
      <c r="F109" s="191" t="s">
        <v>36</v>
      </c>
      <c r="G109" s="191">
        <v>11</v>
      </c>
      <c r="H109" s="191">
        <v>188</v>
      </c>
      <c r="I109" s="191">
        <v>13</v>
      </c>
      <c r="J109" s="191">
        <f t="shared" si="5"/>
        <v>212</v>
      </c>
    </row>
    <row r="110" spans="1:10">
      <c r="A110" s="201">
        <v>43202</v>
      </c>
      <c r="B110" s="201">
        <v>43240</v>
      </c>
      <c r="C110" s="194">
        <f t="shared" si="4"/>
        <v>38</v>
      </c>
      <c r="D110" s="191" t="s">
        <v>339</v>
      </c>
      <c r="E110" s="191" t="s">
        <v>312</v>
      </c>
      <c r="F110" s="191" t="s">
        <v>29</v>
      </c>
      <c r="G110" s="191">
        <v>0</v>
      </c>
      <c r="H110" s="191">
        <v>1</v>
      </c>
      <c r="I110" s="191">
        <v>1</v>
      </c>
      <c r="J110" s="191">
        <f t="shared" si="5"/>
        <v>2</v>
      </c>
    </row>
    <row r="111" spans="1:10">
      <c r="A111" s="201">
        <v>43202</v>
      </c>
      <c r="B111" s="201">
        <v>43240</v>
      </c>
      <c r="C111" s="194">
        <f t="shared" si="4"/>
        <v>38</v>
      </c>
      <c r="D111" s="191" t="s">
        <v>340</v>
      </c>
      <c r="E111" s="191" t="s">
        <v>312</v>
      </c>
      <c r="F111" s="191" t="s">
        <v>29</v>
      </c>
      <c r="G111" s="191">
        <v>0</v>
      </c>
      <c r="H111" s="191">
        <v>0</v>
      </c>
      <c r="I111" s="191">
        <v>0</v>
      </c>
      <c r="J111" s="191">
        <f t="shared" si="5"/>
        <v>0</v>
      </c>
    </row>
    <row r="112" spans="1:10">
      <c r="A112" s="201">
        <v>43202</v>
      </c>
      <c r="B112" s="201">
        <v>43240</v>
      </c>
      <c r="C112" s="194">
        <f t="shared" si="4"/>
        <v>38</v>
      </c>
      <c r="D112" s="191" t="s">
        <v>341</v>
      </c>
      <c r="E112" s="191" t="s">
        <v>312</v>
      </c>
      <c r="F112" s="191" t="s">
        <v>29</v>
      </c>
      <c r="G112" s="191">
        <v>1</v>
      </c>
      <c r="H112" s="191">
        <v>2</v>
      </c>
      <c r="I112" s="191">
        <v>4</v>
      </c>
      <c r="J112" s="191">
        <f t="shared" si="5"/>
        <v>7</v>
      </c>
    </row>
    <row r="113" spans="1:10">
      <c r="A113" s="201">
        <v>43202</v>
      </c>
      <c r="B113" s="201">
        <v>43240</v>
      </c>
      <c r="C113" s="194">
        <f t="shared" si="4"/>
        <v>38</v>
      </c>
      <c r="D113" s="191" t="s">
        <v>342</v>
      </c>
      <c r="E113" s="191" t="s">
        <v>313</v>
      </c>
      <c r="F113" s="191" t="s">
        <v>37</v>
      </c>
      <c r="G113" s="191">
        <v>174</v>
      </c>
      <c r="H113" s="191">
        <v>171</v>
      </c>
      <c r="I113" s="191">
        <v>52</v>
      </c>
      <c r="J113" s="191">
        <f t="shared" si="5"/>
        <v>397</v>
      </c>
    </row>
    <row r="114" spans="1:10">
      <c r="A114" s="201">
        <v>43202</v>
      </c>
      <c r="B114" s="201">
        <v>43240</v>
      </c>
      <c r="C114" s="194">
        <f t="shared" si="4"/>
        <v>38</v>
      </c>
      <c r="D114" s="191" t="s">
        <v>343</v>
      </c>
      <c r="E114" s="191" t="s">
        <v>313</v>
      </c>
      <c r="F114" s="191" t="s">
        <v>37</v>
      </c>
      <c r="G114" s="191">
        <v>104</v>
      </c>
      <c r="H114" s="191">
        <v>189</v>
      </c>
      <c r="I114" s="191">
        <v>100</v>
      </c>
      <c r="J114" s="191">
        <f t="shared" si="5"/>
        <v>393</v>
      </c>
    </row>
    <row r="115" spans="1:10">
      <c r="A115" s="201">
        <v>43202</v>
      </c>
      <c r="B115" s="201">
        <v>43240</v>
      </c>
      <c r="C115" s="194">
        <f t="shared" si="4"/>
        <v>38</v>
      </c>
      <c r="D115" s="191" t="s">
        <v>344</v>
      </c>
      <c r="E115" s="191" t="s">
        <v>313</v>
      </c>
      <c r="F115" s="191" t="s">
        <v>37</v>
      </c>
      <c r="G115" s="191">
        <v>116</v>
      </c>
      <c r="H115" s="191">
        <v>144</v>
      </c>
      <c r="I115" s="191">
        <v>57</v>
      </c>
      <c r="J115" s="191">
        <f t="shared" si="5"/>
        <v>317</v>
      </c>
    </row>
    <row r="116" spans="1:10">
      <c r="A116" s="201">
        <v>43203</v>
      </c>
      <c r="B116" s="201">
        <v>43240</v>
      </c>
      <c r="C116" s="194">
        <f t="shared" si="4"/>
        <v>37</v>
      </c>
      <c r="D116" s="191" t="s">
        <v>345</v>
      </c>
      <c r="E116" s="191" t="s">
        <v>314</v>
      </c>
      <c r="F116" s="191" t="s">
        <v>59</v>
      </c>
      <c r="G116" s="191">
        <v>1</v>
      </c>
      <c r="H116" s="191">
        <v>19</v>
      </c>
      <c r="I116" s="191">
        <v>0</v>
      </c>
      <c r="J116" s="191">
        <f t="shared" si="5"/>
        <v>20</v>
      </c>
    </row>
    <row r="117" spans="1:10">
      <c r="A117" s="201">
        <v>43203</v>
      </c>
      <c r="B117" s="201">
        <v>43240</v>
      </c>
      <c r="C117" s="194">
        <f t="shared" si="4"/>
        <v>37</v>
      </c>
      <c r="D117" s="191" t="s">
        <v>346</v>
      </c>
      <c r="E117" s="191" t="s">
        <v>314</v>
      </c>
      <c r="F117" s="191" t="s">
        <v>59</v>
      </c>
      <c r="G117" s="191">
        <v>0</v>
      </c>
      <c r="H117" s="191">
        <v>9</v>
      </c>
      <c r="I117" s="191">
        <v>1</v>
      </c>
      <c r="J117" s="191">
        <f t="shared" si="5"/>
        <v>10</v>
      </c>
    </row>
    <row r="118" spans="1:10">
      <c r="A118" s="201">
        <v>43203</v>
      </c>
      <c r="B118" s="201">
        <v>43240</v>
      </c>
      <c r="C118" s="194">
        <f t="shared" si="4"/>
        <v>37</v>
      </c>
      <c r="D118" s="191" t="s">
        <v>347</v>
      </c>
      <c r="E118" s="191" t="s">
        <v>314</v>
      </c>
      <c r="F118" s="191" t="s">
        <v>59</v>
      </c>
      <c r="G118" s="191">
        <v>1</v>
      </c>
      <c r="H118" s="191">
        <v>21</v>
      </c>
      <c r="I118" s="191">
        <v>0</v>
      </c>
      <c r="J118" s="191">
        <f t="shared" si="5"/>
        <v>22</v>
      </c>
    </row>
    <row r="119" spans="1:10">
      <c r="A119" s="201">
        <v>43203</v>
      </c>
      <c r="B119" s="201">
        <v>43240</v>
      </c>
      <c r="C119" s="194">
        <f t="shared" si="4"/>
        <v>37</v>
      </c>
      <c r="D119" s="191" t="s">
        <v>348</v>
      </c>
      <c r="E119" s="191" t="s">
        <v>313</v>
      </c>
      <c r="F119" s="191" t="s">
        <v>28</v>
      </c>
      <c r="G119" s="191">
        <v>1</v>
      </c>
      <c r="H119" s="191">
        <v>51</v>
      </c>
      <c r="I119" s="191">
        <v>7</v>
      </c>
      <c r="J119" s="191">
        <f t="shared" si="5"/>
        <v>59</v>
      </c>
    </row>
    <row r="120" spans="1:10">
      <c r="A120" s="201">
        <v>43203</v>
      </c>
      <c r="B120" s="201">
        <v>43240</v>
      </c>
      <c r="C120" s="194">
        <f t="shared" si="4"/>
        <v>37</v>
      </c>
      <c r="D120" s="191" t="s">
        <v>349</v>
      </c>
      <c r="E120" s="191" t="s">
        <v>313</v>
      </c>
      <c r="F120" s="191" t="s">
        <v>28</v>
      </c>
      <c r="G120" s="191">
        <v>2</v>
      </c>
      <c r="H120" s="191">
        <v>116</v>
      </c>
      <c r="I120" s="191">
        <v>11</v>
      </c>
      <c r="J120" s="191">
        <f t="shared" si="5"/>
        <v>129</v>
      </c>
    </row>
    <row r="121" spans="1:10">
      <c r="A121" s="201">
        <v>43203</v>
      </c>
      <c r="B121" s="201">
        <v>43240</v>
      </c>
      <c r="C121" s="194">
        <f t="shared" si="4"/>
        <v>37</v>
      </c>
      <c r="D121" s="191" t="s">
        <v>350</v>
      </c>
      <c r="E121" s="191" t="s">
        <v>313</v>
      </c>
      <c r="F121" s="191" t="s">
        <v>28</v>
      </c>
      <c r="G121" s="191">
        <v>3</v>
      </c>
      <c r="H121" s="191">
        <v>57</v>
      </c>
      <c r="I121" s="191">
        <v>1</v>
      </c>
      <c r="J121" s="191">
        <f t="shared" si="5"/>
        <v>61</v>
      </c>
    </row>
    <row r="122" spans="1:10">
      <c r="A122" s="201">
        <v>43203</v>
      </c>
      <c r="B122" s="201">
        <v>43240</v>
      </c>
      <c r="C122" s="194">
        <f t="shared" si="4"/>
        <v>37</v>
      </c>
      <c r="D122" s="191" t="s">
        <v>351</v>
      </c>
      <c r="E122" s="191" t="s">
        <v>314</v>
      </c>
      <c r="F122" s="191" t="s">
        <v>61</v>
      </c>
      <c r="G122" s="191">
        <v>0</v>
      </c>
      <c r="H122" s="191">
        <v>20</v>
      </c>
      <c r="I122" s="191">
        <v>1</v>
      </c>
      <c r="J122" s="191">
        <f t="shared" si="5"/>
        <v>21</v>
      </c>
    </row>
    <row r="123" spans="1:10">
      <c r="A123" s="201">
        <v>43203</v>
      </c>
      <c r="B123" s="201">
        <v>43240</v>
      </c>
      <c r="C123" s="194">
        <f t="shared" si="4"/>
        <v>37</v>
      </c>
      <c r="D123" s="191" t="s">
        <v>352</v>
      </c>
      <c r="E123" s="191" t="s">
        <v>314</v>
      </c>
      <c r="F123" s="200" t="s">
        <v>61</v>
      </c>
      <c r="G123" s="191">
        <v>7</v>
      </c>
      <c r="H123" s="191">
        <v>80</v>
      </c>
      <c r="I123" s="191">
        <v>13</v>
      </c>
      <c r="J123" s="191">
        <f t="shared" si="5"/>
        <v>100</v>
      </c>
    </row>
    <row r="124" spans="1:10">
      <c r="A124" s="201">
        <v>43203</v>
      </c>
      <c r="B124" s="201">
        <v>43240</v>
      </c>
      <c r="C124" s="194">
        <f t="shared" si="4"/>
        <v>37</v>
      </c>
      <c r="D124" s="191" t="s">
        <v>353</v>
      </c>
      <c r="E124" s="191" t="s">
        <v>314</v>
      </c>
      <c r="F124" s="200" t="s">
        <v>61</v>
      </c>
      <c r="G124" s="191">
        <v>0</v>
      </c>
      <c r="H124" s="191">
        <v>48</v>
      </c>
      <c r="I124" s="191">
        <v>1</v>
      </c>
      <c r="J124" s="191">
        <f t="shared" si="5"/>
        <v>49</v>
      </c>
    </row>
    <row r="125" spans="1:10">
      <c r="A125" s="201">
        <v>43204</v>
      </c>
      <c r="B125" s="201">
        <v>43240</v>
      </c>
      <c r="C125" s="194">
        <f t="shared" si="4"/>
        <v>36</v>
      </c>
      <c r="D125" s="191" t="s">
        <v>354</v>
      </c>
      <c r="E125" s="191" t="s">
        <v>313</v>
      </c>
      <c r="F125" s="191" t="s">
        <v>37</v>
      </c>
      <c r="G125" s="191">
        <v>0</v>
      </c>
      <c r="H125" s="191">
        <v>17</v>
      </c>
      <c r="I125" s="191">
        <v>2</v>
      </c>
      <c r="J125" s="191">
        <f t="shared" si="5"/>
        <v>19</v>
      </c>
    </row>
    <row r="126" spans="1:10">
      <c r="A126" s="201">
        <v>43204</v>
      </c>
      <c r="B126" s="201">
        <v>43240</v>
      </c>
      <c r="C126" s="194">
        <f t="shared" si="4"/>
        <v>36</v>
      </c>
      <c r="D126" s="191" t="s">
        <v>355</v>
      </c>
      <c r="E126" s="191" t="s">
        <v>313</v>
      </c>
      <c r="F126" s="191" t="s">
        <v>37</v>
      </c>
      <c r="G126" s="191">
        <v>16</v>
      </c>
      <c r="H126" s="191">
        <v>80</v>
      </c>
      <c r="I126" s="191">
        <v>6</v>
      </c>
      <c r="J126" s="191">
        <f t="shared" si="5"/>
        <v>102</v>
      </c>
    </row>
    <row r="127" spans="1:10">
      <c r="A127" s="201">
        <v>43204</v>
      </c>
      <c r="B127" s="201">
        <v>43240</v>
      </c>
      <c r="C127" s="194">
        <f t="shared" si="4"/>
        <v>36</v>
      </c>
      <c r="D127" s="191" t="s">
        <v>356</v>
      </c>
      <c r="E127" s="191" t="s">
        <v>313</v>
      </c>
      <c r="F127" s="191" t="s">
        <v>37</v>
      </c>
      <c r="G127" s="191">
        <v>1</v>
      </c>
      <c r="H127" s="191">
        <v>87</v>
      </c>
      <c r="I127" s="191">
        <v>3</v>
      </c>
      <c r="J127" s="191">
        <f t="shared" si="5"/>
        <v>91</v>
      </c>
    </row>
    <row r="128" spans="1:10">
      <c r="A128" s="201">
        <v>43204</v>
      </c>
      <c r="B128" s="201">
        <v>43240</v>
      </c>
      <c r="C128" s="194">
        <f t="shared" si="4"/>
        <v>36</v>
      </c>
      <c r="D128" s="191" t="s">
        <v>357</v>
      </c>
      <c r="E128" s="191" t="s">
        <v>315</v>
      </c>
      <c r="F128" s="191" t="s">
        <v>83</v>
      </c>
      <c r="G128" s="191">
        <v>0</v>
      </c>
      <c r="H128" s="191">
        <v>7</v>
      </c>
      <c r="I128" s="191">
        <v>0</v>
      </c>
      <c r="J128" s="191">
        <f t="shared" si="5"/>
        <v>7</v>
      </c>
    </row>
    <row r="129" spans="1:10">
      <c r="A129" s="201">
        <v>43204</v>
      </c>
      <c r="B129" s="201">
        <v>43240</v>
      </c>
      <c r="C129" s="194">
        <f t="shared" si="4"/>
        <v>36</v>
      </c>
      <c r="D129" s="191" t="s">
        <v>358</v>
      </c>
      <c r="E129" s="191" t="s">
        <v>315</v>
      </c>
      <c r="F129" s="191" t="s">
        <v>83</v>
      </c>
      <c r="G129" s="191">
        <v>1</v>
      </c>
      <c r="H129" s="191">
        <v>5</v>
      </c>
      <c r="I129" s="191">
        <v>5</v>
      </c>
      <c r="J129" s="191">
        <f t="shared" si="5"/>
        <v>11</v>
      </c>
    </row>
    <row r="130" spans="1:10">
      <c r="A130" s="201">
        <v>43204</v>
      </c>
      <c r="B130" s="201">
        <v>43240</v>
      </c>
      <c r="C130" s="194">
        <f t="shared" si="4"/>
        <v>36</v>
      </c>
      <c r="D130" s="191" t="s">
        <v>359</v>
      </c>
      <c r="E130" s="191" t="s">
        <v>315</v>
      </c>
      <c r="F130" s="191" t="s">
        <v>83</v>
      </c>
      <c r="G130" s="191">
        <v>2</v>
      </c>
      <c r="H130" s="191">
        <v>30</v>
      </c>
      <c r="I130" s="191">
        <v>0</v>
      </c>
      <c r="J130" s="191">
        <f t="shared" ref="J130:J161" si="6">SUM(G130:I130)</f>
        <v>32</v>
      </c>
    </row>
    <row r="131" spans="1:10">
      <c r="A131" s="201">
        <v>43204</v>
      </c>
      <c r="B131" s="201">
        <v>43243</v>
      </c>
      <c r="C131" s="194">
        <f t="shared" ref="C131:C145" si="7">B131-A131</f>
        <v>39</v>
      </c>
      <c r="D131" s="191" t="s">
        <v>360</v>
      </c>
      <c r="E131" s="191" t="s">
        <v>315</v>
      </c>
      <c r="F131" s="191" t="s">
        <v>84</v>
      </c>
      <c r="G131" s="191">
        <v>5</v>
      </c>
      <c r="H131" s="191">
        <v>37</v>
      </c>
      <c r="I131" s="191">
        <v>9</v>
      </c>
      <c r="J131" s="191">
        <f t="shared" si="6"/>
        <v>51</v>
      </c>
    </row>
    <row r="132" spans="1:10">
      <c r="A132" s="201">
        <v>43204</v>
      </c>
      <c r="B132" s="201">
        <v>43243</v>
      </c>
      <c r="C132" s="194">
        <f t="shared" si="7"/>
        <v>39</v>
      </c>
      <c r="D132" s="191" t="s">
        <v>361</v>
      </c>
      <c r="E132" s="191" t="s">
        <v>315</v>
      </c>
      <c r="F132" s="191" t="s">
        <v>84</v>
      </c>
      <c r="G132" s="191">
        <v>23</v>
      </c>
      <c r="H132" s="191">
        <v>68</v>
      </c>
      <c r="I132" s="191">
        <v>6</v>
      </c>
      <c r="J132" s="191">
        <f t="shared" si="6"/>
        <v>97</v>
      </c>
    </row>
    <row r="133" spans="1:10">
      <c r="A133" s="201">
        <v>43204</v>
      </c>
      <c r="B133" s="201">
        <v>43243</v>
      </c>
      <c r="C133" s="194">
        <f t="shared" si="7"/>
        <v>39</v>
      </c>
      <c r="D133" s="191" t="s">
        <v>362</v>
      </c>
      <c r="E133" s="191" t="s">
        <v>315</v>
      </c>
      <c r="F133" s="191" t="s">
        <v>84</v>
      </c>
      <c r="G133" s="191">
        <v>8</v>
      </c>
      <c r="H133" s="191">
        <v>33</v>
      </c>
      <c r="I133" s="191">
        <v>3</v>
      </c>
      <c r="J133" s="191">
        <f t="shared" si="6"/>
        <v>44</v>
      </c>
    </row>
    <row r="134" spans="1:10">
      <c r="A134" s="201">
        <v>43205</v>
      </c>
      <c r="B134" s="201">
        <v>43243</v>
      </c>
      <c r="C134" s="194">
        <f t="shared" si="7"/>
        <v>38</v>
      </c>
      <c r="D134" s="191" t="s">
        <v>363</v>
      </c>
      <c r="E134" s="191" t="s">
        <v>313</v>
      </c>
      <c r="F134" s="191" t="s">
        <v>28</v>
      </c>
      <c r="G134" s="191">
        <v>13</v>
      </c>
      <c r="H134" s="191">
        <v>144</v>
      </c>
      <c r="I134" s="191">
        <v>13</v>
      </c>
      <c r="J134" s="191">
        <f t="shared" si="6"/>
        <v>170</v>
      </c>
    </row>
    <row r="135" spans="1:10">
      <c r="A135" s="201">
        <v>43205</v>
      </c>
      <c r="B135" s="201">
        <v>43243</v>
      </c>
      <c r="C135" s="194">
        <f t="shared" si="7"/>
        <v>38</v>
      </c>
      <c r="D135" s="191" t="s">
        <v>364</v>
      </c>
      <c r="E135" s="191" t="s">
        <v>313</v>
      </c>
      <c r="F135" s="191" t="s">
        <v>28</v>
      </c>
      <c r="G135" s="191">
        <v>34</v>
      </c>
      <c r="H135" s="191">
        <v>141</v>
      </c>
      <c r="I135" s="191">
        <v>17</v>
      </c>
      <c r="J135" s="191">
        <f t="shared" si="6"/>
        <v>192</v>
      </c>
    </row>
    <row r="136" spans="1:10">
      <c r="A136" s="201">
        <v>43205</v>
      </c>
      <c r="B136" s="201">
        <v>43243</v>
      </c>
      <c r="C136" s="194">
        <f t="shared" si="7"/>
        <v>38</v>
      </c>
      <c r="D136" s="191" t="s">
        <v>365</v>
      </c>
      <c r="E136" s="191" t="s">
        <v>313</v>
      </c>
      <c r="F136" s="191" t="s">
        <v>28</v>
      </c>
      <c r="G136" s="191">
        <v>10</v>
      </c>
      <c r="H136" s="191">
        <v>147</v>
      </c>
      <c r="I136" s="191">
        <v>8</v>
      </c>
      <c r="J136" s="191">
        <f t="shared" si="6"/>
        <v>165</v>
      </c>
    </row>
    <row r="137" spans="1:10">
      <c r="A137" s="201">
        <v>43206</v>
      </c>
      <c r="B137" s="201">
        <v>43243</v>
      </c>
      <c r="C137" s="194">
        <f t="shared" si="7"/>
        <v>37</v>
      </c>
      <c r="D137" s="191" t="s">
        <v>366</v>
      </c>
      <c r="E137" s="191" t="s">
        <v>312</v>
      </c>
      <c r="F137" s="191" t="s">
        <v>36</v>
      </c>
      <c r="G137" s="191">
        <v>4</v>
      </c>
      <c r="H137" s="191">
        <v>57</v>
      </c>
      <c r="I137" s="191">
        <v>2</v>
      </c>
      <c r="J137" s="191">
        <f t="shared" si="6"/>
        <v>63</v>
      </c>
    </row>
    <row r="138" spans="1:10">
      <c r="A138" s="201">
        <v>43206</v>
      </c>
      <c r="B138" s="201">
        <v>43243</v>
      </c>
      <c r="C138" s="194">
        <f t="shared" si="7"/>
        <v>37</v>
      </c>
      <c r="D138" s="191" t="s">
        <v>367</v>
      </c>
      <c r="E138" s="191" t="s">
        <v>312</v>
      </c>
      <c r="F138" s="191" t="s">
        <v>36</v>
      </c>
      <c r="G138" s="191">
        <v>0</v>
      </c>
      <c r="H138" s="191">
        <v>69</v>
      </c>
      <c r="I138" s="191">
        <v>1</v>
      </c>
      <c r="J138" s="191">
        <f t="shared" si="6"/>
        <v>70</v>
      </c>
    </row>
    <row r="139" spans="1:10">
      <c r="A139" s="201">
        <v>43206</v>
      </c>
      <c r="B139" s="201">
        <v>43243</v>
      </c>
      <c r="C139" s="194">
        <f t="shared" si="7"/>
        <v>37</v>
      </c>
      <c r="D139" s="191" t="s">
        <v>368</v>
      </c>
      <c r="E139" s="191" t="s">
        <v>312</v>
      </c>
      <c r="F139" s="191" t="s">
        <v>36</v>
      </c>
      <c r="G139" s="191">
        <v>1</v>
      </c>
      <c r="H139" s="191">
        <v>38</v>
      </c>
      <c r="I139" s="191">
        <v>3</v>
      </c>
      <c r="J139" s="191">
        <f t="shared" si="6"/>
        <v>42</v>
      </c>
    </row>
    <row r="140" spans="1:10">
      <c r="A140" s="201">
        <v>43205</v>
      </c>
      <c r="B140" s="201">
        <v>43243</v>
      </c>
      <c r="C140" s="194">
        <f t="shared" si="7"/>
        <v>38</v>
      </c>
      <c r="D140" s="191" t="s">
        <v>369</v>
      </c>
      <c r="E140" s="191" t="s">
        <v>315</v>
      </c>
      <c r="F140" s="191" t="s">
        <v>84</v>
      </c>
      <c r="G140" s="191">
        <v>36</v>
      </c>
      <c r="H140" s="191">
        <v>175</v>
      </c>
      <c r="I140" s="191">
        <v>24</v>
      </c>
      <c r="J140" s="191">
        <f t="shared" si="6"/>
        <v>235</v>
      </c>
    </row>
    <row r="141" spans="1:10">
      <c r="A141" s="201">
        <v>43205</v>
      </c>
      <c r="B141" s="201">
        <v>43243</v>
      </c>
      <c r="C141" s="194">
        <f t="shared" si="7"/>
        <v>38</v>
      </c>
      <c r="D141" s="191" t="s">
        <v>370</v>
      </c>
      <c r="E141" s="191" t="s">
        <v>315</v>
      </c>
      <c r="F141" s="191" t="s">
        <v>84</v>
      </c>
      <c r="G141" s="191">
        <v>7</v>
      </c>
      <c r="H141" s="191">
        <v>90</v>
      </c>
      <c r="I141" s="191">
        <v>3</v>
      </c>
      <c r="J141" s="191">
        <f t="shared" si="6"/>
        <v>100</v>
      </c>
    </row>
    <row r="142" spans="1:10">
      <c r="A142" s="201">
        <v>43205</v>
      </c>
      <c r="B142" s="201">
        <v>43243</v>
      </c>
      <c r="C142" s="194">
        <f t="shared" si="7"/>
        <v>38</v>
      </c>
      <c r="D142" s="191" t="s">
        <v>371</v>
      </c>
      <c r="E142" s="191" t="s">
        <v>315</v>
      </c>
      <c r="F142" s="191" t="s">
        <v>84</v>
      </c>
      <c r="G142" s="191">
        <v>28</v>
      </c>
      <c r="H142" s="191">
        <v>136</v>
      </c>
      <c r="I142" s="191">
        <v>15</v>
      </c>
      <c r="J142" s="191">
        <f t="shared" si="6"/>
        <v>179</v>
      </c>
    </row>
    <row r="143" spans="1:10">
      <c r="A143" s="201">
        <v>43209</v>
      </c>
      <c r="B143" s="201">
        <v>43243</v>
      </c>
      <c r="C143" s="194">
        <f t="shared" si="7"/>
        <v>34</v>
      </c>
      <c r="D143" s="191" t="s">
        <v>372</v>
      </c>
      <c r="E143" s="191" t="s">
        <v>315</v>
      </c>
      <c r="F143" s="191" t="s">
        <v>84</v>
      </c>
      <c r="G143" s="191">
        <v>14</v>
      </c>
      <c r="H143" s="191">
        <v>186</v>
      </c>
      <c r="I143" s="191">
        <v>64</v>
      </c>
      <c r="J143" s="191">
        <f t="shared" si="6"/>
        <v>264</v>
      </c>
    </row>
    <row r="144" spans="1:10">
      <c r="A144" s="201">
        <v>43209</v>
      </c>
      <c r="B144" s="201">
        <v>43243</v>
      </c>
      <c r="C144" s="194">
        <f t="shared" si="7"/>
        <v>34</v>
      </c>
      <c r="D144" s="191" t="s">
        <v>373</v>
      </c>
      <c r="E144" s="191" t="s">
        <v>315</v>
      </c>
      <c r="F144" s="191" t="s">
        <v>84</v>
      </c>
      <c r="G144" s="191">
        <v>28</v>
      </c>
      <c r="H144" s="191">
        <v>173</v>
      </c>
      <c r="I144" s="191">
        <v>112</v>
      </c>
      <c r="J144" s="191">
        <f t="shared" si="6"/>
        <v>313</v>
      </c>
    </row>
    <row r="145" spans="1:10">
      <c r="A145" s="201">
        <v>43209</v>
      </c>
      <c r="B145" s="201">
        <v>43243</v>
      </c>
      <c r="C145" s="194">
        <f t="shared" si="7"/>
        <v>34</v>
      </c>
      <c r="D145" s="191" t="s">
        <v>374</v>
      </c>
      <c r="E145" s="191" t="s">
        <v>315</v>
      </c>
      <c r="F145" s="191" t="s">
        <v>84</v>
      </c>
      <c r="G145" s="191">
        <v>31</v>
      </c>
      <c r="H145" s="191">
        <v>150</v>
      </c>
      <c r="I145" s="191">
        <v>96</v>
      </c>
      <c r="J145" s="191">
        <f t="shared" si="6"/>
        <v>277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abSelected="1" showRuler="0" topLeftCell="D99" workbookViewId="0">
      <selection activeCell="I114" sqref="I114"/>
    </sheetView>
  </sheetViews>
  <sheetFormatPr baseColWidth="10" defaultRowHeight="15" x14ac:dyDescent="0"/>
  <cols>
    <col min="1" max="1" width="11.5" style="191" customWidth="1"/>
    <col min="2" max="2" width="16.33203125" style="191" customWidth="1"/>
    <col min="3" max="3" width="15" style="191" customWidth="1"/>
    <col min="4" max="4" width="12.1640625" style="191" bestFit="1" customWidth="1"/>
    <col min="5" max="5" width="20" style="191" customWidth="1"/>
    <col min="6" max="6" width="7.5" style="191" bestFit="1" customWidth="1"/>
    <col min="7" max="7" width="4.33203125" style="191" bestFit="1" customWidth="1"/>
    <col min="8" max="8" width="8" style="191" bestFit="1" customWidth="1"/>
    <col min="9" max="9" width="14.5" style="194" customWidth="1"/>
    <col min="10" max="10" width="11.1640625" style="194" customWidth="1"/>
    <col min="11" max="11" width="14.1640625" style="194" customWidth="1"/>
    <col min="12" max="12" width="14.1640625" style="192" customWidth="1"/>
    <col min="13" max="16384" width="10.83203125" style="191"/>
  </cols>
  <sheetData>
    <row r="1" spans="1:12" ht="30">
      <c r="A1" s="196" t="s">
        <v>390</v>
      </c>
      <c r="B1" s="196" t="s">
        <v>389</v>
      </c>
      <c r="C1" s="196" t="s">
        <v>388</v>
      </c>
      <c r="D1" s="196" t="s">
        <v>387</v>
      </c>
      <c r="E1" s="196" t="s">
        <v>386</v>
      </c>
      <c r="F1" s="196" t="s">
        <v>157</v>
      </c>
      <c r="G1" s="196" t="s">
        <v>316</v>
      </c>
      <c r="H1" s="196" t="s">
        <v>317</v>
      </c>
      <c r="I1" s="197" t="s">
        <v>383</v>
      </c>
      <c r="J1" s="197" t="s">
        <v>384</v>
      </c>
      <c r="K1" s="197" t="s">
        <v>385</v>
      </c>
      <c r="L1" s="198" t="s">
        <v>382</v>
      </c>
    </row>
    <row r="2" spans="1:12">
      <c r="A2" s="201">
        <v>43190</v>
      </c>
      <c r="B2" s="201">
        <v>43226</v>
      </c>
      <c r="C2" s="194">
        <f>B2-A2</f>
        <v>36</v>
      </c>
      <c r="D2" s="201">
        <v>43243</v>
      </c>
      <c r="E2" s="194">
        <f>D2-A2</f>
        <v>53</v>
      </c>
      <c r="F2" s="191" t="s">
        <v>231</v>
      </c>
      <c r="G2" s="191" t="s">
        <v>312</v>
      </c>
      <c r="H2" s="191" t="s">
        <v>29</v>
      </c>
      <c r="I2" s="194">
        <v>49</v>
      </c>
      <c r="J2" s="194">
        <v>55</v>
      </c>
      <c r="K2" s="194">
        <v>3</v>
      </c>
      <c r="L2" s="195">
        <f>SUM(I2,J2:K4)</f>
        <v>177</v>
      </c>
    </row>
    <row r="3" spans="1:12">
      <c r="A3" s="201">
        <v>43190</v>
      </c>
      <c r="B3" s="201">
        <v>43226</v>
      </c>
      <c r="C3" s="194">
        <f t="shared" ref="C3:C68" si="0">B3-A3</f>
        <v>36</v>
      </c>
      <c r="D3" s="201">
        <v>43243</v>
      </c>
      <c r="E3" s="194">
        <f t="shared" ref="E3:E65" si="1">D3-A3</f>
        <v>53</v>
      </c>
      <c r="F3" s="191" t="s">
        <v>232</v>
      </c>
      <c r="G3" s="191" t="s">
        <v>312</v>
      </c>
      <c r="H3" s="191" t="s">
        <v>29</v>
      </c>
      <c r="J3" s="194">
        <v>31</v>
      </c>
      <c r="K3" s="194">
        <v>8</v>
      </c>
    </row>
    <row r="4" spans="1:12">
      <c r="A4" s="201">
        <v>43190</v>
      </c>
      <c r="B4" s="201">
        <v>43226</v>
      </c>
      <c r="C4" s="194">
        <f t="shared" si="0"/>
        <v>36</v>
      </c>
      <c r="D4" s="201">
        <v>43243</v>
      </c>
      <c r="E4" s="194">
        <f t="shared" si="1"/>
        <v>53</v>
      </c>
      <c r="F4" s="191" t="s">
        <v>233</v>
      </c>
      <c r="G4" s="191" t="s">
        <v>312</v>
      </c>
      <c r="H4" s="191" t="s">
        <v>29</v>
      </c>
      <c r="J4" s="194">
        <v>30</v>
      </c>
      <c r="K4" s="194">
        <v>1</v>
      </c>
    </row>
    <row r="5" spans="1:12">
      <c r="A5" s="201">
        <v>43191</v>
      </c>
      <c r="B5" s="201">
        <v>43226</v>
      </c>
      <c r="C5" s="194">
        <f t="shared" si="0"/>
        <v>35</v>
      </c>
      <c r="D5" s="201">
        <v>43243</v>
      </c>
      <c r="E5" s="194">
        <f t="shared" si="1"/>
        <v>52</v>
      </c>
      <c r="F5" s="191" t="s">
        <v>234</v>
      </c>
      <c r="G5" s="191" t="s">
        <v>313</v>
      </c>
      <c r="H5" s="191" t="s">
        <v>28</v>
      </c>
      <c r="I5" s="194">
        <v>5</v>
      </c>
      <c r="J5" s="194">
        <v>25</v>
      </c>
      <c r="K5" s="194">
        <v>0</v>
      </c>
      <c r="L5" s="195">
        <f>SUM(I5,J5:K7)</f>
        <v>46</v>
      </c>
    </row>
    <row r="6" spans="1:12">
      <c r="A6" s="201">
        <v>43191</v>
      </c>
      <c r="B6" s="201">
        <v>43226</v>
      </c>
      <c r="C6" s="194">
        <f t="shared" si="0"/>
        <v>35</v>
      </c>
      <c r="D6" s="201">
        <v>43243</v>
      </c>
      <c r="E6" s="194">
        <f t="shared" si="1"/>
        <v>52</v>
      </c>
      <c r="F6" s="191" t="s">
        <v>235</v>
      </c>
      <c r="G6" s="191" t="s">
        <v>313</v>
      </c>
      <c r="H6" s="191" t="s">
        <v>28</v>
      </c>
      <c r="J6" s="194">
        <v>12</v>
      </c>
      <c r="K6" s="194">
        <v>1</v>
      </c>
    </row>
    <row r="7" spans="1:12">
      <c r="A7" s="201">
        <v>43191</v>
      </c>
      <c r="B7" s="201">
        <v>43226</v>
      </c>
      <c r="C7" s="194">
        <f t="shared" si="0"/>
        <v>35</v>
      </c>
      <c r="D7" s="201">
        <v>43243</v>
      </c>
      <c r="E7" s="194">
        <f t="shared" si="1"/>
        <v>52</v>
      </c>
      <c r="F7" s="191" t="s">
        <v>236</v>
      </c>
      <c r="G7" s="191" t="s">
        <v>313</v>
      </c>
      <c r="H7" s="191" t="s">
        <v>28</v>
      </c>
      <c r="J7" s="194">
        <v>3</v>
      </c>
      <c r="K7" s="194">
        <v>0</v>
      </c>
    </row>
    <row r="8" spans="1:12">
      <c r="A8" s="201">
        <v>43192</v>
      </c>
      <c r="B8" s="201">
        <v>43228</v>
      </c>
      <c r="C8" s="194">
        <f t="shared" si="0"/>
        <v>36</v>
      </c>
      <c r="D8" s="201">
        <v>43243</v>
      </c>
      <c r="E8" s="194">
        <f t="shared" si="1"/>
        <v>51</v>
      </c>
      <c r="F8" s="191" t="s">
        <v>237</v>
      </c>
      <c r="G8" s="191" t="s">
        <v>314</v>
      </c>
      <c r="H8" s="191" t="s">
        <v>61</v>
      </c>
      <c r="I8" s="194">
        <v>41</v>
      </c>
      <c r="J8" s="194">
        <v>89</v>
      </c>
      <c r="K8" s="194">
        <v>9</v>
      </c>
      <c r="L8" s="195">
        <f>SUM(I8,J8:K10)</f>
        <v>463</v>
      </c>
    </row>
    <row r="9" spans="1:12">
      <c r="A9" s="201">
        <v>43192</v>
      </c>
      <c r="B9" s="201">
        <v>43228</v>
      </c>
      <c r="C9" s="194">
        <f t="shared" si="0"/>
        <v>36</v>
      </c>
      <c r="D9" s="201">
        <v>43243</v>
      </c>
      <c r="E9" s="194">
        <f t="shared" si="1"/>
        <v>51</v>
      </c>
      <c r="F9" s="191" t="s">
        <v>238</v>
      </c>
      <c r="G9" s="191" t="s">
        <v>314</v>
      </c>
      <c r="H9" s="191" t="s">
        <v>61</v>
      </c>
      <c r="J9" s="194">
        <v>130</v>
      </c>
      <c r="K9" s="194">
        <v>2</v>
      </c>
    </row>
    <row r="10" spans="1:12">
      <c r="A10" s="201">
        <v>43192</v>
      </c>
      <c r="B10" s="201">
        <v>43228</v>
      </c>
      <c r="C10" s="194">
        <f t="shared" si="0"/>
        <v>36</v>
      </c>
      <c r="D10" s="201">
        <v>43243</v>
      </c>
      <c r="E10" s="194">
        <f t="shared" si="1"/>
        <v>51</v>
      </c>
      <c r="F10" s="191" t="s">
        <v>239</v>
      </c>
      <c r="G10" s="191" t="s">
        <v>314</v>
      </c>
      <c r="H10" s="191" t="s">
        <v>61</v>
      </c>
      <c r="J10" s="194">
        <v>191</v>
      </c>
      <c r="K10" s="194">
        <v>1</v>
      </c>
    </row>
    <row r="11" spans="1:12">
      <c r="A11" s="201">
        <v>43192</v>
      </c>
      <c r="B11" s="201">
        <v>43228</v>
      </c>
      <c r="C11" s="194">
        <f t="shared" si="0"/>
        <v>36</v>
      </c>
      <c r="D11" s="201">
        <v>43243</v>
      </c>
      <c r="E11" s="194">
        <f t="shared" si="1"/>
        <v>51</v>
      </c>
      <c r="F11" s="191" t="s">
        <v>240</v>
      </c>
      <c r="G11" s="191" t="s">
        <v>312</v>
      </c>
      <c r="H11" s="191" t="s">
        <v>36</v>
      </c>
      <c r="I11" s="194">
        <v>26</v>
      </c>
      <c r="J11" s="194">
        <v>26</v>
      </c>
      <c r="K11" s="194">
        <v>1</v>
      </c>
      <c r="L11" s="195">
        <f>SUM(I11,J11:K13)</f>
        <v>96</v>
      </c>
    </row>
    <row r="12" spans="1:12">
      <c r="A12" s="201">
        <v>43192</v>
      </c>
      <c r="B12" s="201">
        <v>43228</v>
      </c>
      <c r="C12" s="194">
        <f t="shared" si="0"/>
        <v>36</v>
      </c>
      <c r="D12" s="201">
        <v>43243</v>
      </c>
      <c r="E12" s="194">
        <f t="shared" si="1"/>
        <v>51</v>
      </c>
      <c r="F12" s="191" t="s">
        <v>241</v>
      </c>
      <c r="G12" s="191" t="s">
        <v>312</v>
      </c>
      <c r="H12" s="191" t="s">
        <v>36</v>
      </c>
      <c r="J12" s="194">
        <v>24</v>
      </c>
      <c r="K12" s="194">
        <v>1</v>
      </c>
    </row>
    <row r="13" spans="1:12">
      <c r="A13" s="201">
        <v>43192</v>
      </c>
      <c r="B13" s="201">
        <v>43228</v>
      </c>
      <c r="C13" s="194">
        <f t="shared" si="0"/>
        <v>36</v>
      </c>
      <c r="D13" s="201">
        <v>43243</v>
      </c>
      <c r="E13" s="194">
        <f t="shared" si="1"/>
        <v>51</v>
      </c>
      <c r="F13" s="191" t="s">
        <v>242</v>
      </c>
      <c r="G13" s="191" t="s">
        <v>312</v>
      </c>
      <c r="H13" s="191" t="s">
        <v>36</v>
      </c>
      <c r="J13" s="194">
        <v>18</v>
      </c>
      <c r="K13" s="194">
        <v>0</v>
      </c>
    </row>
    <row r="14" spans="1:12">
      <c r="A14" s="201">
        <v>43192</v>
      </c>
      <c r="B14" s="201">
        <v>43228</v>
      </c>
      <c r="C14" s="194">
        <f t="shared" si="0"/>
        <v>36</v>
      </c>
      <c r="D14" s="201">
        <v>43243</v>
      </c>
      <c r="E14" s="194">
        <f t="shared" si="1"/>
        <v>51</v>
      </c>
      <c r="F14" s="191" t="s">
        <v>243</v>
      </c>
      <c r="G14" s="191" t="s">
        <v>313</v>
      </c>
      <c r="H14" s="191" t="s">
        <v>37</v>
      </c>
      <c r="I14" s="194">
        <v>79</v>
      </c>
      <c r="J14" s="194">
        <v>37</v>
      </c>
      <c r="K14" s="194">
        <v>3</v>
      </c>
      <c r="L14" s="195">
        <f>SUM(I14,J14:K16)</f>
        <v>190</v>
      </c>
    </row>
    <row r="15" spans="1:12">
      <c r="A15" s="201">
        <v>43192</v>
      </c>
      <c r="B15" s="201">
        <v>43228</v>
      </c>
      <c r="C15" s="194">
        <f t="shared" si="0"/>
        <v>36</v>
      </c>
      <c r="D15" s="201">
        <v>43243</v>
      </c>
      <c r="E15" s="194">
        <f t="shared" si="1"/>
        <v>51</v>
      </c>
      <c r="F15" s="191" t="s">
        <v>244</v>
      </c>
      <c r="G15" s="191" t="s">
        <v>313</v>
      </c>
      <c r="H15" s="191" t="s">
        <v>37</v>
      </c>
      <c r="J15" s="194">
        <v>33</v>
      </c>
      <c r="K15" s="194">
        <v>3</v>
      </c>
    </row>
    <row r="16" spans="1:12">
      <c r="A16" s="201">
        <v>43192</v>
      </c>
      <c r="B16" s="201">
        <v>43228</v>
      </c>
      <c r="C16" s="194">
        <f t="shared" si="0"/>
        <v>36</v>
      </c>
      <c r="D16" s="201">
        <v>43243</v>
      </c>
      <c r="E16" s="194">
        <f t="shared" si="1"/>
        <v>51</v>
      </c>
      <c r="F16" s="191" t="s">
        <v>245</v>
      </c>
      <c r="G16" s="191" t="s">
        <v>313</v>
      </c>
      <c r="H16" s="191" t="s">
        <v>37</v>
      </c>
      <c r="J16" s="194">
        <v>28</v>
      </c>
      <c r="K16" s="194">
        <v>7</v>
      </c>
    </row>
    <row r="17" spans="1:12">
      <c r="A17" s="201">
        <v>43192</v>
      </c>
      <c r="B17" s="201">
        <v>43228</v>
      </c>
      <c r="C17" s="194">
        <f t="shared" si="0"/>
        <v>36</v>
      </c>
      <c r="D17" s="201">
        <v>43243</v>
      </c>
      <c r="E17" s="194">
        <f t="shared" si="1"/>
        <v>51</v>
      </c>
      <c r="F17" s="191" t="s">
        <v>246</v>
      </c>
      <c r="G17" s="191" t="s">
        <v>314</v>
      </c>
      <c r="H17" s="191" t="s">
        <v>59</v>
      </c>
      <c r="I17" s="194">
        <v>24</v>
      </c>
      <c r="J17" s="194">
        <v>68</v>
      </c>
      <c r="K17" s="194">
        <v>1</v>
      </c>
      <c r="L17" s="195">
        <f>SUM(I17,J17:K19)</f>
        <v>295</v>
      </c>
    </row>
    <row r="18" spans="1:12">
      <c r="A18" s="201">
        <v>43192</v>
      </c>
      <c r="B18" s="201">
        <v>43228</v>
      </c>
      <c r="C18" s="194">
        <f t="shared" si="0"/>
        <v>36</v>
      </c>
      <c r="D18" s="201">
        <v>43243</v>
      </c>
      <c r="E18" s="194">
        <f t="shared" si="1"/>
        <v>51</v>
      </c>
      <c r="F18" s="191" t="s">
        <v>247</v>
      </c>
      <c r="G18" s="191" t="s">
        <v>314</v>
      </c>
      <c r="H18" s="191" t="s">
        <v>59</v>
      </c>
      <c r="J18" s="194">
        <v>107</v>
      </c>
      <c r="K18" s="194">
        <v>3</v>
      </c>
    </row>
    <row r="19" spans="1:12">
      <c r="A19" s="201">
        <v>43192</v>
      </c>
      <c r="B19" s="201">
        <v>43228</v>
      </c>
      <c r="C19" s="194">
        <f t="shared" si="0"/>
        <v>36</v>
      </c>
      <c r="D19" s="201">
        <v>43243</v>
      </c>
      <c r="E19" s="194">
        <f t="shared" si="1"/>
        <v>51</v>
      </c>
      <c r="F19" s="191" t="s">
        <v>248</v>
      </c>
      <c r="G19" s="191" t="s">
        <v>314</v>
      </c>
      <c r="H19" s="191" t="s">
        <v>59</v>
      </c>
      <c r="J19" s="194">
        <v>92</v>
      </c>
      <c r="K19" s="194">
        <v>0</v>
      </c>
    </row>
    <row r="20" spans="1:12">
      <c r="A20" s="201">
        <v>43192</v>
      </c>
      <c r="B20" s="201">
        <v>43228</v>
      </c>
      <c r="C20" s="194">
        <f t="shared" si="0"/>
        <v>36</v>
      </c>
      <c r="D20" s="201">
        <v>43243</v>
      </c>
      <c r="E20" s="194">
        <f t="shared" si="1"/>
        <v>51</v>
      </c>
      <c r="F20" s="191" t="s">
        <v>249</v>
      </c>
      <c r="G20" s="191" t="s">
        <v>312</v>
      </c>
      <c r="H20" s="191" t="s">
        <v>29</v>
      </c>
      <c r="I20" s="194">
        <v>25</v>
      </c>
      <c r="J20" s="194">
        <v>19</v>
      </c>
      <c r="K20" s="194">
        <v>6</v>
      </c>
      <c r="L20" s="195">
        <f>SUM(I20,J20:K22)</f>
        <v>75</v>
      </c>
    </row>
    <row r="21" spans="1:12">
      <c r="A21" s="201">
        <v>43192</v>
      </c>
      <c r="B21" s="201">
        <v>43228</v>
      </c>
      <c r="C21" s="194">
        <f t="shared" si="0"/>
        <v>36</v>
      </c>
      <c r="D21" s="201">
        <v>43243</v>
      </c>
      <c r="E21" s="194">
        <f t="shared" si="1"/>
        <v>51</v>
      </c>
      <c r="F21" s="191" t="s">
        <v>250</v>
      </c>
      <c r="G21" s="191" t="s">
        <v>312</v>
      </c>
      <c r="H21" s="191" t="s">
        <v>29</v>
      </c>
      <c r="J21" s="194">
        <v>13</v>
      </c>
      <c r="K21" s="194">
        <v>0</v>
      </c>
    </row>
    <row r="22" spans="1:12">
      <c r="A22" s="201">
        <v>43192</v>
      </c>
      <c r="B22" s="201">
        <v>43228</v>
      </c>
      <c r="C22" s="194">
        <f t="shared" si="0"/>
        <v>36</v>
      </c>
      <c r="D22" s="201">
        <v>43243</v>
      </c>
      <c r="E22" s="194">
        <f t="shared" si="1"/>
        <v>51</v>
      </c>
      <c r="F22" s="191" t="s">
        <v>251</v>
      </c>
      <c r="G22" s="191" t="s">
        <v>312</v>
      </c>
      <c r="H22" s="191" t="s">
        <v>29</v>
      </c>
      <c r="J22" s="194">
        <v>11</v>
      </c>
      <c r="K22" s="194">
        <v>1</v>
      </c>
    </row>
    <row r="23" spans="1:12">
      <c r="A23" s="201">
        <v>43193</v>
      </c>
      <c r="B23" s="201">
        <v>43228</v>
      </c>
      <c r="C23" s="194">
        <f t="shared" si="0"/>
        <v>35</v>
      </c>
      <c r="D23" s="201">
        <v>43243</v>
      </c>
      <c r="E23" s="194">
        <f t="shared" si="1"/>
        <v>50</v>
      </c>
      <c r="F23" s="191" t="s">
        <v>252</v>
      </c>
      <c r="G23" s="191" t="s">
        <v>313</v>
      </c>
      <c r="H23" s="191" t="s">
        <v>37</v>
      </c>
      <c r="I23" s="194">
        <v>3</v>
      </c>
      <c r="J23" s="194">
        <v>2</v>
      </c>
      <c r="K23" s="194">
        <v>0</v>
      </c>
      <c r="L23" s="195">
        <f>SUM(I23,J23:K25)</f>
        <v>9</v>
      </c>
    </row>
    <row r="24" spans="1:12">
      <c r="A24" s="201">
        <v>43193</v>
      </c>
      <c r="B24" s="201">
        <v>43228</v>
      </c>
      <c r="C24" s="194">
        <f t="shared" si="0"/>
        <v>35</v>
      </c>
      <c r="D24" s="201">
        <v>43243</v>
      </c>
      <c r="E24" s="194">
        <f>D24-A24</f>
        <v>50</v>
      </c>
      <c r="F24" s="191" t="s">
        <v>253</v>
      </c>
      <c r="G24" s="191" t="s">
        <v>313</v>
      </c>
      <c r="H24" s="191" t="s">
        <v>37</v>
      </c>
      <c r="J24" s="194">
        <v>0</v>
      </c>
      <c r="K24" s="194">
        <v>0</v>
      </c>
    </row>
    <row r="25" spans="1:12">
      <c r="A25" s="201">
        <v>43193</v>
      </c>
      <c r="B25" s="201">
        <v>43228</v>
      </c>
      <c r="C25" s="194">
        <f t="shared" si="0"/>
        <v>35</v>
      </c>
      <c r="D25" s="201">
        <v>43243</v>
      </c>
      <c r="E25" s="194">
        <f t="shared" si="1"/>
        <v>50</v>
      </c>
      <c r="F25" s="191" t="s">
        <v>254</v>
      </c>
      <c r="G25" s="191" t="s">
        <v>313</v>
      </c>
      <c r="H25" s="191" t="s">
        <v>37</v>
      </c>
      <c r="J25" s="194">
        <v>3</v>
      </c>
      <c r="K25" s="194">
        <v>1</v>
      </c>
    </row>
    <row r="26" spans="1:12">
      <c r="A26" s="201">
        <v>43193</v>
      </c>
      <c r="B26" s="201">
        <v>43228</v>
      </c>
      <c r="C26" s="194">
        <f t="shared" si="0"/>
        <v>35</v>
      </c>
      <c r="D26" s="201">
        <v>43243</v>
      </c>
      <c r="E26" s="194">
        <f t="shared" si="1"/>
        <v>50</v>
      </c>
      <c r="F26" s="191" t="s">
        <v>255</v>
      </c>
      <c r="G26" s="191" t="s">
        <v>314</v>
      </c>
      <c r="H26" s="191" t="s">
        <v>59</v>
      </c>
      <c r="I26" s="194">
        <v>6</v>
      </c>
      <c r="J26" s="194">
        <v>4</v>
      </c>
      <c r="K26" s="194">
        <v>0</v>
      </c>
      <c r="L26" s="195">
        <f>SUM(I26,J26:K28)</f>
        <v>26</v>
      </c>
    </row>
    <row r="27" spans="1:12">
      <c r="A27" s="201">
        <v>43193</v>
      </c>
      <c r="B27" s="201">
        <v>43228</v>
      </c>
      <c r="C27" s="194">
        <f t="shared" si="0"/>
        <v>35</v>
      </c>
      <c r="D27" s="201">
        <v>43243</v>
      </c>
      <c r="E27" s="194">
        <f t="shared" si="1"/>
        <v>50</v>
      </c>
      <c r="F27" s="191" t="s">
        <v>256</v>
      </c>
      <c r="G27" s="191" t="s">
        <v>314</v>
      </c>
      <c r="H27" s="191" t="s">
        <v>59</v>
      </c>
      <c r="J27" s="194">
        <v>4</v>
      </c>
      <c r="K27" s="194">
        <v>0</v>
      </c>
    </row>
    <row r="28" spans="1:12">
      <c r="A28" s="201">
        <v>43193</v>
      </c>
      <c r="B28" s="201">
        <v>43228</v>
      </c>
      <c r="C28" s="194">
        <f t="shared" si="0"/>
        <v>35</v>
      </c>
      <c r="D28" s="201">
        <v>43243</v>
      </c>
      <c r="E28" s="194">
        <f t="shared" si="1"/>
        <v>50</v>
      </c>
      <c r="F28" s="191" t="s">
        <v>257</v>
      </c>
      <c r="G28" s="191" t="s">
        <v>314</v>
      </c>
      <c r="H28" s="191" t="s">
        <v>59</v>
      </c>
      <c r="J28" s="194">
        <v>12</v>
      </c>
      <c r="K28" s="194">
        <v>0</v>
      </c>
    </row>
    <row r="29" spans="1:12">
      <c r="A29" s="201">
        <v>43194</v>
      </c>
      <c r="B29" s="201">
        <v>43230</v>
      </c>
      <c r="C29" s="194">
        <f t="shared" si="0"/>
        <v>36</v>
      </c>
      <c r="D29" s="201">
        <v>43243</v>
      </c>
      <c r="E29" s="194">
        <f t="shared" si="1"/>
        <v>49</v>
      </c>
      <c r="F29" s="191" t="s">
        <v>258</v>
      </c>
      <c r="G29" s="191" t="s">
        <v>315</v>
      </c>
      <c r="H29" s="191" t="s">
        <v>84</v>
      </c>
      <c r="I29" s="194">
        <v>8</v>
      </c>
      <c r="J29" s="194">
        <v>27</v>
      </c>
      <c r="K29" s="194">
        <v>0</v>
      </c>
      <c r="L29" s="195">
        <f>SUM(I29,J29:K31)</f>
        <v>48</v>
      </c>
    </row>
    <row r="30" spans="1:12">
      <c r="A30" s="201">
        <v>43194</v>
      </c>
      <c r="B30" s="201">
        <v>43230</v>
      </c>
      <c r="C30" s="194">
        <f t="shared" si="0"/>
        <v>36</v>
      </c>
      <c r="D30" s="201">
        <v>43243</v>
      </c>
      <c r="E30" s="194">
        <f t="shared" si="1"/>
        <v>49</v>
      </c>
      <c r="F30" s="191" t="s">
        <v>259</v>
      </c>
      <c r="G30" s="191" t="s">
        <v>315</v>
      </c>
      <c r="H30" s="191" t="s">
        <v>84</v>
      </c>
      <c r="J30" s="194">
        <v>5</v>
      </c>
      <c r="K30" s="194">
        <v>1</v>
      </c>
    </row>
    <row r="31" spans="1:12">
      <c r="A31" s="201">
        <v>43194</v>
      </c>
      <c r="B31" s="201">
        <v>43230</v>
      </c>
      <c r="C31" s="194">
        <f t="shared" si="0"/>
        <v>36</v>
      </c>
      <c r="D31" s="201">
        <v>43243</v>
      </c>
      <c r="E31" s="194">
        <f t="shared" si="1"/>
        <v>49</v>
      </c>
      <c r="F31" s="191" t="s">
        <v>260</v>
      </c>
      <c r="G31" s="191" t="s">
        <v>315</v>
      </c>
      <c r="H31" s="191" t="s">
        <v>84</v>
      </c>
      <c r="J31" s="194">
        <v>7</v>
      </c>
      <c r="K31" s="194">
        <v>0</v>
      </c>
    </row>
    <row r="32" spans="1:12">
      <c r="A32" s="201">
        <v>43195</v>
      </c>
      <c r="B32" s="201">
        <v>43230</v>
      </c>
      <c r="C32" s="194">
        <f t="shared" si="0"/>
        <v>35</v>
      </c>
      <c r="D32" s="201">
        <v>43247</v>
      </c>
      <c r="E32" s="194">
        <f t="shared" si="1"/>
        <v>52</v>
      </c>
      <c r="F32" s="191" t="s">
        <v>261</v>
      </c>
      <c r="G32" s="191" t="s">
        <v>315</v>
      </c>
      <c r="H32" s="191" t="s">
        <v>83</v>
      </c>
      <c r="I32" s="194">
        <v>20</v>
      </c>
      <c r="J32" s="194">
        <v>66</v>
      </c>
      <c r="K32" s="194">
        <v>0</v>
      </c>
      <c r="L32" s="195">
        <f>SUM(I32,J32:K34)</f>
        <v>139</v>
      </c>
    </row>
    <row r="33" spans="1:12">
      <c r="A33" s="201">
        <v>43195</v>
      </c>
      <c r="B33" s="201">
        <v>43230</v>
      </c>
      <c r="C33" s="194">
        <f t="shared" si="0"/>
        <v>35</v>
      </c>
      <c r="D33" s="201">
        <v>43247</v>
      </c>
      <c r="E33" s="194">
        <f t="shared" si="1"/>
        <v>52</v>
      </c>
      <c r="F33" s="191" t="s">
        <v>262</v>
      </c>
      <c r="G33" s="191" t="s">
        <v>315</v>
      </c>
      <c r="H33" s="191" t="s">
        <v>83</v>
      </c>
      <c r="J33" s="194">
        <v>40</v>
      </c>
      <c r="K33" s="194">
        <v>1</v>
      </c>
    </row>
    <row r="34" spans="1:12">
      <c r="A34" s="201">
        <v>43195</v>
      </c>
      <c r="B34" s="201">
        <v>43230</v>
      </c>
      <c r="C34" s="194">
        <f t="shared" si="0"/>
        <v>35</v>
      </c>
      <c r="D34" s="201">
        <v>43247</v>
      </c>
      <c r="E34" s="194">
        <f t="shared" si="1"/>
        <v>52</v>
      </c>
      <c r="F34" s="191" t="s">
        <v>263</v>
      </c>
      <c r="G34" s="191" t="s">
        <v>315</v>
      </c>
      <c r="H34" s="191" t="s">
        <v>83</v>
      </c>
      <c r="J34" s="194">
        <v>12</v>
      </c>
      <c r="K34" s="194">
        <v>0</v>
      </c>
    </row>
    <row r="35" spans="1:12">
      <c r="A35" s="201">
        <v>43195</v>
      </c>
      <c r="B35" s="201">
        <v>43230</v>
      </c>
      <c r="C35" s="194">
        <f t="shared" si="0"/>
        <v>35</v>
      </c>
      <c r="D35" s="201">
        <v>43247</v>
      </c>
      <c r="E35" s="194">
        <f t="shared" si="1"/>
        <v>52</v>
      </c>
      <c r="F35" s="191" t="s">
        <v>264</v>
      </c>
      <c r="G35" s="191" t="s">
        <v>314</v>
      </c>
      <c r="H35" s="191" t="s">
        <v>61</v>
      </c>
      <c r="I35" s="194">
        <v>2</v>
      </c>
      <c r="J35" s="194">
        <v>3</v>
      </c>
      <c r="K35" s="194">
        <v>0</v>
      </c>
      <c r="L35" s="195">
        <f>SUM(I35,J35:K37)</f>
        <v>22</v>
      </c>
    </row>
    <row r="36" spans="1:12">
      <c r="A36" s="201">
        <v>43195</v>
      </c>
      <c r="B36" s="201">
        <v>43230</v>
      </c>
      <c r="C36" s="194">
        <f t="shared" si="0"/>
        <v>35</v>
      </c>
      <c r="D36" s="201">
        <v>43247</v>
      </c>
      <c r="E36" s="194">
        <f t="shared" si="1"/>
        <v>52</v>
      </c>
      <c r="F36" s="191" t="s">
        <v>265</v>
      </c>
      <c r="G36" s="191" t="s">
        <v>314</v>
      </c>
      <c r="H36" s="191" t="s">
        <v>61</v>
      </c>
      <c r="J36" s="194">
        <v>15</v>
      </c>
      <c r="K36" s="194">
        <v>0</v>
      </c>
    </row>
    <row r="37" spans="1:12">
      <c r="A37" s="201">
        <v>43195</v>
      </c>
      <c r="B37" s="201">
        <v>43230</v>
      </c>
      <c r="C37" s="194">
        <f t="shared" si="0"/>
        <v>35</v>
      </c>
      <c r="D37" s="201">
        <v>43247</v>
      </c>
      <c r="E37" s="194">
        <f t="shared" si="1"/>
        <v>52</v>
      </c>
      <c r="F37" s="191" t="s">
        <v>266</v>
      </c>
      <c r="G37" s="191" t="s">
        <v>314</v>
      </c>
      <c r="H37" s="191" t="s">
        <v>61</v>
      </c>
      <c r="J37" s="194">
        <v>2</v>
      </c>
      <c r="K37" s="194">
        <v>0</v>
      </c>
    </row>
    <row r="38" spans="1:12">
      <c r="A38" s="201">
        <v>43196</v>
      </c>
      <c r="B38" s="201">
        <v>43233</v>
      </c>
      <c r="C38" s="194">
        <f t="shared" si="0"/>
        <v>37</v>
      </c>
      <c r="D38" s="201">
        <v>43247</v>
      </c>
      <c r="E38" s="194">
        <f t="shared" si="1"/>
        <v>51</v>
      </c>
      <c r="F38" s="191" t="s">
        <v>267</v>
      </c>
      <c r="G38" s="191" t="s">
        <v>313</v>
      </c>
      <c r="H38" s="191" t="s">
        <v>28</v>
      </c>
      <c r="I38" s="194">
        <v>5</v>
      </c>
      <c r="J38" s="194">
        <v>57</v>
      </c>
      <c r="K38" s="194">
        <v>0</v>
      </c>
      <c r="L38" s="195">
        <f>SUM(I38,J38:K40)</f>
        <v>130</v>
      </c>
    </row>
    <row r="39" spans="1:12">
      <c r="A39" s="201">
        <v>43196</v>
      </c>
      <c r="B39" s="201">
        <v>43233</v>
      </c>
      <c r="C39" s="194">
        <f t="shared" si="0"/>
        <v>37</v>
      </c>
      <c r="D39" s="201">
        <v>43247</v>
      </c>
      <c r="E39" s="194">
        <f t="shared" si="1"/>
        <v>51</v>
      </c>
      <c r="F39" s="191" t="s">
        <v>268</v>
      </c>
      <c r="G39" s="191" t="s">
        <v>313</v>
      </c>
      <c r="H39" s="191" t="s">
        <v>28</v>
      </c>
      <c r="J39" s="194">
        <v>67</v>
      </c>
      <c r="K39" s="194">
        <v>0</v>
      </c>
    </row>
    <row r="40" spans="1:12">
      <c r="A40" s="201">
        <v>43196</v>
      </c>
      <c r="B40" s="201">
        <v>43233</v>
      </c>
      <c r="C40" s="194">
        <f t="shared" si="0"/>
        <v>37</v>
      </c>
      <c r="D40" s="201">
        <v>43247</v>
      </c>
      <c r="E40" s="194">
        <f t="shared" si="1"/>
        <v>51</v>
      </c>
      <c r="F40" s="191" t="s">
        <v>269</v>
      </c>
      <c r="G40" s="191" t="s">
        <v>313</v>
      </c>
      <c r="H40" s="191" t="s">
        <v>28</v>
      </c>
      <c r="J40" s="194">
        <v>1</v>
      </c>
      <c r="K40" s="194">
        <v>0</v>
      </c>
    </row>
    <row r="41" spans="1:12">
      <c r="A41" s="201">
        <v>43197</v>
      </c>
      <c r="B41" s="201">
        <v>43233</v>
      </c>
      <c r="C41" s="194">
        <f t="shared" si="0"/>
        <v>36</v>
      </c>
      <c r="D41" s="201">
        <v>43247</v>
      </c>
      <c r="E41" s="194">
        <f t="shared" si="1"/>
        <v>50</v>
      </c>
      <c r="F41" s="191" t="s">
        <v>270</v>
      </c>
      <c r="G41" s="191" t="s">
        <v>312</v>
      </c>
      <c r="H41" s="191" t="s">
        <v>36</v>
      </c>
      <c r="I41" s="194">
        <v>55</v>
      </c>
      <c r="J41" s="194">
        <v>73</v>
      </c>
      <c r="K41" s="194">
        <v>0</v>
      </c>
      <c r="L41" s="195">
        <f>SUM(I41,J41:K43)</f>
        <v>316</v>
      </c>
    </row>
    <row r="42" spans="1:12">
      <c r="A42" s="201">
        <v>43197</v>
      </c>
      <c r="B42" s="201">
        <v>43233</v>
      </c>
      <c r="C42" s="194">
        <f t="shared" si="0"/>
        <v>36</v>
      </c>
      <c r="D42" s="201">
        <v>43247</v>
      </c>
      <c r="E42" s="194">
        <f t="shared" si="1"/>
        <v>50</v>
      </c>
      <c r="F42" s="191" t="s">
        <v>271</v>
      </c>
      <c r="G42" s="191" t="s">
        <v>312</v>
      </c>
      <c r="H42" s="191" t="s">
        <v>36</v>
      </c>
      <c r="J42" s="194">
        <v>70</v>
      </c>
      <c r="K42" s="194">
        <v>1</v>
      </c>
    </row>
    <row r="43" spans="1:12">
      <c r="A43" s="201">
        <v>43197</v>
      </c>
      <c r="B43" s="201">
        <v>43233</v>
      </c>
      <c r="C43" s="194">
        <f t="shared" si="0"/>
        <v>36</v>
      </c>
      <c r="D43" s="201">
        <v>43247</v>
      </c>
      <c r="E43" s="194">
        <f t="shared" si="1"/>
        <v>50</v>
      </c>
      <c r="F43" s="191" t="s">
        <v>272</v>
      </c>
      <c r="G43" s="191" t="s">
        <v>312</v>
      </c>
      <c r="H43" s="191" t="s">
        <v>36</v>
      </c>
      <c r="J43" s="194">
        <v>115</v>
      </c>
      <c r="K43" s="194">
        <v>2</v>
      </c>
    </row>
    <row r="44" spans="1:12">
      <c r="A44" s="201">
        <v>43197</v>
      </c>
      <c r="B44" s="201">
        <v>43233</v>
      </c>
      <c r="C44" s="194">
        <f t="shared" si="0"/>
        <v>36</v>
      </c>
      <c r="D44" s="201">
        <v>43247</v>
      </c>
      <c r="E44" s="194">
        <f>D44-A44</f>
        <v>50</v>
      </c>
      <c r="F44" s="191" t="s">
        <v>273</v>
      </c>
      <c r="G44" s="191" t="s">
        <v>312</v>
      </c>
      <c r="H44" s="191" t="s">
        <v>36</v>
      </c>
      <c r="I44" s="194">
        <v>16</v>
      </c>
      <c r="J44" s="194">
        <v>58</v>
      </c>
      <c r="K44" s="194">
        <v>5</v>
      </c>
      <c r="L44" s="195">
        <f>SUM(I44,J44:K46)</f>
        <v>188</v>
      </c>
    </row>
    <row r="45" spans="1:12">
      <c r="A45" s="201">
        <v>43197</v>
      </c>
      <c r="B45" s="201">
        <v>43233</v>
      </c>
      <c r="C45" s="194">
        <f t="shared" si="0"/>
        <v>36</v>
      </c>
      <c r="D45" s="201">
        <v>43247</v>
      </c>
      <c r="E45" s="194">
        <f t="shared" si="1"/>
        <v>50</v>
      </c>
      <c r="F45" s="191" t="s">
        <v>274</v>
      </c>
      <c r="G45" s="191" t="s">
        <v>312</v>
      </c>
      <c r="H45" s="191" t="s">
        <v>36</v>
      </c>
      <c r="J45" s="194">
        <v>49</v>
      </c>
      <c r="K45" s="194">
        <v>5</v>
      </c>
    </row>
    <row r="46" spans="1:12">
      <c r="A46" s="201">
        <v>43197</v>
      </c>
      <c r="B46" s="201">
        <v>43233</v>
      </c>
      <c r="C46" s="194">
        <f t="shared" si="0"/>
        <v>36</v>
      </c>
      <c r="D46" s="201">
        <v>43247</v>
      </c>
      <c r="E46" s="194">
        <f t="shared" si="1"/>
        <v>50</v>
      </c>
      <c r="F46" s="191" t="s">
        <v>275</v>
      </c>
      <c r="G46" s="191" t="s">
        <v>312</v>
      </c>
      <c r="H46" s="191" t="s">
        <v>36</v>
      </c>
      <c r="J46" s="194">
        <v>52</v>
      </c>
      <c r="K46" s="194">
        <v>3</v>
      </c>
    </row>
    <row r="47" spans="1:12">
      <c r="A47" s="201">
        <v>43197</v>
      </c>
      <c r="B47" s="201">
        <v>43233</v>
      </c>
      <c r="C47" s="194">
        <f t="shared" si="0"/>
        <v>36</v>
      </c>
      <c r="D47" s="201">
        <v>43247</v>
      </c>
      <c r="E47" s="194">
        <f t="shared" si="1"/>
        <v>50</v>
      </c>
      <c r="F47" s="191" t="s">
        <v>276</v>
      </c>
      <c r="G47" s="191" t="s">
        <v>314</v>
      </c>
      <c r="H47" s="191" t="s">
        <v>61</v>
      </c>
      <c r="I47" s="194">
        <v>75</v>
      </c>
      <c r="J47" s="194">
        <v>121</v>
      </c>
      <c r="K47" s="194">
        <v>13</v>
      </c>
      <c r="L47" s="195">
        <f>SUM(I47,J47:K49)</f>
        <v>741</v>
      </c>
    </row>
    <row r="48" spans="1:12">
      <c r="A48" s="201">
        <v>43197</v>
      </c>
      <c r="B48" s="201">
        <v>43233</v>
      </c>
      <c r="C48" s="194">
        <f t="shared" si="0"/>
        <v>36</v>
      </c>
      <c r="D48" s="201">
        <v>43247</v>
      </c>
      <c r="E48" s="194">
        <f t="shared" si="1"/>
        <v>50</v>
      </c>
      <c r="F48" s="191" t="s">
        <v>277</v>
      </c>
      <c r="G48" s="191" t="s">
        <v>314</v>
      </c>
      <c r="H48" s="191" t="s">
        <v>61</v>
      </c>
      <c r="J48" s="194">
        <v>233</v>
      </c>
      <c r="K48" s="194">
        <v>17</v>
      </c>
    </row>
    <row r="49" spans="1:12">
      <c r="A49" s="201">
        <v>43197</v>
      </c>
      <c r="B49" s="201">
        <v>43233</v>
      </c>
      <c r="C49" s="194">
        <f>B49-A49</f>
        <v>36</v>
      </c>
      <c r="D49" s="201">
        <v>43247</v>
      </c>
      <c r="E49" s="194">
        <f t="shared" si="1"/>
        <v>50</v>
      </c>
      <c r="F49" s="191" t="s">
        <v>278</v>
      </c>
      <c r="G49" s="191" t="s">
        <v>314</v>
      </c>
      <c r="H49" s="191" t="s">
        <v>61</v>
      </c>
      <c r="J49" s="194">
        <v>268</v>
      </c>
      <c r="K49" s="194">
        <v>14</v>
      </c>
    </row>
    <row r="50" spans="1:12">
      <c r="A50" s="201">
        <v>43197</v>
      </c>
      <c r="B50" s="201">
        <v>43233</v>
      </c>
      <c r="C50" s="194">
        <f t="shared" si="0"/>
        <v>36</v>
      </c>
      <c r="D50" s="201">
        <v>43247</v>
      </c>
      <c r="E50" s="194">
        <f t="shared" si="1"/>
        <v>50</v>
      </c>
      <c r="F50" s="191" t="s">
        <v>279</v>
      </c>
      <c r="G50" s="191" t="s">
        <v>315</v>
      </c>
      <c r="H50" s="191" t="s">
        <v>84</v>
      </c>
      <c r="I50" s="194">
        <v>3</v>
      </c>
      <c r="J50" s="194">
        <v>50</v>
      </c>
      <c r="K50" s="194">
        <v>2</v>
      </c>
      <c r="L50" s="195">
        <f>SUM(I50,J50:K52)</f>
        <v>111</v>
      </c>
    </row>
    <row r="51" spans="1:12">
      <c r="A51" s="201">
        <v>43197</v>
      </c>
      <c r="B51" s="201">
        <v>43233</v>
      </c>
      <c r="C51" s="194">
        <f t="shared" si="0"/>
        <v>36</v>
      </c>
      <c r="D51" s="201">
        <v>43247</v>
      </c>
      <c r="E51" s="194">
        <f t="shared" si="1"/>
        <v>50</v>
      </c>
      <c r="F51" s="191" t="s">
        <v>280</v>
      </c>
      <c r="G51" s="191" t="s">
        <v>315</v>
      </c>
      <c r="H51" s="191" t="s">
        <v>84</v>
      </c>
      <c r="J51" s="194">
        <v>24</v>
      </c>
      <c r="K51" s="194">
        <v>3</v>
      </c>
    </row>
    <row r="52" spans="1:12">
      <c r="A52" s="201">
        <v>43197</v>
      </c>
      <c r="B52" s="201">
        <v>43233</v>
      </c>
      <c r="C52" s="194">
        <f t="shared" si="0"/>
        <v>36</v>
      </c>
      <c r="D52" s="201">
        <v>43247</v>
      </c>
      <c r="E52" s="194">
        <f t="shared" si="1"/>
        <v>50</v>
      </c>
      <c r="F52" s="191" t="s">
        <v>281</v>
      </c>
      <c r="G52" s="191" t="s">
        <v>315</v>
      </c>
      <c r="H52" s="191" t="s">
        <v>84</v>
      </c>
      <c r="J52" s="194">
        <v>28</v>
      </c>
      <c r="K52" s="194">
        <v>1</v>
      </c>
    </row>
    <row r="53" spans="1:12">
      <c r="A53" s="201">
        <v>43197</v>
      </c>
      <c r="B53" s="201">
        <v>43233</v>
      </c>
      <c r="C53" s="194">
        <f t="shared" si="0"/>
        <v>36</v>
      </c>
      <c r="D53" s="201">
        <v>43247</v>
      </c>
      <c r="E53" s="194">
        <f t="shared" si="1"/>
        <v>50</v>
      </c>
      <c r="F53" s="191" t="s">
        <v>282</v>
      </c>
      <c r="G53" s="191" t="s">
        <v>314</v>
      </c>
      <c r="H53" s="191" t="s">
        <v>59</v>
      </c>
      <c r="I53" s="194">
        <v>5</v>
      </c>
      <c r="J53" s="194">
        <v>38</v>
      </c>
      <c r="K53" s="194">
        <v>1</v>
      </c>
      <c r="L53" s="195">
        <f>SUM(I53,J53:K55)</f>
        <v>111</v>
      </c>
    </row>
    <row r="54" spans="1:12">
      <c r="A54" s="201">
        <v>43197</v>
      </c>
      <c r="B54" s="201">
        <v>43233</v>
      </c>
      <c r="C54" s="194">
        <f t="shared" si="0"/>
        <v>36</v>
      </c>
      <c r="D54" s="201">
        <v>43247</v>
      </c>
      <c r="E54" s="194">
        <f t="shared" si="1"/>
        <v>50</v>
      </c>
      <c r="F54" s="191" t="s">
        <v>283</v>
      </c>
      <c r="G54" s="191" t="s">
        <v>314</v>
      </c>
      <c r="H54" s="191" t="s">
        <v>59</v>
      </c>
      <c r="J54" s="194">
        <v>31</v>
      </c>
      <c r="K54" s="194">
        <v>0</v>
      </c>
    </row>
    <row r="55" spans="1:12">
      <c r="A55" s="201">
        <v>43197</v>
      </c>
      <c r="B55" s="201">
        <v>43233</v>
      </c>
      <c r="C55" s="194">
        <f t="shared" si="0"/>
        <v>36</v>
      </c>
      <c r="D55" s="201">
        <v>43247</v>
      </c>
      <c r="E55" s="194">
        <f t="shared" si="1"/>
        <v>50</v>
      </c>
      <c r="F55" s="191" t="s">
        <v>284</v>
      </c>
      <c r="G55" s="191" t="s">
        <v>314</v>
      </c>
      <c r="H55" s="191" t="s">
        <v>59</v>
      </c>
      <c r="J55" s="194">
        <v>32</v>
      </c>
      <c r="K55" s="194">
        <v>4</v>
      </c>
    </row>
    <row r="56" spans="1:12">
      <c r="A56" s="201">
        <v>43197</v>
      </c>
      <c r="B56" s="201">
        <v>43233</v>
      </c>
      <c r="C56" s="194">
        <f t="shared" si="0"/>
        <v>36</v>
      </c>
      <c r="D56" s="201">
        <v>43247</v>
      </c>
      <c r="E56" s="194">
        <f t="shared" si="1"/>
        <v>50</v>
      </c>
      <c r="F56" s="191" t="s">
        <v>285</v>
      </c>
      <c r="G56" s="191" t="s">
        <v>315</v>
      </c>
      <c r="H56" s="191" t="s">
        <v>83</v>
      </c>
      <c r="I56" s="194">
        <v>15</v>
      </c>
      <c r="J56" s="194">
        <v>11</v>
      </c>
      <c r="K56" s="194">
        <v>0</v>
      </c>
      <c r="L56" s="195">
        <f>SUM(I56,J56:K58)</f>
        <v>136</v>
      </c>
    </row>
    <row r="57" spans="1:12">
      <c r="A57" s="201">
        <v>43197</v>
      </c>
      <c r="B57" s="201">
        <v>43233</v>
      </c>
      <c r="C57" s="194">
        <f t="shared" si="0"/>
        <v>36</v>
      </c>
      <c r="D57" s="201">
        <v>43247</v>
      </c>
      <c r="E57" s="194">
        <f t="shared" si="1"/>
        <v>50</v>
      </c>
      <c r="F57" s="191" t="s">
        <v>286</v>
      </c>
      <c r="G57" s="191" t="s">
        <v>315</v>
      </c>
      <c r="H57" s="191" t="s">
        <v>83</v>
      </c>
      <c r="J57" s="194">
        <v>50</v>
      </c>
      <c r="K57" s="194">
        <v>7</v>
      </c>
    </row>
    <row r="58" spans="1:12">
      <c r="A58" s="201">
        <v>43197</v>
      </c>
      <c r="B58" s="201">
        <v>43233</v>
      </c>
      <c r="C58" s="194">
        <f t="shared" si="0"/>
        <v>36</v>
      </c>
      <c r="D58" s="201">
        <v>43247</v>
      </c>
      <c r="E58" s="194">
        <f t="shared" si="1"/>
        <v>50</v>
      </c>
      <c r="F58" s="191" t="s">
        <v>287</v>
      </c>
      <c r="G58" s="191" t="s">
        <v>315</v>
      </c>
      <c r="H58" s="191" t="s">
        <v>83</v>
      </c>
      <c r="J58" s="194">
        <v>51</v>
      </c>
      <c r="K58" s="194">
        <v>2</v>
      </c>
    </row>
    <row r="59" spans="1:12">
      <c r="A59" s="201">
        <v>43197</v>
      </c>
      <c r="B59" s="201">
        <v>43233</v>
      </c>
      <c r="C59" s="194">
        <f t="shared" si="0"/>
        <v>36</v>
      </c>
      <c r="D59" s="201">
        <v>43247</v>
      </c>
      <c r="E59" s="194">
        <f t="shared" si="1"/>
        <v>50</v>
      </c>
      <c r="F59" s="191" t="s">
        <v>288</v>
      </c>
      <c r="G59" s="191" t="s">
        <v>314</v>
      </c>
      <c r="H59" s="191" t="s">
        <v>59</v>
      </c>
      <c r="I59" s="194">
        <v>46</v>
      </c>
      <c r="J59" s="194">
        <v>139</v>
      </c>
      <c r="K59" s="194">
        <v>9</v>
      </c>
      <c r="L59" s="195">
        <f>SUM(I59,J59:K61)</f>
        <v>502</v>
      </c>
    </row>
    <row r="60" spans="1:12">
      <c r="A60" s="201">
        <v>43197</v>
      </c>
      <c r="B60" s="201">
        <v>43233</v>
      </c>
      <c r="C60" s="194">
        <f t="shared" si="0"/>
        <v>36</v>
      </c>
      <c r="D60" s="201">
        <v>43247</v>
      </c>
      <c r="E60" s="194">
        <f t="shared" si="1"/>
        <v>50</v>
      </c>
      <c r="F60" s="191" t="s">
        <v>290</v>
      </c>
      <c r="G60" s="191" t="s">
        <v>314</v>
      </c>
      <c r="H60" s="191" t="s">
        <v>59</v>
      </c>
      <c r="J60" s="194">
        <v>121</v>
      </c>
      <c r="K60" s="194">
        <v>6</v>
      </c>
    </row>
    <row r="61" spans="1:12">
      <c r="A61" s="201">
        <v>43197</v>
      </c>
      <c r="B61" s="201">
        <v>43233</v>
      </c>
      <c r="C61" s="194">
        <f t="shared" si="0"/>
        <v>36</v>
      </c>
      <c r="D61" s="201">
        <v>43247</v>
      </c>
      <c r="E61" s="194">
        <f t="shared" si="1"/>
        <v>50</v>
      </c>
      <c r="F61" s="191" t="s">
        <v>289</v>
      </c>
      <c r="G61" s="191" t="s">
        <v>314</v>
      </c>
      <c r="H61" s="191" t="s">
        <v>59</v>
      </c>
      <c r="J61" s="194">
        <v>164</v>
      </c>
      <c r="K61" s="194">
        <v>17</v>
      </c>
    </row>
    <row r="62" spans="1:12">
      <c r="A62" s="201">
        <v>43198</v>
      </c>
      <c r="B62" s="201">
        <v>43233</v>
      </c>
      <c r="C62" s="194">
        <f t="shared" si="0"/>
        <v>35</v>
      </c>
      <c r="D62" s="201">
        <v>43247</v>
      </c>
      <c r="E62" s="194">
        <f t="shared" si="1"/>
        <v>49</v>
      </c>
      <c r="F62" s="191" t="s">
        <v>291</v>
      </c>
      <c r="G62" s="191" t="s">
        <v>314</v>
      </c>
      <c r="H62" s="191" t="s">
        <v>61</v>
      </c>
      <c r="I62" s="194">
        <v>49</v>
      </c>
      <c r="J62" s="194">
        <v>253</v>
      </c>
      <c r="K62" s="194">
        <v>7</v>
      </c>
      <c r="L62" s="195">
        <f>SUM(I62,J62:K64)</f>
        <v>741</v>
      </c>
    </row>
    <row r="63" spans="1:12">
      <c r="A63" s="201">
        <v>43198</v>
      </c>
      <c r="B63" s="201">
        <v>43233</v>
      </c>
      <c r="C63" s="194">
        <f t="shared" si="0"/>
        <v>35</v>
      </c>
      <c r="D63" s="201">
        <v>43247</v>
      </c>
      <c r="E63" s="194">
        <f t="shared" si="1"/>
        <v>49</v>
      </c>
      <c r="F63" s="191" t="s">
        <v>292</v>
      </c>
      <c r="G63" s="191" t="s">
        <v>314</v>
      </c>
      <c r="H63" s="191" t="s">
        <v>61</v>
      </c>
      <c r="J63" s="194">
        <v>176</v>
      </c>
      <c r="K63" s="194">
        <v>18</v>
      </c>
    </row>
    <row r="64" spans="1:12">
      <c r="A64" s="201">
        <v>43198</v>
      </c>
      <c r="B64" s="201">
        <v>43233</v>
      </c>
      <c r="C64" s="194">
        <f t="shared" si="0"/>
        <v>35</v>
      </c>
      <c r="D64" s="201">
        <v>43247</v>
      </c>
      <c r="E64" s="194">
        <f t="shared" si="1"/>
        <v>49</v>
      </c>
      <c r="F64" s="191" t="s">
        <v>293</v>
      </c>
      <c r="G64" s="191" t="s">
        <v>314</v>
      </c>
      <c r="H64" s="191" t="s">
        <v>61</v>
      </c>
      <c r="J64" s="194">
        <v>230</v>
      </c>
      <c r="K64" s="194">
        <v>8</v>
      </c>
    </row>
    <row r="65" spans="1:12">
      <c r="A65" s="201">
        <v>43198</v>
      </c>
      <c r="B65" s="201">
        <v>43233</v>
      </c>
      <c r="C65" s="194">
        <f t="shared" si="0"/>
        <v>35</v>
      </c>
      <c r="D65" s="201">
        <v>43247</v>
      </c>
      <c r="E65" s="194">
        <f t="shared" si="1"/>
        <v>49</v>
      </c>
      <c r="F65" s="191" t="s">
        <v>294</v>
      </c>
      <c r="G65" s="191" t="s">
        <v>313</v>
      </c>
      <c r="H65" s="191" t="s">
        <v>37</v>
      </c>
      <c r="I65" s="194">
        <v>31</v>
      </c>
      <c r="J65" s="194">
        <v>58</v>
      </c>
      <c r="K65" s="194">
        <v>2</v>
      </c>
      <c r="L65" s="195">
        <f>SUM(I65,J65:K67)</f>
        <v>223</v>
      </c>
    </row>
    <row r="66" spans="1:12">
      <c r="A66" s="201">
        <v>43198</v>
      </c>
      <c r="B66" s="201">
        <v>43233</v>
      </c>
      <c r="C66" s="194">
        <f t="shared" si="0"/>
        <v>35</v>
      </c>
      <c r="D66" s="201">
        <v>43247</v>
      </c>
      <c r="E66" s="194">
        <f>D66-A66</f>
        <v>49</v>
      </c>
      <c r="F66" s="191" t="s">
        <v>295</v>
      </c>
      <c r="G66" s="191" t="s">
        <v>313</v>
      </c>
      <c r="H66" s="191" t="s">
        <v>37</v>
      </c>
      <c r="J66" s="194">
        <v>55</v>
      </c>
      <c r="K66" s="194">
        <v>1</v>
      </c>
    </row>
    <row r="67" spans="1:12">
      <c r="A67" s="201">
        <v>43198</v>
      </c>
      <c r="B67" s="201">
        <v>43233</v>
      </c>
      <c r="C67" s="194">
        <f>B67-A67</f>
        <v>35</v>
      </c>
      <c r="D67" s="201">
        <v>43247</v>
      </c>
      <c r="E67" s="194">
        <f t="shared" ref="E67:E68" si="2">D67-A67</f>
        <v>49</v>
      </c>
      <c r="F67" s="191" t="s">
        <v>296</v>
      </c>
      <c r="G67" s="191" t="s">
        <v>313</v>
      </c>
      <c r="H67" s="191" t="s">
        <v>37</v>
      </c>
      <c r="J67" s="194">
        <v>74</v>
      </c>
      <c r="K67" s="194">
        <v>2</v>
      </c>
    </row>
    <row r="68" spans="1:12">
      <c r="A68" s="201">
        <v>43198</v>
      </c>
      <c r="B68" s="201">
        <v>43233</v>
      </c>
      <c r="C68" s="194">
        <f t="shared" si="0"/>
        <v>35</v>
      </c>
      <c r="D68" s="201">
        <v>43247</v>
      </c>
      <c r="E68" s="194">
        <f t="shared" si="2"/>
        <v>49</v>
      </c>
      <c r="F68" s="191" t="s">
        <v>297</v>
      </c>
      <c r="G68" s="191" t="s">
        <v>313</v>
      </c>
      <c r="H68" s="191" t="s">
        <v>37</v>
      </c>
      <c r="I68" s="194">
        <v>13</v>
      </c>
      <c r="J68" s="194">
        <v>91</v>
      </c>
      <c r="K68" s="194">
        <v>2</v>
      </c>
      <c r="L68" s="195">
        <f>SUM(I68,J68:K70)</f>
        <v>204</v>
      </c>
    </row>
    <row r="69" spans="1:12">
      <c r="A69" s="201">
        <v>43198</v>
      </c>
      <c r="B69" s="201">
        <v>43233</v>
      </c>
      <c r="C69" s="194">
        <f t="shared" ref="C69:C88" si="3">B69-A69</f>
        <v>35</v>
      </c>
      <c r="D69" s="201">
        <v>43247</v>
      </c>
      <c r="E69" s="194">
        <f>D69-A69</f>
        <v>49</v>
      </c>
      <c r="F69" s="191" t="s">
        <v>299</v>
      </c>
      <c r="G69" s="191" t="s">
        <v>313</v>
      </c>
      <c r="H69" s="191" t="s">
        <v>37</v>
      </c>
      <c r="J69" s="194">
        <v>51</v>
      </c>
      <c r="K69" s="194">
        <v>1</v>
      </c>
    </row>
    <row r="70" spans="1:12">
      <c r="A70" s="201">
        <v>43198</v>
      </c>
      <c r="B70" s="201">
        <v>43233</v>
      </c>
      <c r="C70" s="194">
        <f t="shared" si="3"/>
        <v>35</v>
      </c>
      <c r="D70" s="201">
        <v>43247</v>
      </c>
      <c r="E70" s="194">
        <f t="shared" ref="E70:E82" si="4">D70-A70</f>
        <v>49</v>
      </c>
      <c r="F70" s="191" t="s">
        <v>298</v>
      </c>
      <c r="G70" s="191" t="s">
        <v>313</v>
      </c>
      <c r="H70" s="191" t="s">
        <v>37</v>
      </c>
      <c r="J70" s="194">
        <v>45</v>
      </c>
      <c r="K70" s="194">
        <v>1</v>
      </c>
    </row>
    <row r="71" spans="1:12">
      <c r="A71" s="201">
        <v>43198</v>
      </c>
      <c r="B71" s="201">
        <v>43233</v>
      </c>
      <c r="C71" s="194">
        <f t="shared" si="3"/>
        <v>35</v>
      </c>
      <c r="D71" s="201">
        <v>43247</v>
      </c>
      <c r="E71" s="194">
        <f t="shared" si="4"/>
        <v>49</v>
      </c>
      <c r="F71" s="191" t="s">
        <v>300</v>
      </c>
      <c r="G71" s="191" t="s">
        <v>312</v>
      </c>
      <c r="H71" s="191" t="s">
        <v>29</v>
      </c>
      <c r="I71" s="194">
        <v>7</v>
      </c>
      <c r="J71" s="194">
        <v>79</v>
      </c>
      <c r="K71" s="194">
        <v>21</v>
      </c>
      <c r="L71" s="195">
        <f>SUM(I71,J71:K73)</f>
        <v>129</v>
      </c>
    </row>
    <row r="72" spans="1:12">
      <c r="A72" s="201">
        <v>43198</v>
      </c>
      <c r="B72" s="201">
        <v>43233</v>
      </c>
      <c r="C72" s="194">
        <f t="shared" si="3"/>
        <v>35</v>
      </c>
      <c r="D72" s="201">
        <v>43247</v>
      </c>
      <c r="E72" s="194">
        <f t="shared" si="4"/>
        <v>49</v>
      </c>
      <c r="F72" s="191" t="s">
        <v>301</v>
      </c>
      <c r="G72" s="191" t="s">
        <v>312</v>
      </c>
      <c r="H72" s="191" t="s">
        <v>29</v>
      </c>
      <c r="J72" s="194">
        <v>18</v>
      </c>
      <c r="K72" s="194">
        <v>1</v>
      </c>
    </row>
    <row r="73" spans="1:12">
      <c r="A73" s="201">
        <v>43198</v>
      </c>
      <c r="B73" s="201">
        <v>43233</v>
      </c>
      <c r="C73" s="194">
        <f t="shared" si="3"/>
        <v>35</v>
      </c>
      <c r="D73" s="201">
        <v>43247</v>
      </c>
      <c r="E73" s="194">
        <f t="shared" si="4"/>
        <v>49</v>
      </c>
      <c r="F73" s="191" t="s">
        <v>302</v>
      </c>
      <c r="G73" s="191" t="s">
        <v>312</v>
      </c>
      <c r="H73" s="191" t="s">
        <v>29</v>
      </c>
      <c r="J73" s="194">
        <v>3</v>
      </c>
      <c r="K73" s="194">
        <v>0</v>
      </c>
    </row>
    <row r="74" spans="1:12">
      <c r="A74" s="201">
        <v>43198</v>
      </c>
      <c r="B74" s="201">
        <v>43233</v>
      </c>
      <c r="C74" s="194">
        <f t="shared" si="3"/>
        <v>35</v>
      </c>
      <c r="D74" s="201">
        <v>43247</v>
      </c>
      <c r="E74" s="194">
        <f t="shared" si="4"/>
        <v>49</v>
      </c>
      <c r="F74" s="191" t="s">
        <v>303</v>
      </c>
      <c r="G74" s="191" t="s">
        <v>315</v>
      </c>
      <c r="H74" s="191" t="s">
        <v>83</v>
      </c>
      <c r="I74" s="194">
        <v>3</v>
      </c>
      <c r="J74" s="194">
        <v>13</v>
      </c>
      <c r="K74" s="194">
        <v>2</v>
      </c>
      <c r="L74" s="195">
        <f>SUM(I74,J74:K76)</f>
        <v>38</v>
      </c>
    </row>
    <row r="75" spans="1:12">
      <c r="A75" s="201">
        <v>43198</v>
      </c>
      <c r="B75" s="201">
        <v>43233</v>
      </c>
      <c r="C75" s="194">
        <f t="shared" si="3"/>
        <v>35</v>
      </c>
      <c r="D75" s="201">
        <v>43247</v>
      </c>
      <c r="E75" s="194">
        <f t="shared" si="4"/>
        <v>49</v>
      </c>
      <c r="F75" s="191" t="s">
        <v>304</v>
      </c>
      <c r="G75" s="191" t="s">
        <v>315</v>
      </c>
      <c r="H75" s="191" t="s">
        <v>83</v>
      </c>
      <c r="J75" s="194">
        <v>5</v>
      </c>
      <c r="K75" s="194">
        <v>0</v>
      </c>
    </row>
    <row r="76" spans="1:12">
      <c r="A76" s="201">
        <v>43198</v>
      </c>
      <c r="B76" s="201">
        <v>43233</v>
      </c>
      <c r="C76" s="194">
        <f t="shared" si="3"/>
        <v>35</v>
      </c>
      <c r="D76" s="201">
        <v>43247</v>
      </c>
      <c r="E76" s="194">
        <f t="shared" si="4"/>
        <v>49</v>
      </c>
      <c r="F76" s="191" t="s">
        <v>305</v>
      </c>
      <c r="G76" s="191" t="s">
        <v>315</v>
      </c>
      <c r="H76" s="191" t="s">
        <v>83</v>
      </c>
      <c r="J76" s="194">
        <v>14</v>
      </c>
      <c r="K76" s="194">
        <v>1</v>
      </c>
    </row>
    <row r="77" spans="1:12">
      <c r="A77" s="201">
        <v>43198</v>
      </c>
      <c r="B77" s="201">
        <v>43233</v>
      </c>
      <c r="C77" s="194">
        <f t="shared" si="3"/>
        <v>35</v>
      </c>
      <c r="D77" s="201">
        <v>43247</v>
      </c>
      <c r="E77" s="194">
        <f t="shared" si="4"/>
        <v>49</v>
      </c>
      <c r="F77" s="191" t="s">
        <v>306</v>
      </c>
      <c r="G77" s="191" t="s">
        <v>313</v>
      </c>
      <c r="H77" s="191" t="s">
        <v>28</v>
      </c>
      <c r="I77" s="194">
        <v>3</v>
      </c>
      <c r="J77" s="194">
        <v>11</v>
      </c>
      <c r="K77" s="194">
        <v>0</v>
      </c>
      <c r="L77" s="195">
        <f>SUM(I77,J77:K79)</f>
        <v>46</v>
      </c>
    </row>
    <row r="78" spans="1:12">
      <c r="A78" s="201">
        <v>43198</v>
      </c>
      <c r="B78" s="201">
        <v>43233</v>
      </c>
      <c r="C78" s="194">
        <f t="shared" si="3"/>
        <v>35</v>
      </c>
      <c r="D78" s="201">
        <v>43247</v>
      </c>
      <c r="E78" s="194">
        <f t="shared" si="4"/>
        <v>49</v>
      </c>
      <c r="F78" s="191" t="s">
        <v>307</v>
      </c>
      <c r="G78" s="191" t="s">
        <v>313</v>
      </c>
      <c r="H78" s="191" t="s">
        <v>28</v>
      </c>
      <c r="J78" s="194">
        <v>20</v>
      </c>
      <c r="K78" s="194">
        <v>2</v>
      </c>
    </row>
    <row r="79" spans="1:12">
      <c r="A79" s="201">
        <v>43198</v>
      </c>
      <c r="B79" s="201">
        <v>43233</v>
      </c>
      <c r="C79" s="194">
        <f t="shared" si="3"/>
        <v>35</v>
      </c>
      <c r="D79" s="201">
        <v>43247</v>
      </c>
      <c r="E79" s="194">
        <f t="shared" si="4"/>
        <v>49</v>
      </c>
      <c r="F79" s="191" t="s">
        <v>308</v>
      </c>
      <c r="G79" s="191" t="s">
        <v>313</v>
      </c>
      <c r="H79" s="191" t="s">
        <v>28</v>
      </c>
      <c r="J79" s="194">
        <v>8</v>
      </c>
      <c r="K79" s="194">
        <v>2</v>
      </c>
    </row>
    <row r="80" spans="1:12">
      <c r="A80" s="201">
        <v>43198</v>
      </c>
      <c r="B80" s="201">
        <v>43233</v>
      </c>
      <c r="C80" s="194">
        <f t="shared" si="3"/>
        <v>35</v>
      </c>
      <c r="D80" s="201">
        <v>43247</v>
      </c>
      <c r="E80" s="194">
        <f t="shared" si="4"/>
        <v>49</v>
      </c>
      <c r="F80" s="191" t="s">
        <v>309</v>
      </c>
      <c r="G80" s="191" t="s">
        <v>312</v>
      </c>
      <c r="H80" s="191" t="s">
        <v>29</v>
      </c>
      <c r="I80" s="194">
        <v>36</v>
      </c>
      <c r="J80" s="194">
        <v>142</v>
      </c>
      <c r="K80" s="194">
        <v>36</v>
      </c>
      <c r="L80" s="195">
        <f>SUM(I80,J80:K82)</f>
        <v>442</v>
      </c>
    </row>
    <row r="81" spans="1:12">
      <c r="A81" s="201">
        <v>43198</v>
      </c>
      <c r="B81" s="201">
        <v>43233</v>
      </c>
      <c r="C81" s="194">
        <f t="shared" si="3"/>
        <v>35</v>
      </c>
      <c r="D81" s="201">
        <v>43247</v>
      </c>
      <c r="E81" s="194">
        <f t="shared" si="4"/>
        <v>49</v>
      </c>
      <c r="F81" s="191" t="s">
        <v>310</v>
      </c>
      <c r="G81" s="191" t="s">
        <v>312</v>
      </c>
      <c r="H81" s="191" t="s">
        <v>29</v>
      </c>
      <c r="J81" s="194">
        <v>129</v>
      </c>
      <c r="K81" s="194">
        <v>7</v>
      </c>
    </row>
    <row r="82" spans="1:12">
      <c r="A82" s="201">
        <v>43198</v>
      </c>
      <c r="B82" s="201">
        <v>43233</v>
      </c>
      <c r="C82" s="194">
        <f t="shared" si="3"/>
        <v>35</v>
      </c>
      <c r="D82" s="201">
        <v>43247</v>
      </c>
      <c r="E82" s="194">
        <f t="shared" si="4"/>
        <v>49</v>
      </c>
      <c r="F82" s="191" t="s">
        <v>311</v>
      </c>
      <c r="G82" s="191" t="s">
        <v>312</v>
      </c>
      <c r="H82" s="191" t="s">
        <v>29</v>
      </c>
      <c r="J82" s="194">
        <v>85</v>
      </c>
      <c r="K82" s="194">
        <v>7</v>
      </c>
    </row>
    <row r="83" spans="1:12">
      <c r="A83" s="201">
        <v>43199</v>
      </c>
      <c r="B83" s="201">
        <v>43235</v>
      </c>
      <c r="C83" s="194">
        <f t="shared" si="3"/>
        <v>36</v>
      </c>
      <c r="D83" s="201">
        <v>43249</v>
      </c>
      <c r="E83" s="194">
        <f>D83-A83</f>
        <v>50</v>
      </c>
      <c r="F83" s="191" t="s">
        <v>318</v>
      </c>
      <c r="G83" s="191" t="s">
        <v>314</v>
      </c>
      <c r="H83" s="191" t="s">
        <v>59</v>
      </c>
      <c r="I83" s="194">
        <v>11</v>
      </c>
      <c r="J83" s="194">
        <v>50</v>
      </c>
      <c r="K83" s="194">
        <v>2</v>
      </c>
      <c r="L83" s="195">
        <f>SUM(I83,J83:K85)</f>
        <v>103</v>
      </c>
    </row>
    <row r="84" spans="1:12">
      <c r="A84" s="201">
        <v>43199</v>
      </c>
      <c r="B84" s="201">
        <v>43235</v>
      </c>
      <c r="C84" s="194">
        <f t="shared" si="3"/>
        <v>36</v>
      </c>
      <c r="D84" s="201">
        <v>43249</v>
      </c>
      <c r="E84" s="194">
        <f t="shared" ref="E84:E99" si="5">D84-A84</f>
        <v>50</v>
      </c>
      <c r="F84" s="191" t="s">
        <v>319</v>
      </c>
      <c r="G84" s="191" t="s">
        <v>314</v>
      </c>
      <c r="H84" s="191" t="s">
        <v>59</v>
      </c>
      <c r="J84" s="194">
        <v>23</v>
      </c>
      <c r="K84" s="194">
        <v>0</v>
      </c>
    </row>
    <row r="85" spans="1:12">
      <c r="A85" s="201">
        <v>43199</v>
      </c>
      <c r="B85" s="201">
        <v>43235</v>
      </c>
      <c r="C85" s="194">
        <f t="shared" si="3"/>
        <v>36</v>
      </c>
      <c r="D85" s="201">
        <v>43249</v>
      </c>
      <c r="E85" s="194">
        <f t="shared" si="5"/>
        <v>50</v>
      </c>
      <c r="F85" s="191" t="s">
        <v>320</v>
      </c>
      <c r="G85" s="191" t="s">
        <v>314</v>
      </c>
      <c r="H85" s="191" t="s">
        <v>59</v>
      </c>
      <c r="J85" s="194">
        <v>17</v>
      </c>
      <c r="K85" s="194">
        <v>0</v>
      </c>
    </row>
    <row r="86" spans="1:12">
      <c r="A86" s="201">
        <v>43199</v>
      </c>
      <c r="B86" s="201">
        <v>43235</v>
      </c>
      <c r="C86" s="194">
        <f t="shared" si="3"/>
        <v>36</v>
      </c>
      <c r="D86" s="201">
        <v>43249</v>
      </c>
      <c r="E86" s="194">
        <f t="shared" si="5"/>
        <v>50</v>
      </c>
      <c r="F86" s="191" t="s">
        <v>321</v>
      </c>
      <c r="G86" s="191" t="s">
        <v>315</v>
      </c>
      <c r="H86" s="191" t="s">
        <v>83</v>
      </c>
      <c r="I86" s="194">
        <v>27</v>
      </c>
      <c r="J86" s="194">
        <v>17</v>
      </c>
      <c r="K86" s="194">
        <v>1</v>
      </c>
      <c r="L86" s="195">
        <f>SUM(I86,J86:K88)</f>
        <v>139</v>
      </c>
    </row>
    <row r="87" spans="1:12">
      <c r="A87" s="201">
        <v>43199</v>
      </c>
      <c r="B87" s="201">
        <v>43235</v>
      </c>
      <c r="C87" s="194">
        <f t="shared" si="3"/>
        <v>36</v>
      </c>
      <c r="D87" s="201">
        <v>43249</v>
      </c>
      <c r="E87" s="194">
        <f t="shared" si="5"/>
        <v>50</v>
      </c>
      <c r="F87" s="191" t="s">
        <v>322</v>
      </c>
      <c r="G87" s="191" t="s">
        <v>315</v>
      </c>
      <c r="H87" s="191" t="s">
        <v>83</v>
      </c>
      <c r="J87" s="194">
        <v>52</v>
      </c>
      <c r="K87" s="194">
        <v>5</v>
      </c>
    </row>
    <row r="88" spans="1:12">
      <c r="A88" s="201">
        <v>43199</v>
      </c>
      <c r="B88" s="201">
        <v>43235</v>
      </c>
      <c r="C88" s="194">
        <f t="shared" si="3"/>
        <v>36</v>
      </c>
      <c r="D88" s="201">
        <v>43249</v>
      </c>
      <c r="E88" s="194">
        <f t="shared" si="5"/>
        <v>50</v>
      </c>
      <c r="F88" s="191" t="s">
        <v>323</v>
      </c>
      <c r="G88" s="191" t="s">
        <v>315</v>
      </c>
      <c r="H88" s="200" t="s">
        <v>83</v>
      </c>
      <c r="J88" s="194">
        <v>33</v>
      </c>
      <c r="K88" s="194">
        <v>4</v>
      </c>
    </row>
    <row r="89" spans="1:12">
      <c r="A89" s="201">
        <v>43199</v>
      </c>
      <c r="B89" s="201">
        <v>43235</v>
      </c>
      <c r="C89" s="194">
        <f>B89-A89</f>
        <v>36</v>
      </c>
      <c r="D89" s="201">
        <v>43249</v>
      </c>
      <c r="E89" s="194">
        <f t="shared" si="5"/>
        <v>50</v>
      </c>
      <c r="F89" s="191" t="s">
        <v>324</v>
      </c>
      <c r="G89" s="191" t="s">
        <v>312</v>
      </c>
      <c r="H89" s="191" t="s">
        <v>36</v>
      </c>
      <c r="I89" s="194">
        <v>7</v>
      </c>
      <c r="J89" s="194">
        <v>31</v>
      </c>
      <c r="K89" s="194">
        <v>8</v>
      </c>
      <c r="L89" s="195">
        <f>SUM(I89,J89:K91)</f>
        <v>139</v>
      </c>
    </row>
    <row r="90" spans="1:12">
      <c r="A90" s="201">
        <v>43199</v>
      </c>
      <c r="B90" s="201">
        <v>43235</v>
      </c>
      <c r="C90" s="194">
        <f t="shared" ref="C90:C94" si="6">B90-A90</f>
        <v>36</v>
      </c>
      <c r="D90" s="201">
        <v>43249</v>
      </c>
      <c r="E90" s="194">
        <f t="shared" si="5"/>
        <v>50</v>
      </c>
      <c r="F90" s="191" t="s">
        <v>325</v>
      </c>
      <c r="G90" s="191" t="s">
        <v>312</v>
      </c>
      <c r="H90" s="191" t="s">
        <v>36</v>
      </c>
      <c r="J90" s="194">
        <v>49</v>
      </c>
      <c r="K90" s="194">
        <v>1</v>
      </c>
    </row>
    <row r="91" spans="1:12">
      <c r="A91" s="201">
        <v>43199</v>
      </c>
      <c r="B91" s="201">
        <v>43235</v>
      </c>
      <c r="C91" s="194">
        <f t="shared" si="6"/>
        <v>36</v>
      </c>
      <c r="D91" s="201">
        <v>43249</v>
      </c>
      <c r="E91" s="194">
        <f t="shared" si="5"/>
        <v>50</v>
      </c>
      <c r="F91" s="191" t="s">
        <v>326</v>
      </c>
      <c r="G91" s="191" t="s">
        <v>312</v>
      </c>
      <c r="H91" s="191" t="s">
        <v>36</v>
      </c>
      <c r="J91" s="194">
        <v>39</v>
      </c>
      <c r="K91" s="194">
        <v>4</v>
      </c>
    </row>
    <row r="92" spans="1:12">
      <c r="A92" s="201">
        <v>43199</v>
      </c>
      <c r="B92" s="201">
        <v>43235</v>
      </c>
      <c r="C92" s="194">
        <f t="shared" si="6"/>
        <v>36</v>
      </c>
      <c r="D92" s="201">
        <v>43249</v>
      </c>
      <c r="E92" s="194">
        <f t="shared" si="5"/>
        <v>50</v>
      </c>
      <c r="F92" s="191" t="s">
        <v>327</v>
      </c>
      <c r="G92" s="191" t="s">
        <v>315</v>
      </c>
      <c r="H92" s="191" t="s">
        <v>84</v>
      </c>
      <c r="I92" s="194">
        <v>4</v>
      </c>
      <c r="J92" s="194">
        <v>4</v>
      </c>
      <c r="K92" s="194">
        <v>1</v>
      </c>
      <c r="L92" s="195">
        <f>SUM(I92,J92:K94)</f>
        <v>26</v>
      </c>
    </row>
    <row r="93" spans="1:12">
      <c r="A93" s="201">
        <v>43199</v>
      </c>
      <c r="B93" s="201">
        <v>43235</v>
      </c>
      <c r="C93" s="194">
        <f t="shared" si="6"/>
        <v>36</v>
      </c>
      <c r="D93" s="201">
        <v>43249</v>
      </c>
      <c r="E93" s="194">
        <f t="shared" si="5"/>
        <v>50</v>
      </c>
      <c r="F93" s="191" t="s">
        <v>328</v>
      </c>
      <c r="G93" s="191" t="s">
        <v>315</v>
      </c>
      <c r="H93" s="191" t="s">
        <v>84</v>
      </c>
      <c r="J93" s="194">
        <v>1</v>
      </c>
      <c r="K93" s="194">
        <v>0</v>
      </c>
    </row>
    <row r="94" spans="1:12">
      <c r="A94" s="201">
        <v>43199</v>
      </c>
      <c r="B94" s="201">
        <v>43235</v>
      </c>
      <c r="C94" s="194">
        <f t="shared" si="6"/>
        <v>36</v>
      </c>
      <c r="D94" s="201">
        <v>43249</v>
      </c>
      <c r="E94" s="194">
        <f t="shared" si="5"/>
        <v>50</v>
      </c>
      <c r="F94" s="191" t="s">
        <v>329</v>
      </c>
      <c r="G94" s="191" t="s">
        <v>315</v>
      </c>
      <c r="H94" s="191" t="s">
        <v>84</v>
      </c>
      <c r="J94" s="194">
        <v>12</v>
      </c>
      <c r="K94" s="194">
        <v>4</v>
      </c>
    </row>
    <row r="95" spans="1:12">
      <c r="A95" s="201">
        <v>43199</v>
      </c>
      <c r="B95" s="201">
        <v>43235</v>
      </c>
      <c r="C95" s="194">
        <f>B95-A95</f>
        <v>36</v>
      </c>
      <c r="D95" s="201">
        <v>43249</v>
      </c>
      <c r="E95" s="194">
        <f t="shared" si="5"/>
        <v>50</v>
      </c>
      <c r="F95" s="191" t="s">
        <v>330</v>
      </c>
      <c r="G95" s="191" t="s">
        <v>314</v>
      </c>
      <c r="H95" s="191" t="s">
        <v>61</v>
      </c>
      <c r="I95" s="194">
        <v>2</v>
      </c>
      <c r="J95" s="194">
        <v>10</v>
      </c>
      <c r="K95" s="194">
        <v>0</v>
      </c>
      <c r="L95" s="195">
        <f>SUM(I95,J95:K97)</f>
        <v>101</v>
      </c>
    </row>
    <row r="96" spans="1:12">
      <c r="A96" s="201">
        <v>43199</v>
      </c>
      <c r="B96" s="201">
        <v>43235</v>
      </c>
      <c r="C96" s="194">
        <f t="shared" ref="C96:C116" si="7">B96-A96</f>
        <v>36</v>
      </c>
      <c r="D96" s="201">
        <v>43249</v>
      </c>
      <c r="E96" s="194">
        <f t="shared" si="5"/>
        <v>50</v>
      </c>
      <c r="F96" s="191" t="s">
        <v>331</v>
      </c>
      <c r="G96" s="191" t="s">
        <v>314</v>
      </c>
      <c r="H96" s="191" t="s">
        <v>61</v>
      </c>
      <c r="J96" s="194">
        <v>27</v>
      </c>
      <c r="K96" s="194">
        <v>0</v>
      </c>
    </row>
    <row r="97" spans="1:12">
      <c r="A97" s="201">
        <v>43199</v>
      </c>
      <c r="B97" s="201">
        <v>43235</v>
      </c>
      <c r="C97" s="194">
        <f t="shared" si="7"/>
        <v>36</v>
      </c>
      <c r="D97" s="201">
        <v>43249</v>
      </c>
      <c r="E97" s="194">
        <f t="shared" si="5"/>
        <v>50</v>
      </c>
      <c r="F97" s="191" t="s">
        <v>332</v>
      </c>
      <c r="G97" s="191" t="s">
        <v>314</v>
      </c>
      <c r="H97" s="191" t="s">
        <v>61</v>
      </c>
      <c r="J97" s="194">
        <v>58</v>
      </c>
      <c r="K97" s="194">
        <v>4</v>
      </c>
    </row>
    <row r="98" spans="1:12">
      <c r="A98" s="201">
        <v>43200</v>
      </c>
      <c r="B98" s="201">
        <v>43235</v>
      </c>
      <c r="C98" s="194">
        <f t="shared" si="7"/>
        <v>35</v>
      </c>
      <c r="D98" s="201">
        <v>43249</v>
      </c>
      <c r="E98" s="194">
        <f t="shared" si="5"/>
        <v>49</v>
      </c>
      <c r="F98" s="191" t="s">
        <v>333</v>
      </c>
      <c r="G98" s="191" t="s">
        <v>315</v>
      </c>
      <c r="H98" s="191" t="s">
        <v>83</v>
      </c>
      <c r="I98" s="194">
        <v>7</v>
      </c>
      <c r="J98" s="194">
        <v>3</v>
      </c>
      <c r="K98" s="194">
        <v>2</v>
      </c>
      <c r="L98" s="195">
        <f>SUM(I98,J98:K100)</f>
        <v>69</v>
      </c>
    </row>
    <row r="99" spans="1:12">
      <c r="A99" s="201">
        <v>43200</v>
      </c>
      <c r="B99" s="201">
        <v>43235</v>
      </c>
      <c r="C99" s="194">
        <f t="shared" si="7"/>
        <v>35</v>
      </c>
      <c r="D99" s="201">
        <v>43249</v>
      </c>
      <c r="E99" s="194">
        <f t="shared" si="5"/>
        <v>49</v>
      </c>
      <c r="F99" s="191" t="s">
        <v>334</v>
      </c>
      <c r="G99" s="191" t="s">
        <v>315</v>
      </c>
      <c r="H99" s="191" t="s">
        <v>83</v>
      </c>
      <c r="J99" s="194">
        <v>18</v>
      </c>
      <c r="K99" s="194">
        <v>0</v>
      </c>
    </row>
    <row r="100" spans="1:12">
      <c r="A100" s="201">
        <v>43200</v>
      </c>
      <c r="B100" s="201">
        <v>43235</v>
      </c>
      <c r="C100" s="194">
        <f t="shared" si="7"/>
        <v>35</v>
      </c>
      <c r="D100" s="201">
        <v>43249</v>
      </c>
      <c r="E100" s="194">
        <f>D100-A100</f>
        <v>49</v>
      </c>
      <c r="F100" s="191" t="s">
        <v>335</v>
      </c>
      <c r="G100" s="191" t="s">
        <v>315</v>
      </c>
      <c r="H100" s="191" t="s">
        <v>83</v>
      </c>
      <c r="J100" s="194">
        <v>36</v>
      </c>
      <c r="K100" s="194">
        <v>3</v>
      </c>
    </row>
    <row r="101" spans="1:12">
      <c r="A101" s="201">
        <v>43200</v>
      </c>
      <c r="B101" s="201">
        <v>43235</v>
      </c>
      <c r="C101" s="194">
        <f t="shared" si="7"/>
        <v>35</v>
      </c>
      <c r="D101" s="201">
        <v>43249</v>
      </c>
      <c r="E101" s="194">
        <f t="shared" ref="E101:E123" si="8">D101-A101</f>
        <v>49</v>
      </c>
      <c r="F101" s="191" t="s">
        <v>375</v>
      </c>
      <c r="G101" s="191" t="s">
        <v>312</v>
      </c>
      <c r="H101" s="191" t="s">
        <v>29</v>
      </c>
      <c r="I101" s="194">
        <v>6</v>
      </c>
      <c r="J101" s="194">
        <v>26</v>
      </c>
      <c r="K101" s="194">
        <v>2</v>
      </c>
      <c r="L101" s="195">
        <f>SUM(I101,J101:K103)</f>
        <v>125</v>
      </c>
    </row>
    <row r="102" spans="1:12">
      <c r="A102" s="201">
        <v>43200</v>
      </c>
      <c r="B102" s="201">
        <v>43235</v>
      </c>
      <c r="C102" s="194">
        <f t="shared" si="7"/>
        <v>35</v>
      </c>
      <c r="D102" s="201">
        <v>43249</v>
      </c>
      <c r="E102" s="194">
        <f t="shared" si="8"/>
        <v>49</v>
      </c>
      <c r="F102" s="191" t="s">
        <v>376</v>
      </c>
      <c r="G102" s="191" t="s">
        <v>312</v>
      </c>
      <c r="H102" s="191" t="s">
        <v>29</v>
      </c>
      <c r="J102" s="194">
        <v>60</v>
      </c>
      <c r="K102" s="194">
        <v>2</v>
      </c>
    </row>
    <row r="103" spans="1:12">
      <c r="A103" s="201">
        <v>43200</v>
      </c>
      <c r="B103" s="201">
        <v>43235</v>
      </c>
      <c r="C103" s="194">
        <f t="shared" si="7"/>
        <v>35</v>
      </c>
      <c r="D103" s="201">
        <v>43249</v>
      </c>
      <c r="E103" s="194">
        <f t="shared" si="8"/>
        <v>49</v>
      </c>
      <c r="F103" s="191" t="s">
        <v>377</v>
      </c>
      <c r="G103" s="191" t="s">
        <v>312</v>
      </c>
      <c r="H103" s="191" t="s">
        <v>29</v>
      </c>
      <c r="J103" s="194">
        <v>28</v>
      </c>
      <c r="K103" s="194">
        <v>1</v>
      </c>
    </row>
    <row r="104" spans="1:12">
      <c r="A104" s="201">
        <v>43200</v>
      </c>
      <c r="B104" s="201">
        <v>43235</v>
      </c>
      <c r="C104" s="194">
        <f t="shared" si="7"/>
        <v>35</v>
      </c>
      <c r="D104" s="201">
        <v>43249</v>
      </c>
      <c r="E104" s="194">
        <f t="shared" si="8"/>
        <v>49</v>
      </c>
      <c r="F104" s="191" t="s">
        <v>378</v>
      </c>
      <c r="G104" s="191" t="s">
        <v>313</v>
      </c>
      <c r="H104" s="191" t="s">
        <v>28</v>
      </c>
      <c r="I104" s="194">
        <v>6</v>
      </c>
      <c r="J104" s="194">
        <v>1</v>
      </c>
      <c r="K104" s="194">
        <v>0</v>
      </c>
      <c r="L104" s="195">
        <f>SUM(I104,J104:K106)</f>
        <v>34</v>
      </c>
    </row>
    <row r="105" spans="1:12">
      <c r="A105" s="201">
        <v>43200</v>
      </c>
      <c r="B105" s="201">
        <v>43235</v>
      </c>
      <c r="C105" s="194">
        <f t="shared" si="7"/>
        <v>35</v>
      </c>
      <c r="D105" s="201">
        <v>43249</v>
      </c>
      <c r="E105" s="194">
        <f t="shared" si="8"/>
        <v>49</v>
      </c>
      <c r="F105" s="191" t="s">
        <v>379</v>
      </c>
      <c r="G105" s="191" t="s">
        <v>313</v>
      </c>
      <c r="H105" s="191" t="s">
        <v>28</v>
      </c>
      <c r="J105" s="194">
        <v>3</v>
      </c>
      <c r="K105" s="194">
        <v>3</v>
      </c>
    </row>
    <row r="106" spans="1:12">
      <c r="A106" s="201">
        <v>43200</v>
      </c>
      <c r="B106" s="201">
        <v>43235</v>
      </c>
      <c r="C106" s="194">
        <f t="shared" si="7"/>
        <v>35</v>
      </c>
      <c r="D106" s="201">
        <v>43249</v>
      </c>
      <c r="E106" s="194">
        <f t="shared" si="8"/>
        <v>49</v>
      </c>
      <c r="F106" s="191" t="s">
        <v>380</v>
      </c>
      <c r="G106" s="191" t="s">
        <v>313</v>
      </c>
      <c r="H106" s="191" t="s">
        <v>28</v>
      </c>
      <c r="J106" s="194">
        <v>19</v>
      </c>
      <c r="K106" s="194">
        <v>2</v>
      </c>
    </row>
    <row r="107" spans="1:12">
      <c r="A107" s="201">
        <v>43201</v>
      </c>
      <c r="B107" s="201">
        <v>43240</v>
      </c>
      <c r="C107" s="194">
        <f t="shared" si="7"/>
        <v>39</v>
      </c>
      <c r="D107" s="201">
        <v>43253</v>
      </c>
      <c r="E107" s="194">
        <f t="shared" si="8"/>
        <v>52</v>
      </c>
      <c r="F107" s="191" t="s">
        <v>336</v>
      </c>
      <c r="G107" s="191" t="s">
        <v>312</v>
      </c>
      <c r="H107" s="191" t="s">
        <v>36</v>
      </c>
      <c r="I107" s="194">
        <v>47</v>
      </c>
      <c r="J107" s="194">
        <v>57</v>
      </c>
      <c r="K107" s="194">
        <v>2</v>
      </c>
      <c r="L107" s="195">
        <f>SUM(I107,J107:K109)</f>
        <v>418</v>
      </c>
    </row>
    <row r="108" spans="1:12">
      <c r="A108" s="201">
        <v>43201</v>
      </c>
      <c r="B108" s="201">
        <v>43240</v>
      </c>
      <c r="C108" s="194">
        <f t="shared" si="7"/>
        <v>39</v>
      </c>
      <c r="D108" s="201">
        <v>43253</v>
      </c>
      <c r="E108" s="194">
        <f t="shared" si="8"/>
        <v>52</v>
      </c>
      <c r="F108" s="191" t="s">
        <v>337</v>
      </c>
      <c r="G108" s="191" t="s">
        <v>312</v>
      </c>
      <c r="H108" s="191" t="s">
        <v>36</v>
      </c>
      <c r="J108" s="194">
        <v>124</v>
      </c>
      <c r="K108" s="194">
        <v>4</v>
      </c>
    </row>
    <row r="109" spans="1:12">
      <c r="A109" s="201">
        <v>43201</v>
      </c>
      <c r="B109" s="201">
        <v>43240</v>
      </c>
      <c r="C109" s="194">
        <f t="shared" si="7"/>
        <v>39</v>
      </c>
      <c r="D109" s="201">
        <v>43253</v>
      </c>
      <c r="E109" s="194">
        <f t="shared" si="8"/>
        <v>52</v>
      </c>
      <c r="F109" s="191" t="s">
        <v>338</v>
      </c>
      <c r="G109" s="191" t="s">
        <v>312</v>
      </c>
      <c r="H109" s="191" t="s">
        <v>36</v>
      </c>
      <c r="J109" s="194">
        <v>174</v>
      </c>
      <c r="K109" s="194">
        <v>10</v>
      </c>
    </row>
    <row r="110" spans="1:12">
      <c r="A110" s="201">
        <v>43202</v>
      </c>
      <c r="B110" s="201">
        <v>43240</v>
      </c>
      <c r="C110" s="194">
        <f t="shared" si="7"/>
        <v>38</v>
      </c>
      <c r="D110" s="201">
        <v>43253</v>
      </c>
      <c r="E110" s="194">
        <f t="shared" si="8"/>
        <v>51</v>
      </c>
      <c r="F110" s="191" t="s">
        <v>339</v>
      </c>
      <c r="G110" s="191" t="s">
        <v>312</v>
      </c>
      <c r="H110" s="191" t="s">
        <v>29</v>
      </c>
      <c r="I110" s="194">
        <v>1</v>
      </c>
      <c r="J110" s="194">
        <v>0</v>
      </c>
      <c r="K110" s="194">
        <v>0</v>
      </c>
      <c r="L110" s="195">
        <f>SUM(I110,J110:K112)</f>
        <v>2</v>
      </c>
    </row>
    <row r="111" spans="1:12">
      <c r="A111" s="201">
        <v>43202</v>
      </c>
      <c r="B111" s="201">
        <v>43240</v>
      </c>
      <c r="C111" s="194">
        <f t="shared" si="7"/>
        <v>38</v>
      </c>
      <c r="D111" s="201">
        <v>43253</v>
      </c>
      <c r="E111" s="194">
        <f t="shared" si="8"/>
        <v>51</v>
      </c>
      <c r="F111" s="191" t="s">
        <v>340</v>
      </c>
      <c r="G111" s="191" t="s">
        <v>312</v>
      </c>
      <c r="H111" s="191" t="s">
        <v>29</v>
      </c>
      <c r="J111" s="194">
        <v>0</v>
      </c>
      <c r="K111" s="194">
        <v>0</v>
      </c>
    </row>
    <row r="112" spans="1:12">
      <c r="A112" s="201">
        <v>43202</v>
      </c>
      <c r="B112" s="201">
        <v>43240</v>
      </c>
      <c r="C112" s="194">
        <f t="shared" si="7"/>
        <v>38</v>
      </c>
      <c r="D112" s="201">
        <v>43253</v>
      </c>
      <c r="E112" s="194">
        <f t="shared" si="8"/>
        <v>51</v>
      </c>
      <c r="F112" s="191" t="s">
        <v>341</v>
      </c>
      <c r="G112" s="191" t="s">
        <v>312</v>
      </c>
      <c r="H112" s="191" t="s">
        <v>29</v>
      </c>
      <c r="J112" s="194">
        <v>1</v>
      </c>
      <c r="K112" s="194">
        <v>0</v>
      </c>
    </row>
    <row r="113" spans="1:12">
      <c r="A113" s="201">
        <v>43202</v>
      </c>
      <c r="B113" s="201">
        <v>43240</v>
      </c>
      <c r="C113" s="194">
        <f t="shared" si="7"/>
        <v>38</v>
      </c>
      <c r="D113" s="201">
        <v>43253</v>
      </c>
      <c r="E113" s="194">
        <f t="shared" si="8"/>
        <v>51</v>
      </c>
      <c r="F113" s="191" t="s">
        <v>342</v>
      </c>
      <c r="G113" s="191" t="s">
        <v>313</v>
      </c>
      <c r="H113" s="191" t="s">
        <v>37</v>
      </c>
      <c r="I113" s="207">
        <f>SUM(6,19,13,9,14,39,35,14,16,20,37,19,20,21,20,25)</f>
        <v>327</v>
      </c>
      <c r="J113" s="194">
        <v>133</v>
      </c>
      <c r="K113" s="194">
        <v>39</v>
      </c>
      <c r="L113" s="195">
        <f>SUM(I113,J113:K115)</f>
        <v>874</v>
      </c>
    </row>
    <row r="114" spans="1:12">
      <c r="A114" s="201">
        <v>43202</v>
      </c>
      <c r="B114" s="201">
        <v>43240</v>
      </c>
      <c r="C114" s="194">
        <f t="shared" si="7"/>
        <v>38</v>
      </c>
      <c r="D114" s="201">
        <v>43253</v>
      </c>
      <c r="E114" s="194">
        <f t="shared" si="8"/>
        <v>51</v>
      </c>
      <c r="F114" s="191" t="s">
        <v>343</v>
      </c>
      <c r="G114" s="191" t="s">
        <v>313</v>
      </c>
      <c r="H114" s="191" t="s">
        <v>37</v>
      </c>
      <c r="J114" s="194">
        <v>155</v>
      </c>
      <c r="K114" s="194">
        <v>82</v>
      </c>
    </row>
    <row r="115" spans="1:12">
      <c r="A115" s="201">
        <v>43202</v>
      </c>
      <c r="B115" s="201">
        <v>43240</v>
      </c>
      <c r="C115" s="194">
        <f t="shared" si="7"/>
        <v>38</v>
      </c>
      <c r="D115" s="201">
        <v>43253</v>
      </c>
      <c r="E115" s="194">
        <f t="shared" si="8"/>
        <v>51</v>
      </c>
      <c r="F115" s="191" t="s">
        <v>344</v>
      </c>
      <c r="G115" s="191" t="s">
        <v>313</v>
      </c>
      <c r="H115" s="191" t="s">
        <v>37</v>
      </c>
      <c r="J115" s="194">
        <v>97</v>
      </c>
      <c r="K115" s="194">
        <v>41</v>
      </c>
    </row>
    <row r="116" spans="1:12">
      <c r="A116" s="201">
        <v>43203</v>
      </c>
      <c r="B116" s="201">
        <v>43240</v>
      </c>
      <c r="C116" s="194">
        <f t="shared" si="7"/>
        <v>37</v>
      </c>
      <c r="D116" s="201">
        <v>43253</v>
      </c>
      <c r="E116" s="194">
        <f t="shared" si="8"/>
        <v>50</v>
      </c>
      <c r="F116" s="191" t="s">
        <v>345</v>
      </c>
      <c r="G116" s="191" t="s">
        <v>314</v>
      </c>
      <c r="H116" s="191" t="s">
        <v>59</v>
      </c>
      <c r="I116" s="194">
        <v>2</v>
      </c>
      <c r="J116" s="194">
        <v>13</v>
      </c>
      <c r="K116" s="194">
        <v>0</v>
      </c>
      <c r="L116" s="195">
        <f>SUM(I116,J116:K118)</f>
        <v>28</v>
      </c>
    </row>
    <row r="117" spans="1:12">
      <c r="A117" s="201">
        <v>43203</v>
      </c>
      <c r="B117" s="201">
        <v>43240</v>
      </c>
      <c r="C117" s="194">
        <f>B117-A117</f>
        <v>37</v>
      </c>
      <c r="D117" s="201">
        <v>43253</v>
      </c>
      <c r="E117" s="194">
        <f t="shared" si="8"/>
        <v>50</v>
      </c>
      <c r="F117" s="191" t="s">
        <v>346</v>
      </c>
      <c r="G117" s="191" t="s">
        <v>314</v>
      </c>
      <c r="H117" s="191" t="s">
        <v>59</v>
      </c>
      <c r="J117" s="194">
        <v>4</v>
      </c>
      <c r="K117" s="194">
        <v>1</v>
      </c>
    </row>
    <row r="118" spans="1:12">
      <c r="A118" s="201">
        <v>43203</v>
      </c>
      <c r="B118" s="201">
        <v>43240</v>
      </c>
      <c r="C118" s="194">
        <f t="shared" ref="C118:C139" si="9">B118-A118</f>
        <v>37</v>
      </c>
      <c r="D118" s="201">
        <v>43253</v>
      </c>
      <c r="E118" s="194">
        <f t="shared" si="8"/>
        <v>50</v>
      </c>
      <c r="F118" s="191" t="s">
        <v>347</v>
      </c>
      <c r="G118" s="191" t="s">
        <v>314</v>
      </c>
      <c r="H118" s="191" t="s">
        <v>59</v>
      </c>
      <c r="J118" s="194">
        <v>8</v>
      </c>
      <c r="K118" s="194">
        <v>0</v>
      </c>
    </row>
    <row r="119" spans="1:12">
      <c r="A119" s="201">
        <v>43203</v>
      </c>
      <c r="B119" s="201">
        <v>43240</v>
      </c>
      <c r="C119" s="194">
        <f t="shared" si="9"/>
        <v>37</v>
      </c>
      <c r="D119" s="201">
        <v>43253</v>
      </c>
      <c r="E119" s="194">
        <f t="shared" si="8"/>
        <v>50</v>
      </c>
      <c r="F119" s="191" t="s">
        <v>348</v>
      </c>
      <c r="G119" s="191" t="s">
        <v>313</v>
      </c>
      <c r="H119" s="191" t="s">
        <v>28</v>
      </c>
      <c r="I119" s="194">
        <v>9</v>
      </c>
      <c r="J119" s="194">
        <v>13</v>
      </c>
      <c r="K119" s="194">
        <v>4</v>
      </c>
      <c r="L119" s="195">
        <f>SUM(I119,J119:K121)</f>
        <v>174</v>
      </c>
    </row>
    <row r="120" spans="1:12">
      <c r="A120" s="201">
        <v>43203</v>
      </c>
      <c r="B120" s="201">
        <v>43240</v>
      </c>
      <c r="C120" s="194">
        <f t="shared" si="9"/>
        <v>37</v>
      </c>
      <c r="D120" s="201">
        <v>43253</v>
      </c>
      <c r="E120" s="194">
        <f t="shared" si="8"/>
        <v>50</v>
      </c>
      <c r="F120" s="191" t="s">
        <v>349</v>
      </c>
      <c r="G120" s="191" t="s">
        <v>313</v>
      </c>
      <c r="H120" s="191" t="s">
        <v>28</v>
      </c>
      <c r="J120" s="194">
        <v>99</v>
      </c>
      <c r="K120" s="194">
        <v>11</v>
      </c>
    </row>
    <row r="121" spans="1:12">
      <c r="A121" s="201">
        <v>43203</v>
      </c>
      <c r="B121" s="201">
        <v>43240</v>
      </c>
      <c r="C121" s="194">
        <f t="shared" si="9"/>
        <v>37</v>
      </c>
      <c r="D121" s="201">
        <v>43253</v>
      </c>
      <c r="E121" s="194">
        <f t="shared" si="8"/>
        <v>50</v>
      </c>
      <c r="F121" s="191" t="s">
        <v>350</v>
      </c>
      <c r="G121" s="191" t="s">
        <v>313</v>
      </c>
      <c r="H121" s="191" t="s">
        <v>28</v>
      </c>
      <c r="J121" s="194">
        <v>38</v>
      </c>
      <c r="K121" s="194">
        <v>0</v>
      </c>
    </row>
    <row r="122" spans="1:12">
      <c r="A122" s="201">
        <v>43203</v>
      </c>
      <c r="B122" s="201">
        <v>43240</v>
      </c>
      <c r="C122" s="194">
        <f t="shared" si="9"/>
        <v>37</v>
      </c>
      <c r="D122" s="201">
        <v>43253</v>
      </c>
      <c r="E122" s="194">
        <f>D122-A122</f>
        <v>50</v>
      </c>
      <c r="F122" s="191" t="s">
        <v>351</v>
      </c>
      <c r="G122" s="191" t="s">
        <v>314</v>
      </c>
      <c r="H122" s="191" t="s">
        <v>61</v>
      </c>
      <c r="I122" s="194">
        <v>9</v>
      </c>
      <c r="J122" s="194">
        <v>14</v>
      </c>
      <c r="K122" s="194">
        <v>0</v>
      </c>
      <c r="L122" s="195">
        <f>SUM(I122,J122:K124)</f>
        <v>141</v>
      </c>
    </row>
    <row r="123" spans="1:12">
      <c r="A123" s="201">
        <v>43203</v>
      </c>
      <c r="B123" s="201">
        <v>43240</v>
      </c>
      <c r="C123" s="194">
        <f t="shared" si="9"/>
        <v>37</v>
      </c>
      <c r="D123" s="201">
        <v>43253</v>
      </c>
      <c r="E123" s="194">
        <f t="shared" si="8"/>
        <v>50</v>
      </c>
      <c r="F123" s="191" t="s">
        <v>352</v>
      </c>
      <c r="G123" s="191" t="s">
        <v>314</v>
      </c>
      <c r="H123" s="200" t="s">
        <v>61</v>
      </c>
      <c r="J123" s="194">
        <v>71</v>
      </c>
      <c r="K123" s="194">
        <v>8</v>
      </c>
    </row>
    <row r="124" spans="1:12">
      <c r="A124" s="201">
        <v>43203</v>
      </c>
      <c r="B124" s="201">
        <v>43240</v>
      </c>
      <c r="C124" s="194">
        <f t="shared" si="9"/>
        <v>37</v>
      </c>
      <c r="D124" s="201">
        <v>43253</v>
      </c>
      <c r="E124" s="194">
        <f>D124-A124</f>
        <v>50</v>
      </c>
      <c r="F124" s="191" t="s">
        <v>353</v>
      </c>
      <c r="G124" s="191" t="s">
        <v>314</v>
      </c>
      <c r="H124" s="200" t="s">
        <v>61</v>
      </c>
      <c r="J124" s="194">
        <v>38</v>
      </c>
      <c r="K124" s="194">
        <v>1</v>
      </c>
    </row>
    <row r="125" spans="1:12">
      <c r="A125" s="201">
        <v>43204</v>
      </c>
      <c r="B125" s="201">
        <v>43240</v>
      </c>
      <c r="C125" s="194">
        <f t="shared" si="9"/>
        <v>36</v>
      </c>
      <c r="D125" s="201">
        <v>43253</v>
      </c>
      <c r="E125" s="194">
        <f t="shared" ref="E125:E145" si="10">D125-A125</f>
        <v>49</v>
      </c>
      <c r="F125" s="191" t="s">
        <v>354</v>
      </c>
      <c r="G125" s="191" t="s">
        <v>313</v>
      </c>
      <c r="H125" s="191" t="s">
        <v>37</v>
      </c>
      <c r="I125" s="194">
        <v>23</v>
      </c>
      <c r="J125" s="194">
        <v>19</v>
      </c>
      <c r="K125" s="194">
        <v>0</v>
      </c>
      <c r="L125" s="195">
        <f>SUM(I125,J125:K127)</f>
        <v>201</v>
      </c>
    </row>
    <row r="126" spans="1:12">
      <c r="A126" s="201">
        <v>43204</v>
      </c>
      <c r="B126" s="201">
        <v>43240</v>
      </c>
      <c r="C126" s="194">
        <f t="shared" si="9"/>
        <v>36</v>
      </c>
      <c r="D126" s="201">
        <v>43253</v>
      </c>
      <c r="E126" s="194">
        <f t="shared" si="10"/>
        <v>49</v>
      </c>
      <c r="F126" s="191" t="s">
        <v>355</v>
      </c>
      <c r="G126" s="191" t="s">
        <v>313</v>
      </c>
      <c r="H126" s="191" t="s">
        <v>37</v>
      </c>
      <c r="J126" s="194">
        <v>84</v>
      </c>
      <c r="K126" s="194">
        <v>4</v>
      </c>
    </row>
    <row r="127" spans="1:12">
      <c r="A127" s="201">
        <v>43204</v>
      </c>
      <c r="B127" s="201">
        <v>43240</v>
      </c>
      <c r="C127" s="194">
        <f t="shared" si="9"/>
        <v>36</v>
      </c>
      <c r="D127" s="201">
        <v>43253</v>
      </c>
      <c r="E127" s="194">
        <f t="shared" si="10"/>
        <v>49</v>
      </c>
      <c r="F127" s="191" t="s">
        <v>356</v>
      </c>
      <c r="G127" s="191" t="s">
        <v>313</v>
      </c>
      <c r="H127" s="191" t="s">
        <v>37</v>
      </c>
      <c r="J127" s="194">
        <v>68</v>
      </c>
      <c r="K127" s="194">
        <v>3</v>
      </c>
    </row>
    <row r="128" spans="1:12">
      <c r="A128" s="201">
        <v>43204</v>
      </c>
      <c r="B128" s="201">
        <v>43240</v>
      </c>
      <c r="C128" s="194">
        <f t="shared" si="9"/>
        <v>36</v>
      </c>
      <c r="D128" s="201">
        <v>43253</v>
      </c>
      <c r="E128" s="194">
        <f t="shared" si="10"/>
        <v>49</v>
      </c>
      <c r="F128" s="191" t="s">
        <v>357</v>
      </c>
      <c r="G128" s="191" t="s">
        <v>315</v>
      </c>
      <c r="H128" s="191" t="s">
        <v>83</v>
      </c>
      <c r="I128" s="194">
        <v>5</v>
      </c>
      <c r="J128" s="194">
        <v>8</v>
      </c>
      <c r="K128" s="194">
        <v>0</v>
      </c>
      <c r="L128" s="195">
        <f>SUM(I128,J128:K130)</f>
        <v>50</v>
      </c>
    </row>
    <row r="129" spans="1:12">
      <c r="A129" s="201">
        <v>43204</v>
      </c>
      <c r="B129" s="201">
        <v>43240</v>
      </c>
      <c r="C129" s="194">
        <f t="shared" si="9"/>
        <v>36</v>
      </c>
      <c r="D129" s="201">
        <v>43253</v>
      </c>
      <c r="E129" s="194">
        <f t="shared" si="10"/>
        <v>49</v>
      </c>
      <c r="F129" s="191" t="s">
        <v>358</v>
      </c>
      <c r="G129" s="191" t="s">
        <v>315</v>
      </c>
      <c r="H129" s="191" t="s">
        <v>83</v>
      </c>
      <c r="J129" s="194">
        <v>5</v>
      </c>
      <c r="K129" s="194">
        <v>3</v>
      </c>
    </row>
    <row r="130" spans="1:12">
      <c r="A130" s="201">
        <v>43204</v>
      </c>
      <c r="B130" s="201">
        <v>43240</v>
      </c>
      <c r="C130" s="194">
        <f t="shared" si="9"/>
        <v>36</v>
      </c>
      <c r="D130" s="201">
        <v>43253</v>
      </c>
      <c r="E130" s="194">
        <f t="shared" si="10"/>
        <v>49</v>
      </c>
      <c r="F130" s="191" t="s">
        <v>359</v>
      </c>
      <c r="G130" s="191" t="s">
        <v>315</v>
      </c>
      <c r="H130" s="191" t="s">
        <v>83</v>
      </c>
      <c r="J130" s="194">
        <v>29</v>
      </c>
      <c r="K130" s="194">
        <v>0</v>
      </c>
    </row>
    <row r="131" spans="1:12">
      <c r="A131" s="201">
        <v>43204</v>
      </c>
      <c r="B131" s="201">
        <v>43243</v>
      </c>
      <c r="C131" s="194">
        <f t="shared" si="9"/>
        <v>39</v>
      </c>
      <c r="D131" s="201">
        <v>43253</v>
      </c>
      <c r="E131" s="194">
        <f t="shared" si="10"/>
        <v>49</v>
      </c>
      <c r="F131" s="191" t="s">
        <v>360</v>
      </c>
      <c r="G131" s="191" t="s">
        <v>315</v>
      </c>
      <c r="H131" s="191" t="s">
        <v>84</v>
      </c>
      <c r="I131" s="194">
        <v>40</v>
      </c>
      <c r="J131" s="194">
        <v>18</v>
      </c>
      <c r="K131" s="194">
        <v>7</v>
      </c>
      <c r="L131" s="195">
        <f>SUM(I131,J131:K133)</f>
        <v>125</v>
      </c>
    </row>
    <row r="132" spans="1:12">
      <c r="A132" s="201">
        <v>43204</v>
      </c>
      <c r="B132" s="201">
        <v>43243</v>
      </c>
      <c r="C132" s="194">
        <f t="shared" si="9"/>
        <v>39</v>
      </c>
      <c r="D132" s="201">
        <v>43253</v>
      </c>
      <c r="E132" s="194">
        <f t="shared" si="10"/>
        <v>49</v>
      </c>
      <c r="F132" s="191" t="s">
        <v>361</v>
      </c>
      <c r="G132" s="191" t="s">
        <v>315</v>
      </c>
      <c r="H132" s="191" t="s">
        <v>84</v>
      </c>
      <c r="J132" s="194">
        <v>36</v>
      </c>
      <c r="K132" s="194">
        <v>4</v>
      </c>
    </row>
    <row r="133" spans="1:12">
      <c r="A133" s="201">
        <v>43204</v>
      </c>
      <c r="B133" s="201">
        <v>43243</v>
      </c>
      <c r="C133" s="194">
        <f t="shared" si="9"/>
        <v>39</v>
      </c>
      <c r="D133" s="201">
        <v>43253</v>
      </c>
      <c r="E133" s="194">
        <f t="shared" si="10"/>
        <v>49</v>
      </c>
      <c r="F133" s="191" t="s">
        <v>362</v>
      </c>
      <c r="G133" s="191" t="s">
        <v>315</v>
      </c>
      <c r="H133" s="191" t="s">
        <v>84</v>
      </c>
      <c r="J133" s="194">
        <v>20</v>
      </c>
      <c r="K133" s="194">
        <v>0</v>
      </c>
    </row>
    <row r="134" spans="1:12">
      <c r="A134" s="201">
        <v>43205</v>
      </c>
      <c r="B134" s="201">
        <v>43243</v>
      </c>
      <c r="C134" s="194">
        <f t="shared" si="9"/>
        <v>38</v>
      </c>
      <c r="D134" s="201">
        <v>43256</v>
      </c>
      <c r="E134" s="194">
        <f t="shared" si="10"/>
        <v>51</v>
      </c>
      <c r="F134" s="191" t="s">
        <v>363</v>
      </c>
      <c r="G134" s="191" t="s">
        <v>313</v>
      </c>
      <c r="H134" s="191" t="s">
        <v>28</v>
      </c>
      <c r="I134" s="194">
        <v>62</v>
      </c>
      <c r="J134" s="194">
        <v>121</v>
      </c>
      <c r="K134" s="194">
        <v>5</v>
      </c>
      <c r="L134" s="195">
        <f>SUM(I134,J134:K136)</f>
        <v>449</v>
      </c>
    </row>
    <row r="135" spans="1:12">
      <c r="A135" s="201">
        <v>43205</v>
      </c>
      <c r="B135" s="201">
        <v>43243</v>
      </c>
      <c r="C135" s="194">
        <f t="shared" si="9"/>
        <v>38</v>
      </c>
      <c r="D135" s="201">
        <v>43256</v>
      </c>
      <c r="E135" s="194">
        <f t="shared" si="10"/>
        <v>51</v>
      </c>
      <c r="F135" s="191" t="s">
        <v>364</v>
      </c>
      <c r="G135" s="191" t="s">
        <v>313</v>
      </c>
      <c r="H135" s="191" t="s">
        <v>28</v>
      </c>
      <c r="J135" s="194">
        <v>116</v>
      </c>
      <c r="K135" s="194">
        <v>10</v>
      </c>
    </row>
    <row r="136" spans="1:12">
      <c r="A136" s="201">
        <v>43205</v>
      </c>
      <c r="B136" s="201">
        <v>43243</v>
      </c>
      <c r="C136" s="194">
        <f t="shared" si="9"/>
        <v>38</v>
      </c>
      <c r="D136" s="201">
        <v>43256</v>
      </c>
      <c r="E136" s="194">
        <f t="shared" si="10"/>
        <v>51</v>
      </c>
      <c r="F136" s="191" t="s">
        <v>365</v>
      </c>
      <c r="G136" s="191" t="s">
        <v>313</v>
      </c>
      <c r="H136" s="191" t="s">
        <v>28</v>
      </c>
      <c r="J136" s="194">
        <v>129</v>
      </c>
      <c r="K136" s="194">
        <v>6</v>
      </c>
    </row>
    <row r="137" spans="1:12">
      <c r="A137" s="201">
        <v>43206</v>
      </c>
      <c r="B137" s="201">
        <v>43243</v>
      </c>
      <c r="C137" s="194">
        <f t="shared" si="9"/>
        <v>37</v>
      </c>
      <c r="D137" s="201">
        <v>43256</v>
      </c>
      <c r="E137" s="194">
        <f t="shared" si="10"/>
        <v>50</v>
      </c>
      <c r="F137" s="191" t="s">
        <v>366</v>
      </c>
      <c r="G137" s="191" t="s">
        <v>312</v>
      </c>
      <c r="H137" s="191" t="s">
        <v>36</v>
      </c>
      <c r="I137" s="194">
        <v>9</v>
      </c>
      <c r="J137" s="194">
        <v>51</v>
      </c>
      <c r="K137" s="194">
        <v>2</v>
      </c>
      <c r="L137" s="195">
        <f>SUM(I137,J137:K139)</f>
        <v>160</v>
      </c>
    </row>
    <row r="138" spans="1:12">
      <c r="A138" s="201">
        <v>43206</v>
      </c>
      <c r="B138" s="201">
        <v>43243</v>
      </c>
      <c r="C138" s="194">
        <f t="shared" si="9"/>
        <v>37</v>
      </c>
      <c r="D138" s="201">
        <v>43256</v>
      </c>
      <c r="E138" s="194">
        <f t="shared" si="10"/>
        <v>50</v>
      </c>
      <c r="F138" s="191" t="s">
        <v>367</v>
      </c>
      <c r="G138" s="191" t="s">
        <v>312</v>
      </c>
      <c r="H138" s="191" t="s">
        <v>36</v>
      </c>
      <c r="J138" s="194">
        <v>64</v>
      </c>
      <c r="K138" s="194">
        <v>0</v>
      </c>
    </row>
    <row r="139" spans="1:12">
      <c r="A139" s="201">
        <v>43206</v>
      </c>
      <c r="B139" s="201">
        <v>43243</v>
      </c>
      <c r="C139" s="194">
        <f t="shared" si="9"/>
        <v>37</v>
      </c>
      <c r="D139" s="201">
        <v>43256</v>
      </c>
      <c r="E139" s="194">
        <f t="shared" si="10"/>
        <v>50</v>
      </c>
      <c r="F139" s="191" t="s">
        <v>368</v>
      </c>
      <c r="G139" s="191" t="s">
        <v>312</v>
      </c>
      <c r="H139" s="191" t="s">
        <v>36</v>
      </c>
      <c r="J139" s="194">
        <v>31</v>
      </c>
      <c r="K139" s="194">
        <v>3</v>
      </c>
    </row>
    <row r="140" spans="1:12">
      <c r="A140" s="201">
        <v>43205</v>
      </c>
      <c r="B140" s="201">
        <v>43243</v>
      </c>
      <c r="C140" s="194">
        <f>B140-A140</f>
        <v>38</v>
      </c>
      <c r="D140" s="201">
        <v>43256</v>
      </c>
      <c r="E140" s="194">
        <f t="shared" si="10"/>
        <v>51</v>
      </c>
      <c r="F140" s="191" t="s">
        <v>369</v>
      </c>
      <c r="G140" s="191" t="s">
        <v>315</v>
      </c>
      <c r="H140" s="191" t="s">
        <v>84</v>
      </c>
      <c r="I140" s="194">
        <v>64</v>
      </c>
      <c r="J140" s="194">
        <v>170</v>
      </c>
      <c r="K140" s="194">
        <v>2</v>
      </c>
      <c r="L140" s="195">
        <f>SUM(I140,J140:K142)</f>
        <v>440</v>
      </c>
    </row>
    <row r="141" spans="1:12">
      <c r="A141" s="201">
        <v>43205</v>
      </c>
      <c r="B141" s="201">
        <v>43243</v>
      </c>
      <c r="C141" s="194">
        <f t="shared" ref="C141:C145" si="11">B141-A141</f>
        <v>38</v>
      </c>
      <c r="D141" s="201">
        <v>43256</v>
      </c>
      <c r="E141" s="194">
        <f t="shared" si="10"/>
        <v>51</v>
      </c>
      <c r="F141" s="191" t="s">
        <v>370</v>
      </c>
      <c r="G141" s="191" t="s">
        <v>315</v>
      </c>
      <c r="H141" s="191" t="s">
        <v>84</v>
      </c>
      <c r="J141" s="194">
        <v>68</v>
      </c>
      <c r="K141" s="194">
        <v>1</v>
      </c>
    </row>
    <row r="142" spans="1:12">
      <c r="A142" s="201">
        <v>43205</v>
      </c>
      <c r="B142" s="201">
        <v>43243</v>
      </c>
      <c r="C142" s="194">
        <f t="shared" si="11"/>
        <v>38</v>
      </c>
      <c r="D142" s="201">
        <v>43256</v>
      </c>
      <c r="E142" s="194">
        <f t="shared" si="10"/>
        <v>51</v>
      </c>
      <c r="F142" s="191" t="s">
        <v>371</v>
      </c>
      <c r="G142" s="191" t="s">
        <v>315</v>
      </c>
      <c r="H142" s="191" t="s">
        <v>84</v>
      </c>
      <c r="J142" s="194">
        <v>120</v>
      </c>
      <c r="K142" s="194">
        <v>15</v>
      </c>
    </row>
    <row r="143" spans="1:12">
      <c r="A143" s="201">
        <v>43209</v>
      </c>
      <c r="B143" s="201">
        <v>43243</v>
      </c>
      <c r="C143" s="194">
        <f t="shared" si="11"/>
        <v>34</v>
      </c>
      <c r="D143" s="201">
        <v>43258</v>
      </c>
      <c r="E143" s="194">
        <f t="shared" si="10"/>
        <v>49</v>
      </c>
      <c r="F143" s="191" t="s">
        <v>372</v>
      </c>
      <c r="G143" s="191" t="s">
        <v>315</v>
      </c>
      <c r="H143" s="191" t="s">
        <v>84</v>
      </c>
      <c r="I143" s="194">
        <v>122</v>
      </c>
      <c r="J143" s="194">
        <v>177</v>
      </c>
      <c r="K143" s="194">
        <v>38</v>
      </c>
      <c r="L143" s="195">
        <f>SUM(I143,J143:K145)</f>
        <v>739</v>
      </c>
    </row>
    <row r="144" spans="1:12">
      <c r="A144" s="201">
        <v>43209</v>
      </c>
      <c r="B144" s="201">
        <v>43243</v>
      </c>
      <c r="C144" s="194">
        <f t="shared" si="11"/>
        <v>34</v>
      </c>
      <c r="D144" s="201">
        <v>43258</v>
      </c>
      <c r="E144" s="194">
        <f t="shared" si="10"/>
        <v>49</v>
      </c>
      <c r="F144" s="191" t="s">
        <v>373</v>
      </c>
      <c r="G144" s="191" t="s">
        <v>315</v>
      </c>
      <c r="H144" s="191" t="s">
        <v>84</v>
      </c>
      <c r="J144" s="194">
        <v>135</v>
      </c>
      <c r="K144" s="194">
        <v>74</v>
      </c>
    </row>
    <row r="145" spans="1:11">
      <c r="A145" s="201">
        <v>43209</v>
      </c>
      <c r="B145" s="201">
        <v>43243</v>
      </c>
      <c r="C145" s="194">
        <f t="shared" si="11"/>
        <v>34</v>
      </c>
      <c r="D145" s="201">
        <v>43258</v>
      </c>
      <c r="E145" s="194">
        <f t="shared" si="10"/>
        <v>49</v>
      </c>
      <c r="F145" s="191" t="s">
        <v>374</v>
      </c>
      <c r="G145" s="191" t="s">
        <v>315</v>
      </c>
      <c r="H145" s="191" t="s">
        <v>84</v>
      </c>
      <c r="J145" s="194">
        <v>140</v>
      </c>
      <c r="K145" s="194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6"/>
  <sheetViews>
    <sheetView showRuler="0" topLeftCell="E32" workbookViewId="0">
      <selection activeCell="P56" sqref="P56"/>
    </sheetView>
  </sheetViews>
  <sheetFormatPr baseColWidth="10" defaultRowHeight="15" x14ac:dyDescent="0"/>
  <cols>
    <col min="2" max="2" width="7.6640625" customWidth="1"/>
    <col min="3" max="3" width="10.1640625" style="3" customWidth="1"/>
    <col min="4" max="4" width="9.6640625" customWidth="1"/>
    <col min="5" max="5" width="10.33203125" style="3" customWidth="1"/>
    <col min="6" max="6" width="7.6640625" customWidth="1"/>
    <col min="7" max="7" width="9.1640625" customWidth="1"/>
    <col min="8" max="8" width="8.33203125" customWidth="1"/>
    <col min="9" max="10" width="7.6640625" bestFit="1" customWidth="1"/>
    <col min="11" max="11" width="7.6640625" customWidth="1"/>
    <col min="12" max="12" width="7.83203125" customWidth="1"/>
    <col min="13" max="13" width="14.6640625" customWidth="1"/>
    <col min="14" max="14" width="12.1640625" style="1" customWidth="1"/>
    <col min="15" max="15" width="12.1640625" style="48" customWidth="1"/>
    <col min="16" max="16" width="15.6640625" style="50" customWidth="1"/>
    <col min="17" max="17" width="19.33203125" style="2" customWidth="1"/>
    <col min="18" max="18" width="15.1640625" style="1" customWidth="1"/>
    <col min="19" max="19" width="17.6640625" style="4" customWidth="1"/>
  </cols>
  <sheetData>
    <row r="1" spans="1:20" s="18" customFormat="1" ht="20">
      <c r="A1" s="17" t="s">
        <v>12</v>
      </c>
      <c r="C1" s="41"/>
      <c r="E1" s="41"/>
      <c r="N1" s="19"/>
      <c r="O1" s="46"/>
      <c r="P1" s="46"/>
      <c r="Q1" s="20"/>
      <c r="R1" s="19"/>
      <c r="S1" s="21"/>
    </row>
    <row r="2" spans="1:20" s="5" customFormat="1" ht="55" customHeight="1">
      <c r="A2" s="6" t="s">
        <v>0</v>
      </c>
      <c r="B2" s="7" t="s">
        <v>10</v>
      </c>
      <c r="C2" s="8" t="s">
        <v>26</v>
      </c>
      <c r="D2" s="7" t="s">
        <v>9</v>
      </c>
      <c r="E2" s="8" t="s">
        <v>58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57</v>
      </c>
      <c r="L2" s="7" t="s">
        <v>7</v>
      </c>
      <c r="M2" s="7" t="s">
        <v>8</v>
      </c>
      <c r="N2" s="9" t="s">
        <v>13</v>
      </c>
      <c r="O2" s="47" t="s">
        <v>45</v>
      </c>
      <c r="P2" s="47" t="s">
        <v>46</v>
      </c>
      <c r="Q2" s="9" t="s">
        <v>43</v>
      </c>
      <c r="R2" s="9" t="s">
        <v>44</v>
      </c>
      <c r="S2" s="10" t="s">
        <v>11</v>
      </c>
    </row>
    <row r="3" spans="1:20">
      <c r="A3" s="11">
        <v>43189</v>
      </c>
      <c r="B3" s="12" t="s">
        <v>25</v>
      </c>
      <c r="C3" s="42">
        <v>1</v>
      </c>
      <c r="D3" s="12" t="s">
        <v>27</v>
      </c>
      <c r="E3" s="42">
        <v>1</v>
      </c>
      <c r="F3" s="13">
        <v>232</v>
      </c>
      <c r="G3" s="13">
        <v>222</v>
      </c>
      <c r="H3" s="13">
        <v>219</v>
      </c>
      <c r="I3" s="13">
        <v>199</v>
      </c>
      <c r="J3" s="13">
        <v>207</v>
      </c>
      <c r="K3" s="13">
        <v>230</v>
      </c>
      <c r="L3" s="14">
        <f>AVERAGE(F3:K3)</f>
        <v>218.16666666666666</v>
      </c>
      <c r="M3" s="14">
        <f t="shared" ref="M3:M56" si="0">(L3*9)/0.0009</f>
        <v>2181666.6666666665</v>
      </c>
      <c r="N3" s="15">
        <f>6*3</f>
        <v>18</v>
      </c>
      <c r="O3" s="51">
        <f>800*N3</f>
        <v>14400</v>
      </c>
      <c r="P3" s="49">
        <f>N3*800</f>
        <v>14400</v>
      </c>
      <c r="Q3" s="14">
        <v>100000</v>
      </c>
      <c r="R3" s="143">
        <f>(Q3*P3)/(M3-Q3)</f>
        <v>691.75340272217784</v>
      </c>
      <c r="S3" s="16">
        <f>(M3*R3)/(P3+R3)</f>
        <v>100000.00000000001</v>
      </c>
    </row>
    <row r="4" spans="1:20">
      <c r="A4" s="11">
        <v>43190</v>
      </c>
      <c r="B4" s="12" t="s">
        <v>41</v>
      </c>
      <c r="C4" s="42">
        <v>1</v>
      </c>
      <c r="D4" s="12" t="s">
        <v>27</v>
      </c>
      <c r="E4" s="42">
        <v>1</v>
      </c>
      <c r="F4" s="13">
        <v>284</v>
      </c>
      <c r="G4" s="13">
        <v>243</v>
      </c>
      <c r="H4" s="13">
        <v>261</v>
      </c>
      <c r="I4" s="13">
        <v>255</v>
      </c>
      <c r="J4" s="13">
        <v>293</v>
      </c>
      <c r="K4" s="13">
        <v>326</v>
      </c>
      <c r="L4" s="14">
        <f>AVERAGE(F4:K4)</f>
        <v>277</v>
      </c>
      <c r="M4" s="14">
        <f>(L4*9)/0.0009</f>
        <v>2770000</v>
      </c>
      <c r="N4" s="15">
        <f>6*3</f>
        <v>18</v>
      </c>
      <c r="O4" s="51">
        <f>800*N4</f>
        <v>14400</v>
      </c>
      <c r="P4" s="49">
        <v>36000</v>
      </c>
      <c r="Q4" s="14">
        <v>100000</v>
      </c>
      <c r="R4" s="14">
        <f>(Q4*P4)/(M4-Q4)</f>
        <v>1348.314606741573</v>
      </c>
      <c r="S4" s="16">
        <f>(M4*R4)/(P4+R4)</f>
        <v>100000</v>
      </c>
    </row>
    <row r="5" spans="1:20">
      <c r="A5" s="11">
        <v>43191</v>
      </c>
      <c r="B5" s="12" t="s">
        <v>41</v>
      </c>
      <c r="C5" s="42">
        <v>1</v>
      </c>
      <c r="D5" s="12" t="s">
        <v>27</v>
      </c>
      <c r="E5" s="42">
        <v>1</v>
      </c>
      <c r="F5" s="13">
        <v>274</v>
      </c>
      <c r="G5" s="13">
        <v>290</v>
      </c>
      <c r="H5" s="13">
        <v>267</v>
      </c>
      <c r="I5" s="13">
        <v>288</v>
      </c>
      <c r="J5" s="13">
        <v>279</v>
      </c>
      <c r="K5" s="13">
        <v>320</v>
      </c>
      <c r="L5" s="14">
        <f>AVERAGE(F5:K5)</f>
        <v>286.33333333333331</v>
      </c>
      <c r="M5" s="14">
        <f t="shared" si="0"/>
        <v>2863333.3333333335</v>
      </c>
      <c r="N5" s="15"/>
      <c r="O5" s="51"/>
      <c r="P5" s="49">
        <v>48000</v>
      </c>
      <c r="Q5" s="14">
        <v>100000</v>
      </c>
      <c r="R5" s="14">
        <f>(Q5*P5)/(M5-Q5)</f>
        <v>1737.0325693606753</v>
      </c>
      <c r="S5" s="16">
        <f t="shared" ref="S5:S48" si="1">(M5*R5)/(P5+R5)</f>
        <v>100000.00000000001</v>
      </c>
    </row>
    <row r="6" spans="1:20">
      <c r="A6" s="11">
        <v>43192</v>
      </c>
      <c r="B6" s="12" t="s">
        <v>41</v>
      </c>
      <c r="C6" s="42">
        <v>2</v>
      </c>
      <c r="D6" s="12">
        <v>609</v>
      </c>
      <c r="E6" s="42">
        <v>2</v>
      </c>
      <c r="F6" s="13">
        <v>306</v>
      </c>
      <c r="G6" s="13">
        <v>278</v>
      </c>
      <c r="H6" s="13">
        <v>245</v>
      </c>
      <c r="I6" s="13">
        <v>264</v>
      </c>
      <c r="J6" s="13">
        <v>279</v>
      </c>
      <c r="K6" s="13">
        <v>305</v>
      </c>
      <c r="L6" s="14">
        <f t="shared" ref="L6:L47" si="2">AVERAGE(F6:K6)</f>
        <v>279.5</v>
      </c>
      <c r="M6" s="14">
        <f t="shared" si="0"/>
        <v>2795000</v>
      </c>
      <c r="N6" s="15"/>
      <c r="O6" s="51"/>
      <c r="P6" s="49">
        <v>48000</v>
      </c>
      <c r="Q6" s="14">
        <v>100000</v>
      </c>
      <c r="R6" s="14">
        <f t="shared" ref="R6:R56" si="3">(Q6*P6)/(M6-Q6)</f>
        <v>1781.0760667903526</v>
      </c>
      <c r="S6" s="16">
        <f t="shared" si="1"/>
        <v>100000</v>
      </c>
    </row>
    <row r="7" spans="1:20">
      <c r="A7" s="11">
        <v>43193</v>
      </c>
      <c r="B7" s="12" t="s">
        <v>41</v>
      </c>
      <c r="C7" s="42">
        <v>1</v>
      </c>
      <c r="D7" s="12">
        <v>609</v>
      </c>
      <c r="E7" s="42">
        <v>1</v>
      </c>
      <c r="F7" s="13">
        <v>348</v>
      </c>
      <c r="G7" s="13">
        <v>309</v>
      </c>
      <c r="H7" s="13">
        <v>322</v>
      </c>
      <c r="I7" s="13">
        <v>347</v>
      </c>
      <c r="J7" s="13">
        <v>330</v>
      </c>
      <c r="K7" s="13">
        <v>340</v>
      </c>
      <c r="L7" s="14">
        <f t="shared" si="2"/>
        <v>332.66666666666669</v>
      </c>
      <c r="M7" s="14">
        <f t="shared" si="0"/>
        <v>3326666.666666667</v>
      </c>
      <c r="N7" s="15"/>
      <c r="O7" s="51"/>
      <c r="P7" s="49">
        <v>48000</v>
      </c>
      <c r="Q7" s="14">
        <v>100000</v>
      </c>
      <c r="R7" s="14">
        <f t="shared" si="3"/>
        <v>1487.6033057851239</v>
      </c>
      <c r="S7" s="16">
        <f t="shared" si="1"/>
        <v>100000</v>
      </c>
      <c r="T7" t="s">
        <v>77</v>
      </c>
    </row>
    <row r="8" spans="1:20">
      <c r="A8" s="11">
        <v>43194</v>
      </c>
      <c r="B8" s="12" t="s">
        <v>41</v>
      </c>
      <c r="C8" s="42">
        <v>1</v>
      </c>
      <c r="D8" s="12">
        <v>609</v>
      </c>
      <c r="E8" s="42">
        <v>1.5</v>
      </c>
      <c r="F8" s="13">
        <v>362</v>
      </c>
      <c r="G8" s="13">
        <v>403</v>
      </c>
      <c r="H8" s="13">
        <v>372</v>
      </c>
      <c r="I8" s="13">
        <v>402</v>
      </c>
      <c r="J8" s="13">
        <v>458</v>
      </c>
      <c r="K8" s="13">
        <v>371</v>
      </c>
      <c r="L8" s="14">
        <f t="shared" si="2"/>
        <v>394.66666666666669</v>
      </c>
      <c r="M8" s="14">
        <f t="shared" si="0"/>
        <v>3946666.666666667</v>
      </c>
      <c r="N8" s="15"/>
      <c r="O8" s="51"/>
      <c r="P8" s="49">
        <v>60000</v>
      </c>
      <c r="Q8" s="14">
        <v>100000</v>
      </c>
      <c r="R8" s="14">
        <f>(Q8*P8)/(M8-Q8)</f>
        <v>1559.7920277296359</v>
      </c>
      <c r="S8" s="16">
        <f t="shared" si="1"/>
        <v>100000</v>
      </c>
      <c r="T8" t="s">
        <v>94</v>
      </c>
    </row>
    <row r="9" spans="1:20">
      <c r="A9" s="11">
        <v>43195</v>
      </c>
      <c r="B9" s="12" t="s">
        <v>41</v>
      </c>
      <c r="C9" s="42">
        <v>1</v>
      </c>
      <c r="D9" s="12">
        <v>609</v>
      </c>
      <c r="E9" s="42">
        <v>1</v>
      </c>
      <c r="F9" s="13">
        <v>266</v>
      </c>
      <c r="G9" s="13">
        <v>259</v>
      </c>
      <c r="H9" s="13">
        <v>255</v>
      </c>
      <c r="I9" s="13">
        <v>276</v>
      </c>
      <c r="J9" s="13">
        <v>285</v>
      </c>
      <c r="K9" s="13">
        <v>238</v>
      </c>
      <c r="L9" s="14">
        <f>AVERAGE(F9:K9)</f>
        <v>263.16666666666669</v>
      </c>
      <c r="M9" s="14">
        <f t="shared" si="0"/>
        <v>2631666.6666666665</v>
      </c>
      <c r="N9" s="15">
        <v>75</v>
      </c>
      <c r="O9" s="51">
        <f>800*N9</f>
        <v>60000</v>
      </c>
      <c r="P9" s="49">
        <v>68000</v>
      </c>
      <c r="Q9" s="14">
        <v>100000</v>
      </c>
      <c r="R9" s="14">
        <f>(Q9*P9)/(M9-Q9)</f>
        <v>2685.977616853193</v>
      </c>
      <c r="S9" s="16">
        <f t="shared" si="1"/>
        <v>99999.999999999985</v>
      </c>
      <c r="T9" t="s">
        <v>110</v>
      </c>
    </row>
    <row r="10" spans="1:20">
      <c r="A10" s="11">
        <v>43196</v>
      </c>
      <c r="B10" s="12" t="s">
        <v>41</v>
      </c>
      <c r="C10" s="42">
        <v>1</v>
      </c>
      <c r="D10" s="12">
        <v>609</v>
      </c>
      <c r="E10" s="42">
        <v>1</v>
      </c>
      <c r="F10" s="13">
        <v>237</v>
      </c>
      <c r="G10" s="13">
        <v>235</v>
      </c>
      <c r="H10" s="13">
        <v>252</v>
      </c>
      <c r="I10" s="13">
        <v>267</v>
      </c>
      <c r="J10" s="13">
        <v>248</v>
      </c>
      <c r="K10" s="13">
        <v>197</v>
      </c>
      <c r="L10" s="14">
        <f>AVERAGE(F10:K10)</f>
        <v>239.33333333333334</v>
      </c>
      <c r="M10" s="14">
        <f>(L10*9)/0.0009</f>
        <v>2393333.3333333335</v>
      </c>
      <c r="N10" s="15"/>
      <c r="O10" s="51"/>
      <c r="P10" s="49">
        <f>20*3.78541*1000</f>
        <v>75708.200000000012</v>
      </c>
      <c r="Q10" s="14">
        <v>100000</v>
      </c>
      <c r="R10" s="14">
        <f>(Q10*P10)/(M10-Q10)</f>
        <v>3301.229651162791</v>
      </c>
      <c r="S10" s="16">
        <f t="shared" si="1"/>
        <v>100000</v>
      </c>
    </row>
    <row r="11" spans="1:20">
      <c r="A11" s="11">
        <v>43197</v>
      </c>
      <c r="B11" s="12" t="s">
        <v>41</v>
      </c>
      <c r="C11" s="42">
        <v>1.5</v>
      </c>
      <c r="D11" s="12">
        <v>609</v>
      </c>
      <c r="E11" s="42">
        <v>1</v>
      </c>
      <c r="F11" s="13">
        <v>275</v>
      </c>
      <c r="G11" s="13">
        <v>332</v>
      </c>
      <c r="H11" s="13">
        <v>260</v>
      </c>
      <c r="I11" s="13">
        <v>259</v>
      </c>
      <c r="J11" s="13">
        <v>291</v>
      </c>
      <c r="K11" s="13">
        <v>279</v>
      </c>
      <c r="L11" s="14">
        <f>AVERAGE(F11,H11:K11)</f>
        <v>272.8</v>
      </c>
      <c r="M11" s="14">
        <f t="shared" si="0"/>
        <v>2728000.0000000005</v>
      </c>
      <c r="N11" s="15"/>
      <c r="O11" s="51"/>
      <c r="P11" s="49">
        <f>20*3.78541*1000</f>
        <v>75708.200000000012</v>
      </c>
      <c r="Q11" s="14">
        <v>100000</v>
      </c>
      <c r="R11" s="14">
        <f t="shared" si="3"/>
        <v>2880.829528158295</v>
      </c>
      <c r="S11" s="16">
        <f t="shared" si="1"/>
        <v>99999.999999999985</v>
      </c>
    </row>
    <row r="12" spans="1:20">
      <c r="A12" s="11">
        <v>43198</v>
      </c>
      <c r="B12" s="12" t="s">
        <v>41</v>
      </c>
      <c r="C12" s="42">
        <v>1</v>
      </c>
      <c r="D12" s="12">
        <v>609</v>
      </c>
      <c r="E12" s="42">
        <v>1</v>
      </c>
      <c r="F12" s="13">
        <v>211</v>
      </c>
      <c r="G12" s="13">
        <v>195</v>
      </c>
      <c r="H12" s="13">
        <v>191</v>
      </c>
      <c r="I12" s="13">
        <v>210</v>
      </c>
      <c r="J12" s="13">
        <v>198</v>
      </c>
      <c r="K12" s="13">
        <v>238</v>
      </c>
      <c r="L12" s="14">
        <f t="shared" si="2"/>
        <v>207.16666666666666</v>
      </c>
      <c r="M12" s="14">
        <f t="shared" si="0"/>
        <v>2071666.6666666667</v>
      </c>
      <c r="N12" s="15"/>
      <c r="O12" s="51"/>
      <c r="P12" s="49">
        <f>25*3.78541*1000</f>
        <v>94635.25</v>
      </c>
      <c r="Q12" s="14">
        <v>100000</v>
      </c>
      <c r="R12" s="14">
        <f>(Q12*P12)/(M12-Q12)</f>
        <v>4799.7590870667791</v>
      </c>
      <c r="S12" s="16">
        <f t="shared" si="1"/>
        <v>100000</v>
      </c>
    </row>
    <row r="13" spans="1:20">
      <c r="A13" s="11">
        <v>43199</v>
      </c>
      <c r="B13" s="12" t="s">
        <v>41</v>
      </c>
      <c r="C13" s="93">
        <v>1.25</v>
      </c>
      <c r="D13" s="12">
        <v>609</v>
      </c>
      <c r="E13" s="93">
        <v>1.25</v>
      </c>
      <c r="F13" s="13">
        <v>113</v>
      </c>
      <c r="G13" s="13">
        <v>109</v>
      </c>
      <c r="H13" s="13">
        <v>135</v>
      </c>
      <c r="I13" s="13">
        <v>121</v>
      </c>
      <c r="J13" s="13">
        <v>144</v>
      </c>
      <c r="K13" s="13">
        <v>143</v>
      </c>
      <c r="L13" s="14">
        <f t="shared" si="2"/>
        <v>127.5</v>
      </c>
      <c r="M13" s="14">
        <f t="shared" si="0"/>
        <v>1275000</v>
      </c>
      <c r="N13" s="15"/>
      <c r="O13" s="51"/>
      <c r="P13" s="49">
        <f>25*3.78541*1000</f>
        <v>94635.25</v>
      </c>
      <c r="Q13" s="14">
        <v>100000</v>
      </c>
      <c r="R13" s="14">
        <f t="shared" si="3"/>
        <v>8054.0638297872338</v>
      </c>
      <c r="S13" s="16">
        <f t="shared" si="1"/>
        <v>100000</v>
      </c>
      <c r="T13" s="95" t="s">
        <v>132</v>
      </c>
    </row>
    <row r="14" spans="1:20">
      <c r="A14" s="11">
        <v>43200</v>
      </c>
      <c r="B14" s="12" t="s">
        <v>41</v>
      </c>
      <c r="C14" s="42">
        <v>1.55</v>
      </c>
      <c r="D14" s="12">
        <v>609</v>
      </c>
      <c r="E14" s="42">
        <v>1.55</v>
      </c>
      <c r="F14" s="13">
        <v>182</v>
      </c>
      <c r="G14" s="13">
        <v>214</v>
      </c>
      <c r="H14" s="13">
        <v>165</v>
      </c>
      <c r="I14" s="13">
        <v>210</v>
      </c>
      <c r="J14" s="13">
        <v>194</v>
      </c>
      <c r="K14" s="13">
        <v>164</v>
      </c>
      <c r="L14" s="14">
        <f t="shared" si="2"/>
        <v>188.16666666666666</v>
      </c>
      <c r="M14" s="14">
        <f t="shared" si="0"/>
        <v>1881666.6666666667</v>
      </c>
      <c r="N14" s="15"/>
      <c r="O14" s="51"/>
      <c r="P14" s="49">
        <f>25*3.78541*1000</f>
        <v>94635.25</v>
      </c>
      <c r="Q14" s="14">
        <v>100000</v>
      </c>
      <c r="R14" s="14">
        <f t="shared" si="3"/>
        <v>5311.6136576239478</v>
      </c>
      <c r="S14" s="16">
        <f t="shared" si="1"/>
        <v>100000</v>
      </c>
      <c r="T14" s="94"/>
    </row>
    <row r="15" spans="1:20">
      <c r="A15" s="11">
        <v>43200</v>
      </c>
      <c r="B15" s="12" t="s">
        <v>142</v>
      </c>
      <c r="C15" s="42"/>
      <c r="D15" s="12"/>
      <c r="E15" s="42"/>
      <c r="F15" s="13">
        <v>182</v>
      </c>
      <c r="G15" s="13">
        <v>214</v>
      </c>
      <c r="H15" s="13">
        <v>165</v>
      </c>
      <c r="I15" s="13">
        <v>210</v>
      </c>
      <c r="J15" s="13">
        <v>194</v>
      </c>
      <c r="K15" s="13">
        <v>164</v>
      </c>
      <c r="L15" s="14">
        <f>AVERAGE(F15:K15)</f>
        <v>188.16666666666666</v>
      </c>
      <c r="M15" s="14">
        <f>(L15*9)/0.0009</f>
        <v>1881666.6666666667</v>
      </c>
      <c r="N15" s="15"/>
      <c r="O15" s="51"/>
      <c r="P15" s="49">
        <v>6000</v>
      </c>
      <c r="Q15" s="14">
        <v>100000</v>
      </c>
      <c r="R15" s="14">
        <f>(Q15*P15)/(M15-Q15)</f>
        <v>336.76333021515433</v>
      </c>
      <c r="S15" s="16">
        <f>(M15*R15)/(P15+R15)</f>
        <v>99999.999999999985</v>
      </c>
      <c r="T15" s="94" t="s">
        <v>143</v>
      </c>
    </row>
    <row r="16" spans="1:20">
      <c r="A16" s="11">
        <v>43201</v>
      </c>
      <c r="B16" s="12" t="s">
        <v>41</v>
      </c>
      <c r="C16" s="42">
        <v>1</v>
      </c>
      <c r="D16" s="12">
        <v>609</v>
      </c>
      <c r="E16" s="42">
        <v>1</v>
      </c>
      <c r="F16" s="13">
        <v>189</v>
      </c>
      <c r="G16" s="13">
        <v>251</v>
      </c>
      <c r="H16" s="13">
        <v>216</v>
      </c>
      <c r="I16" s="13">
        <v>198</v>
      </c>
      <c r="J16" s="13">
        <v>163</v>
      </c>
      <c r="K16" s="13">
        <v>207</v>
      </c>
      <c r="L16" s="14">
        <f t="shared" si="2"/>
        <v>204</v>
      </c>
      <c r="M16" s="14">
        <f t="shared" si="0"/>
        <v>2040000</v>
      </c>
      <c r="N16" s="15"/>
      <c r="O16" s="51"/>
      <c r="P16" s="49">
        <f t="shared" ref="P16:P21" si="4">30*3.78541*1000</f>
        <v>113562.3</v>
      </c>
      <c r="Q16" s="14">
        <v>100000</v>
      </c>
      <c r="R16" s="14">
        <f t="shared" si="3"/>
        <v>5853.7268041237112</v>
      </c>
      <c r="S16" s="16">
        <f t="shared" si="1"/>
        <v>100000</v>
      </c>
    </row>
    <row r="17" spans="1:20">
      <c r="A17" s="11">
        <v>43202</v>
      </c>
      <c r="B17" s="12" t="s">
        <v>41</v>
      </c>
      <c r="C17" s="42">
        <v>1.5</v>
      </c>
      <c r="D17" s="12">
        <v>609</v>
      </c>
      <c r="E17" s="42">
        <v>2</v>
      </c>
      <c r="F17" s="13">
        <v>200</v>
      </c>
      <c r="G17" s="13">
        <v>207</v>
      </c>
      <c r="H17" s="13">
        <v>228</v>
      </c>
      <c r="I17" s="13">
        <v>187</v>
      </c>
      <c r="J17" s="13">
        <v>224</v>
      </c>
      <c r="K17" s="13">
        <v>223</v>
      </c>
      <c r="L17" s="14">
        <f t="shared" si="2"/>
        <v>211.5</v>
      </c>
      <c r="M17" s="14">
        <f t="shared" si="0"/>
        <v>2115000</v>
      </c>
      <c r="N17" s="15"/>
      <c r="O17" s="51"/>
      <c r="P17" s="49">
        <f t="shared" si="4"/>
        <v>113562.3</v>
      </c>
      <c r="Q17" s="14">
        <v>100000</v>
      </c>
      <c r="R17" s="14">
        <f t="shared" si="3"/>
        <v>5635.8461538461543</v>
      </c>
      <c r="S17" s="16">
        <f t="shared" si="1"/>
        <v>100000.00000000001</v>
      </c>
    </row>
    <row r="18" spans="1:20">
      <c r="A18" s="11">
        <v>43203</v>
      </c>
      <c r="B18" s="12" t="s">
        <v>41</v>
      </c>
      <c r="C18" s="42">
        <v>1</v>
      </c>
      <c r="D18" s="12">
        <v>609</v>
      </c>
      <c r="E18" s="42">
        <v>1</v>
      </c>
      <c r="F18" s="13">
        <v>178</v>
      </c>
      <c r="G18" s="13">
        <v>198</v>
      </c>
      <c r="H18" s="13">
        <v>207</v>
      </c>
      <c r="I18" s="13">
        <v>183</v>
      </c>
      <c r="J18" s="13">
        <v>213</v>
      </c>
      <c r="K18" s="13">
        <v>203</v>
      </c>
      <c r="L18" s="14">
        <f>AVERAGE(F18:K18)</f>
        <v>197</v>
      </c>
      <c r="M18" s="14">
        <f t="shared" si="0"/>
        <v>1970000</v>
      </c>
      <c r="N18" s="15"/>
      <c r="O18" s="51"/>
      <c r="P18" s="49">
        <f t="shared" si="4"/>
        <v>113562.3</v>
      </c>
      <c r="Q18" s="14">
        <v>100000</v>
      </c>
      <c r="R18" s="14">
        <f t="shared" si="3"/>
        <v>6072.8502673796793</v>
      </c>
      <c r="S18" s="16">
        <f t="shared" si="1"/>
        <v>100000</v>
      </c>
    </row>
    <row r="19" spans="1:20">
      <c r="A19" s="11">
        <v>43204</v>
      </c>
      <c r="B19" s="12" t="s">
        <v>41</v>
      </c>
      <c r="C19" s="42">
        <v>1.5</v>
      </c>
      <c r="D19" s="12">
        <v>609</v>
      </c>
      <c r="E19" s="42">
        <v>1.5</v>
      </c>
      <c r="F19" s="13">
        <v>184</v>
      </c>
      <c r="G19" s="13">
        <v>206</v>
      </c>
      <c r="H19" s="13">
        <v>194</v>
      </c>
      <c r="I19" s="13">
        <v>189</v>
      </c>
      <c r="J19" s="13">
        <v>157</v>
      </c>
      <c r="K19" s="13">
        <v>199</v>
      </c>
      <c r="L19" s="14">
        <f t="shared" si="2"/>
        <v>188.16666666666666</v>
      </c>
      <c r="M19" s="14">
        <f t="shared" si="0"/>
        <v>1881666.6666666667</v>
      </c>
      <c r="N19" s="15"/>
      <c r="O19" s="51"/>
      <c r="P19" s="49">
        <f t="shared" si="4"/>
        <v>113562.3</v>
      </c>
      <c r="Q19" s="14">
        <v>100000</v>
      </c>
      <c r="R19" s="14">
        <f t="shared" si="3"/>
        <v>6373.9363891487365</v>
      </c>
      <c r="S19" s="16">
        <f t="shared" si="1"/>
        <v>100000</v>
      </c>
    </row>
    <row r="20" spans="1:20">
      <c r="A20" s="11">
        <v>43205</v>
      </c>
      <c r="B20" s="12" t="s">
        <v>41</v>
      </c>
      <c r="C20" s="42">
        <v>1.25</v>
      </c>
      <c r="D20" s="12">
        <v>609</v>
      </c>
      <c r="E20" s="42">
        <v>1.25</v>
      </c>
      <c r="F20" s="13">
        <v>187</v>
      </c>
      <c r="G20" s="13">
        <v>214</v>
      </c>
      <c r="H20" s="13">
        <v>192</v>
      </c>
      <c r="I20" s="13">
        <v>198</v>
      </c>
      <c r="J20" s="13">
        <v>210</v>
      </c>
      <c r="K20" s="13">
        <v>194</v>
      </c>
      <c r="L20" s="14">
        <f t="shared" si="2"/>
        <v>199.16666666666666</v>
      </c>
      <c r="M20" s="14">
        <f t="shared" si="0"/>
        <v>1991666.6666666667</v>
      </c>
      <c r="N20" s="15"/>
      <c r="O20" s="51"/>
      <c r="P20" s="49">
        <f t="shared" si="4"/>
        <v>113562.3</v>
      </c>
      <c r="Q20" s="14">
        <v>100000</v>
      </c>
      <c r="R20" s="14">
        <f t="shared" si="3"/>
        <v>6003.2933920704845</v>
      </c>
      <c r="S20" s="16">
        <f t="shared" si="1"/>
        <v>100000</v>
      </c>
    </row>
    <row r="21" spans="1:20">
      <c r="A21" s="11">
        <v>43206</v>
      </c>
      <c r="B21" s="12" t="s">
        <v>41</v>
      </c>
      <c r="C21" s="42">
        <v>1</v>
      </c>
      <c r="D21" s="12">
        <v>609</v>
      </c>
      <c r="E21" s="42">
        <v>1</v>
      </c>
      <c r="F21" s="13">
        <v>178</v>
      </c>
      <c r="G21" s="13">
        <v>175</v>
      </c>
      <c r="H21" s="13">
        <v>164</v>
      </c>
      <c r="I21" s="13">
        <v>172</v>
      </c>
      <c r="J21" s="13">
        <v>174</v>
      </c>
      <c r="K21" s="13">
        <v>170</v>
      </c>
      <c r="L21" s="14">
        <f t="shared" si="2"/>
        <v>172.16666666666666</v>
      </c>
      <c r="M21" s="14">
        <f t="shared" si="0"/>
        <v>1721666.6666666667</v>
      </c>
      <c r="N21" s="15"/>
      <c r="O21" s="51"/>
      <c r="P21" s="49">
        <f t="shared" si="4"/>
        <v>113562.3</v>
      </c>
      <c r="Q21" s="14">
        <v>100000</v>
      </c>
      <c r="R21" s="14">
        <f t="shared" si="3"/>
        <v>7002.8139773895164</v>
      </c>
      <c r="S21" s="16">
        <f t="shared" si="1"/>
        <v>99999.999999999985</v>
      </c>
    </row>
    <row r="22" spans="1:20">
      <c r="A22" s="11">
        <v>43206</v>
      </c>
      <c r="B22" s="12" t="s">
        <v>142</v>
      </c>
      <c r="C22" s="42"/>
      <c r="D22" s="12"/>
      <c r="E22" s="42"/>
      <c r="F22" s="13">
        <v>178</v>
      </c>
      <c r="G22" s="13">
        <v>175</v>
      </c>
      <c r="H22" s="13">
        <v>164</v>
      </c>
      <c r="I22" s="13">
        <v>172</v>
      </c>
      <c r="J22" s="13">
        <v>174</v>
      </c>
      <c r="K22" s="13">
        <v>170</v>
      </c>
      <c r="L22" s="14">
        <f>AVERAGE(F22:K22)</f>
        <v>172.16666666666666</v>
      </c>
      <c r="M22" s="14">
        <f>(L22*9)/0.0009</f>
        <v>1721666.6666666667</v>
      </c>
      <c r="N22" s="15"/>
      <c r="O22" s="51"/>
      <c r="P22" s="49">
        <v>5</v>
      </c>
      <c r="Q22" s="14">
        <v>100000</v>
      </c>
      <c r="R22" s="93">
        <f>(Q22*P22)/(M22-Q22)</f>
        <v>0.3083247687564234</v>
      </c>
      <c r="S22" s="16"/>
    </row>
    <row r="23" spans="1:20">
      <c r="A23" s="11">
        <v>43207</v>
      </c>
      <c r="B23" s="12" t="s">
        <v>41</v>
      </c>
      <c r="C23" s="42">
        <v>1</v>
      </c>
      <c r="D23" s="12">
        <v>609</v>
      </c>
      <c r="E23" s="42">
        <v>1</v>
      </c>
      <c r="F23" s="13">
        <v>280</v>
      </c>
      <c r="G23" s="13">
        <v>287</v>
      </c>
      <c r="H23" s="13">
        <v>258</v>
      </c>
      <c r="I23" s="13">
        <v>288</v>
      </c>
      <c r="J23" s="13">
        <v>315</v>
      </c>
      <c r="K23" s="13">
        <v>303</v>
      </c>
      <c r="L23" s="14">
        <f>AVERAGE(F23:K23)</f>
        <v>288.5</v>
      </c>
      <c r="M23" s="14">
        <f>(L23*9)/0.0009</f>
        <v>2885000</v>
      </c>
      <c r="N23" s="15"/>
      <c r="O23" s="51"/>
      <c r="P23" s="49">
        <f>30*3.78541*1000</f>
        <v>113562.3</v>
      </c>
      <c r="Q23" s="14">
        <v>100000</v>
      </c>
      <c r="R23" s="143">
        <f>(Q23*P23)/(M23-Q23)</f>
        <v>4077.6409335727108</v>
      </c>
      <c r="S23" s="16">
        <f t="shared" si="1"/>
        <v>100000</v>
      </c>
    </row>
    <row r="24" spans="1:20">
      <c r="A24" s="11">
        <v>43208</v>
      </c>
      <c r="B24" s="12" t="s">
        <v>41</v>
      </c>
      <c r="C24" s="42">
        <v>2</v>
      </c>
      <c r="D24" s="12">
        <v>609</v>
      </c>
      <c r="E24" s="42">
        <v>2</v>
      </c>
      <c r="F24" s="13">
        <v>123</v>
      </c>
      <c r="G24" s="13">
        <v>120</v>
      </c>
      <c r="H24" s="13">
        <v>113</v>
      </c>
      <c r="I24" s="13">
        <v>130</v>
      </c>
      <c r="J24" s="13">
        <v>118</v>
      </c>
      <c r="K24" s="13">
        <v>111</v>
      </c>
      <c r="L24" s="14">
        <f t="shared" si="2"/>
        <v>119.16666666666667</v>
      </c>
      <c r="M24" s="14">
        <f t="shared" si="0"/>
        <v>1191666.6666666667</v>
      </c>
      <c r="N24" s="15"/>
      <c r="O24" s="51"/>
      <c r="P24" s="49">
        <f>30*3.78541*1000</f>
        <v>113562.3</v>
      </c>
      <c r="Q24" s="14">
        <v>100000</v>
      </c>
      <c r="R24" s="14">
        <f t="shared" si="3"/>
        <v>10402.653435114504</v>
      </c>
      <c r="S24" s="16">
        <f t="shared" si="1"/>
        <v>100000</v>
      </c>
      <c r="T24" t="s">
        <v>170</v>
      </c>
    </row>
    <row r="25" spans="1:20">
      <c r="A25" s="11">
        <v>43209</v>
      </c>
      <c r="B25" s="12" t="s">
        <v>41</v>
      </c>
      <c r="C25" s="42">
        <v>1</v>
      </c>
      <c r="D25" s="12">
        <v>609</v>
      </c>
      <c r="E25" s="42">
        <v>1</v>
      </c>
      <c r="F25" s="13">
        <v>149</v>
      </c>
      <c r="G25" s="13">
        <v>128</v>
      </c>
      <c r="H25" s="13">
        <v>124</v>
      </c>
      <c r="I25" s="13">
        <v>157</v>
      </c>
      <c r="J25" s="13">
        <v>158</v>
      </c>
      <c r="K25" s="13">
        <v>150</v>
      </c>
      <c r="L25" s="14">
        <f t="shared" si="2"/>
        <v>144.33333333333334</v>
      </c>
      <c r="M25" s="14">
        <f t="shared" si="0"/>
        <v>1443333.3333333335</v>
      </c>
      <c r="N25" s="15"/>
      <c r="O25" s="51"/>
      <c r="P25" s="49">
        <f>30*3.78541*1000</f>
        <v>113562.3</v>
      </c>
      <c r="Q25" s="14">
        <v>100000</v>
      </c>
      <c r="R25" s="14">
        <f>(Q25*P25)/(M25-Q25)</f>
        <v>8453.7692307692305</v>
      </c>
      <c r="S25" s="16">
        <f>(M25*R25)/(P25+R25)</f>
        <v>100000</v>
      </c>
    </row>
    <row r="26" spans="1:20">
      <c r="A26" s="11">
        <v>43209</v>
      </c>
      <c r="B26" s="147" t="s">
        <v>182</v>
      </c>
      <c r="C26" s="42">
        <v>0.1</v>
      </c>
      <c r="D26" s="12" t="s">
        <v>183</v>
      </c>
      <c r="E26" s="42">
        <v>90</v>
      </c>
      <c r="F26" s="12" t="s">
        <v>174</v>
      </c>
      <c r="G26" s="13"/>
      <c r="H26" s="13"/>
      <c r="I26" s="13"/>
      <c r="J26" s="13"/>
      <c r="K26" s="13"/>
      <c r="L26" s="14"/>
      <c r="M26" s="14">
        <f>2000000000*(1/10)</f>
        <v>200000000</v>
      </c>
      <c r="N26" s="15"/>
      <c r="O26" s="51"/>
      <c r="P26" s="49">
        <v>10</v>
      </c>
      <c r="Q26" s="14">
        <v>50000</v>
      </c>
      <c r="R26" s="146">
        <f>(Q26*P26)/(M26-Q26)</f>
        <v>2.5006251562890722E-3</v>
      </c>
      <c r="S26" s="16">
        <f>(M26*R26)/(P26+R26)</f>
        <v>50000</v>
      </c>
      <c r="T26" t="s">
        <v>177</v>
      </c>
    </row>
    <row r="27" spans="1:20">
      <c r="A27" s="11">
        <v>43210</v>
      </c>
      <c r="B27" s="12" t="s">
        <v>41</v>
      </c>
      <c r="C27" s="42">
        <v>1</v>
      </c>
      <c r="D27" s="12">
        <v>609</v>
      </c>
      <c r="E27" s="42">
        <v>1</v>
      </c>
      <c r="F27" s="13">
        <v>185</v>
      </c>
      <c r="G27" s="13">
        <v>175</v>
      </c>
      <c r="H27" s="13">
        <v>152</v>
      </c>
      <c r="I27" s="13">
        <v>150</v>
      </c>
      <c r="J27" s="13">
        <v>156</v>
      </c>
      <c r="K27" s="13">
        <v>169</v>
      </c>
      <c r="L27" s="14">
        <f t="shared" si="2"/>
        <v>164.5</v>
      </c>
      <c r="M27" s="14">
        <f t="shared" si="0"/>
        <v>1645000</v>
      </c>
      <c r="N27" s="15"/>
      <c r="O27" s="51"/>
      <c r="P27" s="49">
        <f t="shared" ref="P27:P35" si="5">30*3.78541*1000</f>
        <v>113562.3</v>
      </c>
      <c r="Q27" s="14">
        <v>100000</v>
      </c>
      <c r="R27" s="14">
        <f t="shared" si="3"/>
        <v>7350.3106796116508</v>
      </c>
      <c r="S27" s="16">
        <f t="shared" si="1"/>
        <v>100000.00000000001</v>
      </c>
    </row>
    <row r="28" spans="1:20">
      <c r="A28" s="11">
        <v>43211</v>
      </c>
      <c r="B28" s="12" t="s">
        <v>41</v>
      </c>
      <c r="C28" s="42">
        <v>1</v>
      </c>
      <c r="D28" s="12">
        <v>609</v>
      </c>
      <c r="E28" s="42">
        <v>1</v>
      </c>
      <c r="F28" s="13">
        <v>145</v>
      </c>
      <c r="G28" s="13">
        <v>151</v>
      </c>
      <c r="H28" s="13">
        <v>170</v>
      </c>
      <c r="I28" s="13">
        <v>158</v>
      </c>
      <c r="J28" s="13">
        <v>154</v>
      </c>
      <c r="K28" s="13">
        <v>189</v>
      </c>
      <c r="L28" s="14">
        <f t="shared" si="2"/>
        <v>161.16666666666666</v>
      </c>
      <c r="M28" s="14">
        <f t="shared" si="0"/>
        <v>1611666.6666666667</v>
      </c>
      <c r="N28" s="15"/>
      <c r="O28" s="51"/>
      <c r="P28" s="49">
        <f t="shared" si="5"/>
        <v>113562.3</v>
      </c>
      <c r="Q28" s="14">
        <v>100000</v>
      </c>
      <c r="R28" s="14">
        <f t="shared" si="3"/>
        <v>7512.3902976846748</v>
      </c>
      <c r="S28" s="16">
        <f t="shared" si="1"/>
        <v>100000.00000000001</v>
      </c>
    </row>
    <row r="29" spans="1:20">
      <c r="A29" s="11">
        <v>43212</v>
      </c>
      <c r="B29" s="12" t="s">
        <v>41</v>
      </c>
      <c r="C29" s="42">
        <v>1</v>
      </c>
      <c r="D29" s="12">
        <v>609</v>
      </c>
      <c r="E29" s="42">
        <v>1</v>
      </c>
      <c r="F29" s="13">
        <v>144</v>
      </c>
      <c r="G29" s="13">
        <v>145</v>
      </c>
      <c r="H29" s="13">
        <v>110</v>
      </c>
      <c r="I29" s="13">
        <v>147</v>
      </c>
      <c r="J29" s="13">
        <v>115</v>
      </c>
      <c r="K29" s="13">
        <v>145</v>
      </c>
      <c r="L29" s="14">
        <f t="shared" si="2"/>
        <v>134.33333333333334</v>
      </c>
      <c r="M29" s="14">
        <f t="shared" si="0"/>
        <v>1343333.3333333333</v>
      </c>
      <c r="N29" s="15"/>
      <c r="O29" s="51"/>
      <c r="P29" s="49">
        <f t="shared" si="5"/>
        <v>113562.3</v>
      </c>
      <c r="Q29" s="14">
        <v>100000</v>
      </c>
      <c r="R29" s="14">
        <f t="shared" si="3"/>
        <v>9133.6970509383391</v>
      </c>
      <c r="S29" s="16">
        <f t="shared" si="1"/>
        <v>100000</v>
      </c>
    </row>
    <row r="30" spans="1:20">
      <c r="A30" s="11">
        <v>43213</v>
      </c>
      <c r="B30" s="12" t="s">
        <v>41</v>
      </c>
      <c r="C30" s="42">
        <v>1</v>
      </c>
      <c r="D30" s="12">
        <v>609</v>
      </c>
      <c r="E30" s="42">
        <v>1</v>
      </c>
      <c r="F30" s="13">
        <v>160</v>
      </c>
      <c r="G30" s="13">
        <v>159</v>
      </c>
      <c r="H30" s="13">
        <v>146</v>
      </c>
      <c r="I30" s="13">
        <v>120</v>
      </c>
      <c r="J30" s="13">
        <v>148</v>
      </c>
      <c r="K30" s="13">
        <v>129</v>
      </c>
      <c r="L30" s="14">
        <f t="shared" si="2"/>
        <v>143.66666666666666</v>
      </c>
      <c r="M30" s="14">
        <f t="shared" si="0"/>
        <v>1436666.6666666667</v>
      </c>
      <c r="N30" s="15"/>
      <c r="O30" s="51"/>
      <c r="P30" s="49">
        <f t="shared" si="5"/>
        <v>113562.3</v>
      </c>
      <c r="Q30" s="14">
        <v>100000</v>
      </c>
      <c r="R30" s="14">
        <f t="shared" si="3"/>
        <v>8495.9326683291765</v>
      </c>
      <c r="S30" s="16">
        <f t="shared" si="1"/>
        <v>100000</v>
      </c>
    </row>
    <row r="31" spans="1:20">
      <c r="A31" s="11">
        <v>43214</v>
      </c>
      <c r="B31" s="12" t="s">
        <v>41</v>
      </c>
      <c r="C31" s="42">
        <v>1</v>
      </c>
      <c r="D31" s="12">
        <v>609</v>
      </c>
      <c r="E31" s="42">
        <v>1</v>
      </c>
      <c r="F31" s="13">
        <v>258</v>
      </c>
      <c r="G31" s="13">
        <v>224</v>
      </c>
      <c r="H31" s="13">
        <v>259</v>
      </c>
      <c r="I31" s="13">
        <v>269</v>
      </c>
      <c r="J31" s="13">
        <v>281</v>
      </c>
      <c r="K31" s="13">
        <v>251</v>
      </c>
      <c r="L31" s="14">
        <f t="shared" si="2"/>
        <v>257</v>
      </c>
      <c r="M31" s="14">
        <f t="shared" si="0"/>
        <v>2570000</v>
      </c>
      <c r="N31" s="15"/>
      <c r="O31" s="51"/>
      <c r="P31" s="49">
        <f t="shared" si="5"/>
        <v>113562.3</v>
      </c>
      <c r="Q31" s="14">
        <v>100000</v>
      </c>
      <c r="R31" s="14">
        <f t="shared" si="3"/>
        <v>4597.6639676113364</v>
      </c>
      <c r="S31" s="16">
        <f t="shared" si="1"/>
        <v>100000</v>
      </c>
    </row>
    <row r="32" spans="1:20">
      <c r="A32" s="11">
        <v>43215</v>
      </c>
      <c r="B32" s="12" t="s">
        <v>41</v>
      </c>
      <c r="C32" s="42">
        <v>1</v>
      </c>
      <c r="D32" s="12">
        <v>609</v>
      </c>
      <c r="E32" s="42">
        <v>1</v>
      </c>
      <c r="F32" s="13">
        <v>172</v>
      </c>
      <c r="G32" s="13">
        <v>183</v>
      </c>
      <c r="H32" s="13">
        <v>204</v>
      </c>
      <c r="I32" s="13">
        <v>163</v>
      </c>
      <c r="J32" s="13">
        <v>195</v>
      </c>
      <c r="K32" s="13">
        <v>225</v>
      </c>
      <c r="L32" s="14">
        <f t="shared" si="2"/>
        <v>190.33333333333334</v>
      </c>
      <c r="M32" s="14">
        <f t="shared" si="0"/>
        <v>1903333.3333333335</v>
      </c>
      <c r="N32" s="15"/>
      <c r="O32" s="51"/>
      <c r="P32" s="49">
        <f t="shared" si="5"/>
        <v>113562.3</v>
      </c>
      <c r="Q32" s="14">
        <v>100000</v>
      </c>
      <c r="R32" s="14">
        <f t="shared" si="3"/>
        <v>6297.3548983364135</v>
      </c>
      <c r="S32" s="16">
        <f t="shared" si="1"/>
        <v>100000</v>
      </c>
    </row>
    <row r="33" spans="1:19">
      <c r="A33" s="11">
        <v>43216</v>
      </c>
      <c r="B33" s="12" t="s">
        <v>41</v>
      </c>
      <c r="C33" s="42">
        <v>1</v>
      </c>
      <c r="D33" s="12">
        <v>609</v>
      </c>
      <c r="E33" s="42">
        <v>1</v>
      </c>
      <c r="F33" s="13">
        <v>161</v>
      </c>
      <c r="G33" s="13">
        <v>174</v>
      </c>
      <c r="H33" s="13">
        <v>167</v>
      </c>
      <c r="I33" s="13">
        <v>200</v>
      </c>
      <c r="J33" s="13">
        <v>164</v>
      </c>
      <c r="K33" s="13">
        <v>212</v>
      </c>
      <c r="L33" s="14">
        <f t="shared" si="2"/>
        <v>179.66666666666666</v>
      </c>
      <c r="M33" s="14">
        <f t="shared" si="0"/>
        <v>1796666.6666666667</v>
      </c>
      <c r="N33" s="15"/>
      <c r="O33" s="51"/>
      <c r="P33" s="49">
        <f t="shared" si="5"/>
        <v>113562.3</v>
      </c>
      <c r="Q33" s="14">
        <v>100000</v>
      </c>
      <c r="R33" s="14">
        <f t="shared" si="3"/>
        <v>6693.2593320235756</v>
      </c>
      <c r="S33" s="16">
        <f t="shared" si="1"/>
        <v>100000</v>
      </c>
    </row>
    <row r="34" spans="1:19">
      <c r="A34" s="11">
        <v>43217</v>
      </c>
      <c r="B34" s="12" t="s">
        <v>41</v>
      </c>
      <c r="C34" s="42">
        <v>1</v>
      </c>
      <c r="D34" s="12">
        <v>609</v>
      </c>
      <c r="E34" s="42">
        <v>1</v>
      </c>
      <c r="F34" s="13">
        <v>412</v>
      </c>
      <c r="G34" s="13">
        <v>326</v>
      </c>
      <c r="H34" s="13">
        <v>362</v>
      </c>
      <c r="I34" s="13">
        <v>313</v>
      </c>
      <c r="J34" s="13">
        <v>342</v>
      </c>
      <c r="K34" s="13">
        <v>453</v>
      </c>
      <c r="L34" s="14">
        <f t="shared" si="2"/>
        <v>368</v>
      </c>
      <c r="M34" s="14">
        <f t="shared" si="0"/>
        <v>3680000</v>
      </c>
      <c r="N34" s="15"/>
      <c r="O34" s="51"/>
      <c r="P34" s="49">
        <f t="shared" si="5"/>
        <v>113562.3</v>
      </c>
      <c r="Q34" s="14">
        <v>100000</v>
      </c>
      <c r="R34" s="14">
        <f t="shared" si="3"/>
        <v>3172.1312849162009</v>
      </c>
      <c r="S34" s="16">
        <f t="shared" si="1"/>
        <v>99999.999999999985</v>
      </c>
    </row>
    <row r="35" spans="1:19">
      <c r="A35" s="11">
        <v>43218</v>
      </c>
      <c r="B35" s="12" t="s">
        <v>41</v>
      </c>
      <c r="C35" s="42">
        <v>1</v>
      </c>
      <c r="D35" s="12">
        <v>609</v>
      </c>
      <c r="E35" s="42">
        <v>1</v>
      </c>
      <c r="F35" s="13">
        <v>159</v>
      </c>
      <c r="G35" s="13">
        <v>139</v>
      </c>
      <c r="H35" s="13">
        <v>143</v>
      </c>
      <c r="I35" s="13">
        <v>158</v>
      </c>
      <c r="J35" s="13">
        <v>147</v>
      </c>
      <c r="K35" s="13">
        <v>134</v>
      </c>
      <c r="L35" s="14">
        <f t="shared" si="2"/>
        <v>146.66666666666666</v>
      </c>
      <c r="M35" s="14">
        <f t="shared" si="0"/>
        <v>1466666.6666666667</v>
      </c>
      <c r="N35" s="15"/>
      <c r="O35" s="51"/>
      <c r="P35" s="49">
        <f t="shared" si="5"/>
        <v>113562.3</v>
      </c>
      <c r="Q35" s="14">
        <v>100000</v>
      </c>
      <c r="R35" s="14">
        <f t="shared" si="3"/>
        <v>8309.4365853658528</v>
      </c>
      <c r="S35" s="16">
        <f t="shared" si="1"/>
        <v>100000</v>
      </c>
    </row>
    <row r="36" spans="1:19">
      <c r="A36" s="11">
        <v>43218</v>
      </c>
      <c r="B36" s="12" t="s">
        <v>142</v>
      </c>
      <c r="C36" s="42"/>
      <c r="D36" s="12"/>
      <c r="E36" s="42"/>
      <c r="F36" s="13">
        <v>159</v>
      </c>
      <c r="G36" s="13">
        <v>139</v>
      </c>
      <c r="H36" s="13">
        <v>143</v>
      </c>
      <c r="I36" s="13">
        <v>158</v>
      </c>
      <c r="J36" s="13">
        <v>147</v>
      </c>
      <c r="K36" s="13">
        <v>134</v>
      </c>
      <c r="L36" s="14">
        <f t="shared" si="2"/>
        <v>146.66666666666666</v>
      </c>
      <c r="M36" s="14">
        <f t="shared" si="0"/>
        <v>1466666.6666666667</v>
      </c>
      <c r="N36" s="15"/>
      <c r="O36" s="51"/>
      <c r="P36" s="49">
        <f>12*1000</f>
        <v>12000</v>
      </c>
      <c r="Q36" s="14">
        <v>100000</v>
      </c>
      <c r="R36" s="14">
        <f t="shared" si="3"/>
        <v>878.04878048780483</v>
      </c>
      <c r="S36" s="16">
        <f t="shared" si="1"/>
        <v>100000</v>
      </c>
    </row>
    <row r="37" spans="1:19">
      <c r="A37" s="11">
        <v>43219</v>
      </c>
      <c r="B37" s="12" t="s">
        <v>41</v>
      </c>
      <c r="C37" s="42">
        <v>1</v>
      </c>
      <c r="D37" s="12">
        <v>609</v>
      </c>
      <c r="E37" s="42">
        <v>1</v>
      </c>
      <c r="F37" s="13">
        <v>165</v>
      </c>
      <c r="G37" s="13">
        <v>168</v>
      </c>
      <c r="H37" s="13">
        <v>153</v>
      </c>
      <c r="I37" s="13">
        <v>161</v>
      </c>
      <c r="J37" s="13">
        <v>183</v>
      </c>
      <c r="K37" s="13">
        <v>154</v>
      </c>
      <c r="L37" s="14">
        <f>AVERAGE(F37:K37)</f>
        <v>164</v>
      </c>
      <c r="M37" s="14">
        <f t="shared" si="0"/>
        <v>1640000</v>
      </c>
      <c r="N37" s="15"/>
      <c r="O37" s="51"/>
      <c r="P37" s="49">
        <f>30*3.78541*1000</f>
        <v>113562.3</v>
      </c>
      <c r="Q37" s="14">
        <v>100000</v>
      </c>
      <c r="R37" s="14">
        <f>(Q37*P37)/(M37-Q37)</f>
        <v>7374.1753246753251</v>
      </c>
      <c r="S37" s="16">
        <f>(M37*R37)/(P37+R37)</f>
        <v>100000</v>
      </c>
    </row>
    <row r="38" spans="1:19">
      <c r="A38" s="11">
        <v>43220</v>
      </c>
      <c r="B38" s="12" t="s">
        <v>41</v>
      </c>
      <c r="C38" s="42">
        <v>2</v>
      </c>
      <c r="D38" s="12" t="s">
        <v>20</v>
      </c>
      <c r="E38" s="42">
        <v>0</v>
      </c>
      <c r="F38" s="13">
        <v>196</v>
      </c>
      <c r="G38" s="13">
        <v>210</v>
      </c>
      <c r="H38" s="13">
        <v>189</v>
      </c>
      <c r="I38" s="13">
        <v>178</v>
      </c>
      <c r="J38" s="13">
        <v>192</v>
      </c>
      <c r="K38" s="13">
        <v>209</v>
      </c>
      <c r="L38" s="14">
        <f t="shared" si="2"/>
        <v>195.66666666666666</v>
      </c>
      <c r="M38" s="14">
        <f t="shared" si="0"/>
        <v>1956666.6666666667</v>
      </c>
      <c r="N38" s="15"/>
      <c r="O38" s="51"/>
      <c r="P38" s="49">
        <f>(30*3.78541*1000)+12000</f>
        <v>125562.3</v>
      </c>
      <c r="Q38" s="14">
        <v>100000</v>
      </c>
      <c r="R38" s="14">
        <f t="shared" si="3"/>
        <v>6762.7809694793532</v>
      </c>
      <c r="S38" s="16">
        <f t="shared" si="1"/>
        <v>100000</v>
      </c>
    </row>
    <row r="39" spans="1:19">
      <c r="A39" s="11">
        <v>43221</v>
      </c>
      <c r="B39" s="12" t="s">
        <v>20</v>
      </c>
      <c r="C39" s="42"/>
      <c r="D39" s="12"/>
      <c r="E39" s="42"/>
      <c r="F39" s="13"/>
      <c r="G39" s="13"/>
      <c r="H39" s="13"/>
      <c r="I39" s="13"/>
      <c r="J39" s="13"/>
      <c r="K39" s="13"/>
      <c r="L39" s="14" t="e">
        <f t="shared" si="2"/>
        <v>#DIV/0!</v>
      </c>
      <c r="M39" s="14" t="e">
        <f t="shared" si="0"/>
        <v>#DIV/0!</v>
      </c>
      <c r="N39" s="15"/>
      <c r="O39" s="51"/>
      <c r="P39" s="49"/>
      <c r="Q39" s="14">
        <v>100000</v>
      </c>
      <c r="R39" s="14" t="e">
        <f t="shared" si="3"/>
        <v>#DIV/0!</v>
      </c>
      <c r="S39" s="16" t="e">
        <f t="shared" si="1"/>
        <v>#DIV/0!</v>
      </c>
    </row>
    <row r="40" spans="1:19">
      <c r="A40" s="11">
        <v>43222</v>
      </c>
      <c r="B40" s="12" t="s">
        <v>41</v>
      </c>
      <c r="C40" s="42">
        <v>1.5</v>
      </c>
      <c r="D40" s="12">
        <v>609</v>
      </c>
      <c r="E40" s="42">
        <v>2.5</v>
      </c>
      <c r="F40" s="13">
        <v>109</v>
      </c>
      <c r="G40" s="13">
        <v>114</v>
      </c>
      <c r="H40" s="13">
        <v>106</v>
      </c>
      <c r="I40" s="13">
        <v>122</v>
      </c>
      <c r="J40" s="13">
        <v>116</v>
      </c>
      <c r="K40" s="13">
        <v>81</v>
      </c>
      <c r="L40" s="14">
        <f t="shared" si="2"/>
        <v>108</v>
      </c>
      <c r="M40" s="14">
        <f t="shared" si="0"/>
        <v>1080000</v>
      </c>
      <c r="N40" s="15"/>
      <c r="O40" s="51"/>
      <c r="P40" s="49">
        <f>(30*3.78541*1000)+4000</f>
        <v>117562.3</v>
      </c>
      <c r="Q40" s="14">
        <v>100000</v>
      </c>
      <c r="R40" s="14">
        <f t="shared" si="3"/>
        <v>11996.15306122449</v>
      </c>
      <c r="S40" s="16">
        <f t="shared" si="1"/>
        <v>100000</v>
      </c>
    </row>
    <row r="41" spans="1:19">
      <c r="A41" s="11">
        <v>43223</v>
      </c>
      <c r="B41" s="12" t="s">
        <v>41</v>
      </c>
      <c r="C41" s="42">
        <v>0.5</v>
      </c>
      <c r="D41" s="12">
        <v>609</v>
      </c>
      <c r="E41" s="42">
        <v>0.5</v>
      </c>
      <c r="F41" s="13">
        <v>73</v>
      </c>
      <c r="G41" s="13">
        <v>92</v>
      </c>
      <c r="H41" s="13">
        <v>74</v>
      </c>
      <c r="I41" s="13">
        <v>76</v>
      </c>
      <c r="J41" s="13">
        <v>68</v>
      </c>
      <c r="K41" s="13">
        <v>77</v>
      </c>
      <c r="L41" s="14">
        <f t="shared" si="2"/>
        <v>76.666666666666671</v>
      </c>
      <c r="M41" s="14">
        <f t="shared" si="0"/>
        <v>766666.66666666674</v>
      </c>
      <c r="N41" s="15"/>
      <c r="O41" s="51"/>
      <c r="P41" s="49">
        <f>10*3.78541*1000</f>
        <v>37854.100000000006</v>
      </c>
      <c r="Q41" s="14">
        <v>100000</v>
      </c>
      <c r="R41" s="14">
        <f t="shared" si="3"/>
        <v>5678.1149999999998</v>
      </c>
      <c r="S41" s="16">
        <f t="shared" si="1"/>
        <v>99999.999999999985</v>
      </c>
    </row>
    <row r="42" spans="1:19">
      <c r="A42" s="11">
        <v>43224</v>
      </c>
      <c r="B42" s="12" t="s">
        <v>41</v>
      </c>
      <c r="C42" s="42"/>
      <c r="D42" s="12">
        <v>609</v>
      </c>
      <c r="E42" s="42"/>
      <c r="F42" s="13">
        <v>236</v>
      </c>
      <c r="G42" s="13">
        <v>246</v>
      </c>
      <c r="H42" s="13">
        <v>249</v>
      </c>
      <c r="I42" s="13">
        <v>243</v>
      </c>
      <c r="J42" s="13">
        <v>219</v>
      </c>
      <c r="K42" s="13">
        <v>250</v>
      </c>
      <c r="L42" s="14">
        <f t="shared" si="2"/>
        <v>240.5</v>
      </c>
      <c r="M42" s="14">
        <f t="shared" si="0"/>
        <v>2405000</v>
      </c>
      <c r="N42" s="15"/>
      <c r="O42" s="51"/>
      <c r="P42" s="49">
        <f>(30*3.78541*1000)+8000</f>
        <v>121562.3</v>
      </c>
      <c r="Q42" s="14">
        <v>100000</v>
      </c>
      <c r="R42" s="14">
        <f t="shared" si="3"/>
        <v>5273.8524945770068</v>
      </c>
      <c r="S42" s="16">
        <f t="shared" si="1"/>
        <v>100000</v>
      </c>
    </row>
    <row r="43" spans="1:19">
      <c r="A43" s="11">
        <v>43225</v>
      </c>
      <c r="B43" s="12" t="s">
        <v>41</v>
      </c>
      <c r="C43" s="42">
        <v>0.5</v>
      </c>
      <c r="D43" s="12">
        <v>609</v>
      </c>
      <c r="E43" s="42">
        <v>0.25</v>
      </c>
      <c r="F43" s="13">
        <v>60</v>
      </c>
      <c r="G43" s="13">
        <v>73</v>
      </c>
      <c r="H43" s="13">
        <v>65</v>
      </c>
      <c r="I43" s="13">
        <v>83</v>
      </c>
      <c r="J43" s="13">
        <v>84</v>
      </c>
      <c r="K43" s="13">
        <v>72</v>
      </c>
      <c r="L43" s="14">
        <f t="shared" si="2"/>
        <v>72.833333333333329</v>
      </c>
      <c r="M43" s="14">
        <f t="shared" si="0"/>
        <v>728333.33333333337</v>
      </c>
      <c r="N43" s="15"/>
      <c r="O43" s="51"/>
      <c r="P43" s="49">
        <f>(10*3.78541*1000)</f>
        <v>37854.100000000006</v>
      </c>
      <c r="Q43" s="14">
        <v>100000</v>
      </c>
      <c r="R43" s="14">
        <f t="shared" si="3"/>
        <v>6024.5251989389926</v>
      </c>
      <c r="S43" s="16">
        <f t="shared" si="1"/>
        <v>100000</v>
      </c>
    </row>
    <row r="44" spans="1:19">
      <c r="A44" s="11">
        <v>43226</v>
      </c>
      <c r="B44" s="12" t="s">
        <v>41</v>
      </c>
      <c r="C44" s="42">
        <v>1</v>
      </c>
      <c r="D44" s="12">
        <v>609</v>
      </c>
      <c r="E44" s="42">
        <v>1</v>
      </c>
      <c r="F44" s="13">
        <v>186</v>
      </c>
      <c r="G44" s="13">
        <v>186</v>
      </c>
      <c r="H44" s="13">
        <v>153</v>
      </c>
      <c r="I44" s="13">
        <v>203</v>
      </c>
      <c r="J44" s="13">
        <v>168</v>
      </c>
      <c r="K44" s="13">
        <v>192</v>
      </c>
      <c r="L44" s="14">
        <f t="shared" si="2"/>
        <v>181.33333333333334</v>
      </c>
      <c r="M44" s="14">
        <f t="shared" si="0"/>
        <v>1813333.3333333335</v>
      </c>
      <c r="N44" s="15"/>
      <c r="O44" s="51"/>
      <c r="P44" s="49">
        <f>(30*3.78541*1000)+8000</f>
        <v>121562.3</v>
      </c>
      <c r="Q44" s="14">
        <v>100000</v>
      </c>
      <c r="R44" s="14">
        <f t="shared" si="3"/>
        <v>7095.0758754863809</v>
      </c>
      <c r="S44" s="16">
        <f t="shared" si="1"/>
        <v>100000.00000000001</v>
      </c>
    </row>
    <row r="45" spans="1:19">
      <c r="A45" s="11">
        <v>43227</v>
      </c>
      <c r="B45" s="12" t="s">
        <v>20</v>
      </c>
      <c r="C45" s="42"/>
      <c r="D45" s="12"/>
      <c r="E45" s="42"/>
      <c r="F45" s="13"/>
      <c r="G45" s="13"/>
      <c r="H45" s="13"/>
      <c r="I45" s="13"/>
      <c r="J45" s="13"/>
      <c r="K45" s="13"/>
      <c r="L45" s="14" t="e">
        <f t="shared" si="2"/>
        <v>#DIV/0!</v>
      </c>
      <c r="M45" s="14" t="e">
        <f t="shared" si="0"/>
        <v>#DIV/0!</v>
      </c>
      <c r="N45" s="15"/>
      <c r="O45" s="51"/>
      <c r="P45" s="49"/>
      <c r="Q45" s="14">
        <v>100000</v>
      </c>
      <c r="R45" s="14" t="e">
        <f t="shared" si="3"/>
        <v>#DIV/0!</v>
      </c>
      <c r="S45" s="16" t="e">
        <f t="shared" si="1"/>
        <v>#DIV/0!</v>
      </c>
    </row>
    <row r="46" spans="1:19">
      <c r="A46" s="11">
        <v>43228</v>
      </c>
      <c r="B46" s="12" t="s">
        <v>41</v>
      </c>
      <c r="C46" s="42">
        <v>2</v>
      </c>
      <c r="D46" s="12">
        <v>609</v>
      </c>
      <c r="E46" s="42">
        <v>2</v>
      </c>
      <c r="F46" s="13">
        <v>91</v>
      </c>
      <c r="G46" s="13">
        <v>88</v>
      </c>
      <c r="H46" s="13">
        <v>100</v>
      </c>
      <c r="I46" s="13">
        <v>97</v>
      </c>
      <c r="J46" s="13">
        <v>118</v>
      </c>
      <c r="K46" s="13">
        <v>107</v>
      </c>
      <c r="L46" s="14">
        <f t="shared" si="2"/>
        <v>100.16666666666667</v>
      </c>
      <c r="M46" s="14">
        <f t="shared" si="0"/>
        <v>1001666.6666666667</v>
      </c>
      <c r="N46" s="15"/>
      <c r="O46" s="51"/>
      <c r="P46" s="49">
        <f>(30*3.78541*1000)</f>
        <v>113562.3</v>
      </c>
      <c r="Q46" s="14">
        <v>100000</v>
      </c>
      <c r="R46" s="14">
        <f t="shared" si="3"/>
        <v>12594.709796672827</v>
      </c>
      <c r="S46" s="16">
        <f t="shared" si="1"/>
        <v>99999.999999999985</v>
      </c>
    </row>
    <row r="47" spans="1:19">
      <c r="A47" s="11">
        <v>43229</v>
      </c>
      <c r="B47" s="12" t="s">
        <v>230</v>
      </c>
      <c r="C47" s="42"/>
      <c r="D47" s="12">
        <v>609</v>
      </c>
      <c r="E47" s="42">
        <v>2</v>
      </c>
      <c r="F47" s="13">
        <v>199</v>
      </c>
      <c r="G47" s="13">
        <v>224</v>
      </c>
      <c r="H47" s="13">
        <v>199</v>
      </c>
      <c r="I47" s="13">
        <v>203</v>
      </c>
      <c r="J47" s="13">
        <v>250</v>
      </c>
      <c r="K47" s="13">
        <v>192</v>
      </c>
      <c r="L47" s="14">
        <f t="shared" si="2"/>
        <v>211.16666666666666</v>
      </c>
      <c r="M47" s="14">
        <f t="shared" si="0"/>
        <v>2111666.6666666665</v>
      </c>
      <c r="N47" s="15"/>
      <c r="O47" s="51"/>
      <c r="P47" s="49">
        <f>(30*3.78541*1000)+7000</f>
        <v>120562.3</v>
      </c>
      <c r="Q47" s="14">
        <v>100000</v>
      </c>
      <c r="R47" s="14">
        <f t="shared" si="3"/>
        <v>5993.1549295774648</v>
      </c>
      <c r="S47" s="16">
        <f t="shared" si="1"/>
        <v>100000</v>
      </c>
    </row>
    <row r="48" spans="1:19">
      <c r="A48" s="11">
        <v>43233</v>
      </c>
      <c r="B48" s="12" t="s">
        <v>41</v>
      </c>
      <c r="C48" s="42">
        <v>1</v>
      </c>
      <c r="D48" s="12">
        <v>609</v>
      </c>
      <c r="E48" s="42">
        <v>1</v>
      </c>
      <c r="F48" s="13">
        <v>179</v>
      </c>
      <c r="G48" s="13">
        <v>131</v>
      </c>
      <c r="H48" s="13">
        <v>165</v>
      </c>
      <c r="I48" s="13">
        <v>131</v>
      </c>
      <c r="J48" s="13">
        <v>129</v>
      </c>
      <c r="K48" s="13">
        <v>121</v>
      </c>
      <c r="L48" s="14">
        <f t="shared" ref="L48:L56" si="6">AVERAGE(F48:K48)</f>
        <v>142.66666666666666</v>
      </c>
      <c r="M48" s="14">
        <f t="shared" si="0"/>
        <v>1426666.6666666667</v>
      </c>
      <c r="N48" s="15"/>
      <c r="O48" s="51"/>
      <c r="P48" s="49">
        <f>(30*3.78541*1000)+4000</f>
        <v>117562.3</v>
      </c>
      <c r="Q48" s="14">
        <v>100000</v>
      </c>
      <c r="R48" s="14">
        <f t="shared" si="3"/>
        <v>8861.4798994974863</v>
      </c>
      <c r="S48" s="16">
        <f t="shared" si="1"/>
        <v>99999.999999999985</v>
      </c>
    </row>
    <row r="49" spans="1:18">
      <c r="A49" s="11">
        <v>43235</v>
      </c>
      <c r="B49" s="147" t="s">
        <v>41</v>
      </c>
      <c r="C49" s="3">
        <v>1</v>
      </c>
      <c r="D49" s="147">
        <v>609</v>
      </c>
      <c r="E49" s="3">
        <v>1</v>
      </c>
      <c r="F49" s="189">
        <v>354</v>
      </c>
      <c r="G49" s="189">
        <v>348</v>
      </c>
      <c r="H49" s="189">
        <v>334</v>
      </c>
      <c r="I49" s="189">
        <v>420</v>
      </c>
      <c r="J49" s="189">
        <v>369</v>
      </c>
      <c r="K49" s="189">
        <v>252</v>
      </c>
      <c r="L49" s="190">
        <f t="shared" si="6"/>
        <v>346.16666666666669</v>
      </c>
      <c r="M49" s="190">
        <f t="shared" si="0"/>
        <v>3461666.666666667</v>
      </c>
      <c r="P49" s="50">
        <f>(50*3.78541*1000)</f>
        <v>189270.5</v>
      </c>
      <c r="Q49" s="14">
        <v>100000</v>
      </c>
      <c r="R49" s="14">
        <f t="shared" si="3"/>
        <v>5630.2578086266731</v>
      </c>
    </row>
    <row r="50" spans="1:18">
      <c r="A50" s="60">
        <v>43238</v>
      </c>
      <c r="B50" s="147" t="s">
        <v>41</v>
      </c>
      <c r="C50" s="3">
        <v>1</v>
      </c>
      <c r="D50" s="147">
        <v>609</v>
      </c>
      <c r="E50" s="3">
        <v>1</v>
      </c>
      <c r="F50" s="189">
        <v>367</v>
      </c>
      <c r="G50" s="189">
        <v>435</v>
      </c>
      <c r="H50" s="189">
        <v>501</v>
      </c>
      <c r="I50" s="189">
        <v>423</v>
      </c>
      <c r="J50" s="189">
        <v>444</v>
      </c>
      <c r="K50" s="189">
        <v>445</v>
      </c>
      <c r="L50" s="190">
        <f t="shared" si="6"/>
        <v>435.83333333333331</v>
      </c>
      <c r="M50" s="190">
        <f t="shared" si="0"/>
        <v>4358333.333333333</v>
      </c>
      <c r="P50" s="50">
        <f>(50*3.78541*1000)</f>
        <v>189270.5</v>
      </c>
      <c r="Q50" s="14">
        <v>100000</v>
      </c>
      <c r="R50" s="1">
        <f t="shared" si="3"/>
        <v>4444.708414872799</v>
      </c>
    </row>
    <row r="51" spans="1:18">
      <c r="A51" s="60">
        <v>43240</v>
      </c>
      <c r="B51" s="147" t="s">
        <v>41</v>
      </c>
      <c r="C51" s="3">
        <v>2</v>
      </c>
      <c r="D51" s="147">
        <v>609</v>
      </c>
      <c r="E51" s="3">
        <v>1</v>
      </c>
      <c r="F51" s="189">
        <v>146</v>
      </c>
      <c r="G51" s="189">
        <v>146</v>
      </c>
      <c r="H51" s="189">
        <v>162</v>
      </c>
      <c r="I51" s="189">
        <v>151</v>
      </c>
      <c r="J51" s="189">
        <v>138</v>
      </c>
      <c r="K51" s="189">
        <v>125</v>
      </c>
      <c r="L51" s="190">
        <f t="shared" si="6"/>
        <v>144.66666666666666</v>
      </c>
      <c r="M51" s="190">
        <f t="shared" si="0"/>
        <v>1446666.6666666667</v>
      </c>
      <c r="P51" s="50">
        <f>(50*3.78541*1000)</f>
        <v>189270.5</v>
      </c>
      <c r="Q51" s="14">
        <v>100000</v>
      </c>
      <c r="R51" s="1">
        <f t="shared" si="3"/>
        <v>14054.740099009899</v>
      </c>
    </row>
    <row r="52" spans="1:18">
      <c r="A52" s="60">
        <v>43243</v>
      </c>
      <c r="B52" s="147" t="s">
        <v>41</v>
      </c>
      <c r="C52" s="3">
        <v>1.75</v>
      </c>
      <c r="D52" s="147">
        <v>609</v>
      </c>
      <c r="E52" s="3">
        <v>1.75</v>
      </c>
      <c r="F52" s="189">
        <v>191</v>
      </c>
      <c r="G52" s="189">
        <v>169</v>
      </c>
      <c r="H52" s="189">
        <v>136</v>
      </c>
      <c r="I52" s="189">
        <v>188</v>
      </c>
      <c r="J52" s="189">
        <v>178</v>
      </c>
      <c r="K52" s="189">
        <v>202</v>
      </c>
      <c r="L52" s="190">
        <f t="shared" si="6"/>
        <v>177.33333333333334</v>
      </c>
      <c r="M52" s="190">
        <f t="shared" si="0"/>
        <v>1773333.3333333335</v>
      </c>
      <c r="P52" s="50">
        <f>(45*3.78541*1000)</f>
        <v>170343.45</v>
      </c>
      <c r="Q52" s="14">
        <v>100000</v>
      </c>
      <c r="R52" s="1">
        <f t="shared" si="3"/>
        <v>10179.887450199203</v>
      </c>
    </row>
    <row r="53" spans="1:18">
      <c r="A53" s="60">
        <v>43246</v>
      </c>
      <c r="B53" s="147" t="s">
        <v>41</v>
      </c>
      <c r="C53" s="3">
        <v>1</v>
      </c>
      <c r="D53" s="147">
        <v>609</v>
      </c>
      <c r="E53" s="3">
        <v>1</v>
      </c>
      <c r="F53" s="189">
        <v>183</v>
      </c>
      <c r="G53" s="189">
        <v>170</v>
      </c>
      <c r="H53" s="189">
        <v>152</v>
      </c>
      <c r="I53" s="189">
        <v>176</v>
      </c>
      <c r="J53" s="189">
        <v>142</v>
      </c>
      <c r="K53" s="189">
        <v>188</v>
      </c>
      <c r="L53" s="190">
        <f t="shared" si="6"/>
        <v>168.5</v>
      </c>
      <c r="M53" s="190">
        <f t="shared" si="0"/>
        <v>1685000</v>
      </c>
      <c r="P53" s="50">
        <f>(40*3.78541*1000)</f>
        <v>151416.40000000002</v>
      </c>
      <c r="Q53" s="14">
        <v>100000</v>
      </c>
      <c r="R53" s="1">
        <f t="shared" si="3"/>
        <v>9553.0851735015785</v>
      </c>
    </row>
    <row r="54" spans="1:18">
      <c r="A54" s="60">
        <v>43248</v>
      </c>
      <c r="B54" s="147" t="s">
        <v>41</v>
      </c>
      <c r="C54" s="3">
        <v>1</v>
      </c>
      <c r="D54" s="147">
        <v>609</v>
      </c>
      <c r="E54" s="3">
        <v>1</v>
      </c>
      <c r="F54" s="189">
        <v>160</v>
      </c>
      <c r="G54" s="189">
        <v>150</v>
      </c>
      <c r="H54" s="189">
        <v>156</v>
      </c>
      <c r="I54" s="189">
        <v>165</v>
      </c>
      <c r="J54" s="189">
        <v>150</v>
      </c>
      <c r="K54" s="189">
        <v>142</v>
      </c>
      <c r="L54" s="190">
        <f t="shared" si="6"/>
        <v>153.83333333333334</v>
      </c>
      <c r="M54" s="190">
        <f t="shared" si="0"/>
        <v>1538333.3333333335</v>
      </c>
      <c r="P54" s="50">
        <f>(35*3.78541*1000)</f>
        <v>132489.35</v>
      </c>
      <c r="Q54" s="14">
        <v>100000</v>
      </c>
      <c r="R54" s="1">
        <f t="shared" si="3"/>
        <v>9211.3105446118188</v>
      </c>
    </row>
    <row r="55" spans="1:18">
      <c r="A55" s="60">
        <v>43253</v>
      </c>
      <c r="B55" s="147" t="s">
        <v>41</v>
      </c>
      <c r="C55" s="3">
        <v>1</v>
      </c>
      <c r="D55" s="147">
        <v>609</v>
      </c>
      <c r="E55" s="3">
        <v>1</v>
      </c>
      <c r="F55" t="s">
        <v>381</v>
      </c>
      <c r="Q55" s="14">
        <v>100000</v>
      </c>
      <c r="R55" s="1">
        <v>9500</v>
      </c>
    </row>
    <row r="56" spans="1:18">
      <c r="A56" s="60">
        <v>43256</v>
      </c>
      <c r="B56" s="147" t="s">
        <v>41</v>
      </c>
      <c r="C56" s="3">
        <v>1</v>
      </c>
      <c r="D56" s="147">
        <v>609</v>
      </c>
      <c r="E56" s="3">
        <v>1</v>
      </c>
      <c r="F56" s="199">
        <v>166</v>
      </c>
      <c r="G56" s="199">
        <v>184</v>
      </c>
      <c r="H56" s="199">
        <v>177</v>
      </c>
      <c r="I56" s="199">
        <v>164</v>
      </c>
      <c r="J56" s="199">
        <v>148</v>
      </c>
      <c r="K56" s="199">
        <v>179</v>
      </c>
      <c r="L56" s="190">
        <f t="shared" si="6"/>
        <v>169.66666666666666</v>
      </c>
      <c r="M56" s="190">
        <f t="shared" si="0"/>
        <v>1696666.6666666667</v>
      </c>
      <c r="P56" s="50">
        <f>(35*3.78541*1000)</f>
        <v>132489.35</v>
      </c>
      <c r="Q56" s="14">
        <v>100000</v>
      </c>
      <c r="R56" s="1">
        <f t="shared" si="3"/>
        <v>8297.8716075156572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showRuler="0" workbookViewId="0">
      <pane ySplit="880" topLeftCell="A105" activePane="bottomLeft"/>
      <selection pane="bottomLeft" activeCell="H125" sqref="H125"/>
    </sheetView>
  </sheetViews>
  <sheetFormatPr baseColWidth="10" defaultRowHeight="15" x14ac:dyDescent="0"/>
  <cols>
    <col min="5" max="5" width="15.5" customWidth="1"/>
    <col min="6" max="6" width="16.6640625" customWidth="1"/>
  </cols>
  <sheetData>
    <row r="1" spans="1:6" s="61" customFormat="1" ht="31" customHeight="1">
      <c r="A1" s="61" t="s">
        <v>0</v>
      </c>
      <c r="B1" s="61" t="s">
        <v>1</v>
      </c>
      <c r="C1" s="61" t="s">
        <v>81</v>
      </c>
      <c r="D1" s="61" t="s">
        <v>82</v>
      </c>
      <c r="E1" s="61" t="s">
        <v>87</v>
      </c>
      <c r="F1" s="61" t="s">
        <v>395</v>
      </c>
    </row>
    <row r="2" spans="1:6" hidden="1">
      <c r="A2" s="60">
        <v>43082</v>
      </c>
      <c r="B2" t="s">
        <v>59</v>
      </c>
      <c r="C2">
        <v>6</v>
      </c>
      <c r="D2">
        <v>1</v>
      </c>
      <c r="E2">
        <f>SUMIFS(D:D,B:B, B2,A:A,"&lt;="&amp;A2)</f>
        <v>1</v>
      </c>
    </row>
    <row r="3" spans="1:6" hidden="1">
      <c r="A3" s="60">
        <v>43082</v>
      </c>
      <c r="B3" t="s">
        <v>36</v>
      </c>
      <c r="C3">
        <v>9</v>
      </c>
      <c r="D3">
        <v>1</v>
      </c>
      <c r="E3">
        <f t="shared" ref="E3:E66" si="0">SUMIFS(D:D,B:B, B3,A:A,"&lt;="&amp;A3)</f>
        <v>3</v>
      </c>
    </row>
    <row r="4" spans="1:6" hidden="1">
      <c r="A4" s="60">
        <v>43082</v>
      </c>
      <c r="B4" t="s">
        <v>36</v>
      </c>
      <c r="C4">
        <v>10</v>
      </c>
      <c r="D4">
        <v>2</v>
      </c>
      <c r="E4">
        <f t="shared" si="0"/>
        <v>3</v>
      </c>
    </row>
    <row r="5" spans="1:6" hidden="1">
      <c r="A5" s="60">
        <v>43089</v>
      </c>
      <c r="B5" t="s">
        <v>59</v>
      </c>
      <c r="C5">
        <v>2</v>
      </c>
      <c r="D5">
        <v>1</v>
      </c>
      <c r="E5">
        <f t="shared" si="0"/>
        <v>2</v>
      </c>
    </row>
    <row r="6" spans="1:6" hidden="1">
      <c r="A6" s="60">
        <v>43089</v>
      </c>
      <c r="B6" t="s">
        <v>83</v>
      </c>
      <c r="C6">
        <v>30</v>
      </c>
      <c r="D6">
        <v>1</v>
      </c>
      <c r="E6">
        <f t="shared" si="0"/>
        <v>1</v>
      </c>
    </row>
    <row r="7" spans="1:6" hidden="1">
      <c r="A7" s="60">
        <v>43089</v>
      </c>
      <c r="B7" t="s">
        <v>36</v>
      </c>
      <c r="C7">
        <v>6</v>
      </c>
      <c r="D7">
        <v>1</v>
      </c>
      <c r="E7">
        <f t="shared" si="0"/>
        <v>4</v>
      </c>
    </row>
    <row r="8" spans="1:6" hidden="1">
      <c r="A8" s="60">
        <v>43095</v>
      </c>
      <c r="B8" t="s">
        <v>29</v>
      </c>
      <c r="C8">
        <v>17</v>
      </c>
      <c r="D8">
        <v>1</v>
      </c>
      <c r="E8">
        <f t="shared" si="0"/>
        <v>1</v>
      </c>
    </row>
    <row r="9" spans="1:6" hidden="1">
      <c r="A9" s="60">
        <v>43095</v>
      </c>
      <c r="B9" t="s">
        <v>83</v>
      </c>
      <c r="C9">
        <v>30</v>
      </c>
      <c r="D9">
        <v>1</v>
      </c>
      <c r="E9">
        <f t="shared" si="0"/>
        <v>2</v>
      </c>
    </row>
    <row r="10" spans="1:6" hidden="1">
      <c r="A10" s="60">
        <v>43095</v>
      </c>
      <c r="B10" t="s">
        <v>61</v>
      </c>
      <c r="C10">
        <v>12</v>
      </c>
      <c r="D10">
        <v>1</v>
      </c>
      <c r="E10">
        <f t="shared" si="0"/>
        <v>1</v>
      </c>
    </row>
    <row r="11" spans="1:6" hidden="1">
      <c r="A11" s="60">
        <v>43096</v>
      </c>
      <c r="B11" t="s">
        <v>59</v>
      </c>
      <c r="C11" t="s">
        <v>85</v>
      </c>
      <c r="D11">
        <v>1</v>
      </c>
      <c r="E11">
        <f t="shared" si="0"/>
        <v>3</v>
      </c>
    </row>
    <row r="12" spans="1:6" hidden="1">
      <c r="A12" s="60">
        <v>43102</v>
      </c>
      <c r="B12" t="s">
        <v>37</v>
      </c>
      <c r="C12">
        <v>5</v>
      </c>
      <c r="D12">
        <v>1</v>
      </c>
      <c r="E12">
        <f t="shared" si="0"/>
        <v>1</v>
      </c>
    </row>
    <row r="13" spans="1:6" hidden="1">
      <c r="A13" s="60">
        <v>43102</v>
      </c>
      <c r="B13" t="s">
        <v>29</v>
      </c>
      <c r="C13">
        <v>27</v>
      </c>
      <c r="D13">
        <v>1</v>
      </c>
      <c r="E13">
        <f t="shared" si="0"/>
        <v>2</v>
      </c>
    </row>
    <row r="14" spans="1:6" hidden="1">
      <c r="A14" s="60">
        <v>43102</v>
      </c>
      <c r="B14" t="s">
        <v>83</v>
      </c>
      <c r="C14">
        <v>31</v>
      </c>
      <c r="D14">
        <v>1</v>
      </c>
      <c r="E14">
        <f t="shared" si="0"/>
        <v>3</v>
      </c>
    </row>
    <row r="15" spans="1:6" hidden="1">
      <c r="A15" s="60">
        <v>43103</v>
      </c>
      <c r="B15" t="s">
        <v>36</v>
      </c>
      <c r="C15">
        <v>10</v>
      </c>
      <c r="D15">
        <v>1</v>
      </c>
      <c r="E15">
        <f t="shared" si="0"/>
        <v>7</v>
      </c>
    </row>
    <row r="16" spans="1:6" hidden="1">
      <c r="A16" s="60">
        <v>43103</v>
      </c>
      <c r="B16" t="s">
        <v>36</v>
      </c>
      <c r="C16">
        <v>11</v>
      </c>
      <c r="D16">
        <v>1</v>
      </c>
      <c r="E16">
        <f t="shared" si="0"/>
        <v>7</v>
      </c>
    </row>
    <row r="17" spans="1:5" hidden="1">
      <c r="A17" s="60">
        <v>43103</v>
      </c>
      <c r="B17" t="s">
        <v>36</v>
      </c>
      <c r="C17">
        <v>13</v>
      </c>
      <c r="D17">
        <v>1</v>
      </c>
      <c r="E17">
        <f t="shared" si="0"/>
        <v>7</v>
      </c>
    </row>
    <row r="18" spans="1:5" hidden="1">
      <c r="A18" s="60">
        <v>43116</v>
      </c>
      <c r="B18" t="s">
        <v>37</v>
      </c>
      <c r="C18">
        <v>2</v>
      </c>
      <c r="D18">
        <v>1</v>
      </c>
      <c r="E18">
        <f t="shared" si="0"/>
        <v>3</v>
      </c>
    </row>
    <row r="19" spans="1:5" hidden="1">
      <c r="A19" s="60">
        <v>43116</v>
      </c>
      <c r="B19" t="s">
        <v>37</v>
      </c>
      <c r="C19">
        <v>5</v>
      </c>
      <c r="D19">
        <v>1</v>
      </c>
      <c r="E19">
        <f t="shared" si="0"/>
        <v>3</v>
      </c>
    </row>
    <row r="20" spans="1:5" hidden="1">
      <c r="A20" s="60">
        <v>43116</v>
      </c>
      <c r="B20" t="s">
        <v>29</v>
      </c>
      <c r="C20">
        <v>27</v>
      </c>
      <c r="D20">
        <v>1</v>
      </c>
      <c r="E20">
        <f t="shared" si="0"/>
        <v>3</v>
      </c>
    </row>
    <row r="21" spans="1:5" hidden="1">
      <c r="A21" s="60">
        <v>43116</v>
      </c>
      <c r="B21" t="s">
        <v>83</v>
      </c>
      <c r="C21" t="s">
        <v>85</v>
      </c>
      <c r="D21">
        <v>2</v>
      </c>
      <c r="E21">
        <f t="shared" si="0"/>
        <v>5</v>
      </c>
    </row>
    <row r="22" spans="1:5" hidden="1">
      <c r="A22" s="60">
        <v>43116</v>
      </c>
      <c r="B22" t="s">
        <v>61</v>
      </c>
      <c r="C22">
        <v>4</v>
      </c>
      <c r="D22">
        <v>1</v>
      </c>
      <c r="E22">
        <f t="shared" si="0"/>
        <v>4</v>
      </c>
    </row>
    <row r="23" spans="1:5" hidden="1">
      <c r="A23" s="60">
        <v>43116</v>
      </c>
      <c r="B23" t="s">
        <v>61</v>
      </c>
      <c r="C23">
        <v>3</v>
      </c>
      <c r="D23">
        <v>2</v>
      </c>
      <c r="E23">
        <f t="shared" si="0"/>
        <v>4</v>
      </c>
    </row>
    <row r="24" spans="1:5" hidden="1">
      <c r="A24" s="60">
        <v>43123</v>
      </c>
      <c r="B24" t="s">
        <v>29</v>
      </c>
      <c r="C24" t="s">
        <v>85</v>
      </c>
      <c r="D24">
        <v>1</v>
      </c>
      <c r="E24">
        <f t="shared" si="0"/>
        <v>4</v>
      </c>
    </row>
    <row r="25" spans="1:5" hidden="1">
      <c r="A25" s="60">
        <v>43123</v>
      </c>
      <c r="B25" t="s">
        <v>83</v>
      </c>
      <c r="C25">
        <v>31</v>
      </c>
      <c r="D25">
        <v>2</v>
      </c>
      <c r="E25">
        <f t="shared" si="0"/>
        <v>8</v>
      </c>
    </row>
    <row r="26" spans="1:5" hidden="1">
      <c r="A26" s="60">
        <v>43123</v>
      </c>
      <c r="B26" t="s">
        <v>83</v>
      </c>
      <c r="C26">
        <v>32</v>
      </c>
      <c r="D26">
        <v>1</v>
      </c>
      <c r="E26">
        <f t="shared" si="0"/>
        <v>8</v>
      </c>
    </row>
    <row r="27" spans="1:5" hidden="1">
      <c r="A27" s="60">
        <v>43123</v>
      </c>
      <c r="B27" t="s">
        <v>28</v>
      </c>
      <c r="C27">
        <v>25</v>
      </c>
      <c r="D27">
        <v>1</v>
      </c>
      <c r="E27">
        <f t="shared" si="0"/>
        <v>1</v>
      </c>
    </row>
    <row r="28" spans="1:5" hidden="1">
      <c r="A28" s="60">
        <v>43123</v>
      </c>
      <c r="B28" t="s">
        <v>36</v>
      </c>
      <c r="C28">
        <v>11</v>
      </c>
      <c r="D28">
        <v>1</v>
      </c>
      <c r="E28">
        <f t="shared" si="0"/>
        <v>8</v>
      </c>
    </row>
    <row r="29" spans="1:5" hidden="1">
      <c r="A29" s="60">
        <v>43123</v>
      </c>
      <c r="B29" t="s">
        <v>59</v>
      </c>
      <c r="C29">
        <v>6</v>
      </c>
      <c r="D29">
        <v>1</v>
      </c>
      <c r="E29">
        <f t="shared" si="0"/>
        <v>4</v>
      </c>
    </row>
    <row r="30" spans="1:5" hidden="1">
      <c r="A30" s="60">
        <v>43136</v>
      </c>
      <c r="B30" t="s">
        <v>61</v>
      </c>
      <c r="D30">
        <v>2</v>
      </c>
      <c r="E30">
        <f t="shared" si="0"/>
        <v>6</v>
      </c>
    </row>
    <row r="31" spans="1:5" hidden="1">
      <c r="A31" s="60">
        <v>43136</v>
      </c>
      <c r="B31" t="s">
        <v>29</v>
      </c>
      <c r="D31">
        <v>1</v>
      </c>
      <c r="E31">
        <f t="shared" si="0"/>
        <v>5</v>
      </c>
    </row>
    <row r="32" spans="1:5" hidden="1">
      <c r="A32" s="60">
        <v>43136</v>
      </c>
      <c r="B32" t="s">
        <v>28</v>
      </c>
      <c r="D32">
        <v>1</v>
      </c>
      <c r="E32">
        <f t="shared" si="0"/>
        <v>2</v>
      </c>
    </row>
    <row r="33" spans="1:6" hidden="1">
      <c r="A33" s="60">
        <v>43136</v>
      </c>
      <c r="B33" t="s">
        <v>59</v>
      </c>
      <c r="D33">
        <v>2</v>
      </c>
      <c r="E33">
        <f t="shared" si="0"/>
        <v>6</v>
      </c>
    </row>
    <row r="34" spans="1:6" hidden="1">
      <c r="A34" s="60">
        <v>43136</v>
      </c>
      <c r="B34" t="s">
        <v>83</v>
      </c>
      <c r="D34">
        <v>1</v>
      </c>
      <c r="E34">
        <f t="shared" si="0"/>
        <v>9</v>
      </c>
    </row>
    <row r="35" spans="1:6" hidden="1">
      <c r="A35" s="60">
        <v>43140</v>
      </c>
      <c r="B35" t="s">
        <v>29</v>
      </c>
      <c r="C35">
        <v>18</v>
      </c>
      <c r="D35">
        <v>1</v>
      </c>
      <c r="E35">
        <f t="shared" si="0"/>
        <v>6</v>
      </c>
    </row>
    <row r="36" spans="1:6" hidden="1">
      <c r="A36" s="60">
        <v>43145</v>
      </c>
      <c r="B36" t="s">
        <v>37</v>
      </c>
      <c r="C36" t="s">
        <v>85</v>
      </c>
      <c r="D36">
        <v>1</v>
      </c>
      <c r="E36">
        <f t="shared" si="0"/>
        <v>4</v>
      </c>
    </row>
    <row r="37" spans="1:6" hidden="1">
      <c r="A37" s="60">
        <v>43145</v>
      </c>
      <c r="B37" t="s">
        <v>83</v>
      </c>
      <c r="C37" t="s">
        <v>85</v>
      </c>
      <c r="D37">
        <v>1</v>
      </c>
      <c r="E37">
        <f t="shared" si="0"/>
        <v>10</v>
      </c>
    </row>
    <row r="38" spans="1:6" hidden="1">
      <c r="A38" s="60">
        <v>43145</v>
      </c>
      <c r="B38" t="s">
        <v>61</v>
      </c>
      <c r="C38" t="s">
        <v>85</v>
      </c>
      <c r="D38">
        <v>1</v>
      </c>
      <c r="E38">
        <f t="shared" si="0"/>
        <v>7</v>
      </c>
    </row>
    <row r="39" spans="1:6" hidden="1">
      <c r="A39" s="60">
        <v>43145</v>
      </c>
      <c r="B39" t="s">
        <v>84</v>
      </c>
      <c r="C39" t="s">
        <v>85</v>
      </c>
      <c r="D39">
        <v>1</v>
      </c>
      <c r="E39">
        <f t="shared" si="0"/>
        <v>1</v>
      </c>
    </row>
    <row r="40" spans="1:6" hidden="1">
      <c r="A40" s="60">
        <v>43145</v>
      </c>
      <c r="B40" t="s">
        <v>59</v>
      </c>
      <c r="C40" t="s">
        <v>85</v>
      </c>
      <c r="D40">
        <v>1</v>
      </c>
      <c r="E40">
        <f t="shared" si="0"/>
        <v>7</v>
      </c>
    </row>
    <row r="41" spans="1:6" hidden="1">
      <c r="A41" s="60">
        <v>43152</v>
      </c>
      <c r="B41" t="s">
        <v>37</v>
      </c>
      <c r="C41">
        <v>16</v>
      </c>
      <c r="D41">
        <v>1</v>
      </c>
      <c r="E41">
        <f t="shared" si="0"/>
        <v>5</v>
      </c>
      <c r="F41" t="s">
        <v>86</v>
      </c>
    </row>
    <row r="42" spans="1:6" hidden="1">
      <c r="A42" s="60">
        <v>43152</v>
      </c>
      <c r="B42" t="s">
        <v>29</v>
      </c>
      <c r="C42">
        <v>27</v>
      </c>
      <c r="D42">
        <v>1</v>
      </c>
      <c r="E42">
        <f t="shared" si="0"/>
        <v>7</v>
      </c>
    </row>
    <row r="43" spans="1:6" hidden="1">
      <c r="A43" s="60">
        <v>43152</v>
      </c>
      <c r="B43" t="s">
        <v>83</v>
      </c>
      <c r="C43">
        <v>30</v>
      </c>
      <c r="D43">
        <v>1</v>
      </c>
      <c r="E43">
        <f t="shared" si="0"/>
        <v>11</v>
      </c>
    </row>
    <row r="44" spans="1:6" hidden="1">
      <c r="A44" s="60">
        <v>43153</v>
      </c>
      <c r="B44" t="s">
        <v>28</v>
      </c>
      <c r="C44">
        <v>23</v>
      </c>
      <c r="D44">
        <v>1</v>
      </c>
      <c r="E44">
        <f t="shared" si="0"/>
        <v>3</v>
      </c>
    </row>
    <row r="45" spans="1:6" hidden="1">
      <c r="A45" s="60">
        <v>43158</v>
      </c>
      <c r="B45" t="s">
        <v>84</v>
      </c>
      <c r="C45">
        <v>19</v>
      </c>
      <c r="D45">
        <v>1</v>
      </c>
      <c r="E45">
        <f t="shared" si="0"/>
        <v>2</v>
      </c>
    </row>
    <row r="46" spans="1:6" hidden="1">
      <c r="A46" s="60">
        <v>43158</v>
      </c>
      <c r="B46" t="s">
        <v>36</v>
      </c>
      <c r="C46">
        <v>11</v>
      </c>
      <c r="D46">
        <v>1</v>
      </c>
      <c r="E46">
        <f t="shared" si="0"/>
        <v>9</v>
      </c>
    </row>
    <row r="47" spans="1:6" hidden="1">
      <c r="A47" s="60">
        <v>43158</v>
      </c>
      <c r="B47" t="s">
        <v>61</v>
      </c>
      <c r="C47">
        <v>14</v>
      </c>
      <c r="D47">
        <v>1</v>
      </c>
      <c r="E47">
        <f t="shared" si="0"/>
        <v>8</v>
      </c>
    </row>
    <row r="48" spans="1:6" hidden="1">
      <c r="A48" s="60">
        <v>43158</v>
      </c>
      <c r="B48" t="s">
        <v>59</v>
      </c>
      <c r="C48">
        <v>6</v>
      </c>
      <c r="D48">
        <v>1</v>
      </c>
      <c r="E48">
        <f t="shared" si="0"/>
        <v>9</v>
      </c>
    </row>
    <row r="49" spans="1:5" hidden="1">
      <c r="A49" s="60">
        <v>43158</v>
      </c>
      <c r="B49" t="s">
        <v>59</v>
      </c>
      <c r="C49">
        <v>2</v>
      </c>
      <c r="D49">
        <v>1</v>
      </c>
      <c r="E49">
        <f t="shared" si="0"/>
        <v>9</v>
      </c>
    </row>
    <row r="50" spans="1:5" hidden="1">
      <c r="A50" s="60">
        <v>43168</v>
      </c>
      <c r="B50" t="s">
        <v>61</v>
      </c>
      <c r="C50">
        <v>4</v>
      </c>
      <c r="D50">
        <v>1</v>
      </c>
      <c r="E50">
        <f t="shared" si="0"/>
        <v>9</v>
      </c>
    </row>
    <row r="51" spans="1:5" hidden="1">
      <c r="A51" s="60">
        <v>43172</v>
      </c>
      <c r="B51" t="s">
        <v>83</v>
      </c>
      <c r="C51">
        <v>32</v>
      </c>
      <c r="D51">
        <v>1</v>
      </c>
      <c r="E51">
        <f t="shared" si="0"/>
        <v>12</v>
      </c>
    </row>
    <row r="52" spans="1:5" hidden="1">
      <c r="A52" s="60">
        <v>43172</v>
      </c>
      <c r="B52" t="s">
        <v>84</v>
      </c>
      <c r="C52">
        <v>22</v>
      </c>
      <c r="D52">
        <v>2</v>
      </c>
      <c r="E52">
        <f t="shared" si="0"/>
        <v>4</v>
      </c>
    </row>
    <row r="53" spans="1:5" hidden="1">
      <c r="A53" s="60">
        <v>43172</v>
      </c>
      <c r="B53" t="s">
        <v>59</v>
      </c>
      <c r="C53">
        <v>8</v>
      </c>
      <c r="D53">
        <v>2</v>
      </c>
      <c r="E53">
        <f t="shared" si="0"/>
        <v>13</v>
      </c>
    </row>
    <row r="54" spans="1:5" hidden="1">
      <c r="A54" s="60">
        <v>43172</v>
      </c>
      <c r="B54" t="s">
        <v>59</v>
      </c>
      <c r="C54">
        <v>2</v>
      </c>
      <c r="D54">
        <v>2</v>
      </c>
      <c r="E54">
        <f t="shared" si="0"/>
        <v>13</v>
      </c>
    </row>
    <row r="55" spans="1:5" hidden="1">
      <c r="A55" s="60">
        <v>43172</v>
      </c>
      <c r="B55" t="s">
        <v>37</v>
      </c>
      <c r="C55">
        <v>1</v>
      </c>
      <c r="D55">
        <v>1</v>
      </c>
      <c r="E55">
        <f t="shared" si="0"/>
        <v>6</v>
      </c>
    </row>
    <row r="56" spans="1:5" hidden="1">
      <c r="A56" s="60">
        <v>43182</v>
      </c>
      <c r="B56" t="s">
        <v>28</v>
      </c>
      <c r="C56">
        <v>24</v>
      </c>
      <c r="D56">
        <v>1</v>
      </c>
      <c r="E56">
        <f t="shared" si="0"/>
        <v>19</v>
      </c>
    </row>
    <row r="57" spans="1:5" hidden="1">
      <c r="A57" s="60">
        <v>43182</v>
      </c>
      <c r="B57" t="s">
        <v>29</v>
      </c>
      <c r="C57">
        <v>17</v>
      </c>
      <c r="D57">
        <v>1</v>
      </c>
      <c r="E57">
        <f t="shared" si="0"/>
        <v>14</v>
      </c>
    </row>
    <row r="58" spans="1:5" hidden="1">
      <c r="A58" s="60">
        <v>43182</v>
      </c>
      <c r="B58" t="s">
        <v>28</v>
      </c>
      <c r="C58">
        <v>26</v>
      </c>
      <c r="D58">
        <v>3</v>
      </c>
      <c r="E58">
        <f t="shared" si="0"/>
        <v>19</v>
      </c>
    </row>
    <row r="59" spans="1:5" hidden="1">
      <c r="A59" s="60">
        <v>43182</v>
      </c>
      <c r="B59" t="s">
        <v>28</v>
      </c>
      <c r="C59">
        <v>25</v>
      </c>
      <c r="D59">
        <v>4</v>
      </c>
      <c r="E59">
        <f t="shared" si="0"/>
        <v>19</v>
      </c>
    </row>
    <row r="60" spans="1:5" hidden="1">
      <c r="A60" s="60">
        <v>43182</v>
      </c>
      <c r="B60" t="s">
        <v>28</v>
      </c>
      <c r="C60">
        <v>24</v>
      </c>
      <c r="D60">
        <v>4</v>
      </c>
      <c r="E60">
        <f t="shared" si="0"/>
        <v>19</v>
      </c>
    </row>
    <row r="61" spans="1:5" hidden="1">
      <c r="A61" s="60">
        <v>43182</v>
      </c>
      <c r="B61" t="s">
        <v>28</v>
      </c>
      <c r="C61">
        <v>23</v>
      </c>
      <c r="D61">
        <v>4</v>
      </c>
      <c r="E61">
        <f t="shared" si="0"/>
        <v>19</v>
      </c>
    </row>
    <row r="62" spans="1:5" hidden="1">
      <c r="A62" s="60">
        <v>43182</v>
      </c>
      <c r="B62" t="s">
        <v>37</v>
      </c>
      <c r="C62">
        <v>15</v>
      </c>
      <c r="D62">
        <v>3</v>
      </c>
      <c r="E62">
        <f t="shared" si="0"/>
        <v>16</v>
      </c>
    </row>
    <row r="63" spans="1:5" hidden="1">
      <c r="A63" s="60">
        <v>43182</v>
      </c>
      <c r="B63" t="s">
        <v>37</v>
      </c>
      <c r="C63">
        <v>1</v>
      </c>
      <c r="D63">
        <v>3</v>
      </c>
      <c r="E63">
        <f t="shared" si="0"/>
        <v>16</v>
      </c>
    </row>
    <row r="64" spans="1:5" hidden="1">
      <c r="A64" s="60">
        <v>43182</v>
      </c>
      <c r="B64" t="s">
        <v>37</v>
      </c>
      <c r="C64">
        <v>5</v>
      </c>
      <c r="D64">
        <v>2</v>
      </c>
      <c r="E64">
        <f t="shared" si="0"/>
        <v>16</v>
      </c>
    </row>
    <row r="65" spans="1:5" hidden="1">
      <c r="A65" s="60">
        <v>43182</v>
      </c>
      <c r="B65" t="s">
        <v>37</v>
      </c>
      <c r="C65">
        <v>16</v>
      </c>
      <c r="D65">
        <v>2</v>
      </c>
      <c r="E65">
        <f t="shared" si="0"/>
        <v>16</v>
      </c>
    </row>
    <row r="66" spans="1:5" hidden="1">
      <c r="A66" s="60">
        <v>43182</v>
      </c>
      <c r="B66" t="s">
        <v>84</v>
      </c>
      <c r="C66">
        <v>21</v>
      </c>
      <c r="D66">
        <v>7</v>
      </c>
      <c r="E66">
        <f t="shared" si="0"/>
        <v>27</v>
      </c>
    </row>
    <row r="67" spans="1:5" hidden="1">
      <c r="A67" s="60">
        <v>43182</v>
      </c>
      <c r="B67" t="s">
        <v>83</v>
      </c>
      <c r="C67">
        <v>32</v>
      </c>
      <c r="D67">
        <v>6</v>
      </c>
      <c r="E67">
        <f t="shared" ref="E67:E121" si="1">SUMIFS(D:D,B:B, B67,A:A,"&lt;="&amp;A67)</f>
        <v>33</v>
      </c>
    </row>
    <row r="68" spans="1:5" hidden="1">
      <c r="A68" s="60">
        <v>43182</v>
      </c>
      <c r="B68" t="s">
        <v>84</v>
      </c>
      <c r="C68">
        <v>19</v>
      </c>
      <c r="D68">
        <v>6</v>
      </c>
      <c r="E68">
        <f t="shared" si="1"/>
        <v>27</v>
      </c>
    </row>
    <row r="69" spans="1:5" hidden="1">
      <c r="A69" s="60">
        <v>43182</v>
      </c>
      <c r="B69" t="s">
        <v>83</v>
      </c>
      <c r="C69">
        <v>31</v>
      </c>
      <c r="D69">
        <v>8</v>
      </c>
      <c r="E69">
        <f t="shared" si="1"/>
        <v>33</v>
      </c>
    </row>
    <row r="70" spans="1:5" hidden="1">
      <c r="A70" s="60">
        <v>43182</v>
      </c>
      <c r="B70" t="s">
        <v>61</v>
      </c>
      <c r="C70">
        <v>12</v>
      </c>
      <c r="D70">
        <v>3</v>
      </c>
      <c r="E70">
        <f t="shared" si="1"/>
        <v>13</v>
      </c>
    </row>
    <row r="71" spans="1:5" hidden="1">
      <c r="A71" s="60">
        <v>43182</v>
      </c>
      <c r="B71" t="s">
        <v>61</v>
      </c>
      <c r="C71">
        <v>14</v>
      </c>
      <c r="D71">
        <v>1</v>
      </c>
      <c r="E71">
        <f t="shared" si="1"/>
        <v>13</v>
      </c>
    </row>
    <row r="72" spans="1:5" hidden="1">
      <c r="A72" s="60">
        <v>43182</v>
      </c>
      <c r="B72" t="s">
        <v>83</v>
      </c>
      <c r="C72">
        <v>29</v>
      </c>
      <c r="D72">
        <v>3</v>
      </c>
      <c r="E72">
        <f t="shared" si="1"/>
        <v>33</v>
      </c>
    </row>
    <row r="73" spans="1:5" hidden="1">
      <c r="A73" s="60">
        <v>43182</v>
      </c>
      <c r="B73" t="s">
        <v>36</v>
      </c>
      <c r="C73">
        <v>19</v>
      </c>
      <c r="D73">
        <v>1</v>
      </c>
      <c r="E73">
        <f t="shared" si="1"/>
        <v>12</v>
      </c>
    </row>
    <row r="74" spans="1:5" hidden="1">
      <c r="A74" s="60">
        <v>43182</v>
      </c>
      <c r="B74" t="s">
        <v>59</v>
      </c>
      <c r="C74">
        <v>7</v>
      </c>
      <c r="D74">
        <v>1</v>
      </c>
      <c r="E74">
        <f t="shared" si="1"/>
        <v>18</v>
      </c>
    </row>
    <row r="75" spans="1:5" hidden="1">
      <c r="A75" s="60">
        <v>43182</v>
      </c>
      <c r="B75" t="s">
        <v>59</v>
      </c>
      <c r="C75">
        <v>6</v>
      </c>
      <c r="D75">
        <v>1</v>
      </c>
      <c r="E75">
        <f t="shared" si="1"/>
        <v>18</v>
      </c>
    </row>
    <row r="76" spans="1:5" hidden="1">
      <c r="A76" s="60">
        <v>43182</v>
      </c>
      <c r="B76" t="s">
        <v>59</v>
      </c>
      <c r="C76">
        <v>2</v>
      </c>
      <c r="D76">
        <v>2</v>
      </c>
      <c r="E76">
        <f t="shared" si="1"/>
        <v>18</v>
      </c>
    </row>
    <row r="77" spans="1:5" hidden="1">
      <c r="A77" s="60">
        <v>43182</v>
      </c>
      <c r="B77" t="s">
        <v>59</v>
      </c>
      <c r="C77">
        <v>8</v>
      </c>
      <c r="D77">
        <v>1</v>
      </c>
      <c r="E77">
        <f t="shared" si="1"/>
        <v>18</v>
      </c>
    </row>
    <row r="78" spans="1:5" hidden="1">
      <c r="A78" s="60">
        <v>43182</v>
      </c>
      <c r="B78" t="s">
        <v>29</v>
      </c>
      <c r="C78">
        <v>18</v>
      </c>
      <c r="D78">
        <v>1</v>
      </c>
      <c r="E78">
        <f t="shared" si="1"/>
        <v>14</v>
      </c>
    </row>
    <row r="79" spans="1:5" hidden="1">
      <c r="A79" s="60">
        <v>43182</v>
      </c>
      <c r="B79" t="s">
        <v>29</v>
      </c>
      <c r="C79">
        <v>27</v>
      </c>
      <c r="D79">
        <v>1</v>
      </c>
      <c r="E79">
        <f t="shared" si="1"/>
        <v>14</v>
      </c>
    </row>
    <row r="80" spans="1:5" hidden="1">
      <c r="A80" s="60">
        <v>43182</v>
      </c>
      <c r="B80" t="s">
        <v>36</v>
      </c>
      <c r="C80">
        <v>9</v>
      </c>
      <c r="D80">
        <v>1</v>
      </c>
      <c r="E80">
        <f t="shared" si="1"/>
        <v>12</v>
      </c>
    </row>
    <row r="81" spans="1:6" hidden="1">
      <c r="A81" s="60">
        <v>43182</v>
      </c>
      <c r="B81" t="s">
        <v>36</v>
      </c>
      <c r="C81">
        <v>10</v>
      </c>
      <c r="D81">
        <v>1</v>
      </c>
      <c r="E81">
        <f t="shared" si="1"/>
        <v>12</v>
      </c>
    </row>
    <row r="82" spans="1:6" hidden="1">
      <c r="A82" s="60">
        <v>43182</v>
      </c>
      <c r="B82" t="s">
        <v>83</v>
      </c>
      <c r="C82">
        <v>30</v>
      </c>
      <c r="D82">
        <v>4</v>
      </c>
      <c r="E82">
        <f t="shared" si="1"/>
        <v>33</v>
      </c>
    </row>
    <row r="83" spans="1:6" hidden="1">
      <c r="A83" s="60">
        <v>43182</v>
      </c>
      <c r="B83" t="s">
        <v>29</v>
      </c>
      <c r="C83">
        <v>17</v>
      </c>
      <c r="D83">
        <v>2</v>
      </c>
      <c r="E83">
        <f t="shared" si="1"/>
        <v>14</v>
      </c>
    </row>
    <row r="84" spans="1:6" hidden="1">
      <c r="A84" s="60">
        <v>43182</v>
      </c>
      <c r="B84" t="s">
        <v>29</v>
      </c>
      <c r="C84">
        <v>28</v>
      </c>
      <c r="D84">
        <v>2</v>
      </c>
      <c r="E84">
        <f t="shared" si="1"/>
        <v>14</v>
      </c>
    </row>
    <row r="85" spans="1:6" hidden="1">
      <c r="A85" s="60">
        <v>43182</v>
      </c>
      <c r="B85" t="s">
        <v>84</v>
      </c>
      <c r="C85">
        <v>22</v>
      </c>
      <c r="D85">
        <v>4</v>
      </c>
      <c r="E85">
        <f t="shared" si="1"/>
        <v>27</v>
      </c>
    </row>
    <row r="86" spans="1:6" hidden="1">
      <c r="A86" s="60">
        <v>43182</v>
      </c>
      <c r="B86" t="s">
        <v>84</v>
      </c>
      <c r="C86">
        <v>20</v>
      </c>
      <c r="D86">
        <v>6</v>
      </c>
      <c r="E86">
        <f t="shared" si="1"/>
        <v>27</v>
      </c>
    </row>
    <row r="87" spans="1:6">
      <c r="A87" s="60">
        <v>43184</v>
      </c>
      <c r="B87" t="s">
        <v>84</v>
      </c>
      <c r="C87">
        <v>19</v>
      </c>
      <c r="D87">
        <v>2</v>
      </c>
      <c r="E87">
        <f t="shared" si="1"/>
        <v>31</v>
      </c>
      <c r="F87">
        <f>14-D87</f>
        <v>12</v>
      </c>
    </row>
    <row r="88" spans="1:6">
      <c r="A88" s="60">
        <v>43184</v>
      </c>
      <c r="B88" t="s">
        <v>84</v>
      </c>
      <c r="C88">
        <v>22</v>
      </c>
      <c r="D88">
        <v>1</v>
      </c>
      <c r="E88">
        <f t="shared" si="1"/>
        <v>31</v>
      </c>
      <c r="F88">
        <f>13-D88</f>
        <v>12</v>
      </c>
    </row>
    <row r="89" spans="1:6">
      <c r="A89" s="60">
        <v>43184</v>
      </c>
      <c r="B89" t="s">
        <v>84</v>
      </c>
      <c r="C89">
        <v>20</v>
      </c>
      <c r="D89">
        <v>1</v>
      </c>
      <c r="E89">
        <f t="shared" si="1"/>
        <v>31</v>
      </c>
      <c r="F89">
        <f>16-D89</f>
        <v>15</v>
      </c>
    </row>
    <row r="90" spans="1:6">
      <c r="A90" s="60">
        <v>43184</v>
      </c>
      <c r="B90" t="s">
        <v>83</v>
      </c>
      <c r="C90">
        <v>32</v>
      </c>
      <c r="D90">
        <v>1</v>
      </c>
      <c r="E90">
        <f t="shared" si="1"/>
        <v>36</v>
      </c>
      <c r="F90">
        <f>15-D90</f>
        <v>14</v>
      </c>
    </row>
    <row r="91" spans="1:6">
      <c r="A91" s="60">
        <v>43184</v>
      </c>
      <c r="B91" t="s">
        <v>36</v>
      </c>
      <c r="C91">
        <v>11</v>
      </c>
      <c r="D91">
        <v>1</v>
      </c>
      <c r="E91">
        <f t="shared" si="1"/>
        <v>13</v>
      </c>
      <c r="F91">
        <f>19-D91</f>
        <v>18</v>
      </c>
    </row>
    <row r="92" spans="1:6">
      <c r="A92" s="60">
        <v>43184</v>
      </c>
      <c r="B92" t="s">
        <v>37</v>
      </c>
      <c r="C92">
        <v>16</v>
      </c>
      <c r="D92">
        <v>1</v>
      </c>
      <c r="E92">
        <f t="shared" si="1"/>
        <v>17</v>
      </c>
      <c r="F92">
        <f>19-D92</f>
        <v>18</v>
      </c>
    </row>
    <row r="93" spans="1:6">
      <c r="A93" s="60">
        <v>43184</v>
      </c>
      <c r="B93" t="s">
        <v>61</v>
      </c>
      <c r="C93">
        <v>12</v>
      </c>
      <c r="D93">
        <v>1</v>
      </c>
      <c r="E93">
        <f t="shared" si="1"/>
        <v>14</v>
      </c>
      <c r="F93">
        <f>18-D93</f>
        <v>17</v>
      </c>
    </row>
    <row r="94" spans="1:6">
      <c r="A94" s="60">
        <v>43184</v>
      </c>
      <c r="B94" t="s">
        <v>28</v>
      </c>
      <c r="C94">
        <v>23</v>
      </c>
      <c r="D94">
        <v>2</v>
      </c>
      <c r="E94">
        <f t="shared" si="1"/>
        <v>21</v>
      </c>
      <c r="F94">
        <f>18-D94</f>
        <v>16</v>
      </c>
    </row>
    <row r="95" spans="1:6">
      <c r="A95" s="60">
        <v>43184</v>
      </c>
      <c r="B95" t="s">
        <v>83</v>
      </c>
      <c r="C95">
        <v>29</v>
      </c>
      <c r="D95">
        <v>2</v>
      </c>
      <c r="E95">
        <f t="shared" si="1"/>
        <v>36</v>
      </c>
      <c r="F95">
        <f>19-D95</f>
        <v>17</v>
      </c>
    </row>
    <row r="96" spans="1:6">
      <c r="A96" s="60">
        <v>43186</v>
      </c>
      <c r="B96" t="s">
        <v>84</v>
      </c>
      <c r="C96">
        <v>19</v>
      </c>
      <c r="D96">
        <v>1</v>
      </c>
      <c r="E96">
        <f t="shared" si="1"/>
        <v>35</v>
      </c>
      <c r="F96">
        <f>F87-D96</f>
        <v>11</v>
      </c>
    </row>
    <row r="97" spans="1:6">
      <c r="A97" s="60">
        <v>43186</v>
      </c>
      <c r="B97" t="s">
        <v>84</v>
      </c>
      <c r="C97">
        <v>21</v>
      </c>
      <c r="D97">
        <v>1</v>
      </c>
      <c r="E97">
        <f t="shared" si="1"/>
        <v>35</v>
      </c>
      <c r="F97">
        <f>15-D97</f>
        <v>14</v>
      </c>
    </row>
    <row r="98" spans="1:6">
      <c r="A98" s="60">
        <v>43186</v>
      </c>
      <c r="B98" t="s">
        <v>83</v>
      </c>
      <c r="C98">
        <v>30</v>
      </c>
      <c r="D98">
        <v>1</v>
      </c>
      <c r="E98">
        <f t="shared" si="1"/>
        <v>38</v>
      </c>
      <c r="F98">
        <f>15-D98</f>
        <v>14</v>
      </c>
    </row>
    <row r="99" spans="1:6">
      <c r="A99" s="60">
        <v>43186</v>
      </c>
      <c r="B99" t="s">
        <v>83</v>
      </c>
      <c r="C99">
        <v>32</v>
      </c>
      <c r="D99">
        <v>1</v>
      </c>
      <c r="E99">
        <f t="shared" si="1"/>
        <v>38</v>
      </c>
      <c r="F99">
        <f>F90-D99</f>
        <v>13</v>
      </c>
    </row>
    <row r="100" spans="1:6">
      <c r="A100" s="60">
        <v>43186</v>
      </c>
      <c r="B100" t="s">
        <v>37</v>
      </c>
      <c r="C100">
        <v>16</v>
      </c>
      <c r="D100">
        <v>1</v>
      </c>
      <c r="E100">
        <f t="shared" si="1"/>
        <v>20</v>
      </c>
      <c r="F100">
        <f>F92-D100</f>
        <v>17</v>
      </c>
    </row>
    <row r="101" spans="1:6">
      <c r="A101" s="60">
        <v>43186</v>
      </c>
      <c r="B101" t="s">
        <v>37</v>
      </c>
      <c r="C101">
        <v>15</v>
      </c>
      <c r="D101">
        <v>2</v>
      </c>
      <c r="E101">
        <f t="shared" si="1"/>
        <v>20</v>
      </c>
      <c r="F101">
        <f>19-D101</f>
        <v>17</v>
      </c>
    </row>
    <row r="102" spans="1:6">
      <c r="A102" s="60">
        <v>43186</v>
      </c>
      <c r="B102" t="s">
        <v>28</v>
      </c>
      <c r="C102">
        <v>24</v>
      </c>
      <c r="D102">
        <v>1</v>
      </c>
      <c r="E102">
        <f t="shared" si="1"/>
        <v>22</v>
      </c>
      <c r="F102">
        <f>20-D102</f>
        <v>19</v>
      </c>
    </row>
    <row r="103" spans="1:6">
      <c r="A103" s="60">
        <v>43186</v>
      </c>
      <c r="B103" t="s">
        <v>84</v>
      </c>
      <c r="C103">
        <v>22</v>
      </c>
      <c r="D103">
        <v>2</v>
      </c>
      <c r="E103">
        <f t="shared" si="1"/>
        <v>35</v>
      </c>
      <c r="F103">
        <f>F88-D103</f>
        <v>10</v>
      </c>
    </row>
    <row r="104" spans="1:6">
      <c r="A104" s="60">
        <v>43186</v>
      </c>
      <c r="B104" t="s">
        <v>29</v>
      </c>
      <c r="C104">
        <v>18</v>
      </c>
      <c r="D104">
        <v>1</v>
      </c>
      <c r="E104">
        <f t="shared" si="1"/>
        <v>15</v>
      </c>
      <c r="F104">
        <f>18-D104</f>
        <v>17</v>
      </c>
    </row>
    <row r="105" spans="1:6">
      <c r="A105" s="60">
        <v>43189</v>
      </c>
      <c r="B105" t="s">
        <v>28</v>
      </c>
      <c r="C105">
        <v>25</v>
      </c>
      <c r="D105">
        <v>1</v>
      </c>
      <c r="E105">
        <f t="shared" si="1"/>
        <v>25</v>
      </c>
      <c r="F105">
        <f>19-D105</f>
        <v>18</v>
      </c>
    </row>
    <row r="106" spans="1:6">
      <c r="A106" s="60">
        <v>43189</v>
      </c>
      <c r="B106" t="s">
        <v>28</v>
      </c>
      <c r="C106">
        <v>23</v>
      </c>
      <c r="D106">
        <v>1</v>
      </c>
      <c r="E106">
        <f t="shared" si="1"/>
        <v>25</v>
      </c>
      <c r="F106">
        <f>F94-D106</f>
        <v>15</v>
      </c>
    </row>
    <row r="107" spans="1:6">
      <c r="A107" s="60">
        <v>43189</v>
      </c>
      <c r="B107" t="s">
        <v>36</v>
      </c>
      <c r="C107">
        <v>10</v>
      </c>
      <c r="D107">
        <v>1</v>
      </c>
      <c r="E107">
        <f t="shared" si="1"/>
        <v>14</v>
      </c>
      <c r="F107">
        <f>20-D107</f>
        <v>19</v>
      </c>
    </row>
    <row r="108" spans="1:6">
      <c r="A108" s="60">
        <v>43189</v>
      </c>
      <c r="B108" t="s">
        <v>37</v>
      </c>
      <c r="C108">
        <v>1</v>
      </c>
      <c r="D108">
        <v>1</v>
      </c>
      <c r="E108">
        <f t="shared" si="1"/>
        <v>21</v>
      </c>
      <c r="F108">
        <f>19-D108</f>
        <v>18</v>
      </c>
    </row>
    <row r="109" spans="1:6">
      <c r="A109" s="60">
        <v>43189</v>
      </c>
      <c r="B109" t="s">
        <v>83</v>
      </c>
      <c r="C109">
        <v>31</v>
      </c>
      <c r="D109">
        <v>1</v>
      </c>
      <c r="E109">
        <f t="shared" si="1"/>
        <v>39</v>
      </c>
      <c r="F109">
        <f>15-D109</f>
        <v>14</v>
      </c>
    </row>
    <row r="110" spans="1:6">
      <c r="A110" s="60">
        <v>43189</v>
      </c>
      <c r="B110" t="s">
        <v>28</v>
      </c>
      <c r="C110">
        <v>26</v>
      </c>
      <c r="D110">
        <v>1</v>
      </c>
      <c r="E110">
        <f t="shared" si="1"/>
        <v>25</v>
      </c>
      <c r="F110">
        <f>17-D110</f>
        <v>16</v>
      </c>
    </row>
    <row r="111" spans="1:6">
      <c r="A111" s="60">
        <v>43189</v>
      </c>
      <c r="B111" t="s">
        <v>84</v>
      </c>
      <c r="C111">
        <v>22</v>
      </c>
      <c r="D111">
        <v>2</v>
      </c>
      <c r="E111">
        <f t="shared" si="1"/>
        <v>38</v>
      </c>
      <c r="F111">
        <f>F103-D111</f>
        <v>8</v>
      </c>
    </row>
    <row r="112" spans="1:6">
      <c r="A112" s="60">
        <v>43189</v>
      </c>
      <c r="B112" t="s">
        <v>84</v>
      </c>
      <c r="C112">
        <v>19</v>
      </c>
      <c r="D112">
        <v>1</v>
      </c>
      <c r="E112">
        <f t="shared" si="1"/>
        <v>38</v>
      </c>
      <c r="F112">
        <f>F96-D112</f>
        <v>10</v>
      </c>
    </row>
    <row r="113" spans="1:6">
      <c r="A113" s="60">
        <v>43189</v>
      </c>
      <c r="B113" t="s">
        <v>59</v>
      </c>
      <c r="C113">
        <v>8</v>
      </c>
      <c r="D113">
        <v>1</v>
      </c>
      <c r="E113">
        <f t="shared" si="1"/>
        <v>19</v>
      </c>
      <c r="F113">
        <f>18-D113</f>
        <v>17</v>
      </c>
    </row>
    <row r="114" spans="1:6">
      <c r="A114" s="60">
        <v>43193</v>
      </c>
      <c r="B114" t="s">
        <v>28</v>
      </c>
      <c r="C114">
        <v>24</v>
      </c>
      <c r="D114">
        <v>3</v>
      </c>
      <c r="E114">
        <f t="shared" si="1"/>
        <v>29</v>
      </c>
      <c r="F114">
        <f>F102-D114</f>
        <v>16</v>
      </c>
    </row>
    <row r="115" spans="1:6">
      <c r="A115" s="60">
        <v>43193</v>
      </c>
      <c r="B115" t="s">
        <v>28</v>
      </c>
      <c r="C115">
        <v>16</v>
      </c>
      <c r="D115">
        <v>1</v>
      </c>
      <c r="E115">
        <f t="shared" si="1"/>
        <v>29</v>
      </c>
      <c r="F115">
        <f>F100-D115</f>
        <v>16</v>
      </c>
    </row>
    <row r="116" spans="1:6">
      <c r="A116" s="60">
        <v>43193</v>
      </c>
      <c r="B116" t="s">
        <v>29</v>
      </c>
      <c r="C116">
        <v>17</v>
      </c>
      <c r="D116">
        <v>1</v>
      </c>
      <c r="E116">
        <f t="shared" si="1"/>
        <v>16</v>
      </c>
      <c r="F116">
        <f>18-D116</f>
        <v>17</v>
      </c>
    </row>
    <row r="117" spans="1:6">
      <c r="A117" s="60">
        <v>43193</v>
      </c>
      <c r="B117" t="s">
        <v>36</v>
      </c>
      <c r="C117">
        <v>9</v>
      </c>
      <c r="D117">
        <v>1</v>
      </c>
      <c r="E117">
        <f t="shared" si="1"/>
        <v>15</v>
      </c>
      <c r="F117">
        <f>22-D117</f>
        <v>21</v>
      </c>
    </row>
    <row r="118" spans="1:6">
      <c r="A118" s="60">
        <v>43193</v>
      </c>
      <c r="B118" t="s">
        <v>83</v>
      </c>
      <c r="C118">
        <v>31</v>
      </c>
      <c r="D118">
        <v>1</v>
      </c>
      <c r="E118">
        <f t="shared" si="1"/>
        <v>40</v>
      </c>
      <c r="F118">
        <f>15-D118</f>
        <v>14</v>
      </c>
    </row>
    <row r="119" spans="1:6">
      <c r="A119" s="60">
        <v>43193</v>
      </c>
      <c r="B119" t="s">
        <v>84</v>
      </c>
      <c r="C119">
        <v>22</v>
      </c>
      <c r="D119">
        <v>1</v>
      </c>
      <c r="E119">
        <f t="shared" si="1"/>
        <v>41</v>
      </c>
      <c r="F119">
        <f>F111-D119</f>
        <v>7</v>
      </c>
    </row>
    <row r="120" spans="1:6">
      <c r="A120" s="60">
        <v>43193</v>
      </c>
      <c r="B120" t="s">
        <v>84</v>
      </c>
      <c r="C120">
        <v>19</v>
      </c>
      <c r="D120">
        <v>2</v>
      </c>
      <c r="E120">
        <f t="shared" si="1"/>
        <v>41</v>
      </c>
      <c r="F120">
        <f>F112-D120</f>
        <v>8</v>
      </c>
    </row>
    <row r="121" spans="1:6">
      <c r="A121" s="60">
        <v>43198</v>
      </c>
      <c r="B121" t="s">
        <v>37</v>
      </c>
      <c r="C121">
        <v>16</v>
      </c>
      <c r="D121">
        <v>1</v>
      </c>
      <c r="E121">
        <f t="shared" si="1"/>
        <v>22</v>
      </c>
      <c r="F121">
        <f>F115-D121</f>
        <v>15</v>
      </c>
    </row>
    <row r="122" spans="1:6">
      <c r="A122" s="60">
        <v>43198</v>
      </c>
      <c r="B122" t="s">
        <v>84</v>
      </c>
      <c r="C122">
        <v>20</v>
      </c>
      <c r="D122">
        <v>1</v>
      </c>
      <c r="E122">
        <f t="shared" ref="E122:E133" si="2">SUMIFS(D:D,B:B, B122,A:A,"&lt;="&amp;A122)</f>
        <v>43</v>
      </c>
      <c r="F122">
        <f>F89-D122</f>
        <v>14</v>
      </c>
    </row>
    <row r="123" spans="1:6">
      <c r="A123" s="60">
        <v>43198</v>
      </c>
      <c r="B123" t="s">
        <v>84</v>
      </c>
      <c r="C123">
        <v>22</v>
      </c>
      <c r="D123">
        <v>1</v>
      </c>
      <c r="E123">
        <f t="shared" si="2"/>
        <v>43</v>
      </c>
      <c r="F123">
        <f>F119-D123</f>
        <v>6</v>
      </c>
    </row>
    <row r="124" spans="1:6">
      <c r="A124" s="60">
        <v>43204</v>
      </c>
      <c r="B124" t="s">
        <v>83</v>
      </c>
      <c r="C124">
        <v>29</v>
      </c>
      <c r="D124">
        <v>1</v>
      </c>
      <c r="E124">
        <f t="shared" si="2"/>
        <v>41</v>
      </c>
      <c r="F124">
        <f>F95-D124</f>
        <v>16</v>
      </c>
    </row>
    <row r="125" spans="1:6">
      <c r="A125" s="60">
        <v>43204</v>
      </c>
      <c r="B125" t="s">
        <v>36</v>
      </c>
      <c r="C125">
        <v>11</v>
      </c>
      <c r="D125">
        <v>1</v>
      </c>
      <c r="E125">
        <f t="shared" si="2"/>
        <v>16</v>
      </c>
      <c r="F125">
        <f>F91-D125</f>
        <v>17</v>
      </c>
    </row>
    <row r="126" spans="1:6">
      <c r="A126" s="60">
        <v>43204</v>
      </c>
      <c r="B126" t="s">
        <v>37</v>
      </c>
      <c r="C126">
        <v>15</v>
      </c>
      <c r="D126">
        <v>1</v>
      </c>
      <c r="E126">
        <f t="shared" si="2"/>
        <v>23</v>
      </c>
      <c r="F126">
        <f>F101-D126</f>
        <v>16</v>
      </c>
    </row>
    <row r="127" spans="1:6">
      <c r="A127" s="60">
        <v>43207</v>
      </c>
      <c r="B127" t="s">
        <v>61</v>
      </c>
      <c r="C127">
        <v>12</v>
      </c>
      <c r="D127">
        <v>1</v>
      </c>
      <c r="E127">
        <f t="shared" si="2"/>
        <v>15</v>
      </c>
      <c r="F127">
        <f>F93-D127</f>
        <v>16</v>
      </c>
    </row>
    <row r="128" spans="1:6">
      <c r="A128" s="60">
        <v>43207</v>
      </c>
      <c r="B128" t="s">
        <v>28</v>
      </c>
      <c r="C128">
        <v>24</v>
      </c>
      <c r="D128">
        <v>2</v>
      </c>
      <c r="E128">
        <f t="shared" si="2"/>
        <v>31</v>
      </c>
      <c r="F128">
        <f>F114-D128</f>
        <v>14</v>
      </c>
    </row>
    <row r="129" spans="1:6">
      <c r="A129" s="60">
        <v>43212</v>
      </c>
      <c r="B129" t="s">
        <v>83</v>
      </c>
      <c r="C129">
        <v>29</v>
      </c>
      <c r="D129">
        <v>2</v>
      </c>
      <c r="E129">
        <f t="shared" si="2"/>
        <v>43</v>
      </c>
      <c r="F129">
        <f>F124-D129</f>
        <v>14</v>
      </c>
    </row>
    <row r="130" spans="1:6">
      <c r="A130" s="60">
        <v>43212</v>
      </c>
      <c r="B130" t="s">
        <v>36</v>
      </c>
      <c r="C130">
        <v>10</v>
      </c>
      <c r="D130">
        <v>1</v>
      </c>
      <c r="E130">
        <f t="shared" si="2"/>
        <v>17</v>
      </c>
      <c r="F130">
        <f>F107-D130</f>
        <v>18</v>
      </c>
    </row>
    <row r="131" spans="1:6">
      <c r="A131" s="60">
        <v>43212</v>
      </c>
      <c r="B131" t="s">
        <v>29</v>
      </c>
      <c r="C131">
        <v>18</v>
      </c>
      <c r="D131">
        <v>1</v>
      </c>
      <c r="E131">
        <f t="shared" si="2"/>
        <v>17</v>
      </c>
      <c r="F131">
        <f>F104-D131</f>
        <v>16</v>
      </c>
    </row>
    <row r="132" spans="1:6">
      <c r="A132" s="60">
        <v>43217</v>
      </c>
      <c r="B132" t="s">
        <v>61</v>
      </c>
      <c r="C132">
        <v>14</v>
      </c>
      <c r="D132">
        <v>1</v>
      </c>
      <c r="E132">
        <f t="shared" si="2"/>
        <v>16</v>
      </c>
      <c r="F132">
        <f>19-D132</f>
        <v>18</v>
      </c>
    </row>
    <row r="133" spans="1:6">
      <c r="A133" s="60">
        <v>43217</v>
      </c>
      <c r="B133" t="s">
        <v>36</v>
      </c>
      <c r="C133">
        <v>9</v>
      </c>
      <c r="D133">
        <v>2</v>
      </c>
      <c r="E133">
        <f t="shared" si="2"/>
        <v>19</v>
      </c>
      <c r="F133">
        <f>F117-D133</f>
        <v>19</v>
      </c>
    </row>
  </sheetData>
  <sortState ref="A2:E120">
    <sortCondition ref="A2:A1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showRuler="0" topLeftCell="A5" workbookViewId="0">
      <selection activeCell="F45" sqref="F45"/>
    </sheetView>
  </sheetViews>
  <sheetFormatPr baseColWidth="10" defaultRowHeight="15" x14ac:dyDescent="0"/>
  <cols>
    <col min="2" max="2" width="10.83203125" style="64"/>
    <col min="4" max="4" width="18" customWidth="1"/>
    <col min="5" max="5" width="14.33203125" customWidth="1"/>
    <col min="6" max="6" width="12.33203125" customWidth="1"/>
    <col min="7" max="7" width="12.5" customWidth="1"/>
  </cols>
  <sheetData>
    <row r="1" spans="1:7" s="91" customFormat="1" ht="45">
      <c r="A1" s="91" t="s">
        <v>0</v>
      </c>
      <c r="B1" s="92" t="s">
        <v>1</v>
      </c>
      <c r="C1" s="91" t="s">
        <v>81</v>
      </c>
      <c r="D1" s="91" t="s">
        <v>126</v>
      </c>
      <c r="E1" s="91" t="s">
        <v>127</v>
      </c>
      <c r="F1" s="91" t="s">
        <v>129</v>
      </c>
      <c r="G1" s="91" t="s">
        <v>128</v>
      </c>
    </row>
    <row r="2" spans="1:7">
      <c r="A2" s="60">
        <v>43198</v>
      </c>
      <c r="B2" s="64" t="s">
        <v>37</v>
      </c>
      <c r="C2">
        <v>5</v>
      </c>
      <c r="D2">
        <v>500</v>
      </c>
      <c r="E2">
        <v>580</v>
      </c>
      <c r="F2">
        <f>E2-D2</f>
        <v>80</v>
      </c>
      <c r="G2">
        <v>18</v>
      </c>
    </row>
    <row r="3" spans="1:7">
      <c r="A3" s="60">
        <v>43198</v>
      </c>
      <c r="B3" s="64" t="s">
        <v>37</v>
      </c>
      <c r="C3">
        <v>16</v>
      </c>
      <c r="D3">
        <v>510</v>
      </c>
      <c r="E3">
        <v>580</v>
      </c>
      <c r="F3">
        <f t="shared" ref="F3:F45" si="0">E3-D3</f>
        <v>70</v>
      </c>
      <c r="G3">
        <v>16</v>
      </c>
    </row>
    <row r="4" spans="1:7">
      <c r="A4" s="60">
        <v>43198</v>
      </c>
      <c r="B4" s="64" t="s">
        <v>84</v>
      </c>
      <c r="C4">
        <v>19</v>
      </c>
      <c r="D4">
        <v>500</v>
      </c>
      <c r="E4">
        <v>540</v>
      </c>
      <c r="F4">
        <f t="shared" si="0"/>
        <v>40</v>
      </c>
      <c r="G4">
        <v>9</v>
      </c>
    </row>
    <row r="5" spans="1:7">
      <c r="A5" s="60">
        <v>43198</v>
      </c>
      <c r="B5" s="64" t="s">
        <v>84</v>
      </c>
      <c r="C5">
        <v>21</v>
      </c>
      <c r="D5">
        <v>520</v>
      </c>
      <c r="E5">
        <v>575</v>
      </c>
      <c r="F5">
        <f t="shared" si="0"/>
        <v>55</v>
      </c>
      <c r="G5">
        <v>10</v>
      </c>
    </row>
    <row r="6" spans="1:7">
      <c r="A6" s="60">
        <v>43198</v>
      </c>
      <c r="B6" s="64" t="s">
        <v>61</v>
      </c>
      <c r="C6">
        <v>3</v>
      </c>
      <c r="D6" s="89">
        <v>500</v>
      </c>
      <c r="E6">
        <v>585</v>
      </c>
      <c r="F6">
        <f t="shared" si="0"/>
        <v>85</v>
      </c>
      <c r="G6">
        <v>18</v>
      </c>
    </row>
    <row r="7" spans="1:7">
      <c r="A7" s="60">
        <v>43198</v>
      </c>
      <c r="B7" s="64" t="s">
        <v>61</v>
      </c>
      <c r="C7">
        <v>4</v>
      </c>
      <c r="D7">
        <v>520</v>
      </c>
      <c r="E7">
        <v>630</v>
      </c>
      <c r="F7">
        <f t="shared" si="0"/>
        <v>110</v>
      </c>
      <c r="G7">
        <v>19</v>
      </c>
    </row>
    <row r="8" spans="1:7">
      <c r="A8" s="60">
        <v>43198</v>
      </c>
      <c r="B8" s="64" t="s">
        <v>36</v>
      </c>
      <c r="C8">
        <v>10</v>
      </c>
      <c r="D8" s="89">
        <v>500</v>
      </c>
      <c r="E8">
        <v>605</v>
      </c>
      <c r="F8">
        <f t="shared" si="0"/>
        <v>105</v>
      </c>
      <c r="G8">
        <v>17</v>
      </c>
    </row>
    <row r="9" spans="1:7">
      <c r="A9" s="60">
        <v>43198</v>
      </c>
      <c r="B9" s="64" t="s">
        <v>36</v>
      </c>
      <c r="C9">
        <v>9</v>
      </c>
      <c r="D9" s="89">
        <v>500</v>
      </c>
      <c r="E9">
        <v>600</v>
      </c>
      <c r="F9">
        <f t="shared" si="0"/>
        <v>100</v>
      </c>
      <c r="G9">
        <v>20</v>
      </c>
    </row>
    <row r="10" spans="1:7">
      <c r="A10" s="60">
        <v>43198</v>
      </c>
      <c r="B10" s="64" t="s">
        <v>36</v>
      </c>
      <c r="C10">
        <v>13</v>
      </c>
      <c r="D10" s="89">
        <v>500</v>
      </c>
      <c r="E10">
        <v>600</v>
      </c>
      <c r="F10">
        <f t="shared" si="0"/>
        <v>100</v>
      </c>
      <c r="G10">
        <v>19</v>
      </c>
    </row>
    <row r="11" spans="1:7">
      <c r="A11" s="60">
        <v>43198</v>
      </c>
      <c r="B11" s="64" t="s">
        <v>36</v>
      </c>
      <c r="C11">
        <v>11</v>
      </c>
      <c r="D11" s="89">
        <v>500</v>
      </c>
      <c r="E11">
        <v>595</v>
      </c>
      <c r="F11">
        <f t="shared" si="0"/>
        <v>95</v>
      </c>
      <c r="G11">
        <v>17</v>
      </c>
    </row>
    <row r="12" spans="1:7">
      <c r="A12" s="60">
        <v>43198</v>
      </c>
      <c r="B12" s="64" t="s">
        <v>37</v>
      </c>
      <c r="C12">
        <v>15</v>
      </c>
      <c r="D12" s="89">
        <v>500</v>
      </c>
      <c r="E12">
        <v>575</v>
      </c>
      <c r="F12">
        <f t="shared" si="0"/>
        <v>75</v>
      </c>
      <c r="G12">
        <v>16</v>
      </c>
    </row>
    <row r="13" spans="1:7">
      <c r="A13" s="60">
        <v>43198</v>
      </c>
      <c r="B13" s="64" t="s">
        <v>37</v>
      </c>
      <c r="C13">
        <v>1</v>
      </c>
      <c r="D13" s="89">
        <v>500</v>
      </c>
      <c r="E13">
        <v>585</v>
      </c>
      <c r="F13">
        <f t="shared" si="0"/>
        <v>85</v>
      </c>
      <c r="G13">
        <v>16</v>
      </c>
    </row>
    <row r="14" spans="1:7">
      <c r="A14" s="60">
        <v>43198</v>
      </c>
      <c r="B14" s="64" t="s">
        <v>84</v>
      </c>
      <c r="C14">
        <v>20</v>
      </c>
      <c r="D14" s="89">
        <v>510</v>
      </c>
      <c r="E14">
        <v>560</v>
      </c>
      <c r="F14">
        <f t="shared" si="0"/>
        <v>50</v>
      </c>
      <c r="G14">
        <v>8</v>
      </c>
    </row>
    <row r="15" spans="1:7">
      <c r="A15" s="60">
        <v>43198</v>
      </c>
      <c r="B15" s="64" t="s">
        <v>84</v>
      </c>
      <c r="C15">
        <v>22</v>
      </c>
      <c r="D15" s="89">
        <v>500</v>
      </c>
      <c r="E15">
        <v>580</v>
      </c>
      <c r="F15">
        <f t="shared" si="0"/>
        <v>80</v>
      </c>
      <c r="G15">
        <v>11</v>
      </c>
    </row>
    <row r="16" spans="1:7">
      <c r="A16" s="60">
        <v>43198</v>
      </c>
      <c r="B16" s="64" t="s">
        <v>61</v>
      </c>
      <c r="C16">
        <v>12</v>
      </c>
      <c r="D16" s="89">
        <v>500</v>
      </c>
      <c r="E16">
        <v>575</v>
      </c>
      <c r="F16">
        <f t="shared" si="0"/>
        <v>75</v>
      </c>
      <c r="G16">
        <v>17</v>
      </c>
    </row>
    <row r="17" spans="1:7">
      <c r="A17" s="60">
        <v>43198</v>
      </c>
      <c r="B17" s="64" t="s">
        <v>61</v>
      </c>
      <c r="C17">
        <v>14</v>
      </c>
      <c r="D17" s="89">
        <v>500</v>
      </c>
      <c r="E17">
        <v>590</v>
      </c>
      <c r="F17">
        <f t="shared" si="0"/>
        <v>90</v>
      </c>
      <c r="G17">
        <v>17</v>
      </c>
    </row>
    <row r="18" spans="1:7">
      <c r="A18" s="60">
        <v>43198</v>
      </c>
      <c r="B18" s="64" t="s">
        <v>28</v>
      </c>
      <c r="C18">
        <v>25</v>
      </c>
      <c r="D18" s="89">
        <v>500</v>
      </c>
      <c r="E18">
        <v>595</v>
      </c>
      <c r="F18">
        <f t="shared" si="0"/>
        <v>95</v>
      </c>
      <c r="G18">
        <v>17</v>
      </c>
    </row>
    <row r="19" spans="1:7">
      <c r="A19" s="60">
        <v>43198</v>
      </c>
      <c r="B19" s="64" t="s">
        <v>28</v>
      </c>
      <c r="C19">
        <v>23</v>
      </c>
      <c r="D19" s="89">
        <v>520</v>
      </c>
      <c r="E19">
        <v>610</v>
      </c>
      <c r="F19">
        <f t="shared" si="0"/>
        <v>90</v>
      </c>
      <c r="G19">
        <v>14</v>
      </c>
    </row>
    <row r="20" spans="1:7">
      <c r="A20" s="60">
        <v>43198</v>
      </c>
      <c r="B20" s="90" t="s">
        <v>59</v>
      </c>
      <c r="C20">
        <v>8</v>
      </c>
      <c r="D20" s="89">
        <v>500</v>
      </c>
      <c r="E20">
        <v>580</v>
      </c>
      <c r="F20">
        <f t="shared" si="0"/>
        <v>80</v>
      </c>
      <c r="G20">
        <v>16</v>
      </c>
    </row>
    <row r="21" spans="1:7">
      <c r="A21" s="60">
        <v>43198</v>
      </c>
      <c r="B21" s="90" t="s">
        <v>59</v>
      </c>
      <c r="C21">
        <v>2</v>
      </c>
      <c r="D21" s="89">
        <v>500</v>
      </c>
      <c r="E21">
        <v>600</v>
      </c>
      <c r="F21">
        <f t="shared" si="0"/>
        <v>100</v>
      </c>
      <c r="G21">
        <v>16</v>
      </c>
    </row>
    <row r="22" spans="1:7">
      <c r="A22" s="60">
        <v>43198</v>
      </c>
      <c r="B22" s="64" t="s">
        <v>83</v>
      </c>
      <c r="C22">
        <v>29</v>
      </c>
      <c r="D22" s="89">
        <v>500</v>
      </c>
      <c r="E22">
        <v>595</v>
      </c>
      <c r="F22">
        <f t="shared" si="0"/>
        <v>95</v>
      </c>
      <c r="G22">
        <v>15</v>
      </c>
    </row>
    <row r="23" spans="1:7">
      <c r="A23" s="60">
        <v>43198</v>
      </c>
      <c r="B23" s="64" t="s">
        <v>83</v>
      </c>
      <c r="C23">
        <v>30</v>
      </c>
      <c r="D23" s="89">
        <v>520</v>
      </c>
      <c r="E23">
        <v>590</v>
      </c>
      <c r="F23">
        <f t="shared" si="0"/>
        <v>70</v>
      </c>
      <c r="G23">
        <v>13</v>
      </c>
    </row>
    <row r="24" spans="1:7">
      <c r="A24" s="60">
        <v>43198</v>
      </c>
      <c r="B24" s="64" t="s">
        <v>59</v>
      </c>
      <c r="C24">
        <v>7</v>
      </c>
      <c r="D24" s="89">
        <v>500</v>
      </c>
      <c r="E24">
        <v>600</v>
      </c>
      <c r="F24">
        <f t="shared" si="0"/>
        <v>100</v>
      </c>
      <c r="G24">
        <v>17</v>
      </c>
    </row>
    <row r="25" spans="1:7">
      <c r="A25" s="60">
        <v>43198</v>
      </c>
      <c r="B25" s="64" t="s">
        <v>59</v>
      </c>
      <c r="C25">
        <v>6</v>
      </c>
      <c r="D25" s="89">
        <v>500</v>
      </c>
      <c r="E25">
        <v>610</v>
      </c>
      <c r="F25">
        <f t="shared" si="0"/>
        <v>110</v>
      </c>
      <c r="G25">
        <v>18</v>
      </c>
    </row>
    <row r="26" spans="1:7">
      <c r="A26" s="60">
        <v>43198</v>
      </c>
      <c r="B26" s="64" t="s">
        <v>29</v>
      </c>
      <c r="C26">
        <v>28</v>
      </c>
      <c r="D26" s="89">
        <v>500</v>
      </c>
      <c r="E26">
        <v>590</v>
      </c>
      <c r="F26">
        <f t="shared" si="0"/>
        <v>90</v>
      </c>
      <c r="G26">
        <v>16</v>
      </c>
    </row>
    <row r="27" spans="1:7">
      <c r="A27" s="60">
        <v>43198</v>
      </c>
      <c r="B27" s="64" t="s">
        <v>29</v>
      </c>
      <c r="C27">
        <v>17</v>
      </c>
      <c r="D27" s="89">
        <v>500</v>
      </c>
      <c r="E27">
        <v>595</v>
      </c>
      <c r="F27">
        <f t="shared" si="0"/>
        <v>95</v>
      </c>
      <c r="G27">
        <v>17</v>
      </c>
    </row>
    <row r="28" spans="1:7">
      <c r="A28" s="60">
        <v>43198</v>
      </c>
      <c r="B28" s="64" t="s">
        <v>83</v>
      </c>
      <c r="C28">
        <v>31</v>
      </c>
      <c r="D28" s="89">
        <v>500</v>
      </c>
      <c r="E28">
        <v>560</v>
      </c>
      <c r="F28">
        <f t="shared" si="0"/>
        <v>60</v>
      </c>
      <c r="G28">
        <v>10</v>
      </c>
    </row>
    <row r="29" spans="1:7">
      <c r="A29" s="60">
        <v>43198</v>
      </c>
      <c r="B29" s="64" t="s">
        <v>83</v>
      </c>
      <c r="C29">
        <v>32</v>
      </c>
      <c r="D29" s="89">
        <v>500</v>
      </c>
      <c r="E29">
        <v>570</v>
      </c>
      <c r="F29">
        <f t="shared" si="0"/>
        <v>70</v>
      </c>
      <c r="G29">
        <v>13</v>
      </c>
    </row>
    <row r="30" spans="1:7">
      <c r="A30" s="60">
        <v>43198</v>
      </c>
      <c r="B30" s="64" t="s">
        <v>28</v>
      </c>
      <c r="C30">
        <v>26</v>
      </c>
      <c r="D30" s="89">
        <v>500</v>
      </c>
      <c r="E30">
        <v>590</v>
      </c>
      <c r="F30">
        <f t="shared" si="0"/>
        <v>90</v>
      </c>
      <c r="G30">
        <v>14</v>
      </c>
    </row>
    <row r="31" spans="1:7">
      <c r="A31" s="60">
        <v>43198</v>
      </c>
      <c r="B31" s="64" t="s">
        <v>28</v>
      </c>
      <c r="C31">
        <v>24</v>
      </c>
      <c r="D31" s="89">
        <v>520</v>
      </c>
      <c r="E31">
        <v>600</v>
      </c>
      <c r="F31">
        <f t="shared" si="0"/>
        <v>80</v>
      </c>
      <c r="G31">
        <v>14</v>
      </c>
    </row>
    <row r="32" spans="1:7">
      <c r="A32" s="60">
        <v>43198</v>
      </c>
      <c r="B32" s="64" t="s">
        <v>29</v>
      </c>
      <c r="C32">
        <v>27</v>
      </c>
      <c r="D32" s="89">
        <v>500</v>
      </c>
      <c r="E32">
        <v>600</v>
      </c>
      <c r="F32">
        <f t="shared" si="0"/>
        <v>100</v>
      </c>
      <c r="G32">
        <v>18</v>
      </c>
    </row>
    <row r="33" spans="1:7">
      <c r="A33" s="60">
        <v>43198</v>
      </c>
      <c r="B33" s="64" t="s">
        <v>29</v>
      </c>
      <c r="C33">
        <v>18</v>
      </c>
      <c r="D33" s="89">
        <v>500</v>
      </c>
      <c r="E33">
        <v>580</v>
      </c>
      <c r="F33">
        <f t="shared" si="0"/>
        <v>80</v>
      </c>
      <c r="G33">
        <v>16</v>
      </c>
    </row>
    <row r="34" spans="1:7">
      <c r="A34" s="60">
        <v>43204</v>
      </c>
      <c r="B34" s="64" t="s">
        <v>83</v>
      </c>
      <c r="C34">
        <v>29</v>
      </c>
      <c r="D34" s="89">
        <v>515</v>
      </c>
      <c r="E34">
        <v>598</v>
      </c>
      <c r="F34">
        <f t="shared" si="0"/>
        <v>83</v>
      </c>
    </row>
    <row r="35" spans="1:7">
      <c r="A35" s="60">
        <v>43204</v>
      </c>
      <c r="B35" s="64" t="s">
        <v>36</v>
      </c>
      <c r="C35">
        <v>11</v>
      </c>
      <c r="D35" s="89">
        <v>515</v>
      </c>
      <c r="E35">
        <v>603</v>
      </c>
      <c r="F35">
        <f t="shared" si="0"/>
        <v>88</v>
      </c>
    </row>
    <row r="36" spans="1:7">
      <c r="A36" s="60">
        <v>43204</v>
      </c>
      <c r="B36" s="64" t="s">
        <v>37</v>
      </c>
      <c r="C36">
        <v>15</v>
      </c>
      <c r="D36" s="89">
        <v>532</v>
      </c>
      <c r="E36">
        <v>602</v>
      </c>
      <c r="F36">
        <f t="shared" si="0"/>
        <v>70</v>
      </c>
    </row>
    <row r="37" spans="1:7">
      <c r="A37" s="60">
        <v>43207</v>
      </c>
      <c r="B37" s="64" t="s">
        <v>61</v>
      </c>
      <c r="C37">
        <v>12</v>
      </c>
      <c r="D37" s="89">
        <v>495</v>
      </c>
      <c r="E37">
        <v>565</v>
      </c>
      <c r="F37">
        <f t="shared" si="0"/>
        <v>70</v>
      </c>
    </row>
    <row r="38" spans="1:7">
      <c r="A38" s="60">
        <v>43207</v>
      </c>
      <c r="B38" s="64" t="s">
        <v>61</v>
      </c>
      <c r="C38">
        <v>14</v>
      </c>
      <c r="D38" s="89">
        <v>495</v>
      </c>
      <c r="E38">
        <v>580</v>
      </c>
      <c r="F38">
        <f t="shared" si="0"/>
        <v>85</v>
      </c>
    </row>
    <row r="39" spans="1:7">
      <c r="A39" s="60">
        <v>43207</v>
      </c>
      <c r="B39" s="64" t="s">
        <v>28</v>
      </c>
      <c r="C39">
        <v>24</v>
      </c>
      <c r="D39" s="89">
        <v>502</v>
      </c>
      <c r="E39">
        <v>572</v>
      </c>
      <c r="F39">
        <f t="shared" si="0"/>
        <v>70</v>
      </c>
    </row>
    <row r="40" spans="1:7">
      <c r="A40" s="60">
        <v>43212</v>
      </c>
      <c r="B40" s="64" t="s">
        <v>83</v>
      </c>
      <c r="C40">
        <v>29</v>
      </c>
      <c r="D40" s="89">
        <v>520</v>
      </c>
      <c r="E40">
        <v>598</v>
      </c>
      <c r="F40">
        <f t="shared" si="0"/>
        <v>78</v>
      </c>
    </row>
    <row r="41" spans="1:7">
      <c r="A41" s="60">
        <v>43212</v>
      </c>
      <c r="B41" s="64" t="s">
        <v>36</v>
      </c>
      <c r="C41">
        <v>10</v>
      </c>
      <c r="D41" s="89">
        <v>498</v>
      </c>
      <c r="E41">
        <v>600</v>
      </c>
      <c r="F41">
        <f t="shared" si="0"/>
        <v>102</v>
      </c>
    </row>
    <row r="42" spans="1:7">
      <c r="A42" s="60">
        <v>43212</v>
      </c>
      <c r="B42" s="64" t="s">
        <v>28</v>
      </c>
      <c r="C42">
        <v>26</v>
      </c>
      <c r="D42" s="89">
        <v>515</v>
      </c>
      <c r="E42">
        <v>595</v>
      </c>
      <c r="F42">
        <f t="shared" si="0"/>
        <v>80</v>
      </c>
    </row>
    <row r="43" spans="1:7">
      <c r="A43" s="60">
        <v>43212</v>
      </c>
      <c r="B43" s="64" t="s">
        <v>29</v>
      </c>
      <c r="C43">
        <v>18</v>
      </c>
      <c r="D43" s="89">
        <v>543</v>
      </c>
      <c r="E43">
        <v>615</v>
      </c>
      <c r="F43">
        <f t="shared" si="0"/>
        <v>72</v>
      </c>
    </row>
    <row r="44" spans="1:7">
      <c r="A44" s="60">
        <v>43217</v>
      </c>
      <c r="B44" s="64" t="s">
        <v>61</v>
      </c>
      <c r="C44">
        <v>14</v>
      </c>
      <c r="D44" s="89">
        <v>505</v>
      </c>
      <c r="E44">
        <v>587</v>
      </c>
      <c r="F44">
        <f t="shared" si="0"/>
        <v>82</v>
      </c>
    </row>
    <row r="45" spans="1:7">
      <c r="A45" s="60">
        <v>43217</v>
      </c>
      <c r="B45" s="64" t="s">
        <v>36</v>
      </c>
      <c r="C45">
        <v>9</v>
      </c>
      <c r="D45" s="89">
        <v>515</v>
      </c>
      <c r="E45">
        <v>615</v>
      </c>
      <c r="F45">
        <f t="shared" si="0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showRuler="0" topLeftCell="E20" workbookViewId="0">
      <selection activeCell="N18" sqref="K1:N18"/>
    </sheetView>
  </sheetViews>
  <sheetFormatPr baseColWidth="10" defaultRowHeight="15" x14ac:dyDescent="0"/>
  <cols>
    <col min="1" max="1" width="6.5" style="64" customWidth="1"/>
    <col min="2" max="2" width="21.33203125" customWidth="1"/>
    <col min="3" max="3" width="14.1640625" style="65" bestFit="1" customWidth="1"/>
    <col min="4" max="4" width="10.33203125" style="65" customWidth="1"/>
    <col min="5" max="5" width="17.33203125" style="62" customWidth="1"/>
    <col min="6" max="6" width="13.33203125" style="65" hidden="1" customWidth="1"/>
    <col min="7" max="7" width="16" customWidth="1"/>
    <col min="8" max="8" width="13.33203125" style="65" customWidth="1"/>
    <col min="9" max="9" width="16" customWidth="1"/>
    <col min="10" max="10" width="10.83203125" style="105"/>
    <col min="11" max="11" width="13.1640625" style="62" customWidth="1"/>
    <col min="12" max="12" width="15.1640625" bestFit="1" customWidth="1"/>
    <col min="13" max="13" width="13" hidden="1" customWidth="1"/>
    <col min="14" max="14" width="11.83203125" customWidth="1"/>
    <col min="15" max="16" width="12.5" bestFit="1" customWidth="1"/>
    <col min="17" max="17" width="15.33203125" customWidth="1"/>
    <col min="18" max="18" width="12.5" customWidth="1"/>
    <col min="19" max="19" width="12.6640625" customWidth="1"/>
    <col min="20" max="20" width="13.6640625" customWidth="1"/>
  </cols>
  <sheetData>
    <row r="1" spans="1:20" ht="61">
      <c r="A1" s="63"/>
      <c r="B1" s="61"/>
      <c r="C1" s="5" t="s">
        <v>92</v>
      </c>
      <c r="D1" s="5" t="s">
        <v>140</v>
      </c>
      <c r="E1" s="5" t="s">
        <v>93</v>
      </c>
      <c r="F1" s="5" t="s">
        <v>139</v>
      </c>
      <c r="G1" s="5" t="s">
        <v>138</v>
      </c>
      <c r="H1" s="5" t="s">
        <v>141</v>
      </c>
      <c r="I1" s="97"/>
      <c r="J1" s="43" t="s">
        <v>21</v>
      </c>
      <c r="K1" s="100" t="s">
        <v>1</v>
      </c>
      <c r="L1" s="5" t="s">
        <v>92</v>
      </c>
      <c r="M1" s="91" t="s">
        <v>204</v>
      </c>
      <c r="N1" s="91" t="s">
        <v>194</v>
      </c>
      <c r="O1" s="91" t="s">
        <v>144</v>
      </c>
      <c r="P1" s="91" t="s">
        <v>145</v>
      </c>
      <c r="Q1" s="91" t="s">
        <v>205</v>
      </c>
      <c r="R1" s="91" t="s">
        <v>202</v>
      </c>
      <c r="S1" s="91" t="s">
        <v>203</v>
      </c>
      <c r="T1" s="91" t="s">
        <v>206</v>
      </c>
    </row>
    <row r="2" spans="1:20" ht="18">
      <c r="A2" s="178" t="s">
        <v>37</v>
      </c>
      <c r="B2" s="179" t="s">
        <v>88</v>
      </c>
      <c r="C2" s="181">
        <f>SUMIF('Larvae Collection'!B:B,SUMMARIES!A2,'Larvae Collection'!Q:Q)</f>
        <v>9149355.1587301586</v>
      </c>
      <c r="D2" s="184">
        <f>SUM('Broodstock volume, numbers'!G2:G3,'Broodstock volume, numbers'!G12:G13)</f>
        <v>66</v>
      </c>
      <c r="E2" s="180">
        <f>SUMIF('Broodstock Mortality'!B:B,A2,'Broodstock Mortality'!D:D)</f>
        <v>23</v>
      </c>
      <c r="F2" s="66">
        <f>SUM('Broodstock volume, numbers'!F2:F3,'Broodstock volume, numbers'!F12:F13)</f>
        <v>310</v>
      </c>
      <c r="G2" s="2">
        <f t="shared" ref="G2:G9" si="0">C2/F2</f>
        <v>29514.048899129542</v>
      </c>
      <c r="H2" s="66">
        <f t="shared" ref="H2:H9" si="1">C2/D2</f>
        <v>138626.5933140933</v>
      </c>
      <c r="I2" s="2"/>
      <c r="J2" s="108" t="s">
        <v>39</v>
      </c>
      <c r="K2" s="109" t="s">
        <v>37</v>
      </c>
      <c r="L2" s="110">
        <f>SUMIF('Larvae Collection'!C:C,SUMMARIES!J2,'Larvae Collection'!Q:Q)</f>
        <v>6012828.4920634925</v>
      </c>
      <c r="M2" s="111">
        <f>SUM('Broodstock volume, numbers'!F12:F13)</f>
        <v>160</v>
      </c>
      <c r="N2" s="111">
        <f>SUM('Broodstock volume, numbers'!G12:G13)</f>
        <v>32</v>
      </c>
      <c r="O2" s="110">
        <f>L2/M2</f>
        <v>37580.178075396827</v>
      </c>
      <c r="P2" s="110">
        <f>L2/N2</f>
        <v>187900.89037698414</v>
      </c>
      <c r="Q2">
        <f>SUM('Broodstock volume, numbers'!F36+'Broodstock volume, numbers'!F13)</f>
        <v>155</v>
      </c>
      <c r="R2">
        <f t="shared" ref="R2:S4" si="2">Q2</f>
        <v>155</v>
      </c>
      <c r="S2">
        <f t="shared" si="2"/>
        <v>155</v>
      </c>
    </row>
    <row r="3" spans="1:20" ht="18">
      <c r="A3" s="178" t="s">
        <v>28</v>
      </c>
      <c r="B3" s="179" t="s">
        <v>88</v>
      </c>
      <c r="C3" s="181">
        <f>SUMIF('Larvae Collection'!B:B,SUMMARIES!A3,'Larvae Collection'!Q:Q)</f>
        <v>4911121.5079365075</v>
      </c>
      <c r="D3" s="184">
        <f>SUM('Broodstock volume, numbers'!G18:G19,'Broodstock volume, numbers'!G30:G31)</f>
        <v>59</v>
      </c>
      <c r="E3" s="180">
        <f>SUMIF('Broodstock Mortality'!B:B,A3,'Broodstock Mortality'!D:D)</f>
        <v>31</v>
      </c>
      <c r="F3" s="66">
        <f>SUM('Broodstock volume, numbers'!F18:F19,'Broodstock volume, numbers'!F30:F31)</f>
        <v>355</v>
      </c>
      <c r="G3" s="2">
        <f t="shared" si="0"/>
        <v>13834.145092778894</v>
      </c>
      <c r="H3" s="66">
        <f t="shared" si="1"/>
        <v>83239.3475921442</v>
      </c>
      <c r="I3" s="2"/>
      <c r="J3" s="108" t="s">
        <v>68</v>
      </c>
      <c r="K3" s="109" t="s">
        <v>37</v>
      </c>
      <c r="L3" s="110">
        <f>SUMIF('Larvae Collection'!C:C,SUMMARIES!J3,'Larvae Collection'!Q:Q)</f>
        <v>3136526.666666667</v>
      </c>
      <c r="M3" s="111">
        <f>SUM('Broodstock volume, numbers'!F2:F3)</f>
        <v>150</v>
      </c>
      <c r="N3" s="111">
        <f>SUM('Broodstock volume, numbers'!G2:G3)</f>
        <v>34</v>
      </c>
      <c r="O3" s="110">
        <f t="shared" ref="O3:O17" si="3">L3/M3</f>
        <v>20910.177777777779</v>
      </c>
      <c r="P3" s="110">
        <f t="shared" ref="P3:P17" si="4">L3/N3</f>
        <v>92250.784313725497</v>
      </c>
      <c r="Q3">
        <f>M3</f>
        <v>150</v>
      </c>
      <c r="R3">
        <f t="shared" si="2"/>
        <v>150</v>
      </c>
      <c r="S3">
        <f t="shared" si="2"/>
        <v>150</v>
      </c>
    </row>
    <row r="4" spans="1:20" ht="18">
      <c r="A4" s="178" t="s">
        <v>29</v>
      </c>
      <c r="B4" s="179" t="s">
        <v>89</v>
      </c>
      <c r="C4" s="181">
        <f>SUMIF('Larvae Collection'!B:B,SUMMARIES!A4,'Larvae Collection'!Q:Q)</f>
        <v>7118026.2698412687</v>
      </c>
      <c r="D4" s="184">
        <f>SUM('Broodstock volume, numbers'!G26:G27,'Broodstock volume, numbers'!G32:G33)</f>
        <v>67</v>
      </c>
      <c r="E4" s="180">
        <f>SUMIF('Broodstock Mortality'!B:B,A4,'Broodstock Mortality'!D:D)</f>
        <v>17</v>
      </c>
      <c r="F4" s="66">
        <f>SUM('Broodstock volume, numbers'!F26:F27,'Broodstock volume, numbers'!F32:F33)</f>
        <v>365</v>
      </c>
      <c r="G4" s="2">
        <f t="shared" si="0"/>
        <v>19501.441835181558</v>
      </c>
      <c r="H4" s="66">
        <f t="shared" si="1"/>
        <v>106239.19805733237</v>
      </c>
      <c r="I4" s="2"/>
      <c r="J4" s="108" t="s">
        <v>69</v>
      </c>
      <c r="K4" s="109" t="s">
        <v>28</v>
      </c>
      <c r="L4" s="110">
        <f>SUMIF('Larvae Collection'!C:C,SUMMARIES!J4,'Larvae Collection'!Q:Q)</f>
        <v>3712153.888888889</v>
      </c>
      <c r="M4" s="111">
        <f>SUM('Broodstock volume, numbers'!F18:F19)</f>
        <v>185</v>
      </c>
      <c r="N4" s="111">
        <f>SUM('Broodstock volume, numbers'!G18:G19)</f>
        <v>31</v>
      </c>
      <c r="O4" s="110">
        <f t="shared" si="3"/>
        <v>20065.696696696697</v>
      </c>
      <c r="P4" s="110">
        <f t="shared" si="4"/>
        <v>119746.89964157707</v>
      </c>
      <c r="Q4">
        <f>M4</f>
        <v>185</v>
      </c>
      <c r="R4">
        <f t="shared" si="2"/>
        <v>185</v>
      </c>
      <c r="S4">
        <f t="shared" si="2"/>
        <v>185</v>
      </c>
    </row>
    <row r="5" spans="1:20" ht="18">
      <c r="A5" s="178" t="s">
        <v>36</v>
      </c>
      <c r="B5" s="179" t="s">
        <v>89</v>
      </c>
      <c r="C5" s="181">
        <f>SUMIF('Larvae Collection'!B:B,SUMMARIES!A5,'Larvae Collection'!Q:Q)</f>
        <v>7834791.1111111091</v>
      </c>
      <c r="D5" s="184">
        <f>SUM('Broodstock volume, numbers'!G8:G11)</f>
        <v>73</v>
      </c>
      <c r="E5" s="180">
        <f>SUMIF('Broodstock Mortality'!B:B,A5,'Broodstock Mortality'!D:D)</f>
        <v>19</v>
      </c>
      <c r="F5" s="66">
        <f>SUM('Broodstock volume, numbers'!F8:F11)</f>
        <v>400</v>
      </c>
      <c r="G5" s="2">
        <f t="shared" si="0"/>
        <v>19586.977777777774</v>
      </c>
      <c r="H5" s="66">
        <f t="shared" si="1"/>
        <v>107325.90563165903</v>
      </c>
      <c r="I5" s="2"/>
      <c r="J5" s="108" t="s">
        <v>78</v>
      </c>
      <c r="K5" s="109" t="s">
        <v>28</v>
      </c>
      <c r="L5" s="110">
        <f>SUMIF('Larvae Collection'!C:C,SUMMARIES!J5,'Larvae Collection'!Q:Q)</f>
        <v>995396.19047619065</v>
      </c>
      <c r="M5" s="111">
        <f>SUM('Broodstock volume, numbers'!F30:F31)</f>
        <v>170</v>
      </c>
      <c r="N5" s="111">
        <f>SUM('Broodstock volume, numbers'!G30:G31)</f>
        <v>28</v>
      </c>
      <c r="O5" s="110">
        <f t="shared" si="3"/>
        <v>5855.2717086834746</v>
      </c>
      <c r="P5" s="110">
        <f t="shared" si="4"/>
        <v>35549.86394557824</v>
      </c>
      <c r="Q5">
        <f>M5</f>
        <v>170</v>
      </c>
      <c r="R5">
        <f>SUM('Broodstock volume, numbers'!F39+'Broodstock volume, numbers'!F30)</f>
        <v>160</v>
      </c>
      <c r="S5">
        <f>SUM('Broodstock volume, numbers'!F42+'Broodstock volume, numbers'!F39)</f>
        <v>150</v>
      </c>
    </row>
    <row r="6" spans="1:20" ht="18">
      <c r="A6" s="178" t="s">
        <v>83</v>
      </c>
      <c r="B6" s="179" t="s">
        <v>90</v>
      </c>
      <c r="C6" s="181">
        <f>SUMIF('Larvae Collection'!B:B,SUMMARIES!A6,'Larvae Collection'!Q:Q)</f>
        <v>5558398.888888889</v>
      </c>
      <c r="D6" s="184">
        <f>SUM('Broodstock volume, numbers'!G22:G23,'Broodstock volume, numbers'!G28:G29)</f>
        <v>51</v>
      </c>
      <c r="E6" s="180">
        <f>SUMIF('Broodstock Mortality'!B:B,A6,'Broodstock Mortality'!D:D)</f>
        <v>43</v>
      </c>
      <c r="F6" s="66">
        <f>SUM('Broodstock volume, numbers'!F26:F27,'Broodstock volume, numbers'!F32:F33)</f>
        <v>365</v>
      </c>
      <c r="G6" s="2">
        <f t="shared" si="0"/>
        <v>15228.490106544901</v>
      </c>
      <c r="H6" s="66">
        <f t="shared" si="1"/>
        <v>108988.21350762527</v>
      </c>
      <c r="I6" s="2"/>
      <c r="J6" s="112" t="s">
        <v>62</v>
      </c>
      <c r="K6" s="113" t="s">
        <v>29</v>
      </c>
      <c r="L6" s="114">
        <f>SUMIF('Larvae Collection'!C:C,SUMMARIES!J6,'Larvae Collection'!Q:Q)</f>
        <v>3694952.3809523806</v>
      </c>
      <c r="M6" s="115">
        <f>SUM('Broodstock volume, numbers'!F26:F27)</f>
        <v>185</v>
      </c>
      <c r="N6" s="115">
        <f>SUM('Broodstock volume, numbers'!G26:G27)</f>
        <v>33</v>
      </c>
      <c r="O6" s="114">
        <f t="shared" si="3"/>
        <v>19972.71557271557</v>
      </c>
      <c r="P6" s="114">
        <f t="shared" si="4"/>
        <v>111968.25396825396</v>
      </c>
      <c r="Q6">
        <f>M6</f>
        <v>185</v>
      </c>
      <c r="R6">
        <f>Q6</f>
        <v>185</v>
      </c>
      <c r="S6">
        <f>R6</f>
        <v>185</v>
      </c>
    </row>
    <row r="7" spans="1:20" ht="18">
      <c r="A7" s="178" t="s">
        <v>84</v>
      </c>
      <c r="B7" s="179" t="s">
        <v>90</v>
      </c>
      <c r="C7" s="181">
        <f>SUMIF('Larvae Collection'!B:B,SUMMARIES!A7,'Larvae Collection'!Q:Q)</f>
        <v>3535223.055555555</v>
      </c>
      <c r="D7" s="184">
        <f>SUM('Broodstock volume, numbers'!G4:G5,'Broodstock volume, numbers'!G14:G15)</f>
        <v>38</v>
      </c>
      <c r="E7" s="180">
        <f>SUMIF('Broodstock Mortality'!B:B,A7,'Broodstock Mortality'!D:D)</f>
        <v>43</v>
      </c>
      <c r="F7" s="66">
        <f>SUM('Broodstock volume, numbers'!F4:F5,'Broodstock volume, numbers'!F14:F15)</f>
        <v>225</v>
      </c>
      <c r="G7" s="2">
        <f t="shared" si="0"/>
        <v>15712.1024691358</v>
      </c>
      <c r="H7" s="66">
        <f t="shared" si="1"/>
        <v>93032.185672514606</v>
      </c>
      <c r="I7" s="2"/>
      <c r="J7" s="112" t="s">
        <v>120</v>
      </c>
      <c r="K7" s="113" t="s">
        <v>29</v>
      </c>
      <c r="L7" s="114">
        <f>SUMIF('Larvae Collection'!C:C,SUMMARIES!J7,'Larvae Collection'!Q:Q)</f>
        <v>3423073.8888888885</v>
      </c>
      <c r="M7" s="115">
        <f>SUM('Broodstock volume, numbers'!F32:F33)</f>
        <v>180</v>
      </c>
      <c r="N7" s="115">
        <f>SUM('Broodstock volume, numbers'!G32:G33)</f>
        <v>34</v>
      </c>
      <c r="O7" s="114">
        <f t="shared" si="3"/>
        <v>19017.077160493824</v>
      </c>
      <c r="P7" s="114">
        <f t="shared" si="4"/>
        <v>100678.64379084966</v>
      </c>
      <c r="Q7">
        <f>M7</f>
        <v>180</v>
      </c>
      <c r="R7">
        <f t="shared" ref="R7:R13" si="5">Q7</f>
        <v>180</v>
      </c>
      <c r="S7">
        <f>SUM('Broodstock volume, numbers'!F43+'Broodstock volume, numbers'!F32)</f>
        <v>172</v>
      </c>
    </row>
    <row r="8" spans="1:20" ht="18">
      <c r="A8" s="178" t="s">
        <v>61</v>
      </c>
      <c r="B8" s="179" t="s">
        <v>91</v>
      </c>
      <c r="C8" s="181">
        <f>SUMIF('Larvae Collection'!B:B,SUMMARIES!A8,'Larvae Collection'!Q:Q)</f>
        <v>6628705.7142857136</v>
      </c>
      <c r="D8" s="184">
        <f>SUM('Broodstock volume, numbers'!G6:G7,'Broodstock volume, numbers'!G16:G17)</f>
        <v>71</v>
      </c>
      <c r="E8" s="180">
        <f>SUMIF('Broodstock Mortality'!B:B,A8,'Broodstock Mortality'!D:D)</f>
        <v>16</v>
      </c>
      <c r="F8" s="66">
        <f>SUM('Broodstock volume, numbers'!F6:F7,'Broodstock volume, numbers'!F16:F17)</f>
        <v>360</v>
      </c>
      <c r="G8" s="2">
        <f t="shared" si="0"/>
        <v>18413.071428571428</v>
      </c>
      <c r="H8" s="66">
        <f t="shared" si="1"/>
        <v>93362.052313883294</v>
      </c>
      <c r="I8" s="2"/>
      <c r="J8" s="112" t="s">
        <v>38</v>
      </c>
      <c r="K8" s="113" t="s">
        <v>36</v>
      </c>
      <c r="L8" s="114">
        <f>SUMIF('Larvae Collection'!C:C,SUMMARIES!J8,'Larvae Collection'!Q:Q)</f>
        <v>4882009.9999999991</v>
      </c>
      <c r="M8" s="115">
        <f>SUM('Broodstock volume, numbers'!F10:F11)</f>
        <v>195</v>
      </c>
      <c r="N8" s="115">
        <f>SUM('Broodstock volume, numbers'!G10:G11)</f>
        <v>36</v>
      </c>
      <c r="O8" s="114">
        <f t="shared" si="3"/>
        <v>25035.948717948711</v>
      </c>
      <c r="P8" s="114">
        <f t="shared" si="4"/>
        <v>135611.38888888888</v>
      </c>
      <c r="Q8">
        <f>SUM('Broodstock volume, numbers'!F35+'Broodstock volume, numbers'!F10)</f>
        <v>188</v>
      </c>
      <c r="R8">
        <f t="shared" si="5"/>
        <v>188</v>
      </c>
      <c r="S8">
        <f>R8</f>
        <v>188</v>
      </c>
    </row>
    <row r="9" spans="1:20" ht="18">
      <c r="A9" s="178" t="s">
        <v>59</v>
      </c>
      <c r="B9" s="179" t="s">
        <v>91</v>
      </c>
      <c r="C9" s="181">
        <f>SUMIF('Larvae Collection'!B:B,SUMMARIES!A9,'Larvae Collection'!Q:Q)</f>
        <v>6862121.666666667</v>
      </c>
      <c r="D9" s="184">
        <f>SUM('Broodstock volume, numbers'!G20:G21,'Broodstock volume, numbers'!G24:G25)</f>
        <v>67</v>
      </c>
      <c r="E9" s="180">
        <f>SUMIF('Broodstock Mortality'!B:B,A9,'Broodstock Mortality'!D:D)</f>
        <v>19</v>
      </c>
      <c r="F9" s="66">
        <f>SUM('Broodstock volume, numbers'!F20:F21,'Broodstock volume, numbers'!F24:F25)</f>
        <v>390</v>
      </c>
      <c r="G9" s="2">
        <f t="shared" si="0"/>
        <v>17595.183760683762</v>
      </c>
      <c r="H9" s="66">
        <f t="shared" si="1"/>
        <v>102419.72636815922</v>
      </c>
      <c r="I9" s="2"/>
      <c r="J9" s="112" t="s">
        <v>42</v>
      </c>
      <c r="K9" s="113" t="s">
        <v>36</v>
      </c>
      <c r="L9" s="114">
        <f>SUMIF('Larvae Collection'!C:C,SUMMARIES!J9,'Larvae Collection'!Q:Q)</f>
        <v>2952781.1111111115</v>
      </c>
      <c r="M9" s="115">
        <f>SUM('Broodstock volume, numbers'!F8:F9)</f>
        <v>205</v>
      </c>
      <c r="N9" s="115">
        <f>SUM('Broodstock volume, numbers'!G8:G9)</f>
        <v>37</v>
      </c>
      <c r="O9" s="114">
        <f t="shared" si="3"/>
        <v>14403.810298102982</v>
      </c>
      <c r="P9" s="114">
        <f t="shared" si="4"/>
        <v>79804.894894894911</v>
      </c>
      <c r="Q9">
        <f>M9</f>
        <v>205</v>
      </c>
      <c r="R9">
        <f t="shared" si="5"/>
        <v>205</v>
      </c>
      <c r="S9">
        <f>SUM('Broodstock volume, numbers'!F41+'Broodstock volume, numbers'!F9)</f>
        <v>202</v>
      </c>
    </row>
    <row r="10" spans="1:20" ht="18">
      <c r="A10" s="182"/>
      <c r="B10" s="165" t="s">
        <v>209</v>
      </c>
      <c r="C10" s="183">
        <f>SUM(C2:C9)</f>
        <v>51597743.373015866</v>
      </c>
      <c r="D10" s="164">
        <f>SUM(D2:D9)</f>
        <v>492</v>
      </c>
      <c r="E10" s="164">
        <f>SUM(E2:E9)</f>
        <v>211</v>
      </c>
      <c r="J10" s="120" t="s">
        <v>114</v>
      </c>
      <c r="K10" s="121" t="s">
        <v>83</v>
      </c>
      <c r="L10" s="122">
        <f>SUMIF('Larvae Collection'!C:C,SUMMARIES!J10,'Larvae Collection'!Q:Q)</f>
        <v>3094754.444444445</v>
      </c>
      <c r="M10" s="123">
        <f>SUM('Broodstock volume, numbers'!F22:F23)</f>
        <v>165</v>
      </c>
      <c r="N10" s="123">
        <f>SUM('Broodstock volume, numbers'!G22:G23)</f>
        <v>28</v>
      </c>
      <c r="O10" s="122">
        <f t="shared" si="3"/>
        <v>18756.087542087545</v>
      </c>
      <c r="P10" s="122">
        <f t="shared" si="4"/>
        <v>110526.94444444447</v>
      </c>
      <c r="Q10">
        <f>SUM('Broodstock volume, numbers'!F34+'Broodstock volume, numbers'!F23)</f>
        <v>153</v>
      </c>
      <c r="R10">
        <f t="shared" si="5"/>
        <v>153</v>
      </c>
      <c r="S10">
        <f>SUM('Broodstock volume, numbers'!F40+'Broodstock volume, numbers'!F23)</f>
        <v>148</v>
      </c>
    </row>
    <row r="11" spans="1:20">
      <c r="J11" s="120" t="s">
        <v>95</v>
      </c>
      <c r="K11" s="121" t="s">
        <v>83</v>
      </c>
      <c r="L11" s="122">
        <f>SUMIF('Larvae Collection'!C:C,SUMMARIES!J11,'Larvae Collection'!Q:Q)</f>
        <v>2463644.4444444445</v>
      </c>
      <c r="M11" s="123">
        <f>SUM('Broodstock volume, numbers'!F28:F29)</f>
        <v>130</v>
      </c>
      <c r="N11" s="123">
        <f>SUM('Broodstock volume, numbers'!G28:G29)</f>
        <v>23</v>
      </c>
      <c r="O11" s="122">
        <f t="shared" si="3"/>
        <v>18951.111111111113</v>
      </c>
      <c r="P11" s="122">
        <f t="shared" si="4"/>
        <v>107114.97584541063</v>
      </c>
      <c r="Q11">
        <f t="shared" ref="Q11:Q17" si="6">M11</f>
        <v>130</v>
      </c>
      <c r="R11">
        <f t="shared" si="5"/>
        <v>130</v>
      </c>
      <c r="S11">
        <f t="shared" ref="S11:S17" si="7">R11</f>
        <v>130</v>
      </c>
    </row>
    <row r="12" spans="1:20">
      <c r="J12" s="120" t="s">
        <v>96</v>
      </c>
      <c r="K12" s="121" t="s">
        <v>84</v>
      </c>
      <c r="L12" s="122">
        <f>SUMIF('Larvae Collection'!C:C,SUMMARIES!J12,'Larvae Collection'!Q:Q)</f>
        <v>1775234.7222222222</v>
      </c>
      <c r="M12" s="123">
        <f>SUM('Broodstock volume, numbers'!F4:F5)</f>
        <v>95</v>
      </c>
      <c r="N12" s="123">
        <f>SUM('Broodstock volume, numbers'!G4:G5)</f>
        <v>19</v>
      </c>
      <c r="O12" s="122">
        <f t="shared" si="3"/>
        <v>18686.681286549709</v>
      </c>
      <c r="P12" s="122">
        <f t="shared" si="4"/>
        <v>93433.406432748539</v>
      </c>
      <c r="Q12">
        <f t="shared" si="6"/>
        <v>95</v>
      </c>
      <c r="R12">
        <f t="shared" si="5"/>
        <v>95</v>
      </c>
      <c r="S12">
        <f t="shared" si="7"/>
        <v>95</v>
      </c>
    </row>
    <row r="13" spans="1:20">
      <c r="J13" s="120" t="s">
        <v>97</v>
      </c>
      <c r="K13" s="121" t="s">
        <v>84</v>
      </c>
      <c r="L13" s="122">
        <f>SUMIF('Larvae Collection'!C:C,SUMMARIES!J13,'Larvae Collection'!Q:Q)</f>
        <v>1759988.3333333333</v>
      </c>
      <c r="M13" s="123">
        <f>SUM('Broodstock volume, numbers'!F14:F15)</f>
        <v>130</v>
      </c>
      <c r="N13" s="123">
        <f>SUM('Broodstock volume, numbers'!G14:G15)</f>
        <v>19</v>
      </c>
      <c r="O13" s="122">
        <f t="shared" si="3"/>
        <v>13538.371794871795</v>
      </c>
      <c r="P13" s="122">
        <f t="shared" si="4"/>
        <v>92630.964912280702</v>
      </c>
      <c r="Q13">
        <f t="shared" si="6"/>
        <v>130</v>
      </c>
      <c r="R13">
        <f t="shared" si="5"/>
        <v>130</v>
      </c>
      <c r="S13">
        <f t="shared" si="7"/>
        <v>130</v>
      </c>
    </row>
    <row r="14" spans="1:20">
      <c r="J14" s="116" t="s">
        <v>66</v>
      </c>
      <c r="K14" s="117" t="s">
        <v>61</v>
      </c>
      <c r="L14" s="118">
        <f>SUMIF('Larvae Collection'!C:C,SUMMARIES!J14,'Larvae Collection'!Q:Q)</f>
        <v>3530963.333333334</v>
      </c>
      <c r="M14" s="119">
        <f>SUM('Broodstock volume, numbers'!F16:F17)</f>
        <v>165</v>
      </c>
      <c r="N14" s="119">
        <f>SUM('Broodstock volume, numbers'!G16:G17)</f>
        <v>34</v>
      </c>
      <c r="O14" s="118">
        <f t="shared" si="3"/>
        <v>21399.777777777781</v>
      </c>
      <c r="P14" s="118">
        <f t="shared" si="4"/>
        <v>103851.86274509806</v>
      </c>
      <c r="Q14">
        <f t="shared" si="6"/>
        <v>165</v>
      </c>
      <c r="R14">
        <f>SUM('Broodstock volume, numbers'!F37:F38)</f>
        <v>155</v>
      </c>
      <c r="S14">
        <f t="shared" si="7"/>
        <v>155</v>
      </c>
    </row>
    <row r="15" spans="1:20">
      <c r="J15" s="116" t="s">
        <v>67</v>
      </c>
      <c r="K15" s="117" t="s">
        <v>61</v>
      </c>
      <c r="L15" s="118">
        <f>SUMIF('Larvae Collection'!C:C,SUMMARIES!J15,'Larvae Collection'!Q:Q)</f>
        <v>3388931.2698412696</v>
      </c>
      <c r="M15" s="119">
        <f>SUM('Broodstock volume, numbers'!F6:F7)</f>
        <v>195</v>
      </c>
      <c r="N15" s="119">
        <f>SUM('Broodstock volume, numbers'!G6:G7)</f>
        <v>37</v>
      </c>
      <c r="O15" s="118">
        <f t="shared" si="3"/>
        <v>17379.134717134715</v>
      </c>
      <c r="P15" s="118">
        <f t="shared" si="4"/>
        <v>91592.737022737012</v>
      </c>
      <c r="Q15">
        <f t="shared" si="6"/>
        <v>195</v>
      </c>
      <c r="R15">
        <f>Q15</f>
        <v>195</v>
      </c>
      <c r="S15">
        <f t="shared" si="7"/>
        <v>195</v>
      </c>
    </row>
    <row r="16" spans="1:20">
      <c r="J16" s="116" t="s">
        <v>70</v>
      </c>
      <c r="K16" s="117" t="s">
        <v>59</v>
      </c>
      <c r="L16" s="118">
        <f>SUMIF('Larvae Collection'!C:C,SUMMARIES!J16,'Larvae Collection'!Q:Q)</f>
        <v>2691880</v>
      </c>
      <c r="M16" s="119">
        <f>SUM('Broodstock volume, numbers'!F20:F21)</f>
        <v>180</v>
      </c>
      <c r="N16" s="119">
        <f>SUM('Broodstock volume, numbers'!G20:G21)</f>
        <v>32</v>
      </c>
      <c r="O16" s="118">
        <f t="shared" si="3"/>
        <v>14954.888888888889</v>
      </c>
      <c r="P16" s="118">
        <f t="shared" si="4"/>
        <v>84121.25</v>
      </c>
      <c r="Q16">
        <f t="shared" si="6"/>
        <v>180</v>
      </c>
      <c r="R16">
        <f>Q16</f>
        <v>180</v>
      </c>
      <c r="S16">
        <f t="shared" si="7"/>
        <v>180</v>
      </c>
    </row>
    <row r="17" spans="10:25">
      <c r="J17" s="116" t="s">
        <v>60</v>
      </c>
      <c r="K17" s="117" t="s">
        <v>59</v>
      </c>
      <c r="L17" s="118">
        <f>SUMIF('Larvae Collection'!C:C,SUMMARIES!J17,'Larvae Collection'!Q:Q)</f>
        <v>3879052.777777778</v>
      </c>
      <c r="M17" s="119">
        <f>SUM('Broodstock volume, numbers'!F24:F25)</f>
        <v>210</v>
      </c>
      <c r="N17" s="119">
        <f>SUM('Broodstock volume, numbers'!G24:G25)</f>
        <v>35</v>
      </c>
      <c r="O17" s="118">
        <f t="shared" si="3"/>
        <v>18471.679894179895</v>
      </c>
      <c r="P17" s="118">
        <f t="shared" si="4"/>
        <v>110830.07936507936</v>
      </c>
      <c r="Q17">
        <f t="shared" si="6"/>
        <v>210</v>
      </c>
      <c r="R17">
        <f>Q17</f>
        <v>210</v>
      </c>
      <c r="S17">
        <f t="shared" si="7"/>
        <v>210</v>
      </c>
    </row>
    <row r="18" spans="10:25">
      <c r="J18" s="102"/>
      <c r="K18" s="62" t="s">
        <v>209</v>
      </c>
      <c r="L18" s="106">
        <f>SUM(L2:L17)</f>
        <v>51394171.944444448</v>
      </c>
      <c r="N18" s="106">
        <f>SUM(N2:N17)</f>
        <v>492</v>
      </c>
    </row>
    <row r="19" spans="10:25">
      <c r="J19" s="102" t="s">
        <v>39</v>
      </c>
      <c r="K19" s="62" t="s">
        <v>68</v>
      </c>
      <c r="L19" t="s">
        <v>69</v>
      </c>
      <c r="M19" t="s">
        <v>78</v>
      </c>
      <c r="N19" t="s">
        <v>62</v>
      </c>
      <c r="O19" t="s">
        <v>120</v>
      </c>
      <c r="P19" t="s">
        <v>38</v>
      </c>
      <c r="Q19" t="s">
        <v>42</v>
      </c>
      <c r="R19" t="s">
        <v>114</v>
      </c>
      <c r="S19" t="s">
        <v>95</v>
      </c>
      <c r="T19" t="s">
        <v>96</v>
      </c>
      <c r="U19" t="s">
        <v>97</v>
      </c>
      <c r="V19" t="s">
        <v>66</v>
      </c>
      <c r="W19" t="s">
        <v>67</v>
      </c>
      <c r="X19" t="s">
        <v>70</v>
      </c>
      <c r="Y19" t="s">
        <v>60</v>
      </c>
    </row>
    <row r="20" spans="10:25">
      <c r="J20" s="103"/>
    </row>
    <row r="21" spans="10:25">
      <c r="J21" s="104"/>
    </row>
  </sheetData>
  <sortState ref="J2:L17">
    <sortCondition ref="K2:K17"/>
    <sortCondition ref="J2:J17"/>
  </sortState>
  <pageMargins left="0.75" right="0.75" top="1" bottom="1" header="0.5" footer="0.5"/>
  <pageSetup orientation="portrait" horizontalDpi="4294967292" verticalDpi="4294967292"/>
  <ignoredErrors>
    <ignoredError sqref="F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showRuler="0" topLeftCell="D1" workbookViewId="0">
      <selection activeCell="L25" sqref="L25"/>
    </sheetView>
  </sheetViews>
  <sheetFormatPr baseColWidth="10" defaultRowHeight="15" x14ac:dyDescent="0"/>
  <cols>
    <col min="1" max="1" width="15.1640625" customWidth="1"/>
    <col min="2" max="2" width="19.33203125" customWidth="1"/>
    <col min="3" max="3" width="15.33203125" style="2" customWidth="1"/>
    <col min="4" max="4" width="11.5" style="94" customWidth="1"/>
    <col min="5" max="7" width="10.83203125" style="141"/>
    <col min="12" max="12" width="13.33203125" customWidth="1"/>
  </cols>
  <sheetData>
    <row r="1" spans="1:13" s="99" customFormat="1" ht="36">
      <c r="A1" s="99" t="s">
        <v>152</v>
      </c>
      <c r="B1" s="99" t="s">
        <v>157</v>
      </c>
      <c r="C1" s="138" t="s">
        <v>163</v>
      </c>
      <c r="D1" s="185" t="s">
        <v>156</v>
      </c>
      <c r="E1" s="139" t="s">
        <v>153</v>
      </c>
      <c r="F1" s="139" t="s">
        <v>154</v>
      </c>
      <c r="G1" s="139" t="s">
        <v>155</v>
      </c>
      <c r="H1" s="99" t="s">
        <v>161</v>
      </c>
      <c r="I1" s="99" t="s">
        <v>162</v>
      </c>
      <c r="J1" s="99" t="s">
        <v>160</v>
      </c>
      <c r="L1" s="99" t="s">
        <v>158</v>
      </c>
      <c r="M1" s="99" t="s">
        <v>159</v>
      </c>
    </row>
    <row r="2" spans="1:13">
      <c r="A2" s="60">
        <v>43200</v>
      </c>
      <c r="B2" t="s">
        <v>136</v>
      </c>
      <c r="C2" s="2">
        <v>742.22222222222217</v>
      </c>
      <c r="D2" s="94">
        <v>1.08</v>
      </c>
      <c r="E2" s="140">
        <v>1009</v>
      </c>
      <c r="F2" s="140">
        <v>792</v>
      </c>
      <c r="G2" s="140">
        <v>848</v>
      </c>
      <c r="H2" s="106">
        <f t="shared" ref="H2:H14" si="0">AVERAGE(E2:G2)</f>
        <v>883</v>
      </c>
      <c r="I2" s="94">
        <f t="shared" ref="I2:I14" si="1">STDEV(E2:G2)</f>
        <v>112.65433857601757</v>
      </c>
      <c r="J2" s="137">
        <f t="shared" ref="J2:J16" si="2">(AVERAGE(E2:G2)-(C2*D2))/(C2*D2)</f>
        <v>0.10154690618762471</v>
      </c>
      <c r="K2" s="137"/>
      <c r="L2" s="136">
        <f>AVERAGE(E:G)</f>
        <v>824.60377358490564</v>
      </c>
      <c r="M2" s="136">
        <f>STDEV(E:G)</f>
        <v>80.924784551563562</v>
      </c>
    </row>
    <row r="3" spans="1:13">
      <c r="A3" s="60">
        <v>43200</v>
      </c>
      <c r="B3" t="s">
        <v>135</v>
      </c>
      <c r="C3" s="2">
        <v>833.33333333333326</v>
      </c>
      <c r="D3" s="94">
        <v>0.96</v>
      </c>
      <c r="E3" s="140">
        <v>926</v>
      </c>
      <c r="F3" s="140">
        <v>878</v>
      </c>
      <c r="G3" s="140">
        <v>769</v>
      </c>
      <c r="H3" s="106">
        <f t="shared" si="0"/>
        <v>857.66666666666663</v>
      </c>
      <c r="I3" s="94">
        <f t="shared" si="1"/>
        <v>80.45081313034278</v>
      </c>
      <c r="J3" s="137">
        <f t="shared" si="2"/>
        <v>7.2083333333333444E-2</v>
      </c>
      <c r="K3" s="137"/>
    </row>
    <row r="4" spans="1:13">
      <c r="A4" s="60">
        <v>43200</v>
      </c>
      <c r="B4" t="s">
        <v>134</v>
      </c>
      <c r="C4" s="2">
        <v>353.33333333333337</v>
      </c>
      <c r="D4" s="94">
        <v>2.2599999999999998</v>
      </c>
      <c r="E4" s="140">
        <v>914</v>
      </c>
      <c r="F4" s="140">
        <v>887</v>
      </c>
      <c r="G4" s="140">
        <v>934</v>
      </c>
      <c r="H4" s="106">
        <f t="shared" si="0"/>
        <v>911.66666666666663</v>
      </c>
      <c r="I4" s="94">
        <f t="shared" si="1"/>
        <v>23.586719427112648</v>
      </c>
      <c r="J4" s="137">
        <f t="shared" si="2"/>
        <v>0.14167640674570045</v>
      </c>
      <c r="K4" s="137"/>
    </row>
    <row r="5" spans="1:13">
      <c r="A5" s="60">
        <v>43201</v>
      </c>
      <c r="B5" t="s">
        <v>52</v>
      </c>
      <c r="C5" s="2">
        <v>253</v>
      </c>
      <c r="D5" s="94">
        <v>3.17</v>
      </c>
      <c r="E5" s="140">
        <v>774</v>
      </c>
      <c r="F5" s="140">
        <v>813</v>
      </c>
      <c r="G5" s="140">
        <v>746</v>
      </c>
      <c r="H5" s="106">
        <f t="shared" si="0"/>
        <v>777.66666666666663</v>
      </c>
      <c r="I5" s="94">
        <f t="shared" si="1"/>
        <v>33.650160970392598</v>
      </c>
      <c r="J5" s="137">
        <f t="shared" si="2"/>
        <v>-3.0352904992872111E-2</v>
      </c>
      <c r="K5" s="137"/>
    </row>
    <row r="6" spans="1:13">
      <c r="A6" s="60">
        <v>43202</v>
      </c>
      <c r="B6" t="s">
        <v>148</v>
      </c>
      <c r="C6" s="2">
        <v>266</v>
      </c>
      <c r="D6" s="94">
        <v>3.01</v>
      </c>
      <c r="E6" s="141">
        <v>889</v>
      </c>
      <c r="F6" s="141">
        <v>829</v>
      </c>
      <c r="G6" s="141">
        <v>809</v>
      </c>
      <c r="H6" s="106">
        <f t="shared" si="0"/>
        <v>842.33333333333337</v>
      </c>
      <c r="I6" s="94">
        <f t="shared" si="1"/>
        <v>41.633319989322651</v>
      </c>
      <c r="J6" s="137">
        <f t="shared" si="2"/>
        <v>5.2048726467331205E-2</v>
      </c>
    </row>
    <row r="7" spans="1:13">
      <c r="A7" s="60">
        <v>43202</v>
      </c>
      <c r="B7" t="s">
        <v>146</v>
      </c>
      <c r="C7" s="2">
        <v>296</v>
      </c>
      <c r="D7" s="94">
        <v>2.71</v>
      </c>
      <c r="E7" s="141">
        <v>917</v>
      </c>
      <c r="F7" s="141">
        <v>871</v>
      </c>
      <c r="G7" s="141">
        <v>887</v>
      </c>
      <c r="H7" s="106">
        <f t="shared" si="0"/>
        <v>891.66666666666663</v>
      </c>
      <c r="I7" s="107">
        <f t="shared" si="1"/>
        <v>23.352373184182657</v>
      </c>
      <c r="J7" s="137">
        <f t="shared" si="2"/>
        <v>0.11158206176656361</v>
      </c>
      <c r="K7" s="107"/>
    </row>
    <row r="8" spans="1:13">
      <c r="A8" s="60">
        <v>43203</v>
      </c>
      <c r="B8" t="s">
        <v>150</v>
      </c>
      <c r="C8" s="2">
        <v>507</v>
      </c>
      <c r="D8" s="94">
        <v>1.58</v>
      </c>
      <c r="E8" s="141">
        <v>721</v>
      </c>
      <c r="F8" s="141">
        <v>796</v>
      </c>
      <c r="G8" s="141">
        <v>778</v>
      </c>
      <c r="H8" s="106">
        <f t="shared" si="0"/>
        <v>765</v>
      </c>
      <c r="I8" s="107">
        <f t="shared" si="1"/>
        <v>39.153543900903784</v>
      </c>
      <c r="J8" s="137">
        <f t="shared" si="2"/>
        <v>-4.5015354655082086E-2</v>
      </c>
    </row>
    <row r="9" spans="1:13">
      <c r="A9" s="60">
        <v>43203</v>
      </c>
      <c r="B9" t="s">
        <v>111</v>
      </c>
      <c r="C9" s="2">
        <v>285</v>
      </c>
      <c r="D9" s="94">
        <v>2.81</v>
      </c>
      <c r="E9" s="141">
        <v>757</v>
      </c>
      <c r="F9" s="141">
        <v>785</v>
      </c>
      <c r="G9" s="141">
        <v>772</v>
      </c>
      <c r="H9" s="106">
        <f t="shared" si="0"/>
        <v>771.33333333333337</v>
      </c>
      <c r="I9" s="107">
        <f t="shared" si="1"/>
        <v>14.011899704655802</v>
      </c>
      <c r="J9" s="137">
        <f t="shared" si="2"/>
        <v>-3.6856673118145285E-2</v>
      </c>
    </row>
    <row r="10" spans="1:13">
      <c r="A10" s="60">
        <v>43203</v>
      </c>
      <c r="B10" t="s">
        <v>149</v>
      </c>
      <c r="C10" s="2">
        <v>583</v>
      </c>
      <c r="D10" s="94">
        <v>1.37</v>
      </c>
      <c r="E10" s="141">
        <v>822</v>
      </c>
      <c r="F10" s="141">
        <v>841</v>
      </c>
      <c r="G10" s="141">
        <v>1075</v>
      </c>
      <c r="H10" s="106">
        <f t="shared" si="0"/>
        <v>912.66666666666663</v>
      </c>
      <c r="I10" s="107">
        <f t="shared" si="1"/>
        <v>140.90540562140708</v>
      </c>
      <c r="J10" s="137">
        <f t="shared" si="2"/>
        <v>0.1426758982192117</v>
      </c>
    </row>
    <row r="11" spans="1:13">
      <c r="A11" s="60">
        <v>43203</v>
      </c>
      <c r="B11" t="s">
        <v>151</v>
      </c>
      <c r="C11" s="2">
        <v>340</v>
      </c>
      <c r="D11" s="94">
        <v>2.35</v>
      </c>
      <c r="E11" s="141">
        <v>854</v>
      </c>
      <c r="F11" s="141">
        <v>822</v>
      </c>
      <c r="G11" s="141">
        <v>756</v>
      </c>
      <c r="H11" s="106">
        <f t="shared" si="0"/>
        <v>810.66666666666663</v>
      </c>
      <c r="I11" s="107">
        <f t="shared" si="1"/>
        <v>49.973326218427097</v>
      </c>
      <c r="J11" s="137">
        <f t="shared" si="2"/>
        <v>1.4601585314977007E-2</v>
      </c>
    </row>
    <row r="12" spans="1:13">
      <c r="A12" s="60">
        <v>43204</v>
      </c>
      <c r="B12" t="s">
        <v>112</v>
      </c>
      <c r="C12" s="2">
        <v>281</v>
      </c>
      <c r="D12" s="94">
        <v>2.84</v>
      </c>
      <c r="E12" s="141">
        <v>838</v>
      </c>
      <c r="F12" s="141">
        <v>873</v>
      </c>
      <c r="G12" s="141">
        <v>969</v>
      </c>
      <c r="H12" s="106">
        <f t="shared" si="0"/>
        <v>893.33333333333337</v>
      </c>
      <c r="I12" s="107">
        <f t="shared" si="1"/>
        <v>67.825757152672722</v>
      </c>
      <c r="J12" s="137">
        <f t="shared" si="2"/>
        <v>0.11940921925383867</v>
      </c>
    </row>
    <row r="13" spans="1:13">
      <c r="A13" s="60">
        <v>43204</v>
      </c>
      <c r="B13" t="s">
        <v>167</v>
      </c>
      <c r="C13" s="2">
        <v>1157</v>
      </c>
      <c r="D13" s="94">
        <v>0.69</v>
      </c>
      <c r="E13" s="141">
        <v>755</v>
      </c>
      <c r="F13" s="141">
        <v>756</v>
      </c>
      <c r="G13" s="141">
        <v>799</v>
      </c>
      <c r="H13" s="106">
        <f t="shared" si="0"/>
        <v>770</v>
      </c>
      <c r="I13" s="107">
        <f t="shared" si="1"/>
        <v>25.119713374160941</v>
      </c>
      <c r="J13" s="137">
        <f t="shared" si="2"/>
        <v>-3.5486578232059335E-2</v>
      </c>
    </row>
    <row r="14" spans="1:13">
      <c r="A14" s="60">
        <v>43204</v>
      </c>
      <c r="B14" t="s">
        <v>164</v>
      </c>
      <c r="C14" s="2">
        <v>194</v>
      </c>
      <c r="D14" s="94">
        <v>4.1100000000000003</v>
      </c>
      <c r="E14" s="141" t="s">
        <v>210</v>
      </c>
      <c r="F14" s="141">
        <v>842</v>
      </c>
      <c r="G14" s="141">
        <v>777</v>
      </c>
      <c r="H14" s="106">
        <f t="shared" si="0"/>
        <v>809.5</v>
      </c>
      <c r="I14" s="107">
        <f t="shared" si="1"/>
        <v>45.961940777125591</v>
      </c>
      <c r="J14" s="137">
        <f>(AVERAGE(E14:G14)-(C14*D14))/(C14*D14)</f>
        <v>1.5250708606115293E-2</v>
      </c>
    </row>
    <row r="15" spans="1:13">
      <c r="A15" s="60">
        <v>43205</v>
      </c>
      <c r="B15" t="s">
        <v>147</v>
      </c>
      <c r="C15" s="2">
        <v>732</v>
      </c>
      <c r="D15" s="94">
        <v>1.0900000000000001</v>
      </c>
      <c r="E15" s="141">
        <v>723</v>
      </c>
      <c r="F15" s="141">
        <v>793</v>
      </c>
      <c r="G15" s="141">
        <v>775</v>
      </c>
      <c r="H15" s="106">
        <f>AVERAGE(E15:G15)</f>
        <v>763.66666666666663</v>
      </c>
      <c r="I15" s="107">
        <f>STDEV(E15:G15)</f>
        <v>36.350149013908229</v>
      </c>
      <c r="J15" s="137">
        <f t="shared" si="2"/>
        <v>-4.2880299460236471E-2</v>
      </c>
    </row>
    <row r="16" spans="1:13">
      <c r="A16" s="60">
        <v>43205</v>
      </c>
      <c r="B16" t="s">
        <v>165</v>
      </c>
      <c r="C16" s="2">
        <v>692</v>
      </c>
      <c r="D16" s="94">
        <v>1.1599999999999999</v>
      </c>
      <c r="E16" s="141">
        <v>777</v>
      </c>
      <c r="F16" s="141">
        <v>725</v>
      </c>
      <c r="G16" s="141">
        <v>755</v>
      </c>
      <c r="H16" s="106">
        <f>AVERAGE(E16:G16)</f>
        <v>752.33333333333337</v>
      </c>
      <c r="I16" s="107">
        <f>STDEV(E16:G16)</f>
        <v>26.102362600602522</v>
      </c>
      <c r="J16" s="137">
        <f t="shared" si="2"/>
        <v>-6.2769915620224423E-2</v>
      </c>
    </row>
    <row r="17" spans="1:10">
      <c r="A17" s="60">
        <v>43206</v>
      </c>
      <c r="B17" t="s">
        <v>169</v>
      </c>
      <c r="C17" s="2">
        <v>279.16666666666669</v>
      </c>
      <c r="D17" s="94">
        <v>2.8656716417910446</v>
      </c>
      <c r="E17" s="141">
        <v>888</v>
      </c>
      <c r="F17" s="141">
        <v>954</v>
      </c>
      <c r="G17" s="141">
        <v>811</v>
      </c>
      <c r="H17" s="106">
        <f>AVERAGE(E17:G17)</f>
        <v>884.33333333333337</v>
      </c>
      <c r="I17" s="107">
        <f>STDEV(E17:G17)</f>
        <v>71.570478085124833</v>
      </c>
      <c r="J17" s="137">
        <f>(AVERAGE(E17:G17)-(C17*D17))/(C17*D17)</f>
        <v>0.10541666666666671</v>
      </c>
    </row>
    <row r="18" spans="1:10">
      <c r="A18" s="60">
        <v>43206</v>
      </c>
      <c r="B18" t="s">
        <v>101</v>
      </c>
      <c r="C18" s="2">
        <v>206.11111111111111</v>
      </c>
      <c r="D18" s="94">
        <v>3.881401617250674</v>
      </c>
      <c r="E18" s="141">
        <v>700</v>
      </c>
      <c r="F18" s="141">
        <v>695</v>
      </c>
      <c r="G18" s="141">
        <v>751</v>
      </c>
      <c r="H18" s="106">
        <f>AVERAGE(E18:G18)</f>
        <v>715.33333333333337</v>
      </c>
      <c r="I18" s="107">
        <f>STDEV(E18:G18)</f>
        <v>30.98924544633724</v>
      </c>
      <c r="J18" s="137">
        <f>(AVERAGE(E18:G18)-(C18*D18))/(C18*D18)</f>
        <v>-0.10583333333333328</v>
      </c>
    </row>
    <row r="19" spans="1:10">
      <c r="A19" s="60">
        <v>43209</v>
      </c>
      <c r="B19" t="s">
        <v>169</v>
      </c>
      <c r="C19" s="2">
        <v>533</v>
      </c>
      <c r="D19" s="94">
        <v>1.5</v>
      </c>
      <c r="E19" s="141">
        <v>790</v>
      </c>
      <c r="F19" s="141">
        <v>939</v>
      </c>
      <c r="G19" s="141">
        <v>748</v>
      </c>
      <c r="H19" s="106">
        <f>AVERAGE(E19:G19)</f>
        <v>825.66666666666663</v>
      </c>
      <c r="I19" s="107">
        <f>STDEV(E19:G19)</f>
        <v>100.37097854127623</v>
      </c>
      <c r="J19" s="137">
        <f>(AVERAGE(E19:G19)-(C19*D19))/(C19*D19)</f>
        <v>3.2728788826349754E-2</v>
      </c>
    </row>
    <row r="20" spans="1:10">
      <c r="G20" s="186" t="s">
        <v>211</v>
      </c>
      <c r="H20" s="187">
        <f>AVERAGE(H2:H19)</f>
        <v>824.32407407407413</v>
      </c>
      <c r="I20" s="188">
        <f>AVERAGE(I2:I19)</f>
        <v>53.536806984109617</v>
      </c>
      <c r="J20" s="203">
        <f>AVERAGE(J2:J19)</f>
        <v>3.0545846776431088E-2</v>
      </c>
    </row>
    <row r="21" spans="1:10">
      <c r="H21" s="107"/>
      <c r="I21" s="107"/>
      <c r="J21" s="137"/>
    </row>
    <row r="22" spans="1:10">
      <c r="H22" s="107"/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showRuler="0" workbookViewId="0">
      <selection activeCell="B24" sqref="B24"/>
    </sheetView>
  </sheetViews>
  <sheetFormatPr baseColWidth="10" defaultRowHeight="15" x14ac:dyDescent="0"/>
  <cols>
    <col min="1" max="1" width="23" customWidth="1"/>
    <col min="2" max="2" width="16.6640625" customWidth="1"/>
    <col min="4" max="4" width="11.1640625" style="2" bestFit="1" customWidth="1"/>
    <col min="5" max="6" width="13.83203125" customWidth="1"/>
    <col min="13" max="13" width="13.1640625" customWidth="1"/>
    <col min="14" max="14" width="13" customWidth="1"/>
    <col min="15" max="15" width="12.6640625" customWidth="1"/>
    <col min="16" max="16" width="16.6640625" customWidth="1"/>
  </cols>
  <sheetData>
    <row r="1" spans="1:13">
      <c r="A1" t="s">
        <v>212</v>
      </c>
    </row>
    <row r="2" spans="1:13">
      <c r="A2" t="s">
        <v>175</v>
      </c>
      <c r="B2" t="s">
        <v>176</v>
      </c>
    </row>
    <row r="3" spans="1:13">
      <c r="G3" s="204" t="s">
        <v>185</v>
      </c>
      <c r="H3" s="204"/>
      <c r="I3" s="204"/>
      <c r="J3" s="204" t="s">
        <v>186</v>
      </c>
      <c r="K3" s="204"/>
      <c r="L3" s="204"/>
      <c r="M3" s="101"/>
    </row>
    <row r="4" spans="1:13" ht="30">
      <c r="A4" t="s">
        <v>0</v>
      </c>
      <c r="B4" t="s">
        <v>1</v>
      </c>
      <c r="C4" t="s">
        <v>81</v>
      </c>
      <c r="D4" s="2" t="s">
        <v>172</v>
      </c>
      <c r="E4" s="97" t="s">
        <v>173</v>
      </c>
      <c r="F4" s="97" t="s">
        <v>181</v>
      </c>
      <c r="G4" t="s">
        <v>178</v>
      </c>
      <c r="H4" t="s">
        <v>179</v>
      </c>
      <c r="I4" t="s">
        <v>180</v>
      </c>
      <c r="J4" t="s">
        <v>178</v>
      </c>
      <c r="K4" t="s">
        <v>179</v>
      </c>
      <c r="L4" t="s">
        <v>180</v>
      </c>
    </row>
    <row r="5" spans="1:13">
      <c r="A5" s="60">
        <v>43211</v>
      </c>
      <c r="B5" t="s">
        <v>36</v>
      </c>
      <c r="C5" t="s">
        <v>42</v>
      </c>
      <c r="D5" s="2">
        <v>326</v>
      </c>
      <c r="E5" s="107">
        <f t="shared" ref="E5:E11" si="0">(20/D5)*1000</f>
        <v>61.349693251533743</v>
      </c>
      <c r="F5" s="107">
        <f t="shared" ref="F5:F11" si="1">(10*1000)-E5</f>
        <v>9938.6503067484664</v>
      </c>
      <c r="G5" s="156" t="s">
        <v>188</v>
      </c>
      <c r="H5" s="156" t="s">
        <v>187</v>
      </c>
      <c r="I5" s="156" t="s">
        <v>189</v>
      </c>
      <c r="J5" s="156"/>
      <c r="K5" s="156"/>
      <c r="L5" s="156"/>
      <c r="M5" t="s">
        <v>193</v>
      </c>
    </row>
    <row r="6" spans="1:13">
      <c r="A6" s="60">
        <v>43211</v>
      </c>
      <c r="B6" t="s">
        <v>37</v>
      </c>
      <c r="C6" t="s">
        <v>39</v>
      </c>
      <c r="D6" s="2">
        <v>1044</v>
      </c>
      <c r="E6" s="107">
        <f t="shared" si="0"/>
        <v>19.157088122605362</v>
      </c>
      <c r="F6" s="107">
        <f t="shared" si="1"/>
        <v>9980.8429118773947</v>
      </c>
      <c r="G6" s="156" t="s">
        <v>190</v>
      </c>
      <c r="H6" s="156" t="s">
        <v>191</v>
      </c>
      <c r="I6" s="156" t="s">
        <v>192</v>
      </c>
      <c r="J6" s="156"/>
      <c r="K6" s="156"/>
      <c r="L6" s="156"/>
    </row>
    <row r="7" spans="1:13">
      <c r="A7" s="60">
        <v>43212</v>
      </c>
      <c r="B7" t="s">
        <v>29</v>
      </c>
      <c r="C7" t="s">
        <v>62</v>
      </c>
      <c r="D7" s="2">
        <v>341.11111111111109</v>
      </c>
      <c r="E7" s="107">
        <f t="shared" si="0"/>
        <v>58.631921824104239</v>
      </c>
      <c r="F7" s="107">
        <f t="shared" si="1"/>
        <v>9941.3680781758958</v>
      </c>
      <c r="G7" s="156"/>
      <c r="H7" s="156"/>
      <c r="I7" s="156"/>
      <c r="J7" s="156"/>
      <c r="K7" s="156"/>
      <c r="L7" s="156"/>
    </row>
    <row r="8" spans="1:13">
      <c r="A8" s="60">
        <v>43212</v>
      </c>
      <c r="B8" t="s">
        <v>59</v>
      </c>
      <c r="C8" t="s">
        <v>70</v>
      </c>
      <c r="D8" s="2">
        <v>671.66666666666663</v>
      </c>
      <c r="E8" s="107">
        <f t="shared" si="0"/>
        <v>29.776674937965261</v>
      </c>
      <c r="F8" s="107">
        <f t="shared" si="1"/>
        <v>9970.2233250620338</v>
      </c>
      <c r="G8" s="156"/>
      <c r="H8" s="156"/>
      <c r="I8" s="156"/>
      <c r="J8" s="156"/>
      <c r="K8" s="156"/>
      <c r="L8" s="156"/>
    </row>
    <row r="9" spans="1:13">
      <c r="A9" s="60">
        <v>43212</v>
      </c>
      <c r="B9" t="s">
        <v>37</v>
      </c>
      <c r="C9" t="s">
        <v>68</v>
      </c>
      <c r="D9" s="2">
        <v>253.33333333333334</v>
      </c>
      <c r="E9" s="107">
        <f t="shared" si="0"/>
        <v>78.94736842105263</v>
      </c>
      <c r="F9" s="107">
        <f t="shared" si="1"/>
        <v>9921.0526315789466</v>
      </c>
      <c r="G9" s="156"/>
      <c r="H9" s="156"/>
      <c r="I9" s="156"/>
      <c r="J9" s="156"/>
      <c r="K9" s="156"/>
      <c r="L9" s="156"/>
    </row>
    <row r="10" spans="1:13">
      <c r="A10" s="60">
        <v>43212</v>
      </c>
      <c r="B10" t="s">
        <v>36</v>
      </c>
      <c r="C10" t="s">
        <v>42</v>
      </c>
      <c r="D10" s="2">
        <v>105.83333333333333</v>
      </c>
      <c r="E10" s="107">
        <f t="shared" si="0"/>
        <v>188.97637795275591</v>
      </c>
      <c r="F10" s="107">
        <f t="shared" si="1"/>
        <v>9811.0236220472434</v>
      </c>
      <c r="G10" s="156"/>
      <c r="H10" s="156"/>
      <c r="I10" s="156"/>
      <c r="J10" s="156"/>
      <c r="K10" s="156"/>
      <c r="L10" s="156"/>
    </row>
    <row r="11" spans="1:13">
      <c r="A11" s="60">
        <v>43212</v>
      </c>
      <c r="B11" t="s">
        <v>59</v>
      </c>
      <c r="C11" t="s">
        <v>66</v>
      </c>
      <c r="D11" s="2">
        <v>399</v>
      </c>
      <c r="E11" s="107">
        <f t="shared" si="0"/>
        <v>50.125313283208015</v>
      </c>
      <c r="F11" s="107">
        <f t="shared" si="1"/>
        <v>9949.874686716792</v>
      </c>
    </row>
    <row r="13" spans="1:13">
      <c r="A13" s="60">
        <v>43215</v>
      </c>
      <c r="B13" t="s">
        <v>29</v>
      </c>
      <c r="C13" s="45" t="s">
        <v>62</v>
      </c>
      <c r="D13" s="2">
        <v>973.33333333333326</v>
      </c>
      <c r="E13" s="107">
        <f t="shared" ref="E13:E18" si="2">(20/D13)*1000</f>
        <v>20.547945205479454</v>
      </c>
      <c r="F13" s="107">
        <f t="shared" ref="F13:F18" si="3">(10*1000)-E13</f>
        <v>9979.4520547945212</v>
      </c>
    </row>
    <row r="14" spans="1:13">
      <c r="A14" s="60">
        <v>43215</v>
      </c>
      <c r="B14" t="s">
        <v>28</v>
      </c>
      <c r="C14" s="45" t="s">
        <v>69</v>
      </c>
      <c r="D14" s="2">
        <v>541.33333333333337</v>
      </c>
      <c r="E14" s="107">
        <f t="shared" si="2"/>
        <v>36.945812807881772</v>
      </c>
      <c r="F14" s="107">
        <f t="shared" si="3"/>
        <v>9963.0541871921178</v>
      </c>
    </row>
    <row r="15" spans="1:13">
      <c r="A15" s="60">
        <v>43215</v>
      </c>
      <c r="B15" t="s">
        <v>37</v>
      </c>
      <c r="C15" s="45" t="s">
        <v>39</v>
      </c>
      <c r="D15" s="2">
        <v>405.5555555555556</v>
      </c>
      <c r="E15" s="107">
        <f t="shared" si="2"/>
        <v>49.315068493150676</v>
      </c>
      <c r="F15" s="107">
        <f t="shared" si="3"/>
        <v>9950.6849315068484</v>
      </c>
    </row>
    <row r="16" spans="1:13">
      <c r="A16" s="60">
        <v>43215</v>
      </c>
      <c r="B16" t="s">
        <v>84</v>
      </c>
      <c r="C16" s="45" t="s">
        <v>97</v>
      </c>
      <c r="D16" s="2">
        <v>593.33333333333337</v>
      </c>
      <c r="E16" s="107">
        <f t="shared" si="2"/>
        <v>33.707865168539328</v>
      </c>
      <c r="F16" s="107">
        <f t="shared" si="3"/>
        <v>9966.2921348314612</v>
      </c>
    </row>
    <row r="17" spans="1:18">
      <c r="A17" s="60">
        <v>43215</v>
      </c>
      <c r="B17" t="s">
        <v>36</v>
      </c>
      <c r="C17" s="45" t="s">
        <v>38</v>
      </c>
      <c r="D17" s="2">
        <v>356.66666666666669</v>
      </c>
      <c r="E17" s="107">
        <f t="shared" si="2"/>
        <v>56.074766355140184</v>
      </c>
      <c r="F17" s="107">
        <f t="shared" si="3"/>
        <v>9943.925233644859</v>
      </c>
    </row>
    <row r="18" spans="1:18">
      <c r="A18" s="60">
        <v>43215</v>
      </c>
      <c r="B18" t="s">
        <v>61</v>
      </c>
      <c r="C18" s="45" t="s">
        <v>66</v>
      </c>
      <c r="D18" s="2">
        <v>427.77777777777783</v>
      </c>
      <c r="E18" s="107">
        <f t="shared" si="2"/>
        <v>46.753246753246749</v>
      </c>
      <c r="F18" s="107">
        <f t="shared" si="3"/>
        <v>9953.2467532467526</v>
      </c>
    </row>
    <row r="20" spans="1:18">
      <c r="A20" t="s">
        <v>213</v>
      </c>
    </row>
    <row r="21" spans="1:18">
      <c r="A21" t="s">
        <v>0</v>
      </c>
      <c r="B21" t="s">
        <v>214</v>
      </c>
      <c r="C21" s="45" t="s">
        <v>216</v>
      </c>
      <c r="D21" s="2" t="s">
        <v>215</v>
      </c>
      <c r="E21" t="s">
        <v>217</v>
      </c>
      <c r="F21" t="s">
        <v>218</v>
      </c>
      <c r="G21" t="s">
        <v>219</v>
      </c>
      <c r="H21" t="s">
        <v>220</v>
      </c>
      <c r="I21" t="s">
        <v>221</v>
      </c>
      <c r="J21" t="s">
        <v>222</v>
      </c>
      <c r="K21" t="s">
        <v>223</v>
      </c>
      <c r="L21" t="s">
        <v>224</v>
      </c>
      <c r="M21" t="s">
        <v>228</v>
      </c>
      <c r="N21" t="s">
        <v>225</v>
      </c>
      <c r="O21" t="s">
        <v>226</v>
      </c>
      <c r="P21" t="s">
        <v>227</v>
      </c>
    </row>
    <row r="22" spans="1:18" s="29" customFormat="1">
      <c r="A22" s="34">
        <v>43226</v>
      </c>
      <c r="B22" s="34" t="s">
        <v>229</v>
      </c>
      <c r="C22" s="30">
        <v>0.25</v>
      </c>
      <c r="D22" s="29">
        <v>800</v>
      </c>
      <c r="E22" s="29">
        <v>68</v>
      </c>
      <c r="F22" s="29">
        <v>2</v>
      </c>
      <c r="G22" s="29">
        <v>67</v>
      </c>
      <c r="H22" s="29">
        <v>2</v>
      </c>
      <c r="I22" s="29">
        <v>83</v>
      </c>
      <c r="J22" s="29">
        <v>3</v>
      </c>
      <c r="K22" s="31">
        <f>AVERAGE(E22+F22,G22+H22,I22+J22)/C22</f>
        <v>300</v>
      </c>
      <c r="L22" s="31">
        <f>K22*D22</f>
        <v>240000</v>
      </c>
      <c r="M22" s="30"/>
      <c r="O22" s="31"/>
      <c r="P22" s="31"/>
      <c r="Q22" s="31"/>
      <c r="R22" s="32"/>
    </row>
    <row r="23" spans="1:18">
      <c r="A23" s="34">
        <v>43227</v>
      </c>
      <c r="B23" s="34" t="s">
        <v>146</v>
      </c>
    </row>
  </sheetData>
  <mergeCells count="2">
    <mergeCell ref="G3:I3"/>
    <mergeCell ref="J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showRuler="0" topLeftCell="S1" zoomScale="80" zoomScaleNormal="80" zoomScalePageLayoutView="80" workbookViewId="0">
      <pane ySplit="1560" topLeftCell="A31" activePane="bottomLeft"/>
      <selection activeCell="J2" sqref="J2:K2"/>
      <selection pane="bottomLeft" activeCell="AA18" sqref="AA18"/>
    </sheetView>
  </sheetViews>
  <sheetFormatPr baseColWidth="10" defaultRowHeight="15" x14ac:dyDescent="0"/>
  <cols>
    <col min="1" max="1" width="20.83203125" style="145" customWidth="1"/>
    <col min="2" max="2" width="14.1640625" style="145" customWidth="1"/>
    <col min="3" max="4" width="14.1640625" style="145" bestFit="1" customWidth="1"/>
    <col min="5" max="5" width="12.1640625" style="145" bestFit="1" customWidth="1"/>
    <col min="6" max="14" width="14.1640625" style="145" bestFit="1" customWidth="1"/>
    <col min="15" max="15" width="14.1640625" style="145" customWidth="1"/>
    <col min="16" max="16" width="15.5" style="145" bestFit="1" customWidth="1"/>
    <col min="17" max="17" width="15.332031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A1" s="206" t="s">
        <v>208</v>
      </c>
      <c r="B1" s="205" t="s">
        <v>197</v>
      </c>
      <c r="C1" s="205"/>
      <c r="D1" s="205"/>
      <c r="E1" s="205"/>
      <c r="F1" s="205" t="s">
        <v>198</v>
      </c>
      <c r="G1" s="205"/>
      <c r="H1" s="205"/>
      <c r="I1" s="205"/>
      <c r="J1" s="205" t="s">
        <v>199</v>
      </c>
      <c r="K1" s="205"/>
      <c r="L1" s="205"/>
      <c r="M1" s="205"/>
      <c r="N1" s="205" t="s">
        <v>200</v>
      </c>
      <c r="O1" s="205"/>
      <c r="P1" s="205"/>
      <c r="Q1" s="205"/>
      <c r="R1" s="205" t="s">
        <v>197</v>
      </c>
      <c r="S1" s="205"/>
      <c r="T1" s="205"/>
      <c r="U1" s="205"/>
      <c r="V1" s="205" t="s">
        <v>198</v>
      </c>
      <c r="W1" s="205"/>
      <c r="X1" s="205"/>
      <c r="Y1" s="205"/>
      <c r="Z1" s="205" t="s">
        <v>199</v>
      </c>
      <c r="AA1" s="205"/>
      <c r="AB1" s="205"/>
      <c r="AC1" s="205"/>
      <c r="AD1" s="205" t="s">
        <v>200</v>
      </c>
      <c r="AE1" s="205"/>
      <c r="AF1" s="205"/>
      <c r="AG1" s="205"/>
    </row>
    <row r="2" spans="1:33" ht="26" customHeight="1">
      <c r="A2" s="206"/>
      <c r="B2" s="205" t="s">
        <v>37</v>
      </c>
      <c r="C2" s="205"/>
      <c r="D2" s="205" t="s">
        <v>28</v>
      </c>
      <c r="E2" s="205"/>
      <c r="F2" s="205" t="s">
        <v>29</v>
      </c>
      <c r="G2" s="205"/>
      <c r="H2" s="205" t="s">
        <v>36</v>
      </c>
      <c r="I2" s="205"/>
      <c r="J2" s="205" t="s">
        <v>83</v>
      </c>
      <c r="K2" s="205"/>
      <c r="L2" s="205" t="s">
        <v>84</v>
      </c>
      <c r="M2" s="205"/>
      <c r="N2" s="205" t="s">
        <v>61</v>
      </c>
      <c r="O2" s="205"/>
      <c r="P2" s="205" t="s">
        <v>59</v>
      </c>
      <c r="Q2" s="205"/>
      <c r="R2" s="205" t="s">
        <v>37</v>
      </c>
      <c r="S2" s="205"/>
      <c r="T2" s="205" t="s">
        <v>28</v>
      </c>
      <c r="U2" s="205"/>
      <c r="V2" s="205" t="s">
        <v>29</v>
      </c>
      <c r="W2" s="205"/>
      <c r="X2" s="205" t="s">
        <v>36</v>
      </c>
      <c r="Y2" s="205"/>
      <c r="Z2" s="205" t="s">
        <v>83</v>
      </c>
      <c r="AA2" s="205"/>
      <c r="AB2" s="205" t="s">
        <v>84</v>
      </c>
      <c r="AC2" s="205"/>
      <c r="AD2" s="205" t="s">
        <v>61</v>
      </c>
      <c r="AE2" s="205"/>
      <c r="AF2" s="205" t="s">
        <v>59</v>
      </c>
      <c r="AG2" s="205"/>
    </row>
    <row r="3" spans="1:33" s="99" customFormat="1" ht="29" customHeight="1">
      <c r="A3" s="100" t="s">
        <v>207</v>
      </c>
      <c r="B3" s="166" t="s">
        <v>39</v>
      </c>
      <c r="C3" s="167" t="s">
        <v>68</v>
      </c>
      <c r="D3" s="18" t="s">
        <v>69</v>
      </c>
      <c r="E3" s="18" t="s">
        <v>78</v>
      </c>
      <c r="F3" s="18" t="s">
        <v>62</v>
      </c>
      <c r="G3" s="18" t="s">
        <v>120</v>
      </c>
      <c r="H3" s="18" t="s">
        <v>38</v>
      </c>
      <c r="I3" s="18" t="s">
        <v>42</v>
      </c>
      <c r="J3" s="18" t="s">
        <v>114</v>
      </c>
      <c r="K3" s="18" t="s">
        <v>95</v>
      </c>
      <c r="L3" s="18" t="s">
        <v>96</v>
      </c>
      <c r="M3" s="18" t="s">
        <v>97</v>
      </c>
      <c r="N3" s="18" t="s">
        <v>66</v>
      </c>
      <c r="O3" s="18" t="s">
        <v>67</v>
      </c>
      <c r="P3" s="18" t="s">
        <v>70</v>
      </c>
      <c r="Q3" s="18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20">
      <c r="A4" s="173">
        <v>43189</v>
      </c>
      <c r="B4" s="174">
        <f>SUMIFS('Larvae Collection'!$Q:$Q, 'Larvae Collection'!$A:$A,'SPAWNING PLOTS-raw'!$A4, 'Larvae Collection'!$C:$C, 'SPAWNING PLOTS-raw'!B$3)</f>
        <v>66880</v>
      </c>
      <c r="C4" s="174">
        <f>SUMIFS('Larvae Collection'!$Q:$Q, 'Larvae Collection'!$A:$A,'SPAWNING PLOTS-raw'!$A4, 'Larvae Collection'!$C:$C, 'SPAWNING PLOTS-raw'!C$3)</f>
        <v>0</v>
      </c>
      <c r="D4" s="174">
        <f>SUMIFS('Larvae Collection'!$Q:$Q, 'Larvae Collection'!$A:$A,'SPAWNING PLOTS-raw'!$A4, 'Larvae Collection'!$C:$C, 'SPAWNING PLOTS-raw'!D$3)</f>
        <v>219486.66666666669</v>
      </c>
      <c r="E4" s="174">
        <f>SUMIFS('Larvae Collection'!$Q:$Q, 'Larvae Collection'!$A:$A,'SPAWNING PLOTS-raw'!$A4, 'Larvae Collection'!$C:$C, 'SPAWNING PLOTS-raw'!E$3)</f>
        <v>124500</v>
      </c>
      <c r="F4" s="174">
        <f>SUMIFS('Larvae Collection'!$Q:$Q, 'Larvae Collection'!$A:$A,'SPAWNING PLOTS-raw'!$A4, 'Larvae Collection'!$C:$C, 'SPAWNING PLOTS-raw'!F$3)</f>
        <v>0</v>
      </c>
      <c r="G4" s="174">
        <f>SUMIFS('Larvae Collection'!$Q:$Q, 'Larvae Collection'!$A:$A,'SPAWNING PLOTS-raw'!$A4, 'Larvae Collection'!$C:$C, 'SPAWNING PLOTS-raw'!G$3)</f>
        <v>64826.666666666672</v>
      </c>
      <c r="H4" s="174">
        <f>SUMIFS('Larvae Collection'!$Q:$Q, 'Larvae Collection'!$A:$A,'SPAWNING PLOTS-raw'!$A4, 'Larvae Collection'!$C:$C, 'SPAWNING PLOTS-raw'!H$3)</f>
        <v>900373.33333333326</v>
      </c>
      <c r="I4" s="174">
        <f>SUMIFS('Larvae Collection'!$Q:$Q, 'Larvae Collection'!$A:$A,'SPAWNING PLOTS-raw'!$A4, 'Larvae Collection'!$C:$C, 'SPAWNING PLOTS-raw'!I$3)</f>
        <v>218666.66666666669</v>
      </c>
      <c r="J4" s="174">
        <f>SUMIFS('Larvae Collection'!$Q:$Q, 'Larvae Collection'!$A:$A,'SPAWNING PLOTS-raw'!$A4, 'Larvae Collection'!$C:$C, 'SPAWNING PLOTS-raw'!J$3)</f>
        <v>0</v>
      </c>
      <c r="K4" s="174">
        <f>SUMIFS('Larvae Collection'!$Q:$Q, 'Larvae Collection'!$A:$A,'SPAWNING PLOTS-raw'!$A4, 'Larvae Collection'!$C:$C, 'SPAWNING PLOTS-raw'!K$3)</f>
        <v>0</v>
      </c>
      <c r="L4" s="174">
        <f>SUMIFS('Larvae Collection'!$Q:$Q, 'Larvae Collection'!$A:$A,'SPAWNING PLOTS-raw'!$A4, 'Larvae Collection'!$C:$C, 'SPAWNING PLOTS-raw'!L$3)</f>
        <v>0</v>
      </c>
      <c r="M4" s="174">
        <f>SUMIFS('Larvae Collection'!$Q:$Q, 'Larvae Collection'!$A:$A,'SPAWNING PLOTS-raw'!$A4, 'Larvae Collection'!$C:$C, 'SPAWNING PLOTS-raw'!M$3)</f>
        <v>0</v>
      </c>
      <c r="N4" s="174">
        <f>SUMIFS('Larvae Collection'!$Q:$Q, 'Larvae Collection'!$A:$A,'SPAWNING PLOTS-raw'!$A4, 'Larvae Collection'!$C:$C, 'SPAWNING PLOTS-raw'!N$3)</f>
        <v>0</v>
      </c>
      <c r="O4" s="174">
        <f>SUMIFS('Larvae Collection'!$Q:$Q, 'Larvae Collection'!$A:$A,'SPAWNING PLOTS-raw'!$A4, 'Larvae Collection'!$C:$C, 'SPAWNING PLOTS-raw'!O$3)</f>
        <v>0</v>
      </c>
      <c r="P4" s="174">
        <f>SUMIFS('Larvae Collection'!$Q:$Q, 'Larvae Collection'!$A:$A,'SPAWNING PLOTS-raw'!$A4, 'Larvae Collection'!$C:$C, 'SPAWNING PLOTS-raw'!P$3)</f>
        <v>0</v>
      </c>
      <c r="Q4" s="174">
        <f>SUMIFS('Larvae Collection'!$Q:$Q, 'Larvae Collection'!$A:$A,'SPAWNING PLOTS-raw'!$A4, 'Larvae Collection'!$C:$C, 'SPAWNING PLOTS-raw'!Q$3)</f>
        <v>0</v>
      </c>
      <c r="R4" s="158">
        <f>SUMIFS(B$4:B$31, $A$4:$A$31, "&lt;="&amp;$A4)</f>
        <v>66880</v>
      </c>
      <c r="S4" s="158">
        <f>SUMIFS(C$4:C$31, $A$4:$A$31, "&lt;="&amp;$A4)</f>
        <v>0</v>
      </c>
      <c r="T4" s="158">
        <f t="shared" ref="T4:AG4" si="0">SUMIFS(D$4:D$31, $A$4:$A$31, "&lt;="&amp;$A4)</f>
        <v>219486.66666666669</v>
      </c>
      <c r="U4" s="158">
        <f t="shared" si="0"/>
        <v>124500</v>
      </c>
      <c r="V4" s="158">
        <f t="shared" si="0"/>
        <v>0</v>
      </c>
      <c r="W4" s="158">
        <f t="shared" si="0"/>
        <v>64826.666666666672</v>
      </c>
      <c r="X4" s="158">
        <f t="shared" si="0"/>
        <v>900373.33333333326</v>
      </c>
      <c r="Y4" s="158">
        <f t="shared" si="0"/>
        <v>218666.66666666669</v>
      </c>
      <c r="Z4" s="158">
        <f t="shared" si="0"/>
        <v>0</v>
      </c>
      <c r="AA4" s="158">
        <f t="shared" si="0"/>
        <v>0</v>
      </c>
      <c r="AB4" s="158">
        <f t="shared" si="0"/>
        <v>0</v>
      </c>
      <c r="AC4" s="158">
        <f t="shared" si="0"/>
        <v>0</v>
      </c>
      <c r="AD4" s="158">
        <f t="shared" si="0"/>
        <v>0</v>
      </c>
      <c r="AE4" s="158">
        <f t="shared" si="0"/>
        <v>0</v>
      </c>
      <c r="AF4" s="158">
        <f t="shared" si="0"/>
        <v>0</v>
      </c>
      <c r="AG4" s="158">
        <f t="shared" si="0"/>
        <v>0</v>
      </c>
    </row>
    <row r="5" spans="1:33" ht="20">
      <c r="A5" s="173">
        <v>43190</v>
      </c>
      <c r="B5" s="174">
        <f>SUMIFS('Larvae Collection'!$Q:$Q, 'Larvae Collection'!$A:$A,'SPAWNING PLOTS-raw'!$A5, 'Larvae Collection'!$C:$C, 'SPAWNING PLOTS-raw'!B$3)</f>
        <v>0</v>
      </c>
      <c r="C5" s="174">
        <f>SUMIFS('Larvae Collection'!$Q:$Q, 'Larvae Collection'!$A:$A,'SPAWNING PLOTS-raw'!$A5, 'Larvae Collection'!$C:$C, 'SPAWNING PLOTS-raw'!C$3)</f>
        <v>0</v>
      </c>
      <c r="D5" s="174">
        <f>SUMIFS('Larvae Collection'!$Q:$Q, 'Larvae Collection'!$A:$A,'SPAWNING PLOTS-raw'!$A5, 'Larvae Collection'!$C:$C, 'SPAWNING PLOTS-raw'!D$3)</f>
        <v>0</v>
      </c>
      <c r="E5" s="174">
        <f>SUMIFS('Larvae Collection'!$Q:$Q, 'Larvae Collection'!$A:$A,'SPAWNING PLOTS-raw'!$A5, 'Larvae Collection'!$C:$C, 'SPAWNING PLOTS-raw'!E$3)</f>
        <v>0</v>
      </c>
      <c r="F5" s="174">
        <f>SUMIFS('Larvae Collection'!$Q:$Q, 'Larvae Collection'!$A:$A,'SPAWNING PLOTS-raw'!$A5, 'Larvae Collection'!$C:$C, 'SPAWNING PLOTS-raw'!F$3)</f>
        <v>0</v>
      </c>
      <c r="G5" s="174">
        <f>SUMIFS('Larvae Collection'!$Q:$Q, 'Larvae Collection'!$A:$A,'SPAWNING PLOTS-raw'!$A5, 'Larvae Collection'!$C:$C, 'SPAWNING PLOTS-raw'!G$3)</f>
        <v>724800</v>
      </c>
      <c r="H5" s="174">
        <f>SUMIFS('Larvae Collection'!$Q:$Q, 'Larvae Collection'!$A:$A,'SPAWNING PLOTS-raw'!$A5, 'Larvae Collection'!$C:$C, 'SPAWNING PLOTS-raw'!H$3)</f>
        <v>213720</v>
      </c>
      <c r="I5" s="174">
        <f>SUMIFS('Larvae Collection'!$Q:$Q, 'Larvae Collection'!$A:$A,'SPAWNING PLOTS-raw'!$A5, 'Larvae Collection'!$C:$C, 'SPAWNING PLOTS-raw'!I$3)</f>
        <v>187893.33333333331</v>
      </c>
      <c r="J5" s="174">
        <f>SUMIFS('Larvae Collection'!$Q:$Q, 'Larvae Collection'!$A:$A,'SPAWNING PLOTS-raw'!$A5, 'Larvae Collection'!$C:$C, 'SPAWNING PLOTS-raw'!J$3)</f>
        <v>0</v>
      </c>
      <c r="K5" s="174">
        <f>SUMIFS('Larvae Collection'!$Q:$Q, 'Larvae Collection'!$A:$A,'SPAWNING PLOTS-raw'!$A5, 'Larvae Collection'!$C:$C, 'SPAWNING PLOTS-raw'!K$3)</f>
        <v>0</v>
      </c>
      <c r="L5" s="174">
        <f>SUMIFS('Larvae Collection'!$Q:$Q, 'Larvae Collection'!$A:$A,'SPAWNING PLOTS-raw'!$A5, 'Larvae Collection'!$C:$C, 'SPAWNING PLOTS-raw'!L$3)</f>
        <v>0</v>
      </c>
      <c r="M5" s="174">
        <f>SUMIFS('Larvae Collection'!$Q:$Q, 'Larvae Collection'!$A:$A,'SPAWNING PLOTS-raw'!$A5, 'Larvae Collection'!$C:$C, 'SPAWNING PLOTS-raw'!M$3)</f>
        <v>0</v>
      </c>
      <c r="N5" s="174">
        <f>SUMIFS('Larvae Collection'!$Q:$Q, 'Larvae Collection'!$A:$A,'SPAWNING PLOTS-raw'!$A5, 'Larvae Collection'!$C:$C, 'SPAWNING PLOTS-raw'!N$3)</f>
        <v>0</v>
      </c>
      <c r="O5" s="174">
        <f>SUMIFS('Larvae Collection'!$Q:$Q, 'Larvae Collection'!$A:$A,'SPAWNING PLOTS-raw'!$A5, 'Larvae Collection'!$C:$C, 'SPAWNING PLOTS-raw'!O$3)</f>
        <v>0</v>
      </c>
      <c r="P5" s="174">
        <f>SUMIFS('Larvae Collection'!$Q:$Q, 'Larvae Collection'!$A:$A,'SPAWNING PLOTS-raw'!$A5, 'Larvae Collection'!$C:$C, 'SPAWNING PLOTS-raw'!P$3)</f>
        <v>0</v>
      </c>
      <c r="Q5" s="174">
        <f>SUMIFS('Larvae Collection'!$Q:$Q, 'Larvae Collection'!$A:$A,'SPAWNING PLOTS-raw'!$A5, 'Larvae Collection'!$C:$C, 'SPAWNING PLOTS-raw'!Q$3)</f>
        <v>0</v>
      </c>
      <c r="R5" s="158">
        <f t="shared" ref="R5:R19" si="1">SUMIFS(B$4:B$31, $A$4:$A$31, "&lt;="&amp;$A5)</f>
        <v>66880</v>
      </c>
      <c r="S5" s="158">
        <f t="shared" ref="S5:S31" si="2">SUMIFS(C$4:C$31, $A$4:$A$31, "&lt;="&amp;$A5)</f>
        <v>0</v>
      </c>
      <c r="T5" s="158">
        <f t="shared" ref="T5:T31" si="3">SUMIFS(D$4:D$31, $A$4:$A$31, "&lt;="&amp;$A5)</f>
        <v>219486.66666666669</v>
      </c>
      <c r="U5" s="158">
        <f t="shared" ref="U5:U31" si="4">SUMIFS(E$4:E$31, $A$4:$A$31, "&lt;="&amp;$A5)</f>
        <v>124500</v>
      </c>
      <c r="V5" s="158">
        <f t="shared" ref="V5:V31" si="5">SUMIFS(F$4:F$31, $A$4:$A$31, "&lt;="&amp;$A5)</f>
        <v>0</v>
      </c>
      <c r="W5" s="158">
        <f t="shared" ref="W5:W31" si="6">SUMIFS(G$4:G$31, $A$4:$A$31, "&lt;="&amp;$A5)</f>
        <v>789626.66666666663</v>
      </c>
      <c r="X5" s="158">
        <f t="shared" ref="X5:X31" si="7">SUMIFS(H$4:H$31, $A$4:$A$31, "&lt;="&amp;$A5)</f>
        <v>1114093.3333333333</v>
      </c>
      <c r="Y5" s="158">
        <f t="shared" ref="Y5:Y31" si="8">SUMIFS(I$4:I$31, $A$4:$A$31, "&lt;="&amp;$A5)</f>
        <v>406560</v>
      </c>
      <c r="Z5" s="158">
        <f t="shared" ref="Z5:Z31" si="9">SUMIFS(J$4:J$31, $A$4:$A$31, "&lt;="&amp;$A5)</f>
        <v>0</v>
      </c>
      <c r="AA5" s="158">
        <f t="shared" ref="AA5:AA31" si="10">SUMIFS(K$4:K$31, $A$4:$A$31, "&lt;="&amp;$A5)</f>
        <v>0</v>
      </c>
      <c r="AB5" s="158">
        <f t="shared" ref="AB5:AB31" si="11">SUMIFS(L$4:L$31, $A$4:$A$31, "&lt;="&amp;$A5)</f>
        <v>0</v>
      </c>
      <c r="AC5" s="158">
        <f t="shared" ref="AC5:AC31" si="12">SUMIFS(M$4:M$31, $A$4:$A$31, "&lt;="&amp;$A5)</f>
        <v>0</v>
      </c>
      <c r="AD5" s="158">
        <f t="shared" ref="AD5:AD31" si="13">SUMIFS(N$4:N$31, $A$4:$A$31, "&lt;="&amp;$A5)</f>
        <v>0</v>
      </c>
      <c r="AE5" s="158">
        <f t="shared" ref="AE5:AE31" si="14">SUMIFS(O$4:O$31, $A$4:$A$31, "&lt;="&amp;$A5)</f>
        <v>0</v>
      </c>
      <c r="AF5" s="158">
        <f t="shared" ref="AF5:AF31" si="15">SUMIFS(P$4:P$31, $A$4:$A$31, "&lt;="&amp;$A5)</f>
        <v>0</v>
      </c>
      <c r="AG5" s="158">
        <f t="shared" ref="AG5:AG31" si="16">SUMIFS(Q$4:Q$31, $A$4:$A$31, "&lt;="&amp;$A5)</f>
        <v>0</v>
      </c>
    </row>
    <row r="6" spans="1:33" ht="20">
      <c r="A6" s="173">
        <v>43191</v>
      </c>
      <c r="B6" s="174">
        <f>SUMIFS('Larvae Collection'!$Q:$Q, 'Larvae Collection'!$A:$A,'SPAWNING PLOTS-raw'!$A6, 'Larvae Collection'!$C:$C, 'SPAWNING PLOTS-raw'!B$3)</f>
        <v>0</v>
      </c>
      <c r="C6" s="174">
        <f>SUMIFS('Larvae Collection'!$Q:$Q, 'Larvae Collection'!$A:$A,'SPAWNING PLOTS-raw'!$A6, 'Larvae Collection'!$C:$C, 'SPAWNING PLOTS-raw'!C$3)</f>
        <v>0</v>
      </c>
      <c r="D6" s="174">
        <f>SUMIFS('Larvae Collection'!$Q:$Q, 'Larvae Collection'!$A:$A,'SPAWNING PLOTS-raw'!$A6, 'Larvae Collection'!$C:$C, 'SPAWNING PLOTS-raw'!D$3)</f>
        <v>11000</v>
      </c>
      <c r="E6" s="174">
        <f>SUMIFS('Larvae Collection'!$Q:$Q, 'Larvae Collection'!$A:$A,'SPAWNING PLOTS-raw'!$A6, 'Larvae Collection'!$C:$C, 'SPAWNING PLOTS-raw'!E$3)</f>
        <v>0</v>
      </c>
      <c r="F6" s="174">
        <f>SUMIFS('Larvae Collection'!$Q:$Q, 'Larvae Collection'!$A:$A,'SPAWNING PLOTS-raw'!$A6, 'Larvae Collection'!$C:$C, 'SPAWNING PLOTS-raw'!F$3)</f>
        <v>42119.047619047618</v>
      </c>
      <c r="G6" s="174">
        <f>SUMIFS('Larvae Collection'!$Q:$Q, 'Larvae Collection'!$A:$A,'SPAWNING PLOTS-raw'!$A6, 'Larvae Collection'!$C:$C, 'SPAWNING PLOTS-raw'!G$3)</f>
        <v>13466.666666666666</v>
      </c>
      <c r="H6" s="175">
        <f>SUMIFS('Larvae Collection'!$Q:$Q, 'Larvae Collection'!$A:$A,'SPAWNING PLOTS-raw'!$A6, 'Larvae Collection'!$C:$C, 'SPAWNING PLOTS-raw'!H$3)</f>
        <v>59833.333333333336</v>
      </c>
      <c r="I6" s="174">
        <f>SUMIFS('Larvae Collection'!$Q:$Q, 'Larvae Collection'!$A:$A,'SPAWNING PLOTS-raw'!$A6, 'Larvae Collection'!$C:$C, 'SPAWNING PLOTS-raw'!I$3)</f>
        <v>6490</v>
      </c>
      <c r="J6" s="174">
        <f>SUMIFS('Larvae Collection'!$Q:$Q, 'Larvae Collection'!$A:$A,'SPAWNING PLOTS-raw'!$A6, 'Larvae Collection'!$C:$C, 'SPAWNING PLOTS-raw'!J$3)</f>
        <v>0</v>
      </c>
      <c r="K6" s="174">
        <f>SUMIFS('Larvae Collection'!$Q:$Q, 'Larvae Collection'!$A:$A,'SPAWNING PLOTS-raw'!$A6, 'Larvae Collection'!$C:$C, 'SPAWNING PLOTS-raw'!K$3)</f>
        <v>0</v>
      </c>
      <c r="L6" s="174">
        <f>SUMIFS('Larvae Collection'!$Q:$Q, 'Larvae Collection'!$A:$A,'SPAWNING PLOTS-raw'!$A6, 'Larvae Collection'!$C:$C, 'SPAWNING PLOTS-raw'!L$3)</f>
        <v>0</v>
      </c>
      <c r="M6" s="174">
        <f>SUMIFS('Larvae Collection'!$Q:$Q, 'Larvae Collection'!$A:$A,'SPAWNING PLOTS-raw'!$A6, 'Larvae Collection'!$C:$C, 'SPAWNING PLOTS-raw'!M$3)</f>
        <v>0</v>
      </c>
      <c r="N6" s="174">
        <f>SUMIFS('Larvae Collection'!$Q:$Q, 'Larvae Collection'!$A:$A,'SPAWNING PLOTS-raw'!$A6, 'Larvae Collection'!$C:$C, 'SPAWNING PLOTS-raw'!N$3)</f>
        <v>0</v>
      </c>
      <c r="O6" s="174">
        <f>SUMIFS('Larvae Collection'!$Q:$Q, 'Larvae Collection'!$A:$A,'SPAWNING PLOTS-raw'!$A6, 'Larvae Collection'!$C:$C, 'SPAWNING PLOTS-raw'!O$3)</f>
        <v>2250</v>
      </c>
      <c r="P6" s="174">
        <f>SUMIFS('Larvae Collection'!$Q:$Q, 'Larvae Collection'!$A:$A,'SPAWNING PLOTS-raw'!$A6, 'Larvae Collection'!$C:$C, 'SPAWNING PLOTS-raw'!P$3)</f>
        <v>0</v>
      </c>
      <c r="Q6" s="174">
        <f>SUMIFS('Larvae Collection'!$Q:$Q, 'Larvae Collection'!$A:$A,'SPAWNING PLOTS-raw'!$A6, 'Larvae Collection'!$C:$C, 'SPAWNING PLOTS-raw'!Q$3)</f>
        <v>5777.7777777777783</v>
      </c>
      <c r="R6" s="158">
        <f t="shared" si="1"/>
        <v>66880</v>
      </c>
      <c r="S6" s="158">
        <f t="shared" si="2"/>
        <v>0</v>
      </c>
      <c r="T6" s="158">
        <f t="shared" si="3"/>
        <v>230486.66666666669</v>
      </c>
      <c r="U6" s="158">
        <f t="shared" si="4"/>
        <v>124500</v>
      </c>
      <c r="V6" s="158">
        <f t="shared" si="5"/>
        <v>42119.047619047618</v>
      </c>
      <c r="W6" s="158">
        <f t="shared" si="6"/>
        <v>803093.33333333326</v>
      </c>
      <c r="X6" s="158">
        <f t="shared" si="7"/>
        <v>1173926.6666666665</v>
      </c>
      <c r="Y6" s="158">
        <f t="shared" si="8"/>
        <v>413050</v>
      </c>
      <c r="Z6" s="158">
        <f t="shared" si="9"/>
        <v>0</v>
      </c>
      <c r="AA6" s="158">
        <f t="shared" si="10"/>
        <v>0</v>
      </c>
      <c r="AB6" s="158">
        <f t="shared" si="11"/>
        <v>0</v>
      </c>
      <c r="AC6" s="158">
        <f t="shared" si="12"/>
        <v>0</v>
      </c>
      <c r="AD6" s="158">
        <f t="shared" si="13"/>
        <v>0</v>
      </c>
      <c r="AE6" s="158">
        <f t="shared" si="14"/>
        <v>2250</v>
      </c>
      <c r="AF6" s="158">
        <f t="shared" si="15"/>
        <v>0</v>
      </c>
      <c r="AG6" s="158">
        <f t="shared" si="16"/>
        <v>5777.7777777777783</v>
      </c>
    </row>
    <row r="7" spans="1:33" ht="20">
      <c r="A7" s="173">
        <v>43192</v>
      </c>
      <c r="B7" s="174">
        <f>SUMIFS('Larvae Collection'!$Q:$Q, 'Larvae Collection'!$A:$A,'SPAWNING PLOTS-raw'!$A7, 'Larvae Collection'!$C:$C, 'SPAWNING PLOTS-raw'!B$3)</f>
        <v>0</v>
      </c>
      <c r="C7" s="174">
        <f>SUMIFS('Larvae Collection'!$Q:$Q, 'Larvae Collection'!$A:$A,'SPAWNING PLOTS-raw'!$A7, 'Larvae Collection'!$C:$C, 'SPAWNING PLOTS-raw'!C$3)</f>
        <v>503200</v>
      </c>
      <c r="D7" s="174">
        <f>SUMIFS('Larvae Collection'!$Q:$Q, 'Larvae Collection'!$A:$A,'SPAWNING PLOTS-raw'!$A7, 'Larvae Collection'!$C:$C, 'SPAWNING PLOTS-raw'!D$3)</f>
        <v>457000</v>
      </c>
      <c r="E7" s="174">
        <f>SUMIFS('Larvae Collection'!$Q:$Q, 'Larvae Collection'!$A:$A,'SPAWNING PLOTS-raw'!$A7, 'Larvae Collection'!$C:$C, 'SPAWNING PLOTS-raw'!E$3)</f>
        <v>0</v>
      </c>
      <c r="F7" s="174">
        <f>SUMIFS('Larvae Collection'!$Q:$Q, 'Larvae Collection'!$A:$A,'SPAWNING PLOTS-raw'!$A7, 'Larvae Collection'!$C:$C, 'SPAWNING PLOTS-raw'!F$3)</f>
        <v>317173.33333333331</v>
      </c>
      <c r="G7" s="174">
        <f>SUMIFS('Larvae Collection'!$Q:$Q, 'Larvae Collection'!$A:$A,'SPAWNING PLOTS-raw'!$A7, 'Larvae Collection'!$C:$C, 'SPAWNING PLOTS-raw'!G$3)</f>
        <v>0</v>
      </c>
      <c r="H7" s="174">
        <f>SUMIFS('Larvae Collection'!$Q:$Q, 'Larvae Collection'!$A:$A,'SPAWNING PLOTS-raw'!$A7, 'Larvae Collection'!$C:$C, 'SPAWNING PLOTS-raw'!H$3)</f>
        <v>324133.33333333331</v>
      </c>
      <c r="I7" s="174">
        <f>SUMIFS('Larvae Collection'!$Q:$Q, 'Larvae Collection'!$A:$A,'SPAWNING PLOTS-raw'!$A7, 'Larvae Collection'!$C:$C, 'SPAWNING PLOTS-raw'!I$3)</f>
        <v>374233.33333333331</v>
      </c>
      <c r="J7" s="174">
        <f>SUMIFS('Larvae Collection'!$Q:$Q, 'Larvae Collection'!$A:$A,'SPAWNING PLOTS-raw'!$A7, 'Larvae Collection'!$C:$C, 'SPAWNING PLOTS-raw'!J$3)</f>
        <v>0</v>
      </c>
      <c r="K7" s="174">
        <f>SUMIFS('Larvae Collection'!$Q:$Q, 'Larvae Collection'!$A:$A,'SPAWNING PLOTS-raw'!$A7, 'Larvae Collection'!$C:$C, 'SPAWNING PLOTS-raw'!K$3)</f>
        <v>0</v>
      </c>
      <c r="L7" s="174">
        <f>SUMIFS('Larvae Collection'!$Q:$Q, 'Larvae Collection'!$A:$A,'SPAWNING PLOTS-raw'!$A7, 'Larvae Collection'!$C:$C, 'SPAWNING PLOTS-raw'!L$3)</f>
        <v>0</v>
      </c>
      <c r="M7" s="174">
        <f>SUMIFS('Larvae Collection'!$Q:$Q, 'Larvae Collection'!$A:$A,'SPAWNING PLOTS-raw'!$A7, 'Larvae Collection'!$C:$C, 'SPAWNING PLOTS-raw'!M$3)</f>
        <v>0</v>
      </c>
      <c r="N7" s="174">
        <f>SUMIFS('Larvae Collection'!$Q:$Q, 'Larvae Collection'!$A:$A,'SPAWNING PLOTS-raw'!$A7, 'Larvae Collection'!$C:$C, 'SPAWNING PLOTS-raw'!N$3)</f>
        <v>412160</v>
      </c>
      <c r="O7" s="174">
        <f>SUMIFS('Larvae Collection'!$Q:$Q, 'Larvae Collection'!$A:$A,'SPAWNING PLOTS-raw'!$A7, 'Larvae Collection'!$C:$C, 'SPAWNING PLOTS-raw'!O$3)</f>
        <v>879520</v>
      </c>
      <c r="P7" s="174">
        <f>SUMIFS('Larvae Collection'!$Q:$Q, 'Larvae Collection'!$A:$A,'SPAWNING PLOTS-raw'!$A7, 'Larvae Collection'!$C:$C, 'SPAWNING PLOTS-raw'!P$3)</f>
        <v>751200</v>
      </c>
      <c r="Q7" s="174">
        <f>SUMIFS('Larvae Collection'!$Q:$Q, 'Larvae Collection'!$A:$A,'SPAWNING PLOTS-raw'!$A7, 'Larvae Collection'!$C:$C, 'SPAWNING PLOTS-raw'!Q$3)</f>
        <v>71200</v>
      </c>
      <c r="R7" s="158">
        <f t="shared" si="1"/>
        <v>66880</v>
      </c>
      <c r="S7" s="158">
        <f t="shared" si="2"/>
        <v>503200</v>
      </c>
      <c r="T7" s="158">
        <f t="shared" si="3"/>
        <v>687486.66666666674</v>
      </c>
      <c r="U7" s="158">
        <f t="shared" si="4"/>
        <v>124500</v>
      </c>
      <c r="V7" s="158">
        <f t="shared" si="5"/>
        <v>359292.38095238095</v>
      </c>
      <c r="W7" s="158">
        <f t="shared" si="6"/>
        <v>803093.33333333326</v>
      </c>
      <c r="X7" s="158">
        <f t="shared" si="7"/>
        <v>1498059.9999999998</v>
      </c>
      <c r="Y7" s="158">
        <f t="shared" si="8"/>
        <v>787283.33333333326</v>
      </c>
      <c r="Z7" s="158">
        <f t="shared" si="9"/>
        <v>0</v>
      </c>
      <c r="AA7" s="158">
        <f t="shared" si="10"/>
        <v>0</v>
      </c>
      <c r="AB7" s="158">
        <f t="shared" si="11"/>
        <v>0</v>
      </c>
      <c r="AC7" s="158">
        <f t="shared" si="12"/>
        <v>0</v>
      </c>
      <c r="AD7" s="158">
        <f t="shared" si="13"/>
        <v>412160</v>
      </c>
      <c r="AE7" s="158">
        <f t="shared" si="14"/>
        <v>881770</v>
      </c>
      <c r="AF7" s="158">
        <f t="shared" si="15"/>
        <v>751200</v>
      </c>
      <c r="AG7" s="158">
        <f t="shared" si="16"/>
        <v>76977.777777777781</v>
      </c>
    </row>
    <row r="8" spans="1:33" ht="20">
      <c r="A8" s="173">
        <v>43193</v>
      </c>
      <c r="B8" s="174">
        <f>SUMIFS('Larvae Collection'!$Q:$Q, 'Larvae Collection'!$A:$A,'SPAWNING PLOTS-raw'!$A8, 'Larvae Collection'!$C:$C, 'SPAWNING PLOTS-raw'!B$3)</f>
        <v>120960</v>
      </c>
      <c r="C8" s="174">
        <f>SUMIFS('Larvae Collection'!$Q:$Q, 'Larvae Collection'!$A:$A,'SPAWNING PLOTS-raw'!$A8, 'Larvae Collection'!$C:$C, 'SPAWNING PLOTS-raw'!C$3)</f>
        <v>359040</v>
      </c>
      <c r="D8" s="174">
        <f>SUMIFS('Larvae Collection'!$Q:$Q, 'Larvae Collection'!$A:$A,'SPAWNING PLOTS-raw'!$A8, 'Larvae Collection'!$C:$C, 'SPAWNING PLOTS-raw'!D$3)</f>
        <v>0</v>
      </c>
      <c r="E8" s="174">
        <f>SUMIFS('Larvae Collection'!$Q:$Q, 'Larvae Collection'!$A:$A,'SPAWNING PLOTS-raw'!$A8, 'Larvae Collection'!$C:$C, 'SPAWNING PLOTS-raw'!E$3)</f>
        <v>267866.66666666669</v>
      </c>
      <c r="F8" s="174">
        <f>SUMIFS('Larvae Collection'!$Q:$Q, 'Larvae Collection'!$A:$A,'SPAWNING PLOTS-raw'!$A8, 'Larvae Collection'!$C:$C, 'SPAWNING PLOTS-raw'!F$3)</f>
        <v>0</v>
      </c>
      <c r="G8" s="174">
        <f>SUMIFS('Larvae Collection'!$Q:$Q, 'Larvae Collection'!$A:$A,'SPAWNING PLOTS-raw'!$A8, 'Larvae Collection'!$C:$C, 'SPAWNING PLOTS-raw'!G$3)</f>
        <v>0</v>
      </c>
      <c r="H8" s="174">
        <f>SUMIFS('Larvae Collection'!$Q:$Q, 'Larvae Collection'!$A:$A,'SPAWNING PLOTS-raw'!$A8, 'Larvae Collection'!$C:$C, 'SPAWNING PLOTS-raw'!H$3)</f>
        <v>0</v>
      </c>
      <c r="I8" s="174">
        <f>SUMIFS('Larvae Collection'!$Q:$Q, 'Larvae Collection'!$A:$A,'SPAWNING PLOTS-raw'!$A8, 'Larvae Collection'!$C:$C, 'SPAWNING PLOTS-raw'!I$3)</f>
        <v>0</v>
      </c>
      <c r="J8" s="175">
        <f>SUMIFS('Larvae Collection'!$Q:$Q, 'Larvae Collection'!$A:$A,'SPAWNING PLOTS-raw'!$A8, 'Larvae Collection'!$C:$C, 'SPAWNING PLOTS-raw'!J$3)</f>
        <v>0</v>
      </c>
      <c r="K8" s="174">
        <f>SUMIFS('Larvae Collection'!$Q:$Q, 'Larvae Collection'!$A:$A,'SPAWNING PLOTS-raw'!$A8, 'Larvae Collection'!$C:$C, 'SPAWNING PLOTS-raw'!K$3)</f>
        <v>0</v>
      </c>
      <c r="L8" s="174">
        <f>SUMIFS('Larvae Collection'!$Q:$Q, 'Larvae Collection'!$A:$A,'SPAWNING PLOTS-raw'!$A8, 'Larvae Collection'!$C:$C, 'SPAWNING PLOTS-raw'!L$3)</f>
        <v>0</v>
      </c>
      <c r="M8" s="175">
        <f>SUMIFS('Larvae Collection'!$Q:$Q, 'Larvae Collection'!$A:$A,'SPAWNING PLOTS-raw'!$A8, 'Larvae Collection'!$C:$C, 'SPAWNING PLOTS-raw'!M$3)</f>
        <v>0</v>
      </c>
      <c r="N8" s="174">
        <f>SUMIFS('Larvae Collection'!$Q:$Q, 'Larvae Collection'!$A:$A,'SPAWNING PLOTS-raw'!$A8, 'Larvae Collection'!$C:$C, 'SPAWNING PLOTS-raw'!N$3)</f>
        <v>0</v>
      </c>
      <c r="O8" s="174">
        <f>SUMIFS('Larvae Collection'!$Q:$Q, 'Larvae Collection'!$A:$A,'SPAWNING PLOTS-raw'!$A8, 'Larvae Collection'!$C:$C, 'SPAWNING PLOTS-raw'!O$3)</f>
        <v>33526.666666666664</v>
      </c>
      <c r="P8" s="174">
        <f>SUMIFS('Larvae Collection'!$Q:$Q, 'Larvae Collection'!$A:$A,'SPAWNING PLOTS-raw'!$A8, 'Larvae Collection'!$C:$C, 'SPAWNING PLOTS-raw'!P$3)</f>
        <v>41946.666666666672</v>
      </c>
      <c r="Q8" s="174">
        <f>SUMIFS('Larvae Collection'!$Q:$Q, 'Larvae Collection'!$A:$A,'SPAWNING PLOTS-raw'!$A8, 'Larvae Collection'!$C:$C, 'SPAWNING PLOTS-raw'!Q$3)</f>
        <v>445200</v>
      </c>
      <c r="R8" s="158">
        <f t="shared" si="1"/>
        <v>187840</v>
      </c>
      <c r="S8" s="158">
        <f t="shared" si="2"/>
        <v>862240</v>
      </c>
      <c r="T8" s="158">
        <f t="shared" si="3"/>
        <v>687486.66666666674</v>
      </c>
      <c r="U8" s="158">
        <f t="shared" si="4"/>
        <v>392366.66666666669</v>
      </c>
      <c r="V8" s="158">
        <f t="shared" si="5"/>
        <v>359292.38095238095</v>
      </c>
      <c r="W8" s="158">
        <f t="shared" si="6"/>
        <v>803093.33333333326</v>
      </c>
      <c r="X8" s="158">
        <f t="shared" si="7"/>
        <v>1498059.9999999998</v>
      </c>
      <c r="Y8" s="158">
        <f t="shared" si="8"/>
        <v>787283.33333333326</v>
      </c>
      <c r="Z8" s="158">
        <f t="shared" si="9"/>
        <v>0</v>
      </c>
      <c r="AA8" s="158">
        <f t="shared" si="10"/>
        <v>0</v>
      </c>
      <c r="AB8" s="158">
        <f t="shared" si="11"/>
        <v>0</v>
      </c>
      <c r="AC8" s="158">
        <f t="shared" si="12"/>
        <v>0</v>
      </c>
      <c r="AD8" s="158">
        <f t="shared" si="13"/>
        <v>412160</v>
      </c>
      <c r="AE8" s="158">
        <f t="shared" si="14"/>
        <v>915296.66666666663</v>
      </c>
      <c r="AF8" s="158">
        <f t="shared" si="15"/>
        <v>793146.66666666663</v>
      </c>
      <c r="AG8" s="158">
        <f t="shared" si="16"/>
        <v>522177.77777777775</v>
      </c>
    </row>
    <row r="9" spans="1:33" ht="20">
      <c r="A9" s="173">
        <v>43194</v>
      </c>
      <c r="B9" s="174">
        <f>SUMIFS('Larvae Collection'!$Q:$Q, 'Larvae Collection'!$A:$A,'SPAWNING PLOTS-raw'!$A9, 'Larvae Collection'!$C:$C, 'SPAWNING PLOTS-raw'!B$3)</f>
        <v>642222.22222222225</v>
      </c>
      <c r="C9" s="174">
        <f>SUMIFS('Larvae Collection'!$Q:$Q, 'Larvae Collection'!$A:$A,'SPAWNING PLOTS-raw'!$A9, 'Larvae Collection'!$C:$C, 'SPAWNING PLOTS-raw'!C$3)</f>
        <v>202346.66666666666</v>
      </c>
      <c r="D9" s="174">
        <f>SUMIFS('Larvae Collection'!$Q:$Q, 'Larvae Collection'!$A:$A,'SPAWNING PLOTS-raw'!$A9, 'Larvae Collection'!$C:$C, 'SPAWNING PLOTS-raw'!D$3)</f>
        <v>704541.66666666663</v>
      </c>
      <c r="E9" s="174">
        <f>SUMIFS('Larvae Collection'!$Q:$Q, 'Larvae Collection'!$A:$A,'SPAWNING PLOTS-raw'!$A9, 'Larvae Collection'!$C:$C, 'SPAWNING PLOTS-raw'!E$3)</f>
        <v>0</v>
      </c>
      <c r="F9" s="174">
        <f>SUMIFS('Larvae Collection'!$Q:$Q, 'Larvae Collection'!$A:$A,'SPAWNING PLOTS-raw'!$A9, 'Larvae Collection'!$C:$C, 'SPAWNING PLOTS-raw'!F$3)</f>
        <v>0</v>
      </c>
      <c r="G9" s="174">
        <f>SUMIFS('Larvae Collection'!$Q:$Q, 'Larvae Collection'!$A:$A,'SPAWNING PLOTS-raw'!$A9, 'Larvae Collection'!$C:$C, 'SPAWNING PLOTS-raw'!G$3)</f>
        <v>0</v>
      </c>
      <c r="H9" s="174">
        <f>SUMIFS('Larvae Collection'!$Q:$Q, 'Larvae Collection'!$A:$A,'SPAWNING PLOTS-raw'!$A9, 'Larvae Collection'!$C:$C, 'SPAWNING PLOTS-raw'!H$3)</f>
        <v>0</v>
      </c>
      <c r="I9" s="174">
        <f>SUMIFS('Larvae Collection'!$Q:$Q, 'Larvae Collection'!$A:$A,'SPAWNING PLOTS-raw'!$A9, 'Larvae Collection'!$C:$C, 'SPAWNING PLOTS-raw'!I$3)</f>
        <v>570266.66666666663</v>
      </c>
      <c r="J9" s="174">
        <f>SUMIFS('Larvae Collection'!$Q:$Q, 'Larvae Collection'!$A:$A,'SPAWNING PLOTS-raw'!$A9, 'Larvae Collection'!$C:$C, 'SPAWNING PLOTS-raw'!J$3)</f>
        <v>0</v>
      </c>
      <c r="K9" s="174">
        <f>SUMIFS('Larvae Collection'!$Q:$Q, 'Larvae Collection'!$A:$A,'SPAWNING PLOTS-raw'!$A9, 'Larvae Collection'!$C:$C, 'SPAWNING PLOTS-raw'!K$3)</f>
        <v>68400</v>
      </c>
      <c r="L9" s="174">
        <f>SUMIFS('Larvae Collection'!$Q:$Q, 'Larvae Collection'!$A:$A,'SPAWNING PLOTS-raw'!$A9, 'Larvae Collection'!$C:$C, 'SPAWNING PLOTS-raw'!L$3)</f>
        <v>189466.66666666666</v>
      </c>
      <c r="M9" s="174">
        <f>SUMIFS('Larvae Collection'!$Q:$Q, 'Larvae Collection'!$A:$A,'SPAWNING PLOTS-raw'!$A9, 'Larvae Collection'!$C:$C, 'SPAWNING PLOTS-raw'!M$3)</f>
        <v>191166.66666666666</v>
      </c>
      <c r="N9" s="174">
        <f>SUMIFS('Larvae Collection'!$Q:$Q, 'Larvae Collection'!$A:$A,'SPAWNING PLOTS-raw'!$A9, 'Larvae Collection'!$C:$C, 'SPAWNING PLOTS-raw'!N$3)</f>
        <v>0</v>
      </c>
      <c r="O9" s="174">
        <f>SUMIFS('Larvae Collection'!$Q:$Q, 'Larvae Collection'!$A:$A,'SPAWNING PLOTS-raw'!$A9, 'Larvae Collection'!$C:$C, 'SPAWNING PLOTS-raw'!O$3)</f>
        <v>207400</v>
      </c>
      <c r="P9" s="174">
        <f>SUMIFS('Larvae Collection'!$Q:$Q, 'Larvae Collection'!$A:$A,'SPAWNING PLOTS-raw'!$A9, 'Larvae Collection'!$C:$C, 'SPAWNING PLOTS-raw'!P$3)</f>
        <v>0</v>
      </c>
      <c r="Q9" s="174">
        <f>SUMIFS('Larvae Collection'!$Q:$Q, 'Larvae Collection'!$A:$A,'SPAWNING PLOTS-raw'!$A9, 'Larvae Collection'!$C:$C, 'SPAWNING PLOTS-raw'!Q$3)</f>
        <v>78300</v>
      </c>
      <c r="R9" s="158">
        <f t="shared" si="1"/>
        <v>830062.22222222225</v>
      </c>
      <c r="S9" s="158">
        <f t="shared" si="2"/>
        <v>1064586.6666666667</v>
      </c>
      <c r="T9" s="158">
        <f t="shared" si="3"/>
        <v>1392028.3333333335</v>
      </c>
      <c r="U9" s="158">
        <f t="shared" si="4"/>
        <v>392366.66666666669</v>
      </c>
      <c r="V9" s="158">
        <f t="shared" si="5"/>
        <v>359292.38095238095</v>
      </c>
      <c r="W9" s="158">
        <f t="shared" si="6"/>
        <v>803093.33333333326</v>
      </c>
      <c r="X9" s="158">
        <f t="shared" si="7"/>
        <v>1498059.9999999998</v>
      </c>
      <c r="Y9" s="158">
        <f t="shared" si="8"/>
        <v>1357550</v>
      </c>
      <c r="Z9" s="158">
        <f t="shared" si="9"/>
        <v>0</v>
      </c>
      <c r="AA9" s="158">
        <f t="shared" si="10"/>
        <v>68400</v>
      </c>
      <c r="AB9" s="158">
        <f t="shared" si="11"/>
        <v>189466.66666666666</v>
      </c>
      <c r="AC9" s="158">
        <f t="shared" si="12"/>
        <v>191166.66666666666</v>
      </c>
      <c r="AD9" s="158">
        <f t="shared" si="13"/>
        <v>412160</v>
      </c>
      <c r="AE9" s="158">
        <f t="shared" si="14"/>
        <v>1122696.6666666665</v>
      </c>
      <c r="AF9" s="158">
        <f t="shared" si="15"/>
        <v>793146.66666666663</v>
      </c>
      <c r="AG9" s="158">
        <f t="shared" si="16"/>
        <v>600477.77777777775</v>
      </c>
    </row>
    <row r="10" spans="1:33" ht="20">
      <c r="A10" s="173">
        <v>43195</v>
      </c>
      <c r="B10" s="174">
        <f>SUMIFS('Larvae Collection'!$Q:$Q, 'Larvae Collection'!$A:$A,'SPAWNING PLOTS-raw'!$A10, 'Larvae Collection'!$C:$C, 'SPAWNING PLOTS-raw'!B$3)</f>
        <v>0</v>
      </c>
      <c r="C10" s="174">
        <f>SUMIFS('Larvae Collection'!$Q:$Q, 'Larvae Collection'!$A:$A,'SPAWNING PLOTS-raw'!$A10, 'Larvae Collection'!$C:$C, 'SPAWNING PLOTS-raw'!C$3)</f>
        <v>0</v>
      </c>
      <c r="D10" s="174">
        <f>SUMIFS('Larvae Collection'!$Q:$Q, 'Larvae Collection'!$A:$A,'SPAWNING PLOTS-raw'!$A10, 'Larvae Collection'!$C:$C, 'SPAWNING PLOTS-raw'!D$3)</f>
        <v>0</v>
      </c>
      <c r="E10" s="174">
        <f>SUMIFS('Larvae Collection'!$Q:$Q, 'Larvae Collection'!$A:$A,'SPAWNING PLOTS-raw'!$A10, 'Larvae Collection'!$C:$C, 'SPAWNING PLOTS-raw'!E$3)</f>
        <v>0</v>
      </c>
      <c r="F10" s="174">
        <f>SUMIFS('Larvae Collection'!$Q:$Q, 'Larvae Collection'!$A:$A,'SPAWNING PLOTS-raw'!$A10, 'Larvae Collection'!$C:$C, 'SPAWNING PLOTS-raw'!F$3)</f>
        <v>412800</v>
      </c>
      <c r="G10" s="174">
        <f>SUMIFS('Larvae Collection'!$Q:$Q, 'Larvae Collection'!$A:$A,'SPAWNING PLOTS-raw'!$A10, 'Larvae Collection'!$C:$C, 'SPAWNING PLOTS-raw'!G$3)</f>
        <v>0</v>
      </c>
      <c r="H10" s="174">
        <f>SUMIFS('Larvae Collection'!$Q:$Q, 'Larvae Collection'!$A:$A,'SPAWNING PLOTS-raw'!$A10, 'Larvae Collection'!$C:$C, 'SPAWNING PLOTS-raw'!H$3)</f>
        <v>232750</v>
      </c>
      <c r="I10" s="174">
        <f>SUMIFS('Larvae Collection'!$Q:$Q, 'Larvae Collection'!$A:$A,'SPAWNING PLOTS-raw'!$A10, 'Larvae Collection'!$C:$C, 'SPAWNING PLOTS-raw'!I$3)</f>
        <v>0</v>
      </c>
      <c r="J10" s="174">
        <f>SUMIFS('Larvae Collection'!$Q:$Q, 'Larvae Collection'!$A:$A,'SPAWNING PLOTS-raw'!$A10, 'Larvae Collection'!$C:$C, 'SPAWNING PLOTS-raw'!J$3)</f>
        <v>0</v>
      </c>
      <c r="K10" s="174">
        <f>SUMIFS('Larvae Collection'!$Q:$Q, 'Larvae Collection'!$A:$A,'SPAWNING PLOTS-raw'!$A10, 'Larvae Collection'!$C:$C, 'SPAWNING PLOTS-raw'!K$3)</f>
        <v>582666.66666666674</v>
      </c>
      <c r="L10" s="174">
        <f>SUMIFS('Larvae Collection'!$Q:$Q, 'Larvae Collection'!$A:$A,'SPAWNING PLOTS-raw'!$A10, 'Larvae Collection'!$C:$C, 'SPAWNING PLOTS-raw'!L$3)</f>
        <v>0</v>
      </c>
      <c r="M10" s="174">
        <f>SUMIFS('Larvae Collection'!$Q:$Q, 'Larvae Collection'!$A:$A,'SPAWNING PLOTS-raw'!$A10, 'Larvae Collection'!$C:$C, 'SPAWNING PLOTS-raw'!M$3)</f>
        <v>0</v>
      </c>
      <c r="N10" s="174">
        <f>SUMIFS('Larvae Collection'!$Q:$Q, 'Larvae Collection'!$A:$A,'SPAWNING PLOTS-raw'!$A10, 'Larvae Collection'!$C:$C, 'SPAWNING PLOTS-raw'!N$3)</f>
        <v>328700</v>
      </c>
      <c r="O10" s="174">
        <f>SUMIFS('Larvae Collection'!$Q:$Q, 'Larvae Collection'!$A:$A,'SPAWNING PLOTS-raw'!$A10, 'Larvae Collection'!$C:$C, 'SPAWNING PLOTS-raw'!O$3)</f>
        <v>136000</v>
      </c>
      <c r="P10" s="174">
        <f>SUMIFS('Larvae Collection'!$Q:$Q, 'Larvae Collection'!$A:$A,'SPAWNING PLOTS-raw'!$A10, 'Larvae Collection'!$C:$C, 'SPAWNING PLOTS-raw'!P$3)</f>
        <v>0</v>
      </c>
      <c r="Q10" s="174">
        <f>SUMIFS('Larvae Collection'!$Q:$Q, 'Larvae Collection'!$A:$A,'SPAWNING PLOTS-raw'!$A10, 'Larvae Collection'!$C:$C, 'SPAWNING PLOTS-raw'!Q$3)</f>
        <v>429600</v>
      </c>
      <c r="R10" s="158">
        <f t="shared" si="1"/>
        <v>830062.22222222225</v>
      </c>
      <c r="S10" s="158">
        <f t="shared" si="2"/>
        <v>1064586.6666666667</v>
      </c>
      <c r="T10" s="158">
        <f t="shared" si="3"/>
        <v>1392028.3333333335</v>
      </c>
      <c r="U10" s="158">
        <f t="shared" si="4"/>
        <v>392366.66666666669</v>
      </c>
      <c r="V10" s="158">
        <f t="shared" si="5"/>
        <v>772092.38095238095</v>
      </c>
      <c r="W10" s="158">
        <f t="shared" si="6"/>
        <v>803093.33333333326</v>
      </c>
      <c r="X10" s="158">
        <f t="shared" si="7"/>
        <v>1730809.9999999998</v>
      </c>
      <c r="Y10" s="158">
        <f t="shared" si="8"/>
        <v>1357550</v>
      </c>
      <c r="Z10" s="158">
        <f t="shared" si="9"/>
        <v>0</v>
      </c>
      <c r="AA10" s="158">
        <f t="shared" si="10"/>
        <v>651066.66666666674</v>
      </c>
      <c r="AB10" s="158">
        <f t="shared" si="11"/>
        <v>189466.66666666666</v>
      </c>
      <c r="AC10" s="158">
        <f t="shared" si="12"/>
        <v>191166.66666666666</v>
      </c>
      <c r="AD10" s="158">
        <f t="shared" si="13"/>
        <v>740860</v>
      </c>
      <c r="AE10" s="158">
        <f t="shared" si="14"/>
        <v>1258696.6666666665</v>
      </c>
      <c r="AF10" s="158">
        <f t="shared" si="15"/>
        <v>793146.66666666663</v>
      </c>
      <c r="AG10" s="158">
        <f t="shared" si="16"/>
        <v>1030077.7777777778</v>
      </c>
    </row>
    <row r="11" spans="1:33" ht="20">
      <c r="A11" s="173">
        <v>43196</v>
      </c>
      <c r="B11" s="174">
        <f>SUMIFS('Larvae Collection'!$Q:$Q, 'Larvae Collection'!$A:$A,'SPAWNING PLOTS-raw'!$A11, 'Larvae Collection'!$C:$C, 'SPAWNING PLOTS-raw'!B$3)</f>
        <v>0</v>
      </c>
      <c r="C11" s="174">
        <f>SUMIFS('Larvae Collection'!$Q:$Q, 'Larvae Collection'!$A:$A,'SPAWNING PLOTS-raw'!$A11, 'Larvae Collection'!$C:$C, 'SPAWNING PLOTS-raw'!C$3)</f>
        <v>311000</v>
      </c>
      <c r="D11" s="174">
        <f>SUMIFS('Larvae Collection'!$Q:$Q, 'Larvae Collection'!$A:$A,'SPAWNING PLOTS-raw'!$A11, 'Larvae Collection'!$C:$C, 'SPAWNING PLOTS-raw'!D$3)</f>
        <v>298466.66666666669</v>
      </c>
      <c r="E11" s="174">
        <f>SUMIFS('Larvae Collection'!$Q:$Q, 'Larvae Collection'!$A:$A,'SPAWNING PLOTS-raw'!$A11, 'Larvae Collection'!$C:$C, 'SPAWNING PLOTS-raw'!E$3)</f>
        <v>0</v>
      </c>
      <c r="F11" s="174">
        <f>SUMIFS('Larvae Collection'!$Q:$Q, 'Larvae Collection'!$A:$A,'SPAWNING PLOTS-raw'!$A11, 'Larvae Collection'!$C:$C, 'SPAWNING PLOTS-raw'!F$3)</f>
        <v>0</v>
      </c>
      <c r="G11" s="174">
        <f>SUMIFS('Larvae Collection'!$Q:$Q, 'Larvae Collection'!$A:$A,'SPAWNING PLOTS-raw'!$A11, 'Larvae Collection'!$C:$C, 'SPAWNING PLOTS-raw'!G$3)</f>
        <v>0</v>
      </c>
      <c r="H11" s="174">
        <f>SUMIFS('Larvae Collection'!$Q:$Q, 'Larvae Collection'!$A:$A,'SPAWNING PLOTS-raw'!$A11, 'Larvae Collection'!$C:$C, 'SPAWNING PLOTS-raw'!H$3)</f>
        <v>143100</v>
      </c>
      <c r="I11" s="174">
        <f>SUMIFS('Larvae Collection'!$Q:$Q, 'Larvae Collection'!$A:$A,'SPAWNING PLOTS-raw'!$A11, 'Larvae Collection'!$C:$C, 'SPAWNING PLOTS-raw'!I$3)</f>
        <v>0</v>
      </c>
      <c r="J11" s="174">
        <f>SUMIFS('Larvae Collection'!$Q:$Q, 'Larvae Collection'!$A:$A,'SPAWNING PLOTS-raw'!$A11, 'Larvae Collection'!$C:$C, 'SPAWNING PLOTS-raw'!J$3)</f>
        <v>0</v>
      </c>
      <c r="K11" s="174">
        <f>SUMIFS('Larvae Collection'!$Q:$Q, 'Larvae Collection'!$A:$A,'SPAWNING PLOTS-raw'!$A11, 'Larvae Collection'!$C:$C, 'SPAWNING PLOTS-raw'!K$3)</f>
        <v>0</v>
      </c>
      <c r="L11" s="174">
        <f>SUMIFS('Larvae Collection'!$Q:$Q, 'Larvae Collection'!$A:$A,'SPAWNING PLOTS-raw'!$A11, 'Larvae Collection'!$C:$C, 'SPAWNING PLOTS-raw'!L$3)</f>
        <v>0</v>
      </c>
      <c r="M11" s="174">
        <f>SUMIFS('Larvae Collection'!$Q:$Q, 'Larvae Collection'!$A:$A,'SPAWNING PLOTS-raw'!$A11, 'Larvae Collection'!$C:$C, 'SPAWNING PLOTS-raw'!M$3)</f>
        <v>0</v>
      </c>
      <c r="N11" s="174">
        <f>SUMIFS('Larvae Collection'!$Q:$Q, 'Larvae Collection'!$A:$A,'SPAWNING PLOTS-raw'!$A11, 'Larvae Collection'!$C:$C, 'SPAWNING PLOTS-raw'!N$3)</f>
        <v>67320</v>
      </c>
      <c r="O11" s="174">
        <f>SUMIFS('Larvae Collection'!$Q:$Q, 'Larvae Collection'!$A:$A,'SPAWNING PLOTS-raw'!$A11, 'Larvae Collection'!$C:$C, 'SPAWNING PLOTS-raw'!O$3)</f>
        <v>12685.714285714286</v>
      </c>
      <c r="P11" s="174">
        <f>SUMIFS('Larvae Collection'!$Q:$Q, 'Larvae Collection'!$A:$A,'SPAWNING PLOTS-raw'!$A11, 'Larvae Collection'!$C:$C, 'SPAWNING PLOTS-raw'!P$3)</f>
        <v>0</v>
      </c>
      <c r="Q11" s="174">
        <f>SUMIFS('Larvae Collection'!$Q:$Q, 'Larvae Collection'!$A:$A,'SPAWNING PLOTS-raw'!$A11, 'Larvae Collection'!$C:$C, 'SPAWNING PLOTS-raw'!Q$3)</f>
        <v>0</v>
      </c>
      <c r="R11" s="158">
        <f t="shared" si="1"/>
        <v>830062.22222222225</v>
      </c>
      <c r="S11" s="158">
        <f t="shared" si="2"/>
        <v>1375586.6666666667</v>
      </c>
      <c r="T11" s="158">
        <f t="shared" si="3"/>
        <v>1690495.0000000002</v>
      </c>
      <c r="U11" s="158">
        <f t="shared" si="4"/>
        <v>392366.66666666669</v>
      </c>
      <c r="V11" s="158">
        <f t="shared" si="5"/>
        <v>772092.38095238095</v>
      </c>
      <c r="W11" s="158">
        <f t="shared" si="6"/>
        <v>803093.33333333326</v>
      </c>
      <c r="X11" s="158">
        <f t="shared" si="7"/>
        <v>1873909.9999999998</v>
      </c>
      <c r="Y11" s="158">
        <f t="shared" si="8"/>
        <v>1357550</v>
      </c>
      <c r="Z11" s="158">
        <f t="shared" si="9"/>
        <v>0</v>
      </c>
      <c r="AA11" s="158">
        <f t="shared" si="10"/>
        <v>651066.66666666674</v>
      </c>
      <c r="AB11" s="158">
        <f t="shared" si="11"/>
        <v>189466.66666666666</v>
      </c>
      <c r="AC11" s="158">
        <f t="shared" si="12"/>
        <v>191166.66666666666</v>
      </c>
      <c r="AD11" s="158">
        <f t="shared" si="13"/>
        <v>808180</v>
      </c>
      <c r="AE11" s="158">
        <f t="shared" si="14"/>
        <v>1271382.3809523808</v>
      </c>
      <c r="AF11" s="158">
        <f t="shared" si="15"/>
        <v>793146.66666666663</v>
      </c>
      <c r="AG11" s="158">
        <f t="shared" si="16"/>
        <v>1030077.7777777778</v>
      </c>
    </row>
    <row r="12" spans="1:33" s="161" customFormat="1" ht="21" thickBot="1">
      <c r="A12" s="173">
        <v>43197</v>
      </c>
      <c r="B12" s="174">
        <f>SUMIFS('Larvae Collection'!$Q:$Q, 'Larvae Collection'!$A:$A,'SPAWNING PLOTS-raw'!$A12, 'Larvae Collection'!$C:$C, 'SPAWNING PLOTS-raw'!B$3)</f>
        <v>9450</v>
      </c>
      <c r="C12" s="174">
        <f>SUMIFS('Larvae Collection'!$Q:$Q, 'Larvae Collection'!$A:$A,'SPAWNING PLOTS-raw'!$A12, 'Larvae Collection'!$C:$C, 'SPAWNING PLOTS-raw'!C$3)</f>
        <v>10340</v>
      </c>
      <c r="D12" s="174">
        <f>SUMIFS('Larvae Collection'!$Q:$Q, 'Larvae Collection'!$A:$A,'SPAWNING PLOTS-raw'!$A12, 'Larvae Collection'!$C:$C, 'SPAWNING PLOTS-raw'!D$3)</f>
        <v>26526.666666666664</v>
      </c>
      <c r="E12" s="174">
        <f>SUMIFS('Larvae Collection'!$Q:$Q, 'Larvae Collection'!$A:$A,'SPAWNING PLOTS-raw'!$A12, 'Larvae Collection'!$C:$C, 'SPAWNING PLOTS-raw'!E$3)</f>
        <v>9600</v>
      </c>
      <c r="F12" s="174">
        <f>SUMIFS('Larvae Collection'!$Q:$Q, 'Larvae Collection'!$A:$A,'SPAWNING PLOTS-raw'!$A12, 'Larvae Collection'!$C:$C, 'SPAWNING PLOTS-raw'!F$3)</f>
        <v>33626.666666666672</v>
      </c>
      <c r="G12" s="174">
        <f>SUMIFS('Larvae Collection'!$Q:$Q, 'Larvae Collection'!$A:$A,'SPAWNING PLOTS-raw'!$A12, 'Larvae Collection'!$C:$C, 'SPAWNING PLOTS-raw'!G$3)</f>
        <v>0</v>
      </c>
      <c r="H12" s="174">
        <f>SUMIFS('Larvae Collection'!$Q:$Q, 'Larvae Collection'!$A:$A,'SPAWNING PLOTS-raw'!$A12, 'Larvae Collection'!$C:$C, 'SPAWNING PLOTS-raw'!H$3)</f>
        <v>1144000</v>
      </c>
      <c r="I12" s="174">
        <f>SUMIFS('Larvae Collection'!$Q:$Q, 'Larvae Collection'!$A:$A,'SPAWNING PLOTS-raw'!$A12, 'Larvae Collection'!$C:$C, 'SPAWNING PLOTS-raw'!I$3)</f>
        <v>178111.11111111109</v>
      </c>
      <c r="J12" s="174">
        <f>SUMIFS('Larvae Collection'!$Q:$Q, 'Larvae Collection'!$A:$A,'SPAWNING PLOTS-raw'!$A12, 'Larvae Collection'!$C:$C, 'SPAWNING PLOTS-raw'!J$3)</f>
        <v>150960</v>
      </c>
      <c r="K12" s="174">
        <f>SUMIFS('Larvae Collection'!$Q:$Q, 'Larvae Collection'!$A:$A,'SPAWNING PLOTS-raw'!$A12, 'Larvae Collection'!$C:$C, 'SPAWNING PLOTS-raw'!K$3)</f>
        <v>24000</v>
      </c>
      <c r="L12" s="174">
        <f>SUMIFS('Larvae Collection'!$Q:$Q, 'Larvae Collection'!$A:$A,'SPAWNING PLOTS-raw'!$A12, 'Larvae Collection'!$C:$C, 'SPAWNING PLOTS-raw'!L$3)</f>
        <v>91933.333333333343</v>
      </c>
      <c r="M12" s="174">
        <f>SUMIFS('Larvae Collection'!$Q:$Q, 'Larvae Collection'!$A:$A,'SPAWNING PLOTS-raw'!$A12, 'Larvae Collection'!$C:$C, 'SPAWNING PLOTS-raw'!M$3)</f>
        <v>0</v>
      </c>
      <c r="N12" s="174">
        <f>SUMIFS('Larvae Collection'!$Q:$Q, 'Larvae Collection'!$A:$A,'SPAWNING PLOTS-raw'!$A12, 'Larvae Collection'!$C:$C, 'SPAWNING PLOTS-raw'!N$3)</f>
        <v>0</v>
      </c>
      <c r="O12" s="174">
        <f>SUMIFS('Larvae Collection'!$Q:$Q, 'Larvae Collection'!$A:$A,'SPAWNING PLOTS-raw'!$A12, 'Larvae Collection'!$C:$C, 'SPAWNING PLOTS-raw'!O$3)</f>
        <v>342500</v>
      </c>
      <c r="P12" s="174">
        <f>SUMIFS('Larvae Collection'!$Q:$Q, 'Larvae Collection'!$A:$A,'SPAWNING PLOTS-raw'!$A12, 'Larvae Collection'!$C:$C, 'SPAWNING PLOTS-raw'!P$3)</f>
        <v>94400</v>
      </c>
      <c r="Q12" s="174">
        <f>SUMIFS('Larvae Collection'!$Q:$Q, 'Larvae Collection'!$A:$A,'SPAWNING PLOTS-raw'!$A12, 'Larvae Collection'!$C:$C, 'SPAWNING PLOTS-raw'!Q$3)</f>
        <v>942500</v>
      </c>
      <c r="R12" s="158">
        <f t="shared" si="1"/>
        <v>839512.22222222225</v>
      </c>
      <c r="S12" s="158">
        <f t="shared" si="2"/>
        <v>1385926.6666666667</v>
      </c>
      <c r="T12" s="158">
        <f t="shared" si="3"/>
        <v>1717021.666666667</v>
      </c>
      <c r="U12" s="158">
        <f t="shared" si="4"/>
        <v>401966.66666666669</v>
      </c>
      <c r="V12" s="158">
        <f t="shared" si="5"/>
        <v>805719.04761904757</v>
      </c>
      <c r="W12" s="158">
        <f t="shared" si="6"/>
        <v>803093.33333333326</v>
      </c>
      <c r="X12" s="158">
        <f t="shared" si="7"/>
        <v>3017910</v>
      </c>
      <c r="Y12" s="158">
        <f t="shared" si="8"/>
        <v>1535661.111111111</v>
      </c>
      <c r="Z12" s="158">
        <f t="shared" si="9"/>
        <v>150960</v>
      </c>
      <c r="AA12" s="158">
        <f t="shared" si="10"/>
        <v>675066.66666666674</v>
      </c>
      <c r="AB12" s="158">
        <f t="shared" si="11"/>
        <v>281400</v>
      </c>
      <c r="AC12" s="158">
        <f t="shared" si="12"/>
        <v>191166.66666666666</v>
      </c>
      <c r="AD12" s="158">
        <f t="shared" si="13"/>
        <v>808180</v>
      </c>
      <c r="AE12" s="158">
        <f t="shared" si="14"/>
        <v>1613882.3809523808</v>
      </c>
      <c r="AF12" s="158">
        <f t="shared" si="15"/>
        <v>887546.66666666663</v>
      </c>
      <c r="AG12" s="158">
        <f t="shared" si="16"/>
        <v>1972577.7777777778</v>
      </c>
    </row>
    <row r="13" spans="1:33" ht="21" thickTop="1">
      <c r="A13" s="173">
        <v>43198</v>
      </c>
      <c r="B13" s="174">
        <f>SUMIFS('Larvae Collection'!$Q:$Q, 'Larvae Collection'!$A:$A,'SPAWNING PLOTS-raw'!$A13, 'Larvae Collection'!$C:$C, 'SPAWNING PLOTS-raw'!B$3)</f>
        <v>2069333.3333333335</v>
      </c>
      <c r="C13" s="174">
        <f>SUMIFS('Larvae Collection'!$Q:$Q, 'Larvae Collection'!$A:$A,'SPAWNING PLOTS-raw'!$A13, 'Larvae Collection'!$C:$C, 'SPAWNING PLOTS-raw'!C$3)</f>
        <v>1369000</v>
      </c>
      <c r="D13" s="174">
        <f>SUMIFS('Larvae Collection'!$Q:$Q, 'Larvae Collection'!$A:$A,'SPAWNING PLOTS-raw'!$A13, 'Larvae Collection'!$C:$C, 'SPAWNING PLOTS-raw'!D$3)</f>
        <v>0</v>
      </c>
      <c r="E13" s="174">
        <f>SUMIFS('Larvae Collection'!$Q:$Q, 'Larvae Collection'!$A:$A,'SPAWNING PLOTS-raw'!$A13, 'Larvae Collection'!$C:$C, 'SPAWNING PLOTS-raw'!E$3)</f>
        <v>238000</v>
      </c>
      <c r="F13" s="174">
        <f>SUMIFS('Larvae Collection'!$Q:$Q, 'Larvae Collection'!$A:$A,'SPAWNING PLOTS-raw'!$A13, 'Larvae Collection'!$C:$C, 'SPAWNING PLOTS-raw'!F$3)</f>
        <v>258966.66666666666</v>
      </c>
      <c r="G13" s="174">
        <f>SUMIFS('Larvae Collection'!$Q:$Q, 'Larvae Collection'!$A:$A,'SPAWNING PLOTS-raw'!$A13, 'Larvae Collection'!$C:$C, 'SPAWNING PLOTS-raw'!G$3)</f>
        <v>655200</v>
      </c>
      <c r="H13" s="175">
        <f>SUMIFS('Larvae Collection'!$Q:$Q, 'Larvae Collection'!$A:$A,'SPAWNING PLOTS-raw'!$A13, 'Larvae Collection'!$C:$C, 'SPAWNING PLOTS-raw'!H$3)</f>
        <v>0</v>
      </c>
      <c r="I13" s="175">
        <f>SUMIFS('Larvae Collection'!$Q:$Q, 'Larvae Collection'!$A:$A,'SPAWNING PLOTS-raw'!$A13, 'Larvae Collection'!$C:$C, 'SPAWNING PLOTS-raw'!I$3)</f>
        <v>309108.33333333337</v>
      </c>
      <c r="J13" s="174">
        <f>SUMIFS('Larvae Collection'!$Q:$Q, 'Larvae Collection'!$A:$A,'SPAWNING PLOTS-raw'!$A13, 'Larvae Collection'!$C:$C, 'SPAWNING PLOTS-raw'!J$3)</f>
        <v>1123733.3333333335</v>
      </c>
      <c r="K13" s="174">
        <f>SUMIFS('Larvae Collection'!$Q:$Q, 'Larvae Collection'!$A:$A,'SPAWNING PLOTS-raw'!$A13, 'Larvae Collection'!$C:$C, 'SPAWNING PLOTS-raw'!K$3)</f>
        <v>369177.77777777775</v>
      </c>
      <c r="L13" s="174">
        <f>SUMIFS('Larvae Collection'!$Q:$Q, 'Larvae Collection'!$A:$A,'SPAWNING PLOTS-raw'!$A13, 'Larvae Collection'!$C:$C, 'SPAWNING PLOTS-raw'!L$3)</f>
        <v>341100</v>
      </c>
      <c r="M13" s="174">
        <f>SUMIFS('Larvae Collection'!$Q:$Q, 'Larvae Collection'!$A:$A,'SPAWNING PLOTS-raw'!$A13, 'Larvae Collection'!$C:$C, 'SPAWNING PLOTS-raw'!M$3)</f>
        <v>0</v>
      </c>
      <c r="N13" s="174">
        <f>SUMIFS('Larvae Collection'!$Q:$Q, 'Larvae Collection'!$A:$A,'SPAWNING PLOTS-raw'!$A13, 'Larvae Collection'!$C:$C, 'SPAWNING PLOTS-raw'!N$3)</f>
        <v>1164000</v>
      </c>
      <c r="O13" s="174">
        <f>SUMIFS('Larvae Collection'!$Q:$Q, 'Larvae Collection'!$A:$A,'SPAWNING PLOTS-raw'!$A13, 'Larvae Collection'!$C:$C, 'SPAWNING PLOTS-raw'!O$3)</f>
        <v>537200</v>
      </c>
      <c r="P13" s="174">
        <f>SUMIFS('Larvae Collection'!$Q:$Q, 'Larvae Collection'!$A:$A,'SPAWNING PLOTS-raw'!$A13, 'Larvae Collection'!$C:$C, 'SPAWNING PLOTS-raw'!P$3)</f>
        <v>96666.666666666672</v>
      </c>
      <c r="Q13" s="174">
        <f>SUMIFS('Larvae Collection'!$Q:$Q, 'Larvae Collection'!$A:$A,'SPAWNING PLOTS-raw'!$A13, 'Larvae Collection'!$C:$C, 'SPAWNING PLOTS-raw'!Q$3)</f>
        <v>181125</v>
      </c>
      <c r="R13" s="158">
        <f t="shared" si="1"/>
        <v>2908845.555555556</v>
      </c>
      <c r="S13" s="158">
        <f t="shared" si="2"/>
        <v>2754926.666666667</v>
      </c>
      <c r="T13" s="158">
        <f t="shared" si="3"/>
        <v>1717021.666666667</v>
      </c>
      <c r="U13" s="158">
        <f t="shared" si="4"/>
        <v>639966.66666666674</v>
      </c>
      <c r="V13" s="158">
        <f t="shared" si="5"/>
        <v>1064685.7142857143</v>
      </c>
      <c r="W13" s="158">
        <f t="shared" si="6"/>
        <v>1458293.3333333333</v>
      </c>
      <c r="X13" s="158">
        <f t="shared" si="7"/>
        <v>3017910</v>
      </c>
      <c r="Y13" s="158">
        <f t="shared" si="8"/>
        <v>1844769.4444444445</v>
      </c>
      <c r="Z13" s="158">
        <f t="shared" si="9"/>
        <v>1274693.3333333335</v>
      </c>
      <c r="AA13" s="158">
        <f t="shared" si="10"/>
        <v>1044244.4444444445</v>
      </c>
      <c r="AB13" s="158">
        <f t="shared" si="11"/>
        <v>622500</v>
      </c>
      <c r="AC13" s="158">
        <f t="shared" si="12"/>
        <v>191166.66666666666</v>
      </c>
      <c r="AD13" s="158">
        <f t="shared" si="13"/>
        <v>1972180</v>
      </c>
      <c r="AE13" s="158">
        <f t="shared" si="14"/>
        <v>2151082.3809523806</v>
      </c>
      <c r="AF13" s="158">
        <f t="shared" si="15"/>
        <v>984213.33333333326</v>
      </c>
      <c r="AG13" s="158">
        <f t="shared" si="16"/>
        <v>2153702.777777778</v>
      </c>
    </row>
    <row r="14" spans="1:33" ht="20">
      <c r="A14" s="173">
        <v>43199</v>
      </c>
      <c r="B14" s="174">
        <f>SUMIFS('Larvae Collection'!$Q:$Q, 'Larvae Collection'!$A:$A,'SPAWNING PLOTS-raw'!$A14, 'Larvae Collection'!$C:$C, 'SPAWNING PLOTS-raw'!B$3)</f>
        <v>84583.333333333328</v>
      </c>
      <c r="C14" s="174">
        <f>SUMIFS('Larvae Collection'!$Q:$Q, 'Larvae Collection'!$A:$A,'SPAWNING PLOTS-raw'!$A14, 'Larvae Collection'!$C:$C, 'SPAWNING PLOTS-raw'!C$3)</f>
        <v>0</v>
      </c>
      <c r="D14" s="174">
        <f>SUMIFS('Larvae Collection'!$Q:$Q, 'Larvae Collection'!$A:$A,'SPAWNING PLOTS-raw'!$A14, 'Larvae Collection'!$C:$C, 'SPAWNING PLOTS-raw'!D$3)</f>
        <v>0</v>
      </c>
      <c r="E14" s="174">
        <f>SUMIFS('Larvae Collection'!$Q:$Q, 'Larvae Collection'!$A:$A,'SPAWNING PLOTS-raw'!$A14, 'Larvae Collection'!$C:$C, 'SPAWNING PLOTS-raw'!E$3)</f>
        <v>0</v>
      </c>
      <c r="F14" s="174">
        <f>SUMIFS('Larvae Collection'!$Q:$Q, 'Larvae Collection'!$A:$A,'SPAWNING PLOTS-raw'!$A14, 'Larvae Collection'!$C:$C, 'SPAWNING PLOTS-raw'!F$3)</f>
        <v>0</v>
      </c>
      <c r="G14" s="174">
        <f>SUMIFS('Larvae Collection'!$Q:$Q, 'Larvae Collection'!$A:$A,'SPAWNING PLOTS-raw'!$A14, 'Larvae Collection'!$C:$C, 'SPAWNING PLOTS-raw'!G$3)</f>
        <v>812000</v>
      </c>
      <c r="H14" s="174">
        <f>SUMIFS('Larvae Collection'!$Q:$Q, 'Larvae Collection'!$A:$A,'SPAWNING PLOTS-raw'!$A14, 'Larvae Collection'!$C:$C, 'SPAWNING PLOTS-raw'!H$3)</f>
        <v>0</v>
      </c>
      <c r="I14" s="174">
        <f>SUMIFS('Larvae Collection'!$Q:$Q, 'Larvae Collection'!$A:$A,'SPAWNING PLOTS-raw'!$A14, 'Larvae Collection'!$C:$C, 'SPAWNING PLOTS-raw'!I$3)</f>
        <v>255577.77777777778</v>
      </c>
      <c r="J14" s="174">
        <f>SUMIFS('Larvae Collection'!$Q:$Q, 'Larvae Collection'!$A:$A,'SPAWNING PLOTS-raw'!$A14, 'Larvae Collection'!$C:$C, 'SPAWNING PLOTS-raw'!J$3)</f>
        <v>248333.33333333337</v>
      </c>
      <c r="K14" s="174">
        <f>SUMIFS('Larvae Collection'!$Q:$Q, 'Larvae Collection'!$A:$A,'SPAWNING PLOTS-raw'!$A14, 'Larvae Collection'!$C:$C, 'SPAWNING PLOTS-raw'!K$3)</f>
        <v>54000</v>
      </c>
      <c r="L14" s="174">
        <f>SUMIFS('Larvae Collection'!$Q:$Q, 'Larvae Collection'!$A:$A,'SPAWNING PLOTS-raw'!$A14, 'Larvae Collection'!$C:$C, 'SPAWNING PLOTS-raw'!L$3)</f>
        <v>254600</v>
      </c>
      <c r="M14" s="174">
        <f>SUMIFS('Larvae Collection'!$Q:$Q, 'Larvae Collection'!$A:$A,'SPAWNING PLOTS-raw'!$A14, 'Larvae Collection'!$C:$C, 'SPAWNING PLOTS-raw'!M$3)</f>
        <v>0</v>
      </c>
      <c r="N14" s="174">
        <f>SUMIFS('Larvae Collection'!$Q:$Q, 'Larvae Collection'!$A:$A,'SPAWNING PLOTS-raw'!$A14, 'Larvae Collection'!$C:$C, 'SPAWNING PLOTS-raw'!N$3)</f>
        <v>673400</v>
      </c>
      <c r="O14" s="174">
        <f>SUMIFS('Larvae Collection'!$Q:$Q, 'Larvae Collection'!$A:$A,'SPAWNING PLOTS-raw'!$A14, 'Larvae Collection'!$C:$C, 'SPAWNING PLOTS-raw'!O$3)</f>
        <v>0</v>
      </c>
      <c r="P14" s="174">
        <f>SUMIFS('Larvae Collection'!$Q:$Q, 'Larvae Collection'!$A:$A,'SPAWNING PLOTS-raw'!$A14, 'Larvae Collection'!$C:$C, 'SPAWNING PLOTS-raw'!P$3)</f>
        <v>31199.999999999996</v>
      </c>
      <c r="Q14" s="174">
        <f>SUMIFS('Larvae Collection'!$Q:$Q, 'Larvae Collection'!$A:$A,'SPAWNING PLOTS-raw'!$A14, 'Larvae Collection'!$C:$C, 'SPAWNING PLOTS-raw'!Q$3)</f>
        <v>313600</v>
      </c>
      <c r="R14" s="158">
        <f t="shared" si="1"/>
        <v>2993428.8888888895</v>
      </c>
      <c r="S14" s="158">
        <f t="shared" si="2"/>
        <v>2754926.666666667</v>
      </c>
      <c r="T14" s="158">
        <f t="shared" si="3"/>
        <v>1717021.666666667</v>
      </c>
      <c r="U14" s="158">
        <f t="shared" si="4"/>
        <v>639966.66666666674</v>
      </c>
      <c r="V14" s="158">
        <f t="shared" si="5"/>
        <v>1064685.7142857143</v>
      </c>
      <c r="W14" s="158">
        <f t="shared" si="6"/>
        <v>2270293.333333333</v>
      </c>
      <c r="X14" s="158">
        <f t="shared" si="7"/>
        <v>3017910</v>
      </c>
      <c r="Y14" s="158">
        <f t="shared" si="8"/>
        <v>2100347.2222222225</v>
      </c>
      <c r="Z14" s="158">
        <f t="shared" si="9"/>
        <v>1523026.666666667</v>
      </c>
      <c r="AA14" s="158">
        <f t="shared" si="10"/>
        <v>1098244.4444444445</v>
      </c>
      <c r="AB14" s="158">
        <f t="shared" si="11"/>
        <v>877100</v>
      </c>
      <c r="AC14" s="158">
        <f t="shared" si="12"/>
        <v>191166.66666666666</v>
      </c>
      <c r="AD14" s="158">
        <f t="shared" si="13"/>
        <v>2645580</v>
      </c>
      <c r="AE14" s="158">
        <f t="shared" si="14"/>
        <v>2151082.3809523806</v>
      </c>
      <c r="AF14" s="158">
        <f t="shared" si="15"/>
        <v>1015413.3333333333</v>
      </c>
      <c r="AG14" s="158">
        <f t="shared" si="16"/>
        <v>2467302.777777778</v>
      </c>
    </row>
    <row r="15" spans="1:33" ht="20">
      <c r="A15" s="173">
        <v>43200</v>
      </c>
      <c r="B15" s="174">
        <f>SUMIFS('Larvae Collection'!$Q:$Q, 'Larvae Collection'!$A:$A,'SPAWNING PLOTS-raw'!$A15, 'Larvae Collection'!$C:$C, 'SPAWNING PLOTS-raw'!B$3)</f>
        <v>12952.380952380954</v>
      </c>
      <c r="C15" s="174">
        <f>SUMIFS('Larvae Collection'!$Q:$Q, 'Larvae Collection'!$A:$A,'SPAWNING PLOTS-raw'!$A15, 'Larvae Collection'!$C:$C, 'SPAWNING PLOTS-raw'!C$3)</f>
        <v>0</v>
      </c>
      <c r="D15" s="174">
        <f>SUMIFS('Larvae Collection'!$Q:$Q, 'Larvae Collection'!$A:$A,'SPAWNING PLOTS-raw'!$A15, 'Larvae Collection'!$C:$C, 'SPAWNING PLOTS-raw'!D$3)</f>
        <v>0</v>
      </c>
      <c r="E15" s="175">
        <f>SUMIFS('Larvae Collection'!$Q:$Q, 'Larvae Collection'!$A:$A,'SPAWNING PLOTS-raw'!$A15, 'Larvae Collection'!$C:$C, 'SPAWNING PLOTS-raw'!E$3)</f>
        <v>229666.66666666669</v>
      </c>
      <c r="F15" s="175">
        <f>SUMIFS('Larvae Collection'!$Q:$Q, 'Larvae Collection'!$A:$A,'SPAWNING PLOTS-raw'!$A15, 'Larvae Collection'!$C:$C, 'SPAWNING PLOTS-raw'!F$3)</f>
        <v>708333.33333333326</v>
      </c>
      <c r="G15" s="174">
        <f>SUMIFS('Larvae Collection'!$Q:$Q, 'Larvae Collection'!$A:$A,'SPAWNING PLOTS-raw'!$A15, 'Larvae Collection'!$C:$C, 'SPAWNING PLOTS-raw'!G$3)</f>
        <v>33866.666666666672</v>
      </c>
      <c r="H15" s="174">
        <f>SUMIFS('Larvae Collection'!$Q:$Q, 'Larvae Collection'!$A:$A,'SPAWNING PLOTS-raw'!$A15, 'Larvae Collection'!$C:$C, 'SPAWNING PLOTS-raw'!H$3)</f>
        <v>0</v>
      </c>
      <c r="I15" s="174">
        <f>SUMIFS('Larvae Collection'!$Q:$Q, 'Larvae Collection'!$A:$A,'SPAWNING PLOTS-raw'!$A15, 'Larvae Collection'!$C:$C, 'SPAWNING PLOTS-raw'!I$3)</f>
        <v>0</v>
      </c>
      <c r="J15" s="174">
        <f>SUMIFS('Larvae Collection'!$Q:$Q, 'Larvae Collection'!$A:$A,'SPAWNING PLOTS-raw'!$A15, 'Larvae Collection'!$C:$C, 'SPAWNING PLOTS-raw'!J$3)</f>
        <v>321177.77777777781</v>
      </c>
      <c r="K15" s="174">
        <f>SUMIFS('Larvae Collection'!$Q:$Q, 'Larvae Collection'!$A:$A,'SPAWNING PLOTS-raw'!$A15, 'Larvae Collection'!$C:$C, 'SPAWNING PLOTS-raw'!K$3)</f>
        <v>612333.33333333326</v>
      </c>
      <c r="L15" s="174">
        <f>SUMIFS('Larvae Collection'!$Q:$Q, 'Larvae Collection'!$A:$A,'SPAWNING PLOTS-raw'!$A15, 'Larvae Collection'!$C:$C, 'SPAWNING PLOTS-raw'!L$3)</f>
        <v>151933.33333333334</v>
      </c>
      <c r="M15" s="174">
        <f>SUMIFS('Larvae Collection'!$Q:$Q, 'Larvae Collection'!$A:$A,'SPAWNING PLOTS-raw'!$A15, 'Larvae Collection'!$C:$C, 'SPAWNING PLOTS-raw'!M$3)</f>
        <v>0</v>
      </c>
      <c r="N15" s="174">
        <f>SUMIFS('Larvae Collection'!$Q:$Q, 'Larvae Collection'!$A:$A,'SPAWNING PLOTS-raw'!$A15, 'Larvae Collection'!$C:$C, 'SPAWNING PLOTS-raw'!N$3)</f>
        <v>329333.33333333337</v>
      </c>
      <c r="O15" s="174">
        <f>SUMIFS('Larvae Collection'!$Q:$Q, 'Larvae Collection'!$A:$A,'SPAWNING PLOTS-raw'!$A15, 'Larvae Collection'!$C:$C, 'SPAWNING PLOTS-raw'!O$3)</f>
        <v>0</v>
      </c>
      <c r="P15" s="174">
        <f>SUMIFS('Larvae Collection'!$Q:$Q, 'Larvae Collection'!$A:$A,'SPAWNING PLOTS-raw'!$A15, 'Larvae Collection'!$C:$C, 'SPAWNING PLOTS-raw'!P$3)</f>
        <v>0</v>
      </c>
      <c r="Q15" s="174">
        <f>SUMIFS('Larvae Collection'!$Q:$Q, 'Larvae Collection'!$A:$A,'SPAWNING PLOTS-raw'!$A15, 'Larvae Collection'!$C:$C, 'SPAWNING PLOTS-raw'!Q$3)</f>
        <v>897266.66666666663</v>
      </c>
      <c r="R15" s="158">
        <f t="shared" si="1"/>
        <v>3006381.2698412705</v>
      </c>
      <c r="S15" s="158">
        <f t="shared" si="2"/>
        <v>2754926.666666667</v>
      </c>
      <c r="T15" s="158">
        <f t="shared" si="3"/>
        <v>1717021.666666667</v>
      </c>
      <c r="U15" s="158">
        <f t="shared" si="4"/>
        <v>869633.33333333349</v>
      </c>
      <c r="V15" s="158">
        <f t="shared" si="5"/>
        <v>1773019.0476190476</v>
      </c>
      <c r="W15" s="158">
        <f t="shared" si="6"/>
        <v>2304159.9999999995</v>
      </c>
      <c r="X15" s="158">
        <f t="shared" si="7"/>
        <v>3017910</v>
      </c>
      <c r="Y15" s="158">
        <f t="shared" si="8"/>
        <v>2100347.2222222225</v>
      </c>
      <c r="Z15" s="158">
        <f t="shared" si="9"/>
        <v>1844204.4444444447</v>
      </c>
      <c r="AA15" s="158">
        <f t="shared" si="10"/>
        <v>1710577.7777777778</v>
      </c>
      <c r="AB15" s="158">
        <f t="shared" si="11"/>
        <v>1029033.3333333334</v>
      </c>
      <c r="AC15" s="158">
        <f t="shared" si="12"/>
        <v>191166.66666666666</v>
      </c>
      <c r="AD15" s="158">
        <f t="shared" si="13"/>
        <v>2974913.3333333335</v>
      </c>
      <c r="AE15" s="158">
        <f t="shared" si="14"/>
        <v>2151082.3809523806</v>
      </c>
      <c r="AF15" s="158">
        <f t="shared" si="15"/>
        <v>1015413.3333333333</v>
      </c>
      <c r="AG15" s="158">
        <f t="shared" si="16"/>
        <v>3364569.4444444445</v>
      </c>
    </row>
    <row r="16" spans="1:33" ht="20">
      <c r="A16" s="173">
        <v>43201</v>
      </c>
      <c r="B16" s="174">
        <f>SUMIFS('Larvae Collection'!$Q:$Q, 'Larvae Collection'!$A:$A,'SPAWNING PLOTS-raw'!$A16, 'Larvae Collection'!$C:$C, 'SPAWNING PLOTS-raw'!B$3)</f>
        <v>0</v>
      </c>
      <c r="C16" s="174">
        <f>SUMIFS('Larvae Collection'!$Q:$Q, 'Larvae Collection'!$A:$A,'SPAWNING PLOTS-raw'!$A16, 'Larvae Collection'!$C:$C, 'SPAWNING PLOTS-raw'!C$3)</f>
        <v>0</v>
      </c>
      <c r="D16" s="174">
        <f>SUMIFS('Larvae Collection'!$Q:$Q, 'Larvae Collection'!$A:$A,'SPAWNING PLOTS-raw'!$A16, 'Larvae Collection'!$C:$C, 'SPAWNING PLOTS-raw'!D$3)</f>
        <v>0</v>
      </c>
      <c r="E16" s="174">
        <f>SUMIFS('Larvae Collection'!$Q:$Q, 'Larvae Collection'!$A:$A,'SPAWNING PLOTS-raw'!$A16, 'Larvae Collection'!$C:$C, 'SPAWNING PLOTS-raw'!E$3)</f>
        <v>0</v>
      </c>
      <c r="F16" s="174">
        <f>SUMIFS('Larvae Collection'!$Q:$Q, 'Larvae Collection'!$A:$A,'SPAWNING PLOTS-raw'!$A16, 'Larvae Collection'!$C:$C, 'SPAWNING PLOTS-raw'!F$3)</f>
        <v>0</v>
      </c>
      <c r="G16" s="174">
        <f>SUMIFS('Larvae Collection'!$Q:$Q, 'Larvae Collection'!$A:$A,'SPAWNING PLOTS-raw'!$A16, 'Larvae Collection'!$C:$C, 'SPAWNING PLOTS-raw'!G$3)</f>
        <v>0</v>
      </c>
      <c r="H16" s="174">
        <f>SUMIFS('Larvae Collection'!$Q:$Q, 'Larvae Collection'!$A:$A,'SPAWNING PLOTS-raw'!$A16, 'Larvae Collection'!$C:$C, 'SPAWNING PLOTS-raw'!H$3)</f>
        <v>151600</v>
      </c>
      <c r="I16" s="174">
        <f>SUMIFS('Larvae Collection'!$Q:$Q, 'Larvae Collection'!$A:$A,'SPAWNING PLOTS-raw'!$A16, 'Larvae Collection'!$C:$C, 'SPAWNING PLOTS-raw'!I$3)</f>
        <v>111720</v>
      </c>
      <c r="J16" s="174">
        <f>SUMIFS('Larvae Collection'!$Q:$Q, 'Larvae Collection'!$A:$A,'SPAWNING PLOTS-raw'!$A16, 'Larvae Collection'!$C:$C, 'SPAWNING PLOTS-raw'!J$3)</f>
        <v>0</v>
      </c>
      <c r="K16" s="174">
        <f>SUMIFS('Larvae Collection'!$Q:$Q, 'Larvae Collection'!$A:$A,'SPAWNING PLOTS-raw'!$A16, 'Larvae Collection'!$C:$C, 'SPAWNING PLOTS-raw'!K$3)</f>
        <v>0</v>
      </c>
      <c r="L16" s="174">
        <f>SUMIFS('Larvae Collection'!$Q:$Q, 'Larvae Collection'!$A:$A,'SPAWNING PLOTS-raw'!$A16, 'Larvae Collection'!$C:$C, 'SPAWNING PLOTS-raw'!L$3)</f>
        <v>0</v>
      </c>
      <c r="M16" s="174">
        <f>SUMIFS('Larvae Collection'!$Q:$Q, 'Larvae Collection'!$A:$A,'SPAWNING PLOTS-raw'!$A16, 'Larvae Collection'!$C:$C, 'SPAWNING PLOTS-raw'!M$3)</f>
        <v>0</v>
      </c>
      <c r="N16" s="174">
        <f>SUMIFS('Larvae Collection'!$Q:$Q, 'Larvae Collection'!$A:$A,'SPAWNING PLOTS-raw'!$A16, 'Larvae Collection'!$C:$C, 'SPAWNING PLOTS-raw'!N$3)</f>
        <v>0</v>
      </c>
      <c r="O16" s="174">
        <f>SUMIFS('Larvae Collection'!$Q:$Q, 'Larvae Collection'!$A:$A,'SPAWNING PLOTS-raw'!$A16, 'Larvae Collection'!$C:$C, 'SPAWNING PLOTS-raw'!O$3)</f>
        <v>0</v>
      </c>
      <c r="P16" s="174">
        <f>SUMIFS('Larvae Collection'!$Q:$Q, 'Larvae Collection'!$A:$A,'SPAWNING PLOTS-raw'!$A16, 'Larvae Collection'!$C:$C, 'SPAWNING PLOTS-raw'!P$3)</f>
        <v>0</v>
      </c>
      <c r="Q16" s="174">
        <f>SUMIFS('Larvae Collection'!$Q:$Q, 'Larvae Collection'!$A:$A,'SPAWNING PLOTS-raw'!$A16, 'Larvae Collection'!$C:$C, 'SPAWNING PLOTS-raw'!Q$3)</f>
        <v>77666.666666666672</v>
      </c>
      <c r="R16" s="158">
        <f t="shared" si="1"/>
        <v>3006381.2698412705</v>
      </c>
      <c r="S16" s="158">
        <f t="shared" si="2"/>
        <v>2754926.666666667</v>
      </c>
      <c r="T16" s="158">
        <f t="shared" si="3"/>
        <v>1717021.666666667</v>
      </c>
      <c r="U16" s="158">
        <f t="shared" si="4"/>
        <v>869633.33333333349</v>
      </c>
      <c r="V16" s="158">
        <f t="shared" si="5"/>
        <v>1773019.0476190476</v>
      </c>
      <c r="W16" s="158">
        <f t="shared" si="6"/>
        <v>2304159.9999999995</v>
      </c>
      <c r="X16" s="158">
        <f t="shared" si="7"/>
        <v>3169510</v>
      </c>
      <c r="Y16" s="158">
        <f t="shared" si="8"/>
        <v>2212067.2222222225</v>
      </c>
      <c r="Z16" s="158">
        <f t="shared" si="9"/>
        <v>1844204.4444444447</v>
      </c>
      <c r="AA16" s="158">
        <f t="shared" si="10"/>
        <v>1710577.7777777778</v>
      </c>
      <c r="AB16" s="158">
        <f t="shared" si="11"/>
        <v>1029033.3333333334</v>
      </c>
      <c r="AC16" s="158">
        <f t="shared" si="12"/>
        <v>191166.66666666666</v>
      </c>
      <c r="AD16" s="158">
        <f t="shared" si="13"/>
        <v>2974913.3333333335</v>
      </c>
      <c r="AE16" s="158">
        <f t="shared" si="14"/>
        <v>2151082.3809523806</v>
      </c>
      <c r="AF16" s="158">
        <f t="shared" si="15"/>
        <v>1015413.3333333333</v>
      </c>
      <c r="AG16" s="158">
        <f t="shared" si="16"/>
        <v>3442236.111111111</v>
      </c>
    </row>
    <row r="17" spans="1:33" ht="20">
      <c r="A17" s="173">
        <v>43202</v>
      </c>
      <c r="B17" s="174">
        <f>SUMIFS('Larvae Collection'!$Q:$Q, 'Larvae Collection'!$A:$A,'SPAWNING PLOTS-raw'!$A17, 'Larvae Collection'!$C:$C, 'SPAWNING PLOTS-raw'!B$3)</f>
        <v>155166.66666666669</v>
      </c>
      <c r="C17" s="174">
        <f>SUMIFS('Larvae Collection'!$Q:$Q, 'Larvae Collection'!$A:$A,'SPAWNING PLOTS-raw'!$A17, 'Larvae Collection'!$C:$C, 'SPAWNING PLOTS-raw'!C$3)</f>
        <v>0</v>
      </c>
      <c r="D17" s="174">
        <f>SUMIFS('Larvae Collection'!$Q:$Q, 'Larvae Collection'!$A:$A,'SPAWNING PLOTS-raw'!$A17, 'Larvae Collection'!$C:$C, 'SPAWNING PLOTS-raw'!D$3)</f>
        <v>0</v>
      </c>
      <c r="E17" s="174">
        <f>SUMIFS('Larvae Collection'!$Q:$Q, 'Larvae Collection'!$A:$A,'SPAWNING PLOTS-raw'!$A17, 'Larvae Collection'!$C:$C, 'SPAWNING PLOTS-raw'!E$3)</f>
        <v>111166.66666666666</v>
      </c>
      <c r="F17" s="174">
        <f>SUMIFS('Larvae Collection'!$Q:$Q, 'Larvae Collection'!$A:$A,'SPAWNING PLOTS-raw'!$A17, 'Larvae Collection'!$C:$C, 'SPAWNING PLOTS-raw'!F$3)</f>
        <v>0</v>
      </c>
      <c r="G17" s="174">
        <f>SUMIFS('Larvae Collection'!$Q:$Q, 'Larvae Collection'!$A:$A,'SPAWNING PLOTS-raw'!$A17, 'Larvae Collection'!$C:$C, 'SPAWNING PLOTS-raw'!G$3)</f>
        <v>209788.88888888893</v>
      </c>
      <c r="H17" s="175">
        <f>SUMIFS('Larvae Collection'!$Q:$Q, 'Larvae Collection'!$A:$A,'SPAWNING PLOTS-raw'!$A17, 'Larvae Collection'!$C:$C, 'SPAWNING PLOTS-raw'!H$3)</f>
        <v>924333.33333333326</v>
      </c>
      <c r="I17" s="174">
        <f>SUMIFS('Larvae Collection'!$Q:$Q, 'Larvae Collection'!$A:$A,'SPAWNING PLOTS-raw'!$A17, 'Larvae Collection'!$C:$C, 'SPAWNING PLOTS-raw'!I$3)</f>
        <v>0</v>
      </c>
      <c r="J17" s="174">
        <f>SUMIFS('Larvae Collection'!$Q:$Q, 'Larvae Collection'!$A:$A,'SPAWNING PLOTS-raw'!$A17, 'Larvae Collection'!$C:$C, 'SPAWNING PLOTS-raw'!J$3)</f>
        <v>0</v>
      </c>
      <c r="K17" s="174">
        <f>SUMIFS('Larvae Collection'!$Q:$Q, 'Larvae Collection'!$A:$A,'SPAWNING PLOTS-raw'!$A17, 'Larvae Collection'!$C:$C, 'SPAWNING PLOTS-raw'!K$3)</f>
        <v>0</v>
      </c>
      <c r="L17" s="174">
        <f>SUMIFS('Larvae Collection'!$Q:$Q, 'Larvae Collection'!$A:$A,'SPAWNING PLOTS-raw'!$A17, 'Larvae Collection'!$C:$C, 'SPAWNING PLOTS-raw'!L$3)</f>
        <v>0</v>
      </c>
      <c r="M17" s="174">
        <f>SUMIFS('Larvae Collection'!$Q:$Q, 'Larvae Collection'!$A:$A,'SPAWNING PLOTS-raw'!$A17, 'Larvae Collection'!$C:$C, 'SPAWNING PLOTS-raw'!M$3)</f>
        <v>0</v>
      </c>
      <c r="N17" s="174">
        <f>SUMIFS('Larvae Collection'!$Q:$Q, 'Larvae Collection'!$A:$A,'SPAWNING PLOTS-raw'!$A17, 'Larvae Collection'!$C:$C, 'SPAWNING PLOTS-raw'!N$3)</f>
        <v>18888.888888888891</v>
      </c>
      <c r="O17" s="174">
        <f>SUMIFS('Larvae Collection'!$Q:$Q, 'Larvae Collection'!$A:$A,'SPAWNING PLOTS-raw'!$A17, 'Larvae Collection'!$C:$C, 'SPAWNING PLOTS-raw'!O$3)</f>
        <v>0</v>
      </c>
      <c r="P17" s="174">
        <f>SUMIFS('Larvae Collection'!$Q:$Q, 'Larvae Collection'!$A:$A,'SPAWNING PLOTS-raw'!$A17, 'Larvae Collection'!$C:$C, 'SPAWNING PLOTS-raw'!P$3)</f>
        <v>0</v>
      </c>
      <c r="Q17" s="174">
        <f>SUMIFS('Larvae Collection'!$Q:$Q, 'Larvae Collection'!$A:$A,'SPAWNING PLOTS-raw'!$A17, 'Larvae Collection'!$C:$C, 'SPAWNING PLOTS-raw'!Q$3)</f>
        <v>0</v>
      </c>
      <c r="R17" s="158">
        <f t="shared" si="1"/>
        <v>3161547.936507937</v>
      </c>
      <c r="S17" s="158">
        <f t="shared" si="2"/>
        <v>2754926.666666667</v>
      </c>
      <c r="T17" s="158">
        <f t="shared" si="3"/>
        <v>1717021.666666667</v>
      </c>
      <c r="U17" s="158">
        <f t="shared" si="4"/>
        <v>980800.00000000012</v>
      </c>
      <c r="V17" s="158">
        <f t="shared" si="5"/>
        <v>1773019.0476190476</v>
      </c>
      <c r="W17" s="158">
        <f t="shared" si="6"/>
        <v>2513948.8888888885</v>
      </c>
      <c r="X17" s="158">
        <f t="shared" si="7"/>
        <v>4093843.333333333</v>
      </c>
      <c r="Y17" s="158">
        <f t="shared" si="8"/>
        <v>2212067.2222222225</v>
      </c>
      <c r="Z17" s="158">
        <f t="shared" si="9"/>
        <v>1844204.4444444447</v>
      </c>
      <c r="AA17" s="158">
        <f t="shared" si="10"/>
        <v>1710577.7777777778</v>
      </c>
      <c r="AB17" s="158">
        <f t="shared" si="11"/>
        <v>1029033.3333333334</v>
      </c>
      <c r="AC17" s="158">
        <f t="shared" si="12"/>
        <v>191166.66666666666</v>
      </c>
      <c r="AD17" s="158">
        <f t="shared" si="13"/>
        <v>2993802.2222222225</v>
      </c>
      <c r="AE17" s="158">
        <f t="shared" si="14"/>
        <v>2151082.3809523806</v>
      </c>
      <c r="AF17" s="158">
        <f t="shared" si="15"/>
        <v>1015413.3333333333</v>
      </c>
      <c r="AG17" s="158">
        <f t="shared" si="16"/>
        <v>3442236.111111111</v>
      </c>
    </row>
    <row r="18" spans="1:33" ht="20">
      <c r="A18" s="173">
        <v>43203</v>
      </c>
      <c r="B18" s="174">
        <f>SUMIFS('Larvae Collection'!$Q:$Q, 'Larvae Collection'!$A:$A,'SPAWNING PLOTS-raw'!$A18, 'Larvae Collection'!$C:$C, 'SPAWNING PLOTS-raw'!B$3)</f>
        <v>273600</v>
      </c>
      <c r="C18" s="174">
        <f>SUMIFS('Larvae Collection'!$Q:$Q, 'Larvae Collection'!$A:$A,'SPAWNING PLOTS-raw'!$A18, 'Larvae Collection'!$C:$C, 'SPAWNING PLOTS-raw'!C$3)</f>
        <v>0</v>
      </c>
      <c r="D18" s="174">
        <f>SUMIFS('Larvae Collection'!$Q:$Q, 'Larvae Collection'!$A:$A,'SPAWNING PLOTS-raw'!$A18, 'Larvae Collection'!$C:$C, 'SPAWNING PLOTS-raw'!D$3)</f>
        <v>525000</v>
      </c>
      <c r="E18" s="175">
        <f>SUMIFS('Larvae Collection'!$Q:$Q, 'Larvae Collection'!$A:$A,'SPAWNING PLOTS-raw'!$A18, 'Larvae Collection'!$C:$C, 'SPAWNING PLOTS-raw'!E$3)</f>
        <v>0</v>
      </c>
      <c r="F18" s="174">
        <f>SUMIFS('Larvae Collection'!$Q:$Q, 'Larvae Collection'!$A:$A,'SPAWNING PLOTS-raw'!$A18, 'Larvae Collection'!$C:$C, 'SPAWNING PLOTS-raw'!F$3)</f>
        <v>0</v>
      </c>
      <c r="G18" s="174">
        <f>SUMIFS('Larvae Collection'!$Q:$Q, 'Larvae Collection'!$A:$A,'SPAWNING PLOTS-raw'!$A18, 'Larvae Collection'!$C:$C, 'SPAWNING PLOTS-raw'!G$3)</f>
        <v>0</v>
      </c>
      <c r="H18" s="174">
        <f>SUMIFS('Larvae Collection'!$Q:$Q, 'Larvae Collection'!$A:$A,'SPAWNING PLOTS-raw'!$A18, 'Larvae Collection'!$C:$C, 'SPAWNING PLOTS-raw'!H$3)</f>
        <v>226500</v>
      </c>
      <c r="I18" s="174">
        <f>SUMIFS('Larvae Collection'!$Q:$Q, 'Larvae Collection'!$A:$A,'SPAWNING PLOTS-raw'!$A18, 'Larvae Collection'!$C:$C, 'SPAWNING PLOTS-raw'!I$3)</f>
        <v>0</v>
      </c>
      <c r="J18" s="174">
        <f>SUMIFS('Larvae Collection'!$Q:$Q, 'Larvae Collection'!$A:$A,'SPAWNING PLOTS-raw'!$A18, 'Larvae Collection'!$C:$C, 'SPAWNING PLOTS-raw'!J$3)</f>
        <v>0</v>
      </c>
      <c r="K18" s="174">
        <f>SUMIFS('Larvae Collection'!$Q:$Q, 'Larvae Collection'!$A:$A,'SPAWNING PLOTS-raw'!$A18, 'Larvae Collection'!$C:$C, 'SPAWNING PLOTS-raw'!K$3)</f>
        <v>430666.66666666663</v>
      </c>
      <c r="L18" s="174">
        <f>SUMIFS('Larvae Collection'!$Q:$Q, 'Larvae Collection'!$A:$A,'SPAWNING PLOTS-raw'!$A18, 'Larvae Collection'!$C:$C, 'SPAWNING PLOTS-raw'!L$3)</f>
        <v>0</v>
      </c>
      <c r="M18" s="175">
        <f>SUMIFS('Larvae Collection'!$Q:$Q, 'Larvae Collection'!$A:$A,'SPAWNING PLOTS-raw'!$A18, 'Larvae Collection'!$C:$C, 'SPAWNING PLOTS-raw'!M$3)</f>
        <v>0</v>
      </c>
      <c r="N18" s="174">
        <f>SUMIFS('Larvae Collection'!$Q:$Q, 'Larvae Collection'!$A:$A,'SPAWNING PLOTS-raw'!$A18, 'Larvae Collection'!$C:$C, 'SPAWNING PLOTS-raw'!N$3)</f>
        <v>0</v>
      </c>
      <c r="O18" s="174">
        <f>SUMIFS('Larvae Collection'!$Q:$Q, 'Larvae Collection'!$A:$A,'SPAWNING PLOTS-raw'!$A18, 'Larvae Collection'!$C:$C, 'SPAWNING PLOTS-raw'!O$3)</f>
        <v>255000</v>
      </c>
      <c r="P18" s="174">
        <f>SUMIFS('Larvae Collection'!$Q:$Q, 'Larvae Collection'!$A:$A,'SPAWNING PLOTS-raw'!$A18, 'Larvae Collection'!$C:$C, 'SPAWNING PLOTS-raw'!P$3)</f>
        <v>159600</v>
      </c>
      <c r="Q18" s="174">
        <f>SUMIFS('Larvae Collection'!$Q:$Q, 'Larvae Collection'!$A:$A,'SPAWNING PLOTS-raw'!$A18, 'Larvae Collection'!$C:$C, 'SPAWNING PLOTS-raw'!Q$3)</f>
        <v>96708.333333333328</v>
      </c>
      <c r="R18" s="158">
        <f t="shared" si="1"/>
        <v>3435147.936507937</v>
      </c>
      <c r="S18" s="158">
        <f t="shared" si="2"/>
        <v>2754926.666666667</v>
      </c>
      <c r="T18" s="158">
        <f t="shared" si="3"/>
        <v>2242021.666666667</v>
      </c>
      <c r="U18" s="158">
        <f t="shared" si="4"/>
        <v>980800.00000000012</v>
      </c>
      <c r="V18" s="158">
        <f t="shared" si="5"/>
        <v>1773019.0476190476</v>
      </c>
      <c r="W18" s="158">
        <f t="shared" si="6"/>
        <v>2513948.8888888885</v>
      </c>
      <c r="X18" s="158">
        <f t="shared" si="7"/>
        <v>4320343.333333333</v>
      </c>
      <c r="Y18" s="158">
        <f t="shared" si="8"/>
        <v>2212067.2222222225</v>
      </c>
      <c r="Z18" s="158">
        <f t="shared" si="9"/>
        <v>1844204.4444444447</v>
      </c>
      <c r="AA18" s="158">
        <f t="shared" si="10"/>
        <v>2141244.4444444445</v>
      </c>
      <c r="AB18" s="158">
        <f t="shared" si="11"/>
        <v>1029033.3333333334</v>
      </c>
      <c r="AC18" s="158">
        <f t="shared" si="12"/>
        <v>191166.66666666666</v>
      </c>
      <c r="AD18" s="158">
        <f t="shared" si="13"/>
        <v>2993802.2222222225</v>
      </c>
      <c r="AE18" s="158">
        <f t="shared" si="14"/>
        <v>2406082.3809523806</v>
      </c>
      <c r="AF18" s="158">
        <f t="shared" si="15"/>
        <v>1175013.3333333333</v>
      </c>
      <c r="AG18" s="158">
        <f t="shared" si="16"/>
        <v>3538944.4444444445</v>
      </c>
    </row>
    <row r="19" spans="1:33" ht="20">
      <c r="A19" s="173">
        <v>43204</v>
      </c>
      <c r="B19" s="174">
        <f>SUMIFS('Larvae Collection'!$Q:$Q, 'Larvae Collection'!$A:$A,'SPAWNING PLOTS-raw'!$A19, 'Larvae Collection'!$C:$C, 'SPAWNING PLOTS-raw'!B$3)</f>
        <v>1051733.3333333335</v>
      </c>
      <c r="C19" s="174">
        <f>SUMIFS('Larvae Collection'!$Q:$Q, 'Larvae Collection'!$A:$A,'SPAWNING PLOTS-raw'!$A19, 'Larvae Collection'!$C:$C, 'SPAWNING PLOTS-raw'!C$3)</f>
        <v>168800</v>
      </c>
      <c r="D19" s="174">
        <f>SUMIFS('Larvae Collection'!$Q:$Q, 'Larvae Collection'!$A:$A,'SPAWNING PLOTS-raw'!$A19, 'Larvae Collection'!$C:$C, 'SPAWNING PLOTS-raw'!D$3)</f>
        <v>352305.55555555556</v>
      </c>
      <c r="E19" s="174">
        <f>SUMIFS('Larvae Collection'!$Q:$Q, 'Larvae Collection'!$A:$A,'SPAWNING PLOTS-raw'!$A19, 'Larvae Collection'!$C:$C, 'SPAWNING PLOTS-raw'!E$3)</f>
        <v>0</v>
      </c>
      <c r="F19" s="174">
        <f>SUMIFS('Larvae Collection'!$Q:$Q, 'Larvae Collection'!$A:$A,'SPAWNING PLOTS-raw'!$A19, 'Larvae Collection'!$C:$C, 'SPAWNING PLOTS-raw'!F$3)</f>
        <v>0</v>
      </c>
      <c r="G19" s="175">
        <f>SUMIFS('Larvae Collection'!$Q:$Q, 'Larvae Collection'!$A:$A,'SPAWNING PLOTS-raw'!$A19, 'Larvae Collection'!$C:$C, 'SPAWNING PLOTS-raw'!G$3)</f>
        <v>0</v>
      </c>
      <c r="H19" s="174">
        <f>SUMIFS('Larvae Collection'!$Q:$Q, 'Larvae Collection'!$A:$A,'SPAWNING PLOTS-raw'!$A19, 'Larvae Collection'!$C:$C, 'SPAWNING PLOTS-raw'!H$3)</f>
        <v>0</v>
      </c>
      <c r="I19" s="174">
        <f>SUMIFS('Larvae Collection'!$Q:$Q, 'Larvae Collection'!$A:$A,'SPAWNING PLOTS-raw'!$A19, 'Larvae Collection'!$C:$C, 'SPAWNING PLOTS-raw'!I$3)</f>
        <v>0</v>
      </c>
      <c r="J19" s="174">
        <f>SUMIFS('Larvae Collection'!$Q:$Q, 'Larvae Collection'!$A:$A,'SPAWNING PLOTS-raw'!$A19, 'Larvae Collection'!$C:$C, 'SPAWNING PLOTS-raw'!J$3)</f>
        <v>1121966.6666666667</v>
      </c>
      <c r="K19" s="174">
        <f>SUMIFS('Larvae Collection'!$Q:$Q, 'Larvae Collection'!$A:$A,'SPAWNING PLOTS-raw'!$A19, 'Larvae Collection'!$C:$C, 'SPAWNING PLOTS-raw'!K$3)</f>
        <v>248666.66666666669</v>
      </c>
      <c r="L19" s="174">
        <f>SUMIFS('Larvae Collection'!$Q:$Q, 'Larvae Collection'!$A:$A,'SPAWNING PLOTS-raw'!$A19, 'Larvae Collection'!$C:$C, 'SPAWNING PLOTS-raw'!L$3)</f>
        <v>94305.555555555562</v>
      </c>
      <c r="M19" s="174">
        <f>SUMIFS('Larvae Collection'!$Q:$Q, 'Larvae Collection'!$A:$A,'SPAWNING PLOTS-raw'!$A19, 'Larvae Collection'!$C:$C, 'SPAWNING PLOTS-raw'!M$3)</f>
        <v>0</v>
      </c>
      <c r="N19" s="174">
        <f>SUMIFS('Larvae Collection'!$Q:$Q, 'Larvae Collection'!$A:$A,'SPAWNING PLOTS-raw'!$A19, 'Larvae Collection'!$C:$C, 'SPAWNING PLOTS-raw'!N$3)</f>
        <v>0</v>
      </c>
      <c r="O19" s="174">
        <f>SUMIFS('Larvae Collection'!$Q:$Q, 'Larvae Collection'!$A:$A,'SPAWNING PLOTS-raw'!$A19, 'Larvae Collection'!$C:$C, 'SPAWNING PLOTS-raw'!O$3)</f>
        <v>103888.88888888891</v>
      </c>
      <c r="P19" s="174">
        <f>SUMIFS('Larvae Collection'!$Q:$Q, 'Larvae Collection'!$A:$A,'SPAWNING PLOTS-raw'!$A19, 'Larvae Collection'!$C:$C, 'SPAWNING PLOTS-raw'!P$3)</f>
        <v>0</v>
      </c>
      <c r="Q19" s="175">
        <f>SUMIFS('Larvae Collection'!$Q:$Q, 'Larvae Collection'!$A:$A,'SPAWNING PLOTS-raw'!$A19, 'Larvae Collection'!$C:$C, 'SPAWNING PLOTS-raw'!Q$3)</f>
        <v>0</v>
      </c>
      <c r="R19" s="158">
        <f t="shared" si="1"/>
        <v>4486881.2698412705</v>
      </c>
      <c r="S19" s="158">
        <f t="shared" si="2"/>
        <v>2923726.666666667</v>
      </c>
      <c r="T19" s="158">
        <f t="shared" si="3"/>
        <v>2594327.2222222225</v>
      </c>
      <c r="U19" s="158">
        <f t="shared" si="4"/>
        <v>980800.00000000012</v>
      </c>
      <c r="V19" s="158">
        <f t="shared" si="5"/>
        <v>1773019.0476190476</v>
      </c>
      <c r="W19" s="158">
        <f t="shared" si="6"/>
        <v>2513948.8888888885</v>
      </c>
      <c r="X19" s="158">
        <f t="shared" si="7"/>
        <v>4320343.333333333</v>
      </c>
      <c r="Y19" s="158">
        <f t="shared" si="8"/>
        <v>2212067.2222222225</v>
      </c>
      <c r="Z19" s="158">
        <f t="shared" si="9"/>
        <v>2966171.1111111115</v>
      </c>
      <c r="AA19" s="158">
        <f t="shared" si="10"/>
        <v>2389911.111111111</v>
      </c>
      <c r="AB19" s="158">
        <f t="shared" si="11"/>
        <v>1123338.888888889</v>
      </c>
      <c r="AC19" s="158">
        <f t="shared" si="12"/>
        <v>191166.66666666666</v>
      </c>
      <c r="AD19" s="158">
        <f t="shared" si="13"/>
        <v>2993802.2222222225</v>
      </c>
      <c r="AE19" s="158">
        <f t="shared" si="14"/>
        <v>2509971.2698412696</v>
      </c>
      <c r="AF19" s="158">
        <f t="shared" si="15"/>
        <v>1175013.3333333333</v>
      </c>
      <c r="AG19" s="158">
        <f t="shared" si="16"/>
        <v>3538944.4444444445</v>
      </c>
    </row>
    <row r="20" spans="1:33" ht="20">
      <c r="A20" s="173">
        <v>43205</v>
      </c>
      <c r="B20" s="174">
        <f>SUMIFS('Larvae Collection'!$Q:$Q, 'Larvae Collection'!$A:$A,'SPAWNING PLOTS-raw'!$A20, 'Larvae Collection'!$C:$C, 'SPAWNING PLOTS-raw'!B$3)</f>
        <v>0</v>
      </c>
      <c r="C20" s="174">
        <f>SUMIFS('Larvae Collection'!$Q:$Q, 'Larvae Collection'!$A:$A,'SPAWNING PLOTS-raw'!$A20, 'Larvae Collection'!$C:$C, 'SPAWNING PLOTS-raw'!C$3)</f>
        <v>0</v>
      </c>
      <c r="D20" s="174">
        <f>SUMIFS('Larvae Collection'!$Q:$Q, 'Larvae Collection'!$A:$A,'SPAWNING PLOTS-raw'!$A20, 'Larvae Collection'!$C:$C, 'SPAWNING PLOTS-raw'!D$3)</f>
        <v>644160</v>
      </c>
      <c r="E20" s="174">
        <f>SUMIFS('Larvae Collection'!$Q:$Q, 'Larvae Collection'!$A:$A,'SPAWNING PLOTS-raw'!$A20, 'Larvae Collection'!$C:$C, 'SPAWNING PLOTS-raw'!E$3)</f>
        <v>0</v>
      </c>
      <c r="F20" s="174">
        <f>SUMIFS('Larvae Collection'!$Q:$Q, 'Larvae Collection'!$A:$A,'SPAWNING PLOTS-raw'!$A20, 'Larvae Collection'!$C:$C, 'SPAWNING PLOTS-raw'!F$3)</f>
        <v>0</v>
      </c>
      <c r="G20" s="174">
        <f>SUMIFS('Larvae Collection'!$Q:$Q, 'Larvae Collection'!$A:$A,'SPAWNING PLOTS-raw'!$A20, 'Larvae Collection'!$C:$C, 'SPAWNING PLOTS-raw'!G$3)</f>
        <v>483999.99999999994</v>
      </c>
      <c r="H20" s="174">
        <f>SUMIFS('Larvae Collection'!$Q:$Q, 'Larvae Collection'!$A:$A,'SPAWNING PLOTS-raw'!$A20, 'Larvae Collection'!$C:$C, 'SPAWNING PLOTS-raw'!H$3)</f>
        <v>208833.33333333331</v>
      </c>
      <c r="I20" s="174">
        <f>SUMIFS('Larvae Collection'!$Q:$Q, 'Larvae Collection'!$A:$A,'SPAWNING PLOTS-raw'!$A20, 'Larvae Collection'!$C:$C, 'SPAWNING PLOTS-raw'!I$3)</f>
        <v>0</v>
      </c>
      <c r="J20" s="174">
        <f>SUMIFS('Larvae Collection'!$Q:$Q, 'Larvae Collection'!$A:$A,'SPAWNING PLOTS-raw'!$A20, 'Larvae Collection'!$C:$C, 'SPAWNING PLOTS-raw'!J$3)</f>
        <v>0</v>
      </c>
      <c r="K20" s="174">
        <f>SUMIFS('Larvae Collection'!$Q:$Q, 'Larvae Collection'!$A:$A,'SPAWNING PLOTS-raw'!$A20, 'Larvae Collection'!$C:$C, 'SPAWNING PLOTS-raw'!K$3)</f>
        <v>0</v>
      </c>
      <c r="L20" s="174">
        <f>SUMIFS('Larvae Collection'!$Q:$Q, 'Larvae Collection'!$A:$A,'SPAWNING PLOTS-raw'!$A20, 'Larvae Collection'!$C:$C, 'SPAWNING PLOTS-raw'!L$3)</f>
        <v>0</v>
      </c>
      <c r="M20" s="174">
        <f>SUMIFS('Larvae Collection'!$Q:$Q, 'Larvae Collection'!$A:$A,'SPAWNING PLOTS-raw'!$A20, 'Larvae Collection'!$C:$C, 'SPAWNING PLOTS-raw'!M$3)</f>
        <v>615880</v>
      </c>
      <c r="N20" s="174">
        <f>SUMIFS('Larvae Collection'!$Q:$Q, 'Larvae Collection'!$A:$A,'SPAWNING PLOTS-raw'!$A20, 'Larvae Collection'!$C:$C, 'SPAWNING PLOTS-raw'!N$3)</f>
        <v>0</v>
      </c>
      <c r="O20" s="174">
        <f>SUMIFS('Larvae Collection'!$Q:$Q, 'Larvae Collection'!$A:$A,'SPAWNING PLOTS-raw'!$A20, 'Larvae Collection'!$C:$C, 'SPAWNING PLOTS-raw'!O$3)</f>
        <v>846000</v>
      </c>
      <c r="P20" s="174">
        <f>SUMIFS('Larvae Collection'!$Q:$Q, 'Larvae Collection'!$A:$A,'SPAWNING PLOTS-raw'!$A20, 'Larvae Collection'!$C:$C, 'SPAWNING PLOTS-raw'!P$3)</f>
        <v>0</v>
      </c>
      <c r="Q20" s="174">
        <f>SUMIFS('Larvae Collection'!$Q:$Q, 'Larvae Collection'!$A:$A,'SPAWNING PLOTS-raw'!$A20, 'Larvae Collection'!$C:$C, 'SPAWNING PLOTS-raw'!Q$3)</f>
        <v>183508.33333333331</v>
      </c>
      <c r="R20" s="158">
        <f>SUMIFS(B$4:B$31, $A$4:$A$31, "&lt;="&amp;$A20)</f>
        <v>4486881.2698412705</v>
      </c>
      <c r="S20" s="158">
        <f t="shared" si="2"/>
        <v>2923726.666666667</v>
      </c>
      <c r="T20" s="158">
        <f t="shared" si="3"/>
        <v>3238487.2222222225</v>
      </c>
      <c r="U20" s="158">
        <f t="shared" si="4"/>
        <v>980800.00000000012</v>
      </c>
      <c r="V20" s="158">
        <f t="shared" si="5"/>
        <v>1773019.0476190476</v>
      </c>
      <c r="W20" s="158">
        <f t="shared" si="6"/>
        <v>2997948.8888888885</v>
      </c>
      <c r="X20" s="158">
        <f t="shared" si="7"/>
        <v>4529176.666666666</v>
      </c>
      <c r="Y20" s="158">
        <f t="shared" si="8"/>
        <v>2212067.2222222225</v>
      </c>
      <c r="Z20" s="158">
        <f t="shared" si="9"/>
        <v>2966171.1111111115</v>
      </c>
      <c r="AA20" s="158">
        <f t="shared" si="10"/>
        <v>2389911.111111111</v>
      </c>
      <c r="AB20" s="158">
        <f t="shared" si="11"/>
        <v>1123338.888888889</v>
      </c>
      <c r="AC20" s="158">
        <f t="shared" si="12"/>
        <v>807046.66666666663</v>
      </c>
      <c r="AD20" s="158">
        <f t="shared" si="13"/>
        <v>2993802.2222222225</v>
      </c>
      <c r="AE20" s="158">
        <f t="shared" si="14"/>
        <v>3355971.2698412696</v>
      </c>
      <c r="AF20" s="158">
        <f t="shared" si="15"/>
        <v>1175013.3333333333</v>
      </c>
      <c r="AG20" s="158">
        <f t="shared" si="16"/>
        <v>3722452.777777778</v>
      </c>
    </row>
    <row r="21" spans="1:33" ht="20">
      <c r="A21" s="173">
        <v>43206</v>
      </c>
      <c r="B21" s="174">
        <f>SUMIFS('Larvae Collection'!$Q:$Q, 'Larvae Collection'!$A:$A,'SPAWNING PLOTS-raw'!$A21, 'Larvae Collection'!$C:$C, 'SPAWNING PLOTS-raw'!B$3)</f>
        <v>0</v>
      </c>
      <c r="C21" s="174">
        <f>SUMIFS('Larvae Collection'!$Q:$Q, 'Larvae Collection'!$A:$A,'SPAWNING PLOTS-raw'!$A21, 'Larvae Collection'!$C:$C, 'SPAWNING PLOTS-raw'!C$3)</f>
        <v>0</v>
      </c>
      <c r="D21" s="174">
        <f>SUMIFS('Larvae Collection'!$Q:$Q, 'Larvae Collection'!$A:$A,'SPAWNING PLOTS-raw'!$A21, 'Larvae Collection'!$C:$C, 'SPAWNING PLOTS-raw'!D$3)</f>
        <v>0</v>
      </c>
      <c r="E21" s="174">
        <f>SUMIFS('Larvae Collection'!$Q:$Q, 'Larvae Collection'!$A:$A,'SPAWNING PLOTS-raw'!$A21, 'Larvae Collection'!$C:$C, 'SPAWNING PLOTS-raw'!E$3)</f>
        <v>0</v>
      </c>
      <c r="F21" s="174">
        <f>SUMIFS('Larvae Collection'!$Q:$Q, 'Larvae Collection'!$A:$A,'SPAWNING PLOTS-raw'!$A21, 'Larvae Collection'!$C:$C, 'SPAWNING PLOTS-raw'!F$3)</f>
        <v>0</v>
      </c>
      <c r="G21" s="174">
        <f>SUMIFS('Larvae Collection'!$Q:$Q, 'Larvae Collection'!$A:$A,'SPAWNING PLOTS-raw'!$A21, 'Larvae Collection'!$C:$C, 'SPAWNING PLOTS-raw'!G$3)</f>
        <v>0</v>
      </c>
      <c r="H21" s="174">
        <f>SUMIFS('Larvae Collection'!$Q:$Q, 'Larvae Collection'!$A:$A,'SPAWNING PLOTS-raw'!$A21, 'Larvae Collection'!$C:$C, 'SPAWNING PLOTS-raw'!H$3)</f>
        <v>0</v>
      </c>
      <c r="I21" s="174">
        <f>SUMIFS('Larvae Collection'!$Q:$Q, 'Larvae Collection'!$A:$A,'SPAWNING PLOTS-raw'!$A21, 'Larvae Collection'!$C:$C, 'SPAWNING PLOTS-raw'!I$3)</f>
        <v>100994.44444444445</v>
      </c>
      <c r="J21" s="174">
        <f>SUMIFS('Larvae Collection'!$Q:$Q, 'Larvae Collection'!$A:$A,'SPAWNING PLOTS-raw'!$A21, 'Larvae Collection'!$C:$C, 'SPAWNING PLOTS-raw'!J$3)</f>
        <v>0</v>
      </c>
      <c r="K21" s="174">
        <f>SUMIFS('Larvae Collection'!$Q:$Q, 'Larvae Collection'!$A:$A,'SPAWNING PLOTS-raw'!$A21, 'Larvae Collection'!$C:$C, 'SPAWNING PLOTS-raw'!K$3)</f>
        <v>0</v>
      </c>
      <c r="L21" s="174">
        <f>SUMIFS('Larvae Collection'!$Q:$Q, 'Larvae Collection'!$A:$A,'SPAWNING PLOTS-raw'!$A21, 'Larvae Collection'!$C:$C, 'SPAWNING PLOTS-raw'!L$3)</f>
        <v>185645.83333333334</v>
      </c>
      <c r="M21" s="174">
        <f>SUMIFS('Larvae Collection'!$Q:$Q, 'Larvae Collection'!$A:$A,'SPAWNING PLOTS-raw'!$A21, 'Larvae Collection'!$C:$C, 'SPAWNING PLOTS-raw'!M$3)</f>
        <v>11875</v>
      </c>
      <c r="N21" s="174">
        <f>SUMIFS('Larvae Collection'!$Q:$Q, 'Larvae Collection'!$A:$A,'SPAWNING PLOTS-raw'!$A21, 'Larvae Collection'!$C:$C, 'SPAWNING PLOTS-raw'!N$3)</f>
        <v>0</v>
      </c>
      <c r="O21" s="174">
        <f>SUMIFS('Larvae Collection'!$Q:$Q, 'Larvae Collection'!$A:$A,'SPAWNING PLOTS-raw'!$A21, 'Larvae Collection'!$C:$C, 'SPAWNING PLOTS-raw'!O$3)</f>
        <v>0</v>
      </c>
      <c r="P21" s="174">
        <f>SUMIFS('Larvae Collection'!$Q:$Q, 'Larvae Collection'!$A:$A,'SPAWNING PLOTS-raw'!$A21, 'Larvae Collection'!$C:$C, 'SPAWNING PLOTS-raw'!P$3)</f>
        <v>0</v>
      </c>
      <c r="Q21" s="174">
        <f>SUMIFS('Larvae Collection'!$Q:$Q, 'Larvae Collection'!$A:$A,'SPAWNING PLOTS-raw'!$A21, 'Larvae Collection'!$C:$C, 'SPAWNING PLOTS-raw'!Q$3)</f>
        <v>0</v>
      </c>
      <c r="R21" s="158">
        <f t="shared" ref="R21:R31" si="17">SUMIFS(B$4:B$31, $A$4:$A$31, "&lt;="&amp;$A21)</f>
        <v>4486881.2698412705</v>
      </c>
      <c r="S21" s="158">
        <f t="shared" si="2"/>
        <v>2923726.666666667</v>
      </c>
      <c r="T21" s="158">
        <f t="shared" si="3"/>
        <v>3238487.2222222225</v>
      </c>
      <c r="U21" s="158">
        <f t="shared" si="4"/>
        <v>980800.00000000012</v>
      </c>
      <c r="V21" s="158">
        <f t="shared" si="5"/>
        <v>1773019.0476190476</v>
      </c>
      <c r="W21" s="158">
        <f t="shared" si="6"/>
        <v>2997948.8888888885</v>
      </c>
      <c r="X21" s="158">
        <f t="shared" si="7"/>
        <v>4529176.666666666</v>
      </c>
      <c r="Y21" s="158">
        <f t="shared" si="8"/>
        <v>2313061.666666667</v>
      </c>
      <c r="Z21" s="158">
        <f t="shared" si="9"/>
        <v>2966171.1111111115</v>
      </c>
      <c r="AA21" s="158">
        <f t="shared" si="10"/>
        <v>2389911.111111111</v>
      </c>
      <c r="AB21" s="158">
        <f t="shared" si="11"/>
        <v>1308984.7222222222</v>
      </c>
      <c r="AC21" s="158">
        <f t="shared" si="12"/>
        <v>818921.66666666663</v>
      </c>
      <c r="AD21" s="158">
        <f t="shared" si="13"/>
        <v>2993802.2222222225</v>
      </c>
      <c r="AE21" s="158">
        <f t="shared" si="14"/>
        <v>3355971.2698412696</v>
      </c>
      <c r="AF21" s="158">
        <f t="shared" si="15"/>
        <v>1175013.3333333333</v>
      </c>
      <c r="AG21" s="158">
        <f t="shared" si="16"/>
        <v>3722452.777777778</v>
      </c>
    </row>
    <row r="22" spans="1:33" ht="20">
      <c r="A22" s="173">
        <v>43207</v>
      </c>
      <c r="B22" s="175">
        <f>SUMIFS('Larvae Collection'!$Q:$Q, 'Larvae Collection'!$A:$A,'SPAWNING PLOTS-raw'!$A22, 'Larvae Collection'!$C:$C, 'SPAWNING PLOTS-raw'!B$3)</f>
        <v>0</v>
      </c>
      <c r="C22" s="175">
        <f>SUMIFS('Larvae Collection'!$Q:$Q, 'Larvae Collection'!$A:$A,'SPAWNING PLOTS-raw'!$A22, 'Larvae Collection'!$C:$C, 'SPAWNING PLOTS-raw'!C$3)</f>
        <v>0</v>
      </c>
      <c r="D22" s="174">
        <f>SUMIFS('Larvae Collection'!$Q:$Q, 'Larvae Collection'!$A:$A,'SPAWNING PLOTS-raw'!$A22, 'Larvae Collection'!$C:$C, 'SPAWNING PLOTS-raw'!D$3)</f>
        <v>0</v>
      </c>
      <c r="E22" s="174">
        <f>SUMIFS('Larvae Collection'!$Q:$Q, 'Larvae Collection'!$A:$A,'SPAWNING PLOTS-raw'!$A22, 'Larvae Collection'!$C:$C, 'SPAWNING PLOTS-raw'!E$3)</f>
        <v>14596.190476190477</v>
      </c>
      <c r="F22" s="174">
        <f>SUMIFS('Larvae Collection'!$Q:$Q, 'Larvae Collection'!$A:$A,'SPAWNING PLOTS-raw'!$A22, 'Larvae Collection'!$C:$C, 'SPAWNING PLOTS-raw'!F$3)</f>
        <v>0</v>
      </c>
      <c r="G22" s="174">
        <f>SUMIFS('Larvae Collection'!$Q:$Q, 'Larvae Collection'!$A:$A,'SPAWNING PLOTS-raw'!$A22, 'Larvae Collection'!$C:$C, 'SPAWNING PLOTS-raw'!G$3)</f>
        <v>0</v>
      </c>
      <c r="H22" s="174">
        <f>SUMIFS('Larvae Collection'!$Q:$Q, 'Larvae Collection'!$A:$A,'SPAWNING PLOTS-raw'!$A22, 'Larvae Collection'!$C:$C, 'SPAWNING PLOTS-raw'!H$3)</f>
        <v>0</v>
      </c>
      <c r="I22" s="174">
        <f>SUMIFS('Larvae Collection'!$Q:$Q, 'Larvae Collection'!$A:$A,'SPAWNING PLOTS-raw'!$A22, 'Larvae Collection'!$C:$C, 'SPAWNING PLOTS-raw'!I$3)</f>
        <v>0</v>
      </c>
      <c r="J22" s="174">
        <f>SUMIFS('Larvae Collection'!$Q:$Q, 'Larvae Collection'!$A:$A,'SPAWNING PLOTS-raw'!$A22, 'Larvae Collection'!$C:$C, 'SPAWNING PLOTS-raw'!J$3)</f>
        <v>24083.333333333332</v>
      </c>
      <c r="K22" s="174">
        <f>SUMIFS('Larvae Collection'!$Q:$Q, 'Larvae Collection'!$A:$A,'SPAWNING PLOTS-raw'!$A22, 'Larvae Collection'!$C:$C, 'SPAWNING PLOTS-raw'!K$3)</f>
        <v>0</v>
      </c>
      <c r="L22" s="174">
        <f>SUMIFS('Larvae Collection'!$Q:$Q, 'Larvae Collection'!$A:$A,'SPAWNING PLOTS-raw'!$A22, 'Larvae Collection'!$C:$C, 'SPAWNING PLOTS-raw'!L$3)</f>
        <v>0</v>
      </c>
      <c r="M22" s="174">
        <f>SUMIFS('Larvae Collection'!$Q:$Q, 'Larvae Collection'!$A:$A,'SPAWNING PLOTS-raw'!$A22, 'Larvae Collection'!$C:$C, 'SPAWNING PLOTS-raw'!M$3)</f>
        <v>0</v>
      </c>
      <c r="N22" s="174">
        <f>SUMIFS('Larvae Collection'!$Q:$Q, 'Larvae Collection'!$A:$A,'SPAWNING PLOTS-raw'!$A22, 'Larvae Collection'!$C:$C, 'SPAWNING PLOTS-raw'!N$3)</f>
        <v>0</v>
      </c>
      <c r="O22" s="174">
        <f>SUMIFS('Larvae Collection'!$Q:$Q, 'Larvae Collection'!$A:$A,'SPAWNING PLOTS-raw'!$A22, 'Larvae Collection'!$C:$C, 'SPAWNING PLOTS-raw'!O$3)</f>
        <v>0</v>
      </c>
      <c r="P22" s="174">
        <f>SUMIFS('Larvae Collection'!$Q:$Q, 'Larvae Collection'!$A:$A,'SPAWNING PLOTS-raw'!$A22, 'Larvae Collection'!$C:$C, 'SPAWNING PLOTS-raw'!P$3)</f>
        <v>0</v>
      </c>
      <c r="Q22" s="174">
        <f>SUMIFS('Larvae Collection'!$Q:$Q, 'Larvae Collection'!$A:$A,'SPAWNING PLOTS-raw'!$A22, 'Larvae Collection'!$C:$C, 'SPAWNING PLOTS-raw'!Q$3)</f>
        <v>0</v>
      </c>
      <c r="R22" s="158">
        <f t="shared" si="17"/>
        <v>4486881.2698412705</v>
      </c>
      <c r="S22" s="158">
        <f t="shared" si="2"/>
        <v>2923726.666666667</v>
      </c>
      <c r="T22" s="158">
        <f t="shared" si="3"/>
        <v>3238487.2222222225</v>
      </c>
      <c r="U22" s="158">
        <f t="shared" si="4"/>
        <v>995396.19047619065</v>
      </c>
      <c r="V22" s="158">
        <f t="shared" si="5"/>
        <v>1773019.0476190476</v>
      </c>
      <c r="W22" s="158">
        <f t="shared" si="6"/>
        <v>2997948.8888888885</v>
      </c>
      <c r="X22" s="158">
        <f t="shared" si="7"/>
        <v>4529176.666666666</v>
      </c>
      <c r="Y22" s="158">
        <f t="shared" si="8"/>
        <v>2313061.666666667</v>
      </c>
      <c r="Z22" s="158">
        <f t="shared" si="9"/>
        <v>2990254.444444445</v>
      </c>
      <c r="AA22" s="158">
        <f t="shared" si="10"/>
        <v>2389911.111111111</v>
      </c>
      <c r="AB22" s="158">
        <f t="shared" si="11"/>
        <v>1308984.7222222222</v>
      </c>
      <c r="AC22" s="158">
        <f t="shared" si="12"/>
        <v>818921.66666666663</v>
      </c>
      <c r="AD22" s="158">
        <f t="shared" si="13"/>
        <v>2993802.2222222225</v>
      </c>
      <c r="AE22" s="158">
        <f t="shared" si="14"/>
        <v>3355971.2698412696</v>
      </c>
      <c r="AF22" s="158">
        <f t="shared" si="15"/>
        <v>1175013.3333333333</v>
      </c>
      <c r="AG22" s="158">
        <f t="shared" si="16"/>
        <v>3722452.777777778</v>
      </c>
    </row>
    <row r="23" spans="1:33" ht="20">
      <c r="A23" s="173">
        <v>43208</v>
      </c>
      <c r="B23" s="174">
        <f>SUMIFS('Larvae Collection'!$Q:$Q, 'Larvae Collection'!$A:$A,'SPAWNING PLOTS-raw'!$A23, 'Larvae Collection'!$C:$C, 'SPAWNING PLOTS-raw'!B$3)</f>
        <v>53100</v>
      </c>
      <c r="C23" s="174">
        <f>SUMIFS('Larvae Collection'!$Q:$Q, 'Larvae Collection'!$A:$A,'SPAWNING PLOTS-raw'!$A23, 'Larvae Collection'!$C:$C, 'SPAWNING PLOTS-raw'!C$3)</f>
        <v>0</v>
      </c>
      <c r="D23" s="174">
        <f>SUMIFS('Larvae Collection'!$Q:$Q, 'Larvae Collection'!$A:$A,'SPAWNING PLOTS-raw'!$A23, 'Larvae Collection'!$C:$C, 'SPAWNING PLOTS-raw'!D$3)</f>
        <v>0</v>
      </c>
      <c r="E23" s="174">
        <f>SUMIFS('Larvae Collection'!$Q:$Q, 'Larvae Collection'!$A:$A,'SPAWNING PLOTS-raw'!$A23, 'Larvae Collection'!$C:$C, 'SPAWNING PLOTS-raw'!E$3)</f>
        <v>0</v>
      </c>
      <c r="F23" s="174">
        <f>SUMIFS('Larvae Collection'!$Q:$Q, 'Larvae Collection'!$A:$A,'SPAWNING PLOTS-raw'!$A23, 'Larvae Collection'!$C:$C, 'SPAWNING PLOTS-raw'!F$3)</f>
        <v>0</v>
      </c>
      <c r="G23" s="174">
        <f>SUMIFS('Larvae Collection'!$Q:$Q, 'Larvae Collection'!$A:$A,'SPAWNING PLOTS-raw'!$A23, 'Larvae Collection'!$C:$C, 'SPAWNING PLOTS-raw'!G$3)</f>
        <v>0</v>
      </c>
      <c r="H23" s="175">
        <f>SUMIFS('Larvae Collection'!$Q:$Q, 'Larvae Collection'!$A:$A,'SPAWNING PLOTS-raw'!$A23, 'Larvae Collection'!$C:$C, 'SPAWNING PLOTS-raw'!H$3)</f>
        <v>0</v>
      </c>
      <c r="I23" s="174">
        <f>SUMIFS('Larvae Collection'!$Q:$Q, 'Larvae Collection'!$A:$A,'SPAWNING PLOTS-raw'!$A23, 'Larvae Collection'!$C:$C, 'SPAWNING PLOTS-raw'!I$3)</f>
        <v>321066.66666666669</v>
      </c>
      <c r="J23" s="174">
        <f>SUMIFS('Larvae Collection'!$Q:$Q, 'Larvae Collection'!$A:$A,'SPAWNING PLOTS-raw'!$A23, 'Larvae Collection'!$C:$C, 'SPAWNING PLOTS-raw'!J$3)</f>
        <v>104500</v>
      </c>
      <c r="K23" s="174">
        <f>SUMIFS('Larvae Collection'!$Q:$Q, 'Larvae Collection'!$A:$A,'SPAWNING PLOTS-raw'!$A23, 'Larvae Collection'!$C:$C, 'SPAWNING PLOTS-raw'!K$3)</f>
        <v>0</v>
      </c>
      <c r="L23" s="174">
        <f>SUMIFS('Larvae Collection'!$Q:$Q, 'Larvae Collection'!$A:$A,'SPAWNING PLOTS-raw'!$A23, 'Larvae Collection'!$C:$C, 'SPAWNING PLOTS-raw'!L$3)</f>
        <v>0</v>
      </c>
      <c r="M23" s="174">
        <f>SUMIFS('Larvae Collection'!$Q:$Q, 'Larvae Collection'!$A:$A,'SPAWNING PLOTS-raw'!$A23, 'Larvae Collection'!$C:$C, 'SPAWNING PLOTS-raw'!M$3)</f>
        <v>0</v>
      </c>
      <c r="N23" s="174">
        <f>SUMIFS('Larvae Collection'!$Q:$Q, 'Larvae Collection'!$A:$A,'SPAWNING PLOTS-raw'!$A23, 'Larvae Collection'!$C:$C, 'SPAWNING PLOTS-raw'!N$3)</f>
        <v>0</v>
      </c>
      <c r="O23" s="174">
        <f>SUMIFS('Larvae Collection'!$Q:$Q, 'Larvae Collection'!$A:$A,'SPAWNING PLOTS-raw'!$A23, 'Larvae Collection'!$C:$C, 'SPAWNING PLOTS-raw'!O$3)</f>
        <v>32960</v>
      </c>
      <c r="P23" s="174">
        <f>SUMIFS('Larvae Collection'!$Q:$Q, 'Larvae Collection'!$A:$A,'SPAWNING PLOTS-raw'!$A23, 'Larvae Collection'!$C:$C, 'SPAWNING PLOTS-raw'!P$3)</f>
        <v>18800</v>
      </c>
      <c r="Q23" s="174">
        <f>SUMIFS('Larvae Collection'!$Q:$Q, 'Larvae Collection'!$A:$A,'SPAWNING PLOTS-raw'!$A23, 'Larvae Collection'!$C:$C, 'SPAWNING PLOTS-raw'!Q$3)</f>
        <v>156600</v>
      </c>
      <c r="R23" s="158">
        <f t="shared" si="17"/>
        <v>4539981.2698412705</v>
      </c>
      <c r="S23" s="158">
        <f t="shared" si="2"/>
        <v>2923726.666666667</v>
      </c>
      <c r="T23" s="158">
        <f t="shared" si="3"/>
        <v>3238487.2222222225</v>
      </c>
      <c r="U23" s="158">
        <f t="shared" si="4"/>
        <v>995396.19047619065</v>
      </c>
      <c r="V23" s="158">
        <f t="shared" si="5"/>
        <v>1773019.0476190476</v>
      </c>
      <c r="W23" s="158">
        <f t="shared" si="6"/>
        <v>2997948.8888888885</v>
      </c>
      <c r="X23" s="158">
        <f t="shared" si="7"/>
        <v>4529176.666666666</v>
      </c>
      <c r="Y23" s="158">
        <f t="shared" si="8"/>
        <v>2634128.3333333335</v>
      </c>
      <c r="Z23" s="158">
        <f t="shared" si="9"/>
        <v>3094754.444444445</v>
      </c>
      <c r="AA23" s="158">
        <f t="shared" si="10"/>
        <v>2389911.111111111</v>
      </c>
      <c r="AB23" s="158">
        <f t="shared" si="11"/>
        <v>1308984.7222222222</v>
      </c>
      <c r="AC23" s="158">
        <f t="shared" si="12"/>
        <v>818921.66666666663</v>
      </c>
      <c r="AD23" s="158">
        <f t="shared" si="13"/>
        <v>2993802.2222222225</v>
      </c>
      <c r="AE23" s="158">
        <f t="shared" si="14"/>
        <v>3388931.2698412696</v>
      </c>
      <c r="AF23" s="158">
        <f t="shared" si="15"/>
        <v>1193813.3333333333</v>
      </c>
      <c r="AG23" s="158">
        <f t="shared" si="16"/>
        <v>3879052.777777778</v>
      </c>
    </row>
    <row r="24" spans="1:33" ht="20">
      <c r="A24" s="173">
        <v>43209</v>
      </c>
      <c r="B24" s="174">
        <f>SUMIFS('Larvae Collection'!$Q:$Q, 'Larvae Collection'!$A:$A,'SPAWNING PLOTS-raw'!$A24, 'Larvae Collection'!$C:$C, 'SPAWNING PLOTS-raw'!B$3)</f>
        <v>0</v>
      </c>
      <c r="C24" s="174">
        <f>SUMIFS('Larvae Collection'!$Q:$Q, 'Larvae Collection'!$A:$A,'SPAWNING PLOTS-raw'!$A24, 'Larvae Collection'!$C:$C, 'SPAWNING PLOTS-raw'!C$3)</f>
        <v>0</v>
      </c>
      <c r="D24" s="174">
        <f>SUMIFS('Larvae Collection'!$Q:$Q, 'Larvae Collection'!$A:$A,'SPAWNING PLOTS-raw'!$A24, 'Larvae Collection'!$C:$C, 'SPAWNING PLOTS-raw'!D$3)</f>
        <v>0</v>
      </c>
      <c r="E24" s="174">
        <f>SUMIFS('Larvae Collection'!$Q:$Q, 'Larvae Collection'!$A:$A,'SPAWNING PLOTS-raw'!$A24, 'Larvae Collection'!$C:$C, 'SPAWNING PLOTS-raw'!E$3)</f>
        <v>0</v>
      </c>
      <c r="F24" s="174">
        <f>SUMIFS('Larvae Collection'!$Q:$Q, 'Larvae Collection'!$A:$A,'SPAWNING PLOTS-raw'!$A24, 'Larvae Collection'!$C:$C, 'SPAWNING PLOTS-raw'!F$3)</f>
        <v>100333.33333333334</v>
      </c>
      <c r="G24" s="174">
        <f>SUMIFS('Larvae Collection'!$Q:$Q, 'Larvae Collection'!$A:$A,'SPAWNING PLOTS-raw'!$A24, 'Larvae Collection'!$C:$C, 'SPAWNING PLOTS-raw'!G$3)</f>
        <v>0</v>
      </c>
      <c r="H24" s="174">
        <f>SUMIFS('Larvae Collection'!$Q:$Q, 'Larvae Collection'!$A:$A,'SPAWNING PLOTS-raw'!$A24, 'Larvae Collection'!$C:$C, 'SPAWNING PLOTS-raw'!H$3)</f>
        <v>0</v>
      </c>
      <c r="I24" s="174">
        <f>SUMIFS('Larvae Collection'!$Q:$Q, 'Larvae Collection'!$A:$A,'SPAWNING PLOTS-raw'!$A24, 'Larvae Collection'!$C:$C, 'SPAWNING PLOTS-raw'!I$3)</f>
        <v>0</v>
      </c>
      <c r="J24" s="174">
        <f>SUMIFS('Larvae Collection'!$Q:$Q, 'Larvae Collection'!$A:$A,'SPAWNING PLOTS-raw'!$A24, 'Larvae Collection'!$C:$C, 'SPAWNING PLOTS-raw'!J$3)</f>
        <v>0</v>
      </c>
      <c r="K24" s="174">
        <f>SUMIFS('Larvae Collection'!$Q:$Q, 'Larvae Collection'!$A:$A,'SPAWNING PLOTS-raw'!$A24, 'Larvae Collection'!$C:$C, 'SPAWNING PLOTS-raw'!K$3)</f>
        <v>73733.333333333328</v>
      </c>
      <c r="L24" s="174">
        <f>SUMIFS('Larvae Collection'!$Q:$Q, 'Larvae Collection'!$A:$A,'SPAWNING PLOTS-raw'!$A24, 'Larvae Collection'!$C:$C, 'SPAWNING PLOTS-raw'!L$3)</f>
        <v>0</v>
      </c>
      <c r="M24" s="174">
        <f>SUMIFS('Larvae Collection'!$Q:$Q, 'Larvae Collection'!$A:$A,'SPAWNING PLOTS-raw'!$A24, 'Larvae Collection'!$C:$C, 'SPAWNING PLOTS-raw'!M$3)</f>
        <v>442666.66666666669</v>
      </c>
      <c r="N24" s="174">
        <f>SUMIFS('Larvae Collection'!$Q:$Q, 'Larvae Collection'!$A:$A,'SPAWNING PLOTS-raw'!$A24, 'Larvae Collection'!$C:$C, 'SPAWNING PLOTS-raw'!N$3)</f>
        <v>0</v>
      </c>
      <c r="O24" s="174">
        <f>SUMIFS('Larvae Collection'!$Q:$Q, 'Larvae Collection'!$A:$A,'SPAWNING PLOTS-raw'!$A24, 'Larvae Collection'!$C:$C, 'SPAWNING PLOTS-raw'!O$3)</f>
        <v>0</v>
      </c>
      <c r="P24" s="174">
        <f>SUMIFS('Larvae Collection'!$Q:$Q, 'Larvae Collection'!$A:$A,'SPAWNING PLOTS-raw'!$A24, 'Larvae Collection'!$C:$C, 'SPAWNING PLOTS-raw'!P$3)</f>
        <v>311466.66666666669</v>
      </c>
      <c r="Q24" s="174">
        <f>SUMIFS('Larvae Collection'!$Q:$Q, 'Larvae Collection'!$A:$A,'SPAWNING PLOTS-raw'!$A24, 'Larvae Collection'!$C:$C, 'SPAWNING PLOTS-raw'!Q$3)</f>
        <v>0</v>
      </c>
      <c r="R24" s="158">
        <f t="shared" si="17"/>
        <v>4539981.2698412705</v>
      </c>
      <c r="S24" s="158">
        <f t="shared" si="2"/>
        <v>2923726.666666667</v>
      </c>
      <c r="T24" s="158">
        <f t="shared" si="3"/>
        <v>3238487.2222222225</v>
      </c>
      <c r="U24" s="158">
        <f t="shared" si="4"/>
        <v>995396.19047619065</v>
      </c>
      <c r="V24" s="158">
        <f t="shared" si="5"/>
        <v>1873352.3809523808</v>
      </c>
      <c r="W24" s="158">
        <f t="shared" si="6"/>
        <v>2997948.8888888885</v>
      </c>
      <c r="X24" s="158">
        <f t="shared" si="7"/>
        <v>4529176.666666666</v>
      </c>
      <c r="Y24" s="158">
        <f t="shared" si="8"/>
        <v>2634128.3333333335</v>
      </c>
      <c r="Z24" s="158">
        <f t="shared" si="9"/>
        <v>3094754.444444445</v>
      </c>
      <c r="AA24" s="158">
        <f t="shared" si="10"/>
        <v>2463644.4444444445</v>
      </c>
      <c r="AB24" s="158">
        <f t="shared" si="11"/>
        <v>1308984.7222222222</v>
      </c>
      <c r="AC24" s="158">
        <f t="shared" si="12"/>
        <v>1261588.3333333333</v>
      </c>
      <c r="AD24" s="158">
        <f t="shared" si="13"/>
        <v>2993802.2222222225</v>
      </c>
      <c r="AE24" s="158">
        <f t="shared" si="14"/>
        <v>3388931.2698412696</v>
      </c>
      <c r="AF24" s="158">
        <f t="shared" si="15"/>
        <v>1505280</v>
      </c>
      <c r="AG24" s="158">
        <f t="shared" si="16"/>
        <v>3879052.777777778</v>
      </c>
    </row>
    <row r="25" spans="1:33" ht="20">
      <c r="A25" s="173">
        <v>43210</v>
      </c>
      <c r="B25" s="174">
        <f>SUMIFS('Larvae Collection'!$Q:$Q, 'Larvae Collection'!$A:$A,'SPAWNING PLOTS-raw'!$A25, 'Larvae Collection'!$C:$C, 'SPAWNING PLOTS-raw'!B$3)</f>
        <v>170625</v>
      </c>
      <c r="C25" s="174">
        <f>SUMIFS('Larvae Collection'!$Q:$Q, 'Larvae Collection'!$A:$A,'SPAWNING PLOTS-raw'!$A25, 'Larvae Collection'!$C:$C, 'SPAWNING PLOTS-raw'!C$3)</f>
        <v>0</v>
      </c>
      <c r="D25" s="174">
        <f>SUMIFS('Larvae Collection'!$Q:$Q, 'Larvae Collection'!$A:$A,'SPAWNING PLOTS-raw'!$A25, 'Larvae Collection'!$C:$C, 'SPAWNING PLOTS-raw'!D$3)</f>
        <v>0</v>
      </c>
      <c r="E25" s="174">
        <f>SUMIFS('Larvae Collection'!$Q:$Q, 'Larvae Collection'!$A:$A,'SPAWNING PLOTS-raw'!$A25, 'Larvae Collection'!$C:$C, 'SPAWNING PLOTS-raw'!E$3)</f>
        <v>0</v>
      </c>
      <c r="F25" s="174">
        <f>SUMIFS('Larvae Collection'!$Q:$Q, 'Larvae Collection'!$A:$A,'SPAWNING PLOTS-raw'!$A25, 'Larvae Collection'!$C:$C, 'SPAWNING PLOTS-raw'!F$3)</f>
        <v>35522.222222222226</v>
      </c>
      <c r="G25" s="174">
        <f>SUMIFS('Larvae Collection'!$Q:$Q, 'Larvae Collection'!$A:$A,'SPAWNING PLOTS-raw'!$A25, 'Larvae Collection'!$C:$C, 'SPAWNING PLOTS-raw'!G$3)</f>
        <v>425125</v>
      </c>
      <c r="H25" s="174">
        <f>SUMIFS('Larvae Collection'!$Q:$Q, 'Larvae Collection'!$A:$A,'SPAWNING PLOTS-raw'!$A25, 'Larvae Collection'!$C:$C, 'SPAWNING PLOTS-raw'!H$3)</f>
        <v>121000</v>
      </c>
      <c r="I25" s="174">
        <f>SUMIFS('Larvae Collection'!$Q:$Q, 'Larvae Collection'!$A:$A,'SPAWNING PLOTS-raw'!$A25, 'Larvae Collection'!$C:$C, 'SPAWNING PLOTS-raw'!I$3)</f>
        <v>0</v>
      </c>
      <c r="J25" s="174">
        <f>SUMIFS('Larvae Collection'!$Q:$Q, 'Larvae Collection'!$A:$A,'SPAWNING PLOTS-raw'!$A25, 'Larvae Collection'!$C:$C, 'SPAWNING PLOTS-raw'!J$3)</f>
        <v>0</v>
      </c>
      <c r="K25" s="174">
        <f>SUMIFS('Larvae Collection'!$Q:$Q, 'Larvae Collection'!$A:$A,'SPAWNING PLOTS-raw'!$A25, 'Larvae Collection'!$C:$C, 'SPAWNING PLOTS-raw'!K$3)</f>
        <v>0</v>
      </c>
      <c r="L25" s="174">
        <f>SUMIFS('Larvae Collection'!$Q:$Q, 'Larvae Collection'!$A:$A,'SPAWNING PLOTS-raw'!$A25, 'Larvae Collection'!$C:$C, 'SPAWNING PLOTS-raw'!L$3)</f>
        <v>466250</v>
      </c>
      <c r="M25" s="174">
        <f>SUMIFS('Larvae Collection'!$Q:$Q, 'Larvae Collection'!$A:$A,'SPAWNING PLOTS-raw'!$A25, 'Larvae Collection'!$C:$C, 'SPAWNING PLOTS-raw'!M$3)</f>
        <v>0</v>
      </c>
      <c r="N25" s="174">
        <f>SUMIFS('Larvae Collection'!$Q:$Q, 'Larvae Collection'!$A:$A,'SPAWNING PLOTS-raw'!$A25, 'Larvae Collection'!$C:$C, 'SPAWNING PLOTS-raw'!N$3)</f>
        <v>0</v>
      </c>
      <c r="O25" s="174">
        <f>SUMIFS('Larvae Collection'!$Q:$Q, 'Larvae Collection'!$A:$A,'SPAWNING PLOTS-raw'!$A25, 'Larvae Collection'!$C:$C, 'SPAWNING PLOTS-raw'!O$3)</f>
        <v>0</v>
      </c>
      <c r="P25" s="174">
        <f>SUMIFS('Larvae Collection'!$Q:$Q, 'Larvae Collection'!$A:$A,'SPAWNING PLOTS-raw'!$A25, 'Larvae Collection'!$C:$C, 'SPAWNING PLOTS-raw'!P$3)</f>
        <v>541800</v>
      </c>
      <c r="Q25" s="174">
        <f>SUMIFS('Larvae Collection'!$Q:$Q, 'Larvae Collection'!$A:$A,'SPAWNING PLOTS-raw'!$A25, 'Larvae Collection'!$C:$C, 'SPAWNING PLOTS-raw'!Q$3)</f>
        <v>0</v>
      </c>
      <c r="R25" s="158">
        <f t="shared" si="17"/>
        <v>4710606.2698412705</v>
      </c>
      <c r="S25" s="158">
        <f t="shared" si="2"/>
        <v>2923726.666666667</v>
      </c>
      <c r="T25" s="158">
        <f t="shared" si="3"/>
        <v>3238487.2222222225</v>
      </c>
      <c r="U25" s="158">
        <f t="shared" si="4"/>
        <v>995396.19047619065</v>
      </c>
      <c r="V25" s="158">
        <f t="shared" si="5"/>
        <v>1908874.6031746031</v>
      </c>
      <c r="W25" s="158">
        <f t="shared" si="6"/>
        <v>3423073.8888888885</v>
      </c>
      <c r="X25" s="158">
        <f t="shared" si="7"/>
        <v>4650176.666666666</v>
      </c>
      <c r="Y25" s="158">
        <f t="shared" si="8"/>
        <v>2634128.3333333335</v>
      </c>
      <c r="Z25" s="158">
        <f t="shared" si="9"/>
        <v>3094754.444444445</v>
      </c>
      <c r="AA25" s="158">
        <f t="shared" si="10"/>
        <v>2463644.4444444445</v>
      </c>
      <c r="AB25" s="158">
        <f t="shared" si="11"/>
        <v>1775234.7222222222</v>
      </c>
      <c r="AC25" s="158">
        <f t="shared" si="12"/>
        <v>1261588.3333333333</v>
      </c>
      <c r="AD25" s="158">
        <f t="shared" si="13"/>
        <v>2993802.2222222225</v>
      </c>
      <c r="AE25" s="158">
        <f t="shared" si="14"/>
        <v>3388931.2698412696</v>
      </c>
      <c r="AF25" s="158">
        <f t="shared" si="15"/>
        <v>2047080</v>
      </c>
      <c r="AG25" s="158">
        <f t="shared" si="16"/>
        <v>3879052.777777778</v>
      </c>
    </row>
    <row r="26" spans="1:33" ht="20">
      <c r="A26" s="173">
        <v>43211</v>
      </c>
      <c r="B26" s="174">
        <f>SUMIFS('Larvae Collection'!$Q:$Q, 'Larvae Collection'!$A:$A,'SPAWNING PLOTS-raw'!$A26, 'Larvae Collection'!$C:$C, 'SPAWNING PLOTS-raw'!B$3)</f>
        <v>1018333.3333333333</v>
      </c>
      <c r="C26" s="174">
        <f>SUMIFS('Larvae Collection'!$Q:$Q, 'Larvae Collection'!$A:$A,'SPAWNING PLOTS-raw'!$A26, 'Larvae Collection'!$C:$C, 'SPAWNING PLOTS-raw'!C$3)</f>
        <v>0</v>
      </c>
      <c r="D26" s="174">
        <f>SUMIFS('Larvae Collection'!$Q:$Q, 'Larvae Collection'!$A:$A,'SPAWNING PLOTS-raw'!$A26, 'Larvae Collection'!$C:$C, 'SPAWNING PLOTS-raw'!D$3)</f>
        <v>0</v>
      </c>
      <c r="E26" s="174">
        <f>SUMIFS('Larvae Collection'!$Q:$Q, 'Larvae Collection'!$A:$A,'SPAWNING PLOTS-raw'!$A26, 'Larvae Collection'!$C:$C, 'SPAWNING PLOTS-raw'!E$3)</f>
        <v>0</v>
      </c>
      <c r="F26" s="174">
        <f>SUMIFS('Larvae Collection'!$Q:$Q, 'Larvae Collection'!$A:$A,'SPAWNING PLOTS-raw'!$A26, 'Larvae Collection'!$C:$C, 'SPAWNING PLOTS-raw'!F$3)</f>
        <v>0</v>
      </c>
      <c r="G26" s="174">
        <f>SUMIFS('Larvae Collection'!$Q:$Q, 'Larvae Collection'!$A:$A,'SPAWNING PLOTS-raw'!$A26, 'Larvae Collection'!$C:$C, 'SPAWNING PLOTS-raw'!G$3)</f>
        <v>0</v>
      </c>
      <c r="H26" s="174">
        <f>SUMIFS('Larvae Collection'!$Q:$Q, 'Larvae Collection'!$A:$A,'SPAWNING PLOTS-raw'!$A26, 'Larvae Collection'!$C:$C, 'SPAWNING PLOTS-raw'!H$3)</f>
        <v>0</v>
      </c>
      <c r="I26" s="174">
        <f>SUMIFS('Larvae Collection'!$Q:$Q, 'Larvae Collection'!$A:$A,'SPAWNING PLOTS-raw'!$A26, 'Larvae Collection'!$C:$C, 'SPAWNING PLOTS-raw'!I$3)</f>
        <v>260444.44444444447</v>
      </c>
      <c r="J26" s="174">
        <f>SUMIFS('Larvae Collection'!$Q:$Q, 'Larvae Collection'!$A:$A,'SPAWNING PLOTS-raw'!$A26, 'Larvae Collection'!$C:$C, 'SPAWNING PLOTS-raw'!J$3)</f>
        <v>0</v>
      </c>
      <c r="K26" s="174">
        <f>SUMIFS('Larvae Collection'!$Q:$Q, 'Larvae Collection'!$A:$A,'SPAWNING PLOTS-raw'!$A26, 'Larvae Collection'!$C:$C, 'SPAWNING PLOTS-raw'!K$3)</f>
        <v>0</v>
      </c>
      <c r="L26" s="174">
        <f>SUMIFS('Larvae Collection'!$Q:$Q, 'Larvae Collection'!$A:$A,'SPAWNING PLOTS-raw'!$A26, 'Larvae Collection'!$C:$C, 'SPAWNING PLOTS-raw'!L$3)</f>
        <v>0</v>
      </c>
      <c r="M26" s="174">
        <f>SUMIFS('Larvae Collection'!$Q:$Q, 'Larvae Collection'!$A:$A,'SPAWNING PLOTS-raw'!$A26, 'Larvae Collection'!$C:$C, 'SPAWNING PLOTS-raw'!M$3)</f>
        <v>0</v>
      </c>
      <c r="N26" s="174">
        <f>SUMIFS('Larvae Collection'!$Q:$Q, 'Larvae Collection'!$A:$A,'SPAWNING PLOTS-raw'!$A26, 'Larvae Collection'!$C:$C, 'SPAWNING PLOTS-raw'!N$3)</f>
        <v>0</v>
      </c>
      <c r="O26" s="174">
        <f>SUMIFS('Larvae Collection'!$Q:$Q, 'Larvae Collection'!$A:$A,'SPAWNING PLOTS-raw'!$A26, 'Larvae Collection'!$C:$C, 'SPAWNING PLOTS-raw'!O$3)</f>
        <v>0</v>
      </c>
      <c r="P26" s="174">
        <f>SUMIFS('Larvae Collection'!$Q:$Q, 'Larvae Collection'!$A:$A,'SPAWNING PLOTS-raw'!$A26, 'Larvae Collection'!$C:$C, 'SPAWNING PLOTS-raw'!P$3)</f>
        <v>0</v>
      </c>
      <c r="Q26" s="174">
        <f>SUMIFS('Larvae Collection'!$Q:$Q, 'Larvae Collection'!$A:$A,'SPAWNING PLOTS-raw'!$A26, 'Larvae Collection'!$C:$C, 'SPAWNING PLOTS-raw'!Q$3)</f>
        <v>0</v>
      </c>
      <c r="R26" s="158">
        <f t="shared" si="17"/>
        <v>5728939.6031746035</v>
      </c>
      <c r="S26" s="158">
        <f t="shared" si="2"/>
        <v>2923726.666666667</v>
      </c>
      <c r="T26" s="158">
        <f t="shared" si="3"/>
        <v>3238487.2222222225</v>
      </c>
      <c r="U26" s="158">
        <f t="shared" si="4"/>
        <v>995396.19047619065</v>
      </c>
      <c r="V26" s="158">
        <f t="shared" si="5"/>
        <v>1908874.6031746031</v>
      </c>
      <c r="W26" s="158">
        <f t="shared" si="6"/>
        <v>3423073.8888888885</v>
      </c>
      <c r="X26" s="158">
        <f t="shared" si="7"/>
        <v>4650176.666666666</v>
      </c>
      <c r="Y26" s="158">
        <f t="shared" si="8"/>
        <v>2894572.777777778</v>
      </c>
      <c r="Z26" s="158">
        <f t="shared" si="9"/>
        <v>3094754.444444445</v>
      </c>
      <c r="AA26" s="158">
        <f t="shared" si="10"/>
        <v>2463644.4444444445</v>
      </c>
      <c r="AB26" s="158">
        <f t="shared" si="11"/>
        <v>1775234.7222222222</v>
      </c>
      <c r="AC26" s="158">
        <f t="shared" si="12"/>
        <v>1261588.3333333333</v>
      </c>
      <c r="AD26" s="158">
        <f t="shared" si="13"/>
        <v>2993802.2222222225</v>
      </c>
      <c r="AE26" s="158">
        <f t="shared" si="14"/>
        <v>3388931.2698412696</v>
      </c>
      <c r="AF26" s="158">
        <f t="shared" si="15"/>
        <v>2047080</v>
      </c>
      <c r="AG26" s="158">
        <f t="shared" si="16"/>
        <v>3879052.777777778</v>
      </c>
    </row>
    <row r="27" spans="1:33" ht="20">
      <c r="A27" s="173">
        <v>43212</v>
      </c>
      <c r="B27" s="174">
        <f>SUMIFS('Larvae Collection'!$Q:$Q, 'Larvae Collection'!$A:$A,'SPAWNING PLOTS-raw'!$A27, 'Larvae Collection'!$C:$C, 'SPAWNING PLOTS-raw'!B$3)</f>
        <v>0</v>
      </c>
      <c r="C27" s="175">
        <f>SUMIFS('Larvae Collection'!$Q:$Q, 'Larvae Collection'!$A:$A,'SPAWNING PLOTS-raw'!$A27, 'Larvae Collection'!$C:$C, 'SPAWNING PLOTS-raw'!C$3)</f>
        <v>212800</v>
      </c>
      <c r="D27" s="174">
        <f>SUMIFS('Larvae Collection'!$Q:$Q, 'Larvae Collection'!$A:$A,'SPAWNING PLOTS-raw'!$A27, 'Larvae Collection'!$C:$C, 'SPAWNING PLOTS-raw'!D$3)</f>
        <v>0</v>
      </c>
      <c r="E27" s="174">
        <f>SUMIFS('Larvae Collection'!$Q:$Q, 'Larvae Collection'!$A:$A,'SPAWNING PLOTS-raw'!$A27, 'Larvae Collection'!$C:$C, 'SPAWNING PLOTS-raw'!E$3)</f>
        <v>0</v>
      </c>
      <c r="F27" s="174">
        <f>SUMIFS('Larvae Collection'!$Q:$Q, 'Larvae Collection'!$A:$A,'SPAWNING PLOTS-raw'!$A27, 'Larvae Collection'!$C:$C, 'SPAWNING PLOTS-raw'!F$3)</f>
        <v>279711.11111111107</v>
      </c>
      <c r="G27" s="174">
        <f>SUMIFS('Larvae Collection'!$Q:$Q, 'Larvae Collection'!$A:$A,'SPAWNING PLOTS-raw'!$A27, 'Larvae Collection'!$C:$C, 'SPAWNING PLOTS-raw'!G$3)</f>
        <v>0</v>
      </c>
      <c r="H27" s="174">
        <f>SUMIFS('Larvae Collection'!$Q:$Q, 'Larvae Collection'!$A:$A,'SPAWNING PLOTS-raw'!$A27, 'Larvae Collection'!$C:$C, 'SPAWNING PLOTS-raw'!H$3)</f>
        <v>0</v>
      </c>
      <c r="I27" s="174">
        <f>SUMIFS('Larvae Collection'!$Q:$Q, 'Larvae Collection'!$A:$A,'SPAWNING PLOTS-raw'!$A27, 'Larvae Collection'!$C:$C, 'SPAWNING PLOTS-raw'!I$3)</f>
        <v>58208.333333333328</v>
      </c>
      <c r="J27" s="174">
        <f>SUMIFS('Larvae Collection'!$Q:$Q, 'Larvae Collection'!$A:$A,'SPAWNING PLOTS-raw'!$A27, 'Larvae Collection'!$C:$C, 'SPAWNING PLOTS-raw'!J$3)</f>
        <v>0</v>
      </c>
      <c r="K27" s="174">
        <f>SUMIFS('Larvae Collection'!$Q:$Q, 'Larvae Collection'!$A:$A,'SPAWNING PLOTS-raw'!$A27, 'Larvae Collection'!$C:$C, 'SPAWNING PLOTS-raw'!K$3)</f>
        <v>0</v>
      </c>
      <c r="L27" s="174">
        <f>SUMIFS('Larvae Collection'!$Q:$Q, 'Larvae Collection'!$A:$A,'SPAWNING PLOTS-raw'!$A27, 'Larvae Collection'!$C:$C, 'SPAWNING PLOTS-raw'!L$3)</f>
        <v>0</v>
      </c>
      <c r="M27" s="175">
        <f>SUMIFS('Larvae Collection'!$Q:$Q, 'Larvae Collection'!$A:$A,'SPAWNING PLOTS-raw'!$A27, 'Larvae Collection'!$C:$C, 'SPAWNING PLOTS-raw'!M$3)</f>
        <v>0</v>
      </c>
      <c r="N27" s="174">
        <f>SUMIFS('Larvae Collection'!$Q:$Q, 'Larvae Collection'!$A:$A,'SPAWNING PLOTS-raw'!$A27, 'Larvae Collection'!$C:$C, 'SPAWNING PLOTS-raw'!N$3)</f>
        <v>291188.88888888893</v>
      </c>
      <c r="O27" s="174">
        <f>SUMIFS('Larvae Collection'!$Q:$Q, 'Larvae Collection'!$A:$A,'SPAWNING PLOTS-raw'!$A27, 'Larvae Collection'!$C:$C, 'SPAWNING PLOTS-raw'!O$3)</f>
        <v>0</v>
      </c>
      <c r="P27" s="174">
        <f>SUMIFS('Larvae Collection'!$Q:$Q, 'Larvae Collection'!$A:$A,'SPAWNING PLOTS-raw'!$A27, 'Larvae Collection'!$C:$C, 'SPAWNING PLOTS-raw'!P$3)</f>
        <v>644800</v>
      </c>
      <c r="Q27" s="174">
        <f>SUMIFS('Larvae Collection'!$Q:$Q, 'Larvae Collection'!$A:$A,'SPAWNING PLOTS-raw'!$A27, 'Larvae Collection'!$C:$C, 'SPAWNING PLOTS-raw'!Q$3)</f>
        <v>0</v>
      </c>
      <c r="R27" s="158">
        <f t="shared" si="17"/>
        <v>5728939.6031746035</v>
      </c>
      <c r="S27" s="158">
        <f t="shared" si="2"/>
        <v>3136526.666666667</v>
      </c>
      <c r="T27" s="158">
        <f t="shared" si="3"/>
        <v>3238487.2222222225</v>
      </c>
      <c r="U27" s="158">
        <f t="shared" si="4"/>
        <v>995396.19047619065</v>
      </c>
      <c r="V27" s="158">
        <f t="shared" si="5"/>
        <v>2188585.7142857141</v>
      </c>
      <c r="W27" s="158">
        <f t="shared" si="6"/>
        <v>3423073.8888888885</v>
      </c>
      <c r="X27" s="158">
        <f t="shared" si="7"/>
        <v>4650176.666666666</v>
      </c>
      <c r="Y27" s="158">
        <f t="shared" si="8"/>
        <v>2952781.1111111115</v>
      </c>
      <c r="Z27" s="158">
        <f t="shared" si="9"/>
        <v>3094754.444444445</v>
      </c>
      <c r="AA27" s="158">
        <f t="shared" si="10"/>
        <v>2463644.4444444445</v>
      </c>
      <c r="AB27" s="158">
        <f t="shared" si="11"/>
        <v>1775234.7222222222</v>
      </c>
      <c r="AC27" s="158">
        <f t="shared" si="12"/>
        <v>1261588.3333333333</v>
      </c>
      <c r="AD27" s="158">
        <f t="shared" si="13"/>
        <v>3284991.1111111115</v>
      </c>
      <c r="AE27" s="158">
        <f t="shared" si="14"/>
        <v>3388931.2698412696</v>
      </c>
      <c r="AF27" s="158">
        <f t="shared" si="15"/>
        <v>2691880</v>
      </c>
      <c r="AG27" s="158">
        <f t="shared" si="16"/>
        <v>3879052.777777778</v>
      </c>
    </row>
    <row r="28" spans="1:33" ht="20">
      <c r="A28" s="173">
        <v>43213</v>
      </c>
      <c r="B28" s="174">
        <f>SUMIFS('Larvae Collection'!$Q:$Q, 'Larvae Collection'!$A:$A,'SPAWNING PLOTS-raw'!$A28, 'Larvae Collection'!$C:$C, 'SPAWNING PLOTS-raw'!B$3)</f>
        <v>0</v>
      </c>
      <c r="C28" s="174">
        <f>SUMIFS('Larvae Collection'!$Q:$Q, 'Larvae Collection'!$A:$A,'SPAWNING PLOTS-raw'!$A28, 'Larvae Collection'!$C:$C, 'SPAWNING PLOTS-raw'!C$3)</f>
        <v>0</v>
      </c>
      <c r="D28" s="174">
        <f>SUMIFS('Larvae Collection'!$Q:$Q, 'Larvae Collection'!$A:$A,'SPAWNING PLOTS-raw'!$A28, 'Larvae Collection'!$C:$C, 'SPAWNING PLOTS-raw'!D$3)</f>
        <v>0</v>
      </c>
      <c r="E28" s="174">
        <f>SUMIFS('Larvae Collection'!$Q:$Q, 'Larvae Collection'!$A:$A,'SPAWNING PLOTS-raw'!$A28, 'Larvae Collection'!$C:$C, 'SPAWNING PLOTS-raw'!E$3)</f>
        <v>0</v>
      </c>
      <c r="F28" s="174">
        <f>SUMIFS('Larvae Collection'!$Q:$Q, 'Larvae Collection'!$A:$A,'SPAWNING PLOTS-raw'!$A28, 'Larvae Collection'!$C:$C, 'SPAWNING PLOTS-raw'!F$3)</f>
        <v>0</v>
      </c>
      <c r="G28" s="174">
        <f>SUMIFS('Larvae Collection'!$Q:$Q, 'Larvae Collection'!$A:$A,'SPAWNING PLOTS-raw'!$A28, 'Larvae Collection'!$C:$C, 'SPAWNING PLOTS-raw'!G$3)</f>
        <v>0</v>
      </c>
      <c r="H28" s="174">
        <f>SUMIFS('Larvae Collection'!$Q:$Q, 'Larvae Collection'!$A:$A,'SPAWNING PLOTS-raw'!$A28, 'Larvae Collection'!$C:$C, 'SPAWNING PLOTS-raw'!H$3)</f>
        <v>0</v>
      </c>
      <c r="I28" s="174">
        <f>SUMIFS('Larvae Collection'!$Q:$Q, 'Larvae Collection'!$A:$A,'SPAWNING PLOTS-raw'!$A28, 'Larvae Collection'!$C:$C, 'SPAWNING PLOTS-raw'!I$3)</f>
        <v>0</v>
      </c>
      <c r="J28" s="174">
        <f>SUMIFS('Larvae Collection'!$Q:$Q, 'Larvae Collection'!$A:$A,'SPAWNING PLOTS-raw'!$A28, 'Larvae Collection'!$C:$C, 'SPAWNING PLOTS-raw'!J$3)</f>
        <v>0</v>
      </c>
      <c r="K28" s="174">
        <f>SUMIFS('Larvae Collection'!$Q:$Q, 'Larvae Collection'!$A:$A,'SPAWNING PLOTS-raw'!$A28, 'Larvae Collection'!$C:$C, 'SPAWNING PLOTS-raw'!K$3)</f>
        <v>0</v>
      </c>
      <c r="L28" s="174">
        <f>SUMIFS('Larvae Collection'!$Q:$Q, 'Larvae Collection'!$A:$A,'SPAWNING PLOTS-raw'!$A28, 'Larvae Collection'!$C:$C, 'SPAWNING PLOTS-raw'!L$3)</f>
        <v>0</v>
      </c>
      <c r="M28" s="174">
        <f>SUMIFS('Larvae Collection'!$Q:$Q, 'Larvae Collection'!$A:$A,'SPAWNING PLOTS-raw'!$A28, 'Larvae Collection'!$C:$C, 'SPAWNING PLOTS-raw'!M$3)</f>
        <v>0</v>
      </c>
      <c r="N28" s="174">
        <f>SUMIFS('Larvae Collection'!$Q:$Q, 'Larvae Collection'!$A:$A,'SPAWNING PLOTS-raw'!$A28, 'Larvae Collection'!$C:$C, 'SPAWNING PLOTS-raw'!N$3)</f>
        <v>0</v>
      </c>
      <c r="O28" s="174">
        <f>SUMIFS('Larvae Collection'!$Q:$Q, 'Larvae Collection'!$A:$A,'SPAWNING PLOTS-raw'!$A28, 'Larvae Collection'!$C:$C, 'SPAWNING PLOTS-raw'!O$3)</f>
        <v>0</v>
      </c>
      <c r="P28" s="174">
        <f>SUMIFS('Larvae Collection'!$Q:$Q, 'Larvae Collection'!$A:$A,'SPAWNING PLOTS-raw'!$A28, 'Larvae Collection'!$C:$C, 'SPAWNING PLOTS-raw'!P$3)</f>
        <v>0</v>
      </c>
      <c r="Q28" s="174">
        <f>SUMIFS('Larvae Collection'!$Q:$Q, 'Larvae Collection'!$A:$A,'SPAWNING PLOTS-raw'!$A28, 'Larvae Collection'!$C:$C, 'SPAWNING PLOTS-raw'!Q$3)</f>
        <v>0</v>
      </c>
      <c r="R28" s="158">
        <f t="shared" si="17"/>
        <v>5728939.6031746035</v>
      </c>
      <c r="S28" s="158">
        <f t="shared" si="2"/>
        <v>3136526.666666667</v>
      </c>
      <c r="T28" s="158">
        <f t="shared" si="3"/>
        <v>3238487.2222222225</v>
      </c>
      <c r="U28" s="158">
        <f t="shared" si="4"/>
        <v>995396.19047619065</v>
      </c>
      <c r="V28" s="158">
        <f t="shared" si="5"/>
        <v>2188585.7142857141</v>
      </c>
      <c r="W28" s="158">
        <f t="shared" si="6"/>
        <v>3423073.8888888885</v>
      </c>
      <c r="X28" s="158">
        <f t="shared" si="7"/>
        <v>4650176.666666666</v>
      </c>
      <c r="Y28" s="158">
        <f t="shared" si="8"/>
        <v>2952781.1111111115</v>
      </c>
      <c r="Z28" s="158">
        <f t="shared" si="9"/>
        <v>3094754.444444445</v>
      </c>
      <c r="AA28" s="158">
        <f t="shared" si="10"/>
        <v>2463644.4444444445</v>
      </c>
      <c r="AB28" s="158">
        <f t="shared" si="11"/>
        <v>1775234.7222222222</v>
      </c>
      <c r="AC28" s="158">
        <f t="shared" si="12"/>
        <v>1261588.3333333333</v>
      </c>
      <c r="AD28" s="158">
        <f t="shared" si="13"/>
        <v>3284991.1111111115</v>
      </c>
      <c r="AE28" s="158">
        <f t="shared" si="14"/>
        <v>3388931.2698412696</v>
      </c>
      <c r="AF28" s="158">
        <f t="shared" si="15"/>
        <v>2691880</v>
      </c>
      <c r="AG28" s="158">
        <f t="shared" si="16"/>
        <v>3879052.777777778</v>
      </c>
    </row>
    <row r="29" spans="1:33" ht="20">
      <c r="A29" s="173">
        <v>43214</v>
      </c>
      <c r="B29" s="175">
        <f>SUMIFS('Larvae Collection'!$Q:$Q, 'Larvae Collection'!$A:$A,'SPAWNING PLOTS-raw'!$A29, 'Larvae Collection'!$C:$C, 'SPAWNING PLOTS-raw'!B$3)</f>
        <v>0</v>
      </c>
      <c r="C29" s="174">
        <f>SUMIFS('Larvae Collection'!$Q:$Q, 'Larvae Collection'!$A:$A,'SPAWNING PLOTS-raw'!$A29, 'Larvae Collection'!$C:$C, 'SPAWNING PLOTS-raw'!C$3)</f>
        <v>0</v>
      </c>
      <c r="D29" s="174">
        <f>SUMIFS('Larvae Collection'!$Q:$Q, 'Larvae Collection'!$A:$A,'SPAWNING PLOTS-raw'!$A29, 'Larvae Collection'!$C:$C, 'SPAWNING PLOTS-raw'!D$3)</f>
        <v>0</v>
      </c>
      <c r="E29" s="174">
        <f>SUMIFS('Larvae Collection'!$Q:$Q, 'Larvae Collection'!$A:$A,'SPAWNING PLOTS-raw'!$A29, 'Larvae Collection'!$C:$C, 'SPAWNING PLOTS-raw'!E$3)</f>
        <v>0</v>
      </c>
      <c r="F29" s="174">
        <f>SUMIFS('Larvae Collection'!$Q:$Q, 'Larvae Collection'!$A:$A,'SPAWNING PLOTS-raw'!$A29, 'Larvae Collection'!$C:$C, 'SPAWNING PLOTS-raw'!F$3)</f>
        <v>305433.33333333337</v>
      </c>
      <c r="G29" s="174">
        <f>SUMIFS('Larvae Collection'!$Q:$Q, 'Larvae Collection'!$A:$A,'SPAWNING PLOTS-raw'!$A29, 'Larvae Collection'!$C:$C, 'SPAWNING PLOTS-raw'!G$3)</f>
        <v>0</v>
      </c>
      <c r="H29" s="175">
        <f>SUMIFS('Larvae Collection'!$Q:$Q, 'Larvae Collection'!$A:$A,'SPAWNING PLOTS-raw'!$A29, 'Larvae Collection'!$C:$C, 'SPAWNING PLOTS-raw'!H$3)</f>
        <v>0</v>
      </c>
      <c r="I29" s="174">
        <f>SUMIFS('Larvae Collection'!$Q:$Q, 'Larvae Collection'!$A:$A,'SPAWNING PLOTS-raw'!$A29, 'Larvae Collection'!$C:$C, 'SPAWNING PLOTS-raw'!I$3)</f>
        <v>0</v>
      </c>
      <c r="J29" s="174">
        <f>SUMIFS('Larvae Collection'!$Q:$Q, 'Larvae Collection'!$A:$A,'SPAWNING PLOTS-raw'!$A29, 'Larvae Collection'!$C:$C, 'SPAWNING PLOTS-raw'!J$3)</f>
        <v>0</v>
      </c>
      <c r="K29" s="174">
        <f>SUMIFS('Larvae Collection'!$Q:$Q, 'Larvae Collection'!$A:$A,'SPAWNING PLOTS-raw'!$A29, 'Larvae Collection'!$C:$C, 'SPAWNING PLOTS-raw'!K$3)</f>
        <v>0</v>
      </c>
      <c r="L29" s="174">
        <f>SUMIFS('Larvae Collection'!$Q:$Q, 'Larvae Collection'!$A:$A,'SPAWNING PLOTS-raw'!$A29, 'Larvae Collection'!$C:$C, 'SPAWNING PLOTS-raw'!L$3)</f>
        <v>0</v>
      </c>
      <c r="M29" s="174">
        <f>SUMIFS('Larvae Collection'!$Q:$Q, 'Larvae Collection'!$A:$A,'SPAWNING PLOTS-raw'!$A29, 'Larvae Collection'!$C:$C, 'SPAWNING PLOTS-raw'!M$3)</f>
        <v>0</v>
      </c>
      <c r="N29" s="174">
        <f>SUMIFS('Larvae Collection'!$Q:$Q, 'Larvae Collection'!$A:$A,'SPAWNING PLOTS-raw'!$A29, 'Larvae Collection'!$C:$C, 'SPAWNING PLOTS-raw'!N$3)</f>
        <v>0</v>
      </c>
      <c r="O29" s="174">
        <f>SUMIFS('Larvae Collection'!$Q:$Q, 'Larvae Collection'!$A:$A,'SPAWNING PLOTS-raw'!$A29, 'Larvae Collection'!$C:$C, 'SPAWNING PLOTS-raw'!O$3)</f>
        <v>0</v>
      </c>
      <c r="P29" s="174">
        <f>SUMIFS('Larvae Collection'!$Q:$Q, 'Larvae Collection'!$A:$A,'SPAWNING PLOTS-raw'!$A29, 'Larvae Collection'!$C:$C, 'SPAWNING PLOTS-raw'!P$3)</f>
        <v>0</v>
      </c>
      <c r="Q29" s="174">
        <f>SUMIFS('Larvae Collection'!$Q:$Q, 'Larvae Collection'!$A:$A,'SPAWNING PLOTS-raw'!$A29, 'Larvae Collection'!$C:$C, 'SPAWNING PLOTS-raw'!Q$3)</f>
        <v>0</v>
      </c>
      <c r="R29" s="158">
        <f t="shared" si="17"/>
        <v>5728939.6031746035</v>
      </c>
      <c r="S29" s="158">
        <f t="shared" si="2"/>
        <v>3136526.666666667</v>
      </c>
      <c r="T29" s="158">
        <f t="shared" si="3"/>
        <v>3238487.2222222225</v>
      </c>
      <c r="U29" s="158">
        <f t="shared" si="4"/>
        <v>995396.19047619065</v>
      </c>
      <c r="V29" s="158">
        <f t="shared" si="5"/>
        <v>2494019.0476190476</v>
      </c>
      <c r="W29" s="158">
        <f t="shared" si="6"/>
        <v>3423073.8888888885</v>
      </c>
      <c r="X29" s="158">
        <f t="shared" si="7"/>
        <v>4650176.666666666</v>
      </c>
      <c r="Y29" s="158">
        <f t="shared" si="8"/>
        <v>2952781.1111111115</v>
      </c>
      <c r="Z29" s="158">
        <f t="shared" si="9"/>
        <v>3094754.444444445</v>
      </c>
      <c r="AA29" s="158">
        <f t="shared" si="10"/>
        <v>2463644.4444444445</v>
      </c>
      <c r="AB29" s="158">
        <f t="shared" si="11"/>
        <v>1775234.7222222222</v>
      </c>
      <c r="AC29" s="158">
        <f t="shared" si="12"/>
        <v>1261588.3333333333</v>
      </c>
      <c r="AD29" s="158">
        <f t="shared" si="13"/>
        <v>3284991.1111111115</v>
      </c>
      <c r="AE29" s="158">
        <f t="shared" si="14"/>
        <v>3388931.2698412696</v>
      </c>
      <c r="AF29" s="158">
        <f t="shared" si="15"/>
        <v>2691880</v>
      </c>
      <c r="AG29" s="158">
        <f t="shared" si="16"/>
        <v>3879052.777777778</v>
      </c>
    </row>
    <row r="30" spans="1:33" ht="20">
      <c r="A30" s="173">
        <v>43215</v>
      </c>
      <c r="B30" s="174">
        <f>SUMIFS('Larvae Collection'!$Q:$Q, 'Larvae Collection'!$A:$A,'SPAWNING PLOTS-raw'!$A30, 'Larvae Collection'!$C:$C, 'SPAWNING PLOTS-raw'!B$3)</f>
        <v>283888.88888888893</v>
      </c>
      <c r="C30" s="174">
        <f>SUMIFS('Larvae Collection'!$Q:$Q, 'Larvae Collection'!$A:$A,'SPAWNING PLOTS-raw'!$A30, 'Larvae Collection'!$C:$C, 'SPAWNING PLOTS-raw'!C$3)</f>
        <v>0</v>
      </c>
      <c r="D30" s="174">
        <f>SUMIFS('Larvae Collection'!$Q:$Q, 'Larvae Collection'!$A:$A,'SPAWNING PLOTS-raw'!$A30, 'Larvae Collection'!$C:$C, 'SPAWNING PLOTS-raw'!D$3)</f>
        <v>473666.66666666669</v>
      </c>
      <c r="E30" s="174">
        <f>SUMIFS('Larvae Collection'!$Q:$Q, 'Larvae Collection'!$A:$A,'SPAWNING PLOTS-raw'!$A30, 'Larvae Collection'!$C:$C, 'SPAWNING PLOTS-raw'!E$3)</f>
        <v>0</v>
      </c>
      <c r="F30" s="174">
        <f>SUMIFS('Larvae Collection'!$Q:$Q, 'Larvae Collection'!$A:$A,'SPAWNING PLOTS-raw'!$A30, 'Larvae Collection'!$C:$C, 'SPAWNING PLOTS-raw'!F$3)</f>
        <v>914933.33333333326</v>
      </c>
      <c r="G30" s="174">
        <f>SUMIFS('Larvae Collection'!$Q:$Q, 'Larvae Collection'!$A:$A,'SPAWNING PLOTS-raw'!$A30, 'Larvae Collection'!$C:$C, 'SPAWNING PLOTS-raw'!G$3)</f>
        <v>0</v>
      </c>
      <c r="H30" s="174">
        <f>SUMIFS('Larvae Collection'!$Q:$Q, 'Larvae Collection'!$A:$A,'SPAWNING PLOTS-raw'!$A30, 'Larvae Collection'!$C:$C, 'SPAWNING PLOTS-raw'!H$3)</f>
        <v>231833.33333333334</v>
      </c>
      <c r="I30" s="174">
        <f>SUMIFS('Larvae Collection'!$Q:$Q, 'Larvae Collection'!$A:$A,'SPAWNING PLOTS-raw'!$A30, 'Larvae Collection'!$C:$C, 'SPAWNING PLOTS-raw'!I$3)</f>
        <v>0</v>
      </c>
      <c r="J30" s="174">
        <f>SUMIFS('Larvae Collection'!$Q:$Q, 'Larvae Collection'!$A:$A,'SPAWNING PLOTS-raw'!$A30, 'Larvae Collection'!$C:$C, 'SPAWNING PLOTS-raw'!J$3)</f>
        <v>0</v>
      </c>
      <c r="K30" s="174">
        <f>SUMIFS('Larvae Collection'!$Q:$Q, 'Larvae Collection'!$A:$A,'SPAWNING PLOTS-raw'!$A30, 'Larvae Collection'!$C:$C, 'SPAWNING PLOTS-raw'!K$3)</f>
        <v>0</v>
      </c>
      <c r="L30" s="174">
        <f>SUMIFS('Larvae Collection'!$Q:$Q, 'Larvae Collection'!$A:$A,'SPAWNING PLOTS-raw'!$A30, 'Larvae Collection'!$C:$C, 'SPAWNING PLOTS-raw'!L$3)</f>
        <v>0</v>
      </c>
      <c r="M30" s="174">
        <f>SUMIFS('Larvae Collection'!$Q:$Q, 'Larvae Collection'!$A:$A,'SPAWNING PLOTS-raw'!$A30, 'Larvae Collection'!$C:$C, 'SPAWNING PLOTS-raw'!M$3)</f>
        <v>498400.00000000006</v>
      </c>
      <c r="N30" s="174">
        <f>SUMIFS('Larvae Collection'!$Q:$Q, 'Larvae Collection'!$A:$A,'SPAWNING PLOTS-raw'!$A30, 'Larvae Collection'!$C:$C, 'SPAWNING PLOTS-raw'!N$3)</f>
        <v>245972.22222222225</v>
      </c>
      <c r="O30" s="174">
        <f>SUMIFS('Larvae Collection'!$Q:$Q, 'Larvae Collection'!$A:$A,'SPAWNING PLOTS-raw'!$A30, 'Larvae Collection'!$C:$C, 'SPAWNING PLOTS-raw'!O$3)</f>
        <v>0</v>
      </c>
      <c r="P30" s="174">
        <f>SUMIFS('Larvae Collection'!$Q:$Q, 'Larvae Collection'!$A:$A,'SPAWNING PLOTS-raw'!$A30, 'Larvae Collection'!$C:$C, 'SPAWNING PLOTS-raw'!P$3)</f>
        <v>0</v>
      </c>
      <c r="Q30" s="174">
        <f>SUMIFS('Larvae Collection'!$Q:$Q, 'Larvae Collection'!$A:$A,'SPAWNING PLOTS-raw'!$A30, 'Larvae Collection'!$C:$C, 'SPAWNING PLOTS-raw'!Q$3)</f>
        <v>0</v>
      </c>
      <c r="R30" s="158">
        <f t="shared" si="17"/>
        <v>6012828.4920634925</v>
      </c>
      <c r="S30" s="158">
        <f t="shared" si="2"/>
        <v>3136526.666666667</v>
      </c>
      <c r="T30" s="158">
        <f t="shared" si="3"/>
        <v>3712153.888888889</v>
      </c>
      <c r="U30" s="158">
        <f t="shared" si="4"/>
        <v>995396.19047619065</v>
      </c>
      <c r="V30" s="158">
        <f t="shared" si="5"/>
        <v>3408952.3809523806</v>
      </c>
      <c r="W30" s="158">
        <f t="shared" si="6"/>
        <v>3423073.8888888885</v>
      </c>
      <c r="X30" s="158">
        <f t="shared" si="7"/>
        <v>4882009.9999999991</v>
      </c>
      <c r="Y30" s="158">
        <f t="shared" si="8"/>
        <v>2952781.1111111115</v>
      </c>
      <c r="Z30" s="158">
        <f t="shared" si="9"/>
        <v>3094754.444444445</v>
      </c>
      <c r="AA30" s="158">
        <f t="shared" si="10"/>
        <v>2463644.4444444445</v>
      </c>
      <c r="AB30" s="158">
        <f t="shared" si="11"/>
        <v>1775234.7222222222</v>
      </c>
      <c r="AC30" s="158">
        <f t="shared" si="12"/>
        <v>1759988.3333333333</v>
      </c>
      <c r="AD30" s="158">
        <f t="shared" si="13"/>
        <v>3530963.333333334</v>
      </c>
      <c r="AE30" s="158">
        <f t="shared" si="14"/>
        <v>3388931.2698412696</v>
      </c>
      <c r="AF30" s="158">
        <f t="shared" si="15"/>
        <v>2691880</v>
      </c>
      <c r="AG30" s="158">
        <f t="shared" si="16"/>
        <v>3879052.777777778</v>
      </c>
    </row>
    <row r="31" spans="1:33" ht="20">
      <c r="A31" s="173">
        <v>43216</v>
      </c>
      <c r="B31" s="174">
        <f>SUMIFS('Larvae Collection'!$Q:$Q, 'Larvae Collection'!$A:$A,'SPAWNING PLOTS-raw'!$A31, 'Larvae Collection'!$C:$C, 'SPAWNING PLOTS-raw'!B$3)</f>
        <v>0</v>
      </c>
      <c r="C31" s="174">
        <f>SUMIFS('Larvae Collection'!$Q:$Q, 'Larvae Collection'!$A:$A,'SPAWNING PLOTS-raw'!$A31, 'Larvae Collection'!$C:$C, 'SPAWNING PLOTS-raw'!C$3)</f>
        <v>0</v>
      </c>
      <c r="D31" s="174">
        <f>SUMIFS('Larvae Collection'!$Q:$Q, 'Larvae Collection'!$A:$A,'SPAWNING PLOTS-raw'!$A31, 'Larvae Collection'!$C:$C, 'SPAWNING PLOTS-raw'!D$3)</f>
        <v>0</v>
      </c>
      <c r="E31" s="174">
        <f>SUMIFS('Larvae Collection'!$Q:$Q, 'Larvae Collection'!$A:$A,'SPAWNING PLOTS-raw'!$A31, 'Larvae Collection'!$C:$C, 'SPAWNING PLOTS-raw'!E$3)</f>
        <v>0</v>
      </c>
      <c r="F31" s="174">
        <f>SUMIFS('Larvae Collection'!$Q:$Q, 'Larvae Collection'!$A:$A,'SPAWNING PLOTS-raw'!$A31, 'Larvae Collection'!$C:$C, 'SPAWNING PLOTS-raw'!F$3)</f>
        <v>0</v>
      </c>
      <c r="G31" s="174">
        <f>SUMIFS('Larvae Collection'!$Q:$Q, 'Larvae Collection'!$A:$A,'SPAWNING PLOTS-raw'!$A31, 'Larvae Collection'!$C:$C, 'SPAWNING PLOTS-raw'!G$3)</f>
        <v>0</v>
      </c>
      <c r="H31" s="174">
        <f>SUMIFS('Larvae Collection'!$Q:$Q, 'Larvae Collection'!$A:$A,'SPAWNING PLOTS-raw'!$A31, 'Larvae Collection'!$C:$C, 'SPAWNING PLOTS-raw'!H$3)</f>
        <v>0</v>
      </c>
      <c r="I31" s="174">
        <f>SUMIFS('Larvae Collection'!$Q:$Q, 'Larvae Collection'!$A:$A,'SPAWNING PLOTS-raw'!$A31, 'Larvae Collection'!$C:$C, 'SPAWNING PLOTS-raw'!I$3)</f>
        <v>0</v>
      </c>
      <c r="J31" s="174">
        <f>SUMIFS('Larvae Collection'!$Q:$Q, 'Larvae Collection'!$A:$A,'SPAWNING PLOTS-raw'!$A31, 'Larvae Collection'!$C:$C, 'SPAWNING PLOTS-raw'!J$3)</f>
        <v>0</v>
      </c>
      <c r="K31" s="174">
        <f>SUMIFS('Larvae Collection'!$Q:$Q, 'Larvae Collection'!$A:$A,'SPAWNING PLOTS-raw'!$A31, 'Larvae Collection'!$C:$C, 'SPAWNING PLOTS-raw'!K$3)</f>
        <v>0</v>
      </c>
      <c r="L31" s="174">
        <f>SUMIFS('Larvae Collection'!$Q:$Q, 'Larvae Collection'!$A:$A,'SPAWNING PLOTS-raw'!$A31, 'Larvae Collection'!$C:$C, 'SPAWNING PLOTS-raw'!L$3)</f>
        <v>0</v>
      </c>
      <c r="M31" s="174">
        <f>SUMIFS('Larvae Collection'!$Q:$Q, 'Larvae Collection'!$A:$A,'SPAWNING PLOTS-raw'!$A31, 'Larvae Collection'!$C:$C, 'SPAWNING PLOTS-raw'!M$3)</f>
        <v>0</v>
      </c>
      <c r="N31" s="174">
        <f>SUMIFS('Larvae Collection'!$Q:$Q, 'Larvae Collection'!$A:$A,'SPAWNING PLOTS-raw'!$A31, 'Larvae Collection'!$C:$C, 'SPAWNING PLOTS-raw'!N$3)</f>
        <v>0</v>
      </c>
      <c r="O31" s="174">
        <f>SUMIFS('Larvae Collection'!$Q:$Q, 'Larvae Collection'!$A:$A,'SPAWNING PLOTS-raw'!$A31, 'Larvae Collection'!$C:$C, 'SPAWNING PLOTS-raw'!O$3)</f>
        <v>0</v>
      </c>
      <c r="P31" s="174">
        <f>SUMIFS('Larvae Collection'!$Q:$Q, 'Larvae Collection'!$A:$A,'SPAWNING PLOTS-raw'!$A31, 'Larvae Collection'!$C:$C, 'SPAWNING PLOTS-raw'!P$3)</f>
        <v>0</v>
      </c>
      <c r="Q31" s="174">
        <f>SUMIFS('Larvae Collection'!$Q:$Q, 'Larvae Collection'!$A:$A,'SPAWNING PLOTS-raw'!$A31, 'Larvae Collection'!$C:$C, 'SPAWNING PLOTS-raw'!Q$3)</f>
        <v>0</v>
      </c>
      <c r="R31" s="158">
        <f t="shared" si="17"/>
        <v>6012828.4920634925</v>
      </c>
      <c r="S31" s="158">
        <f t="shared" si="2"/>
        <v>3136526.666666667</v>
      </c>
      <c r="T31" s="158">
        <f t="shared" si="3"/>
        <v>3712153.888888889</v>
      </c>
      <c r="U31" s="158">
        <f t="shared" si="4"/>
        <v>995396.19047619065</v>
      </c>
      <c r="V31" s="158">
        <f t="shared" si="5"/>
        <v>3408952.3809523806</v>
      </c>
      <c r="W31" s="158">
        <f t="shared" si="6"/>
        <v>3423073.8888888885</v>
      </c>
      <c r="X31" s="158">
        <f t="shared" si="7"/>
        <v>4882009.9999999991</v>
      </c>
      <c r="Y31" s="158">
        <f t="shared" si="8"/>
        <v>2952781.1111111115</v>
      </c>
      <c r="Z31" s="158">
        <f t="shared" si="9"/>
        <v>3094754.444444445</v>
      </c>
      <c r="AA31" s="158">
        <f t="shared" si="10"/>
        <v>2463644.4444444445</v>
      </c>
      <c r="AB31" s="158">
        <f t="shared" si="11"/>
        <v>1775234.7222222222</v>
      </c>
      <c r="AC31" s="158">
        <f t="shared" si="12"/>
        <v>1759988.3333333333</v>
      </c>
      <c r="AD31" s="158">
        <f t="shared" si="13"/>
        <v>3530963.333333334</v>
      </c>
      <c r="AE31" s="158">
        <f t="shared" si="14"/>
        <v>3388931.2698412696</v>
      </c>
      <c r="AF31" s="158">
        <f t="shared" si="15"/>
        <v>2691880</v>
      </c>
      <c r="AG31" s="158">
        <f t="shared" si="16"/>
        <v>3879052.777777778</v>
      </c>
    </row>
    <row r="32" spans="1:33" ht="20">
      <c r="A32" s="173">
        <v>43217</v>
      </c>
      <c r="B32" s="174">
        <f>SUMIFS('Larvae Collection'!$Q:$Q, 'Larvae Collection'!$A:$A,'SPAWNING PLOTS-raw'!$A32, 'Larvae Collection'!$C:$C, 'SPAWNING PLOTS-raw'!B$3)</f>
        <v>0</v>
      </c>
      <c r="C32" s="174">
        <f>SUMIFS('Larvae Collection'!$Q:$Q, 'Larvae Collection'!$A:$A,'SPAWNING PLOTS-raw'!$A32, 'Larvae Collection'!$C:$C, 'SPAWNING PLOTS-raw'!C$3)</f>
        <v>0</v>
      </c>
      <c r="D32" s="174">
        <f>SUMIFS('Larvae Collection'!$Q:$Q, 'Larvae Collection'!$A:$A,'SPAWNING PLOTS-raw'!$A32, 'Larvae Collection'!$C:$C, 'SPAWNING PLOTS-raw'!D$3)</f>
        <v>0</v>
      </c>
      <c r="E32" s="174">
        <f>SUMIFS('Larvae Collection'!$Q:$Q, 'Larvae Collection'!$A:$A,'SPAWNING PLOTS-raw'!$A32, 'Larvae Collection'!$C:$C, 'SPAWNING PLOTS-raw'!E$3)</f>
        <v>0</v>
      </c>
      <c r="F32" s="174">
        <f>SUMIFS('Larvae Collection'!$Q:$Q, 'Larvae Collection'!$A:$A,'SPAWNING PLOTS-raw'!$A32, 'Larvae Collection'!$C:$C, 'SPAWNING PLOTS-raw'!F$3)</f>
        <v>286000</v>
      </c>
      <c r="G32" s="174">
        <f>SUMIFS('Larvae Collection'!$Q:$Q, 'Larvae Collection'!$A:$A,'SPAWNING PLOTS-raw'!$A32, 'Larvae Collection'!$C:$C, 'SPAWNING PLOTS-raw'!G$3)</f>
        <v>0</v>
      </c>
      <c r="H32" s="174">
        <f>SUMIFS('Larvae Collection'!$Q:$Q, 'Larvae Collection'!$A:$A,'SPAWNING PLOTS-raw'!$A32, 'Larvae Collection'!$C:$C, 'SPAWNING PLOTS-raw'!H$3)</f>
        <v>0</v>
      </c>
      <c r="I32" s="174">
        <f>SUMIFS('Larvae Collection'!$Q:$Q, 'Larvae Collection'!$A:$A,'SPAWNING PLOTS-raw'!$A32, 'Larvae Collection'!$C:$C, 'SPAWNING PLOTS-raw'!I$3)</f>
        <v>0</v>
      </c>
      <c r="J32" s="174">
        <f>SUMIFS('Larvae Collection'!$Q:$Q, 'Larvae Collection'!$A:$A,'SPAWNING PLOTS-raw'!$A32, 'Larvae Collection'!$C:$C, 'SPAWNING PLOTS-raw'!J$3)</f>
        <v>0</v>
      </c>
      <c r="K32" s="174">
        <f>SUMIFS('Larvae Collection'!$Q:$Q, 'Larvae Collection'!$A:$A,'SPAWNING PLOTS-raw'!$A32, 'Larvae Collection'!$C:$C, 'SPAWNING PLOTS-raw'!K$3)</f>
        <v>0</v>
      </c>
      <c r="L32" s="174">
        <f>SUMIFS('Larvae Collection'!$Q:$Q, 'Larvae Collection'!$A:$A,'SPAWNING PLOTS-raw'!$A32, 'Larvae Collection'!$C:$C, 'SPAWNING PLOTS-raw'!L$3)</f>
        <v>0</v>
      </c>
      <c r="M32" s="174">
        <f>SUMIFS('Larvae Collection'!$Q:$Q, 'Larvae Collection'!$A:$A,'SPAWNING PLOTS-raw'!$A32, 'Larvae Collection'!$C:$C, 'SPAWNING PLOTS-raw'!M$3)</f>
        <v>0</v>
      </c>
      <c r="N32" s="174">
        <f>SUMIFS('Larvae Collection'!$Q:$Q, 'Larvae Collection'!$A:$A,'SPAWNING PLOTS-raw'!$A32, 'Larvae Collection'!$C:$C, 'SPAWNING PLOTS-raw'!N$3)</f>
        <v>0</v>
      </c>
      <c r="O32" s="174">
        <f>SUMIFS('Larvae Collection'!$Q:$Q, 'Larvae Collection'!$A:$A,'SPAWNING PLOTS-raw'!$A32, 'Larvae Collection'!$C:$C, 'SPAWNING PLOTS-raw'!O$3)</f>
        <v>0</v>
      </c>
      <c r="P32" s="174">
        <f>SUMIFS('Larvae Collection'!$Q:$Q, 'Larvae Collection'!$A:$A,'SPAWNING PLOTS-raw'!$A32, 'Larvae Collection'!$C:$C, 'SPAWNING PLOTS-raw'!P$3)</f>
        <v>0</v>
      </c>
      <c r="Q32" s="174">
        <f>SUMIFS('Larvae Collection'!$Q:$Q, 'Larvae Collection'!$A:$A,'SPAWNING PLOTS-raw'!$A32, 'Larvae Collection'!$C:$C, 'SPAWNING PLOTS-raw'!Q$3)</f>
        <v>0</v>
      </c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 ht="20">
      <c r="A33" s="176" t="s">
        <v>201</v>
      </c>
      <c r="B33" s="177">
        <f>SUM(B4:B31)</f>
        <v>6012828.4920634925</v>
      </c>
      <c r="C33" s="177">
        <f t="shared" ref="C33:Q33" si="18">SUM(C4:C31)</f>
        <v>3136526.666666667</v>
      </c>
      <c r="D33" s="177">
        <f t="shared" si="18"/>
        <v>3712153.888888889</v>
      </c>
      <c r="E33" s="177">
        <f t="shared" si="18"/>
        <v>995396.19047619065</v>
      </c>
      <c r="F33" s="177">
        <f t="shared" si="18"/>
        <v>3408952.3809523806</v>
      </c>
      <c r="G33" s="177">
        <f t="shared" si="18"/>
        <v>3423073.8888888885</v>
      </c>
      <c r="H33" s="177">
        <f t="shared" si="18"/>
        <v>4882009.9999999991</v>
      </c>
      <c r="I33" s="177">
        <f t="shared" si="18"/>
        <v>2952781.1111111115</v>
      </c>
      <c r="J33" s="177">
        <f t="shared" si="18"/>
        <v>3094754.444444445</v>
      </c>
      <c r="K33" s="177">
        <f t="shared" si="18"/>
        <v>2463644.4444444445</v>
      </c>
      <c r="L33" s="177">
        <f t="shared" si="18"/>
        <v>1775234.7222222222</v>
      </c>
      <c r="M33" s="177">
        <f t="shared" si="18"/>
        <v>1759988.3333333333</v>
      </c>
      <c r="N33" s="177">
        <f t="shared" si="18"/>
        <v>3530963.333333334</v>
      </c>
      <c r="O33" s="177">
        <f t="shared" si="18"/>
        <v>3388931.2698412696</v>
      </c>
      <c r="P33" s="177">
        <f t="shared" si="18"/>
        <v>2691880</v>
      </c>
      <c r="Q33" s="177">
        <f t="shared" si="18"/>
        <v>3879052.777777778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>
      <c r="A34" s="159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</row>
    <row r="35" spans="1:33">
      <c r="A35" s="159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</sheetData>
  <mergeCells count="25">
    <mergeCell ref="AD2:AE2"/>
    <mergeCell ref="AF2:AG2"/>
    <mergeCell ref="A1:A2"/>
    <mergeCell ref="R1:U1"/>
    <mergeCell ref="V1:Y1"/>
    <mergeCell ref="Z1:AC1"/>
    <mergeCell ref="AD1:AG1"/>
    <mergeCell ref="R2:S2"/>
    <mergeCell ref="T2:U2"/>
    <mergeCell ref="V2:W2"/>
    <mergeCell ref="X2:Y2"/>
    <mergeCell ref="Z2:AA2"/>
    <mergeCell ref="AB2:AC2"/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5" right="0.75" top="1" bottom="1" header="0.5" footer="0.5"/>
  <pageSetup orientation="portrait" horizontalDpi="4294967292" verticalDpi="4294967292"/>
  <ignoredErrors>
    <ignoredError sqref="B4:Q32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showRuler="0" zoomScale="80" zoomScaleNormal="80" zoomScalePageLayoutView="80" workbookViewId="0">
      <pane ySplit="1480" activePane="bottomLeft"/>
      <selection activeCell="J2" sqref="J2:K2"/>
      <selection pane="bottomLeft" activeCell="AJ11" sqref="AJ11"/>
    </sheetView>
  </sheetViews>
  <sheetFormatPr baseColWidth="10" defaultRowHeight="15" x14ac:dyDescent="0"/>
  <cols>
    <col min="1" max="1" width="24.83203125" style="145" customWidth="1"/>
    <col min="2" max="2" width="15.33203125" style="145" bestFit="1" customWidth="1"/>
    <col min="3" max="3" width="10.6640625" style="145" customWidth="1"/>
    <col min="4" max="4" width="14.33203125" style="145" bestFit="1" customWidth="1"/>
    <col min="5" max="5" width="9.6640625" style="145" customWidth="1"/>
    <col min="6" max="6" width="11.83203125" style="145" customWidth="1"/>
    <col min="7" max="7" width="13.1640625" style="145" customWidth="1"/>
    <col min="8" max="8" width="10.83203125" style="145" customWidth="1"/>
    <col min="9" max="9" width="13.83203125" style="145" customWidth="1"/>
    <col min="10" max="10" width="11.5" style="145" bestFit="1" customWidth="1"/>
    <col min="11" max="11" width="15" style="145" customWidth="1"/>
    <col min="12" max="12" width="11.5" style="145" bestFit="1" customWidth="1"/>
    <col min="13" max="13" width="10.83203125" style="145" customWidth="1"/>
    <col min="14" max="14" width="11.5" style="145" bestFit="1" customWidth="1"/>
    <col min="15" max="15" width="12" style="145" customWidth="1"/>
    <col min="16" max="16" width="15.33203125" style="145" bestFit="1" customWidth="1"/>
    <col min="17" max="17" width="15.16406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B1" s="205" t="s">
        <v>197</v>
      </c>
      <c r="C1" s="205"/>
      <c r="D1" s="205"/>
      <c r="E1" s="205"/>
      <c r="F1" s="205" t="s">
        <v>198</v>
      </c>
      <c r="G1" s="205"/>
      <c r="H1" s="205"/>
      <c r="I1" s="205"/>
      <c r="J1" s="205" t="s">
        <v>199</v>
      </c>
      <c r="K1" s="205"/>
      <c r="L1" s="205"/>
      <c r="M1" s="205"/>
      <c r="N1" s="205" t="s">
        <v>200</v>
      </c>
      <c r="O1" s="205"/>
      <c r="P1" s="205"/>
      <c r="Q1" s="205"/>
      <c r="R1" s="205" t="s">
        <v>197</v>
      </c>
      <c r="S1" s="205"/>
      <c r="T1" s="205"/>
      <c r="U1" s="205"/>
      <c r="V1" s="205" t="s">
        <v>198</v>
      </c>
      <c r="W1" s="205"/>
      <c r="X1" s="205"/>
      <c r="Y1" s="205"/>
      <c r="Z1" s="205" t="s">
        <v>199</v>
      </c>
      <c r="AA1" s="205"/>
      <c r="AB1" s="205"/>
      <c r="AC1" s="205"/>
      <c r="AD1" s="205" t="s">
        <v>200</v>
      </c>
      <c r="AE1" s="205"/>
      <c r="AF1" s="205"/>
      <c r="AG1" s="205"/>
    </row>
    <row r="2" spans="1:33" ht="27" customHeight="1">
      <c r="A2" s="145" t="s">
        <v>195</v>
      </c>
      <c r="B2" s="205" t="s">
        <v>37</v>
      </c>
      <c r="C2" s="205"/>
      <c r="D2" s="205" t="s">
        <v>28</v>
      </c>
      <c r="E2" s="205"/>
      <c r="F2" s="205" t="s">
        <v>29</v>
      </c>
      <c r="G2" s="205"/>
      <c r="H2" s="205" t="s">
        <v>36</v>
      </c>
      <c r="I2" s="205"/>
      <c r="J2" s="205" t="s">
        <v>83</v>
      </c>
      <c r="K2" s="205"/>
      <c r="L2" s="205" t="s">
        <v>84</v>
      </c>
      <c r="M2" s="205"/>
      <c r="N2" s="205" t="s">
        <v>61</v>
      </c>
      <c r="O2" s="205"/>
      <c r="P2" s="205" t="s">
        <v>59</v>
      </c>
      <c r="Q2" s="205"/>
      <c r="R2" s="205" t="s">
        <v>37</v>
      </c>
      <c r="S2" s="205"/>
      <c r="T2" s="205" t="s">
        <v>28</v>
      </c>
      <c r="U2" s="205"/>
      <c r="V2" s="205" t="s">
        <v>29</v>
      </c>
      <c r="W2" s="205"/>
      <c r="X2" s="205" t="s">
        <v>36</v>
      </c>
      <c r="Y2" s="205"/>
      <c r="Z2" s="205" t="s">
        <v>83</v>
      </c>
      <c r="AA2" s="205"/>
      <c r="AB2" s="205" t="s">
        <v>84</v>
      </c>
      <c r="AC2" s="205"/>
      <c r="AD2" s="205" t="s">
        <v>61</v>
      </c>
      <c r="AE2" s="205"/>
      <c r="AF2" s="205" t="s">
        <v>59</v>
      </c>
      <c r="AG2" s="205"/>
    </row>
    <row r="3" spans="1:33" s="99" customFormat="1" ht="23" customHeight="1">
      <c r="A3" s="99" t="s">
        <v>196</v>
      </c>
      <c r="B3" s="163" t="s">
        <v>39</v>
      </c>
      <c r="C3" s="164" t="s">
        <v>68</v>
      </c>
      <c r="D3" s="165" t="s">
        <v>69</v>
      </c>
      <c r="E3" s="165" t="s">
        <v>78</v>
      </c>
      <c r="F3" s="165" t="s">
        <v>62</v>
      </c>
      <c r="G3" s="165" t="s">
        <v>120</v>
      </c>
      <c r="H3" s="165" t="s">
        <v>38</v>
      </c>
      <c r="I3" s="165" t="s">
        <v>42</v>
      </c>
      <c r="J3" s="165" t="s">
        <v>114</v>
      </c>
      <c r="K3" s="165" t="s">
        <v>95</v>
      </c>
      <c r="L3" s="165" t="s">
        <v>96</v>
      </c>
      <c r="M3" s="165" t="s">
        <v>97</v>
      </c>
      <c r="N3" s="165" t="s">
        <v>66</v>
      </c>
      <c r="O3" s="165" t="s">
        <v>67</v>
      </c>
      <c r="P3" s="165" t="s">
        <v>70</v>
      </c>
      <c r="Q3" s="165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47" customHeight="1">
      <c r="A4" s="157">
        <v>43189</v>
      </c>
      <c r="B4" s="160">
        <f>(SUMIFS('Larvae Collection'!$Q:$Q, 'Larvae Collection'!$A:$A,'SPAWNING PLOTS-normalized'!$A4, 'Larvae Collection'!$C:$C, 'SPAWNING PLOTS-normalized'!B$3))/SUMMARIES!$M$2</f>
        <v>418</v>
      </c>
      <c r="C4" s="160">
        <f>(SUMIFS('Larvae Collection'!$Q:$Q, 'Larvae Collection'!$A:$A,'SPAWNING PLOTS-normalized'!$A4, 'Larvae Collection'!$C:$C, 'SPAWNING PLOTS-normalized'!C$3))/SUMMARIES!$M$3</f>
        <v>0</v>
      </c>
      <c r="D4" s="160">
        <f>(SUMIFS('Larvae Collection'!$Q:$Q, 'Larvae Collection'!$A:$A,'SPAWNING PLOTS-normalized'!$A4, 'Larvae Collection'!$C:$C, 'SPAWNING PLOTS-normalized'!D$3))/SUMMARIES!$M$4</f>
        <v>1186.4144144144145</v>
      </c>
      <c r="E4" s="160">
        <f>(SUMIFS('Larvae Collection'!$Q:$Q, 'Larvae Collection'!$A:$A,'SPAWNING PLOTS-normalized'!$A4, 'Larvae Collection'!$C:$C, 'SPAWNING PLOTS-normalized'!E$3))/SUMMARIES!$M$5</f>
        <v>732.35294117647061</v>
      </c>
      <c r="F4" s="160">
        <f>(SUMIFS('Larvae Collection'!$Q:$Q, 'Larvae Collection'!$A:$A,'SPAWNING PLOTS-normalized'!$A4, 'Larvae Collection'!$C:$C, 'SPAWNING PLOTS-normalized'!F$3))/SUMMARIES!$M$6</f>
        <v>0</v>
      </c>
      <c r="G4" s="160">
        <f>(SUMIFS('Larvae Collection'!$Q:$Q, 'Larvae Collection'!$A:$A,'SPAWNING PLOTS-normalized'!$A4, 'Larvae Collection'!$C:$C, 'SPAWNING PLOTS-normalized'!G$3))/SUMMARIES!$M$7</f>
        <v>360.14814814814815</v>
      </c>
      <c r="H4" s="160">
        <f>(SUMIFS('Larvae Collection'!$Q:$Q, 'Larvae Collection'!$A:$A,'SPAWNING PLOTS-normalized'!$A4, 'Larvae Collection'!$C:$C, 'SPAWNING PLOTS-normalized'!H$3))/SUMMARIES!$M$8</f>
        <v>4617.2991452991446</v>
      </c>
      <c r="I4" s="160">
        <f>(SUMIFS('Larvae Collection'!$Q:$Q, 'Larvae Collection'!$A:$A,'SPAWNING PLOTS-normalized'!$A4, 'Larvae Collection'!$C:$C, 'SPAWNING PLOTS-normalized'!I$3))/SUMMARIES!$M$9</f>
        <v>1066.6666666666667</v>
      </c>
      <c r="J4" s="160">
        <f>(SUMIFS('Larvae Collection'!$Q:$Q, 'Larvae Collection'!$A:$A,'SPAWNING PLOTS-normalized'!$A4, 'Larvae Collection'!$C:$C, 'SPAWNING PLOTS-normalized'!J$3))/SUMMARIES!$M$10</f>
        <v>0</v>
      </c>
      <c r="K4" s="160">
        <f>(SUMIFS('Larvae Collection'!$Q:$Q, 'Larvae Collection'!$A:$A,'SPAWNING PLOTS-normalized'!$A4, 'Larvae Collection'!$C:$C, 'SPAWNING PLOTS-normalized'!K$3))/SUMMARIES!$M$11</f>
        <v>0</v>
      </c>
      <c r="L4" s="160">
        <f>(SUMIFS('Larvae Collection'!$Q:$Q, 'Larvae Collection'!$A:$A,'SPAWNING PLOTS-normalized'!$A4, 'Larvae Collection'!$C:$C, 'SPAWNING PLOTS-normalized'!L$3))/SUMMARIES!$M$12</f>
        <v>0</v>
      </c>
      <c r="M4" s="160">
        <f>(SUMIFS('Larvae Collection'!$Q:$Q, 'Larvae Collection'!$A:$A,'SPAWNING PLOTS-normalized'!$A4, 'Larvae Collection'!$C:$C, 'SPAWNING PLOTS-normalized'!M$3))/SUMMARIES!$M$13</f>
        <v>0</v>
      </c>
      <c r="N4" s="160">
        <f>(SUMIFS('Larvae Collection'!$Q:$Q, 'Larvae Collection'!$A:$A,'SPAWNING PLOTS-normalized'!$A4, 'Larvae Collection'!$C:$C, 'SPAWNING PLOTS-normalized'!N$3))/SUMMARIES!$M$14</f>
        <v>0</v>
      </c>
      <c r="O4" s="160">
        <f>(SUMIFS('Larvae Collection'!$Q:$Q, 'Larvae Collection'!$A:$A,'SPAWNING PLOTS-normalized'!$A4, 'Larvae Collection'!$C:$C, 'SPAWNING PLOTS-normalized'!O$3))/SUMMARIES!$M$15</f>
        <v>0</v>
      </c>
      <c r="P4" s="160">
        <f>(SUMIFS('Larvae Collection'!$Q:$Q, 'Larvae Collection'!$A:$A,'SPAWNING PLOTS-normalized'!$A4, 'Larvae Collection'!$C:$C, 'SPAWNING PLOTS-normalized'!P$3))/SUMMARIES!$M$16</f>
        <v>0</v>
      </c>
      <c r="Q4" s="160">
        <f>(SUMIFS('Larvae Collection'!$Q:$Q, 'Larvae Collection'!$A:$A,'SPAWNING PLOTS-normalized'!$A4, 'Larvae Collection'!$C:$C, 'SPAWNING PLOTS-normalized'!Q$3))/SUMMARIES!$M$17</f>
        <v>0</v>
      </c>
      <c r="R4" s="158">
        <f t="shared" ref="R4:R20" si="0">SUMIFS(B$4:B$31, $A$4:$A$31, "&lt;="&amp;$A4)</f>
        <v>418</v>
      </c>
      <c r="S4" s="158">
        <f t="shared" ref="S4:S20" si="1">SUMIFS(C$4:C$31, $A$4:$A$31, "&lt;="&amp;$A4)</f>
        <v>0</v>
      </c>
      <c r="T4" s="158">
        <f t="shared" ref="T4:AG19" si="2">SUMIFS(D$4:D$31, $A$4:$A$31, "&lt;="&amp;$A4)</f>
        <v>1186.4144144144145</v>
      </c>
      <c r="U4" s="158">
        <f t="shared" si="2"/>
        <v>732.35294117647061</v>
      </c>
      <c r="V4" s="158">
        <f t="shared" si="2"/>
        <v>0</v>
      </c>
      <c r="W4" s="158">
        <f t="shared" si="2"/>
        <v>360.14814814814815</v>
      </c>
      <c r="X4" s="158">
        <f t="shared" si="2"/>
        <v>4617.2991452991446</v>
      </c>
      <c r="Y4" s="158">
        <f t="shared" si="2"/>
        <v>1066.6666666666667</v>
      </c>
      <c r="Z4" s="158">
        <f t="shared" si="2"/>
        <v>0</v>
      </c>
      <c r="AA4" s="158">
        <f t="shared" si="2"/>
        <v>0</v>
      </c>
      <c r="AB4" s="158">
        <f t="shared" si="2"/>
        <v>0</v>
      </c>
      <c r="AC4" s="158">
        <f t="shared" si="2"/>
        <v>0</v>
      </c>
      <c r="AD4" s="158">
        <f t="shared" si="2"/>
        <v>0</v>
      </c>
      <c r="AE4" s="158">
        <f t="shared" si="2"/>
        <v>0</v>
      </c>
      <c r="AF4" s="158">
        <f t="shared" si="2"/>
        <v>0</v>
      </c>
      <c r="AG4" s="158">
        <f t="shared" si="2"/>
        <v>0</v>
      </c>
    </row>
    <row r="5" spans="1:33" ht="18">
      <c r="A5" s="157">
        <v>43190</v>
      </c>
      <c r="B5" s="160">
        <f>(SUMIFS('Larvae Collection'!$Q:$Q, 'Larvae Collection'!$A:$A,'SPAWNING PLOTS-normalized'!$A5, 'Larvae Collection'!$C:$C, 'SPAWNING PLOTS-normalized'!B$3))/SUMMARIES!$M$2</f>
        <v>0</v>
      </c>
      <c r="C5" s="160">
        <f>(SUMIFS('Larvae Collection'!$Q:$Q, 'Larvae Collection'!$A:$A,'SPAWNING PLOTS-normalized'!$A5, 'Larvae Collection'!$C:$C, 'SPAWNING PLOTS-normalized'!C$3))/SUMMARIES!$M$3</f>
        <v>0</v>
      </c>
      <c r="D5" s="160">
        <f>(SUMIFS('Larvae Collection'!$Q:$Q, 'Larvae Collection'!$A:$A,'SPAWNING PLOTS-normalized'!$A5, 'Larvae Collection'!$C:$C, 'SPAWNING PLOTS-normalized'!D$3))/SUMMARIES!$M$4</f>
        <v>0</v>
      </c>
      <c r="E5" s="160">
        <f>(SUMIFS('Larvae Collection'!$Q:$Q, 'Larvae Collection'!$A:$A,'SPAWNING PLOTS-normalized'!$A5, 'Larvae Collection'!$C:$C, 'SPAWNING PLOTS-normalized'!E$3))/SUMMARIES!$M$5</f>
        <v>0</v>
      </c>
      <c r="F5" s="160">
        <f>(SUMIFS('Larvae Collection'!$Q:$Q, 'Larvae Collection'!$A:$A,'SPAWNING PLOTS-normalized'!$A5, 'Larvae Collection'!$C:$C, 'SPAWNING PLOTS-normalized'!F$3))/SUMMARIES!$M$6</f>
        <v>0</v>
      </c>
      <c r="G5" s="160">
        <f>(SUMIFS('Larvae Collection'!$Q:$Q, 'Larvae Collection'!$A:$A,'SPAWNING PLOTS-normalized'!$A5, 'Larvae Collection'!$C:$C, 'SPAWNING PLOTS-normalized'!G$3))/SUMMARIES!$M$7</f>
        <v>4026.6666666666665</v>
      </c>
      <c r="H5" s="160">
        <f>(SUMIFS('Larvae Collection'!$Q:$Q, 'Larvae Collection'!$A:$A,'SPAWNING PLOTS-normalized'!$A5, 'Larvae Collection'!$C:$C, 'SPAWNING PLOTS-normalized'!H$3))/SUMMARIES!$M$8</f>
        <v>1096</v>
      </c>
      <c r="I5" s="160">
        <f>(SUMIFS('Larvae Collection'!$Q:$Q, 'Larvae Collection'!$A:$A,'SPAWNING PLOTS-normalized'!$A5, 'Larvae Collection'!$C:$C, 'SPAWNING PLOTS-normalized'!I$3))/SUMMARIES!$M$9</f>
        <v>916.55284552845524</v>
      </c>
      <c r="J5" s="160">
        <f>(SUMIFS('Larvae Collection'!$Q:$Q, 'Larvae Collection'!$A:$A,'SPAWNING PLOTS-normalized'!$A5, 'Larvae Collection'!$C:$C, 'SPAWNING PLOTS-normalized'!J$3))/SUMMARIES!$M$10</f>
        <v>0</v>
      </c>
      <c r="K5" s="160">
        <f>(SUMIFS('Larvae Collection'!$Q:$Q, 'Larvae Collection'!$A:$A,'SPAWNING PLOTS-normalized'!$A5, 'Larvae Collection'!$C:$C, 'SPAWNING PLOTS-normalized'!K$3))/SUMMARIES!$M$11</f>
        <v>0</v>
      </c>
      <c r="L5" s="160">
        <f>(SUMIFS('Larvae Collection'!$Q:$Q, 'Larvae Collection'!$A:$A,'SPAWNING PLOTS-normalized'!$A5, 'Larvae Collection'!$C:$C, 'SPAWNING PLOTS-normalized'!L$3))/SUMMARIES!$M$12</f>
        <v>0</v>
      </c>
      <c r="M5" s="160">
        <f>(SUMIFS('Larvae Collection'!$Q:$Q, 'Larvae Collection'!$A:$A,'SPAWNING PLOTS-normalized'!$A5, 'Larvae Collection'!$C:$C, 'SPAWNING PLOTS-normalized'!M$3))/SUMMARIES!$M$13</f>
        <v>0</v>
      </c>
      <c r="N5" s="160">
        <f>(SUMIFS('Larvae Collection'!$Q:$Q, 'Larvae Collection'!$A:$A,'SPAWNING PLOTS-normalized'!$A5, 'Larvae Collection'!$C:$C, 'SPAWNING PLOTS-normalized'!N$3))/SUMMARIES!$M$14</f>
        <v>0</v>
      </c>
      <c r="O5" s="160">
        <f>(SUMIFS('Larvae Collection'!$Q:$Q, 'Larvae Collection'!$A:$A,'SPAWNING PLOTS-normalized'!$A5, 'Larvae Collection'!$C:$C, 'SPAWNING PLOTS-normalized'!O$3))/SUMMARIES!$M$15</f>
        <v>0</v>
      </c>
      <c r="P5" s="160">
        <f>(SUMIFS('Larvae Collection'!$Q:$Q, 'Larvae Collection'!$A:$A,'SPAWNING PLOTS-normalized'!$A5, 'Larvae Collection'!$C:$C, 'SPAWNING PLOTS-normalized'!P$3))/SUMMARIES!$M$16</f>
        <v>0</v>
      </c>
      <c r="Q5" s="160">
        <f>(SUMIFS('Larvae Collection'!$Q:$Q, 'Larvae Collection'!$A:$A,'SPAWNING PLOTS-normalized'!$A5, 'Larvae Collection'!$C:$C, 'SPAWNING PLOTS-normalized'!Q$3))/SUMMARIES!$M$17</f>
        <v>0</v>
      </c>
      <c r="R5" s="158">
        <f t="shared" si="0"/>
        <v>418</v>
      </c>
      <c r="S5" s="158">
        <f t="shared" si="1"/>
        <v>0</v>
      </c>
      <c r="T5" s="158">
        <f t="shared" si="2"/>
        <v>1186.4144144144145</v>
      </c>
      <c r="U5" s="158">
        <f t="shared" si="2"/>
        <v>732.35294117647061</v>
      </c>
      <c r="V5" s="158">
        <f t="shared" si="2"/>
        <v>0</v>
      </c>
      <c r="W5" s="158">
        <f t="shared" si="2"/>
        <v>4386.8148148148148</v>
      </c>
      <c r="X5" s="158">
        <f t="shared" si="2"/>
        <v>5713.2991452991446</v>
      </c>
      <c r="Y5" s="158">
        <f t="shared" si="2"/>
        <v>1983.219512195122</v>
      </c>
      <c r="Z5" s="158">
        <f t="shared" si="2"/>
        <v>0</v>
      </c>
      <c r="AA5" s="158">
        <f t="shared" si="2"/>
        <v>0</v>
      </c>
      <c r="AB5" s="158">
        <f t="shared" si="2"/>
        <v>0</v>
      </c>
      <c r="AC5" s="158">
        <f t="shared" si="2"/>
        <v>0</v>
      </c>
      <c r="AD5" s="158">
        <f t="shared" si="2"/>
        <v>0</v>
      </c>
      <c r="AE5" s="158">
        <f t="shared" si="2"/>
        <v>0</v>
      </c>
      <c r="AF5" s="158">
        <f t="shared" si="2"/>
        <v>0</v>
      </c>
      <c r="AG5" s="158">
        <f t="shared" si="2"/>
        <v>0</v>
      </c>
    </row>
    <row r="6" spans="1:33" ht="18">
      <c r="A6" s="157">
        <v>43191</v>
      </c>
      <c r="B6" s="160">
        <f>(SUMIFS('Larvae Collection'!$Q:$Q, 'Larvae Collection'!$A:$A,'SPAWNING PLOTS-normalized'!$A6, 'Larvae Collection'!$C:$C, 'SPAWNING PLOTS-normalized'!B$3))/SUMMARIES!$M$2</f>
        <v>0</v>
      </c>
      <c r="C6" s="160">
        <f>(SUMIFS('Larvae Collection'!$Q:$Q, 'Larvae Collection'!$A:$A,'SPAWNING PLOTS-normalized'!$A6, 'Larvae Collection'!$C:$C, 'SPAWNING PLOTS-normalized'!C$3))/SUMMARIES!$M$3</f>
        <v>0</v>
      </c>
      <c r="D6" s="160">
        <f>(SUMIFS('Larvae Collection'!$Q:$Q, 'Larvae Collection'!$A:$A,'SPAWNING PLOTS-normalized'!$A6, 'Larvae Collection'!$C:$C, 'SPAWNING PLOTS-normalized'!D$3))/SUMMARIES!$M$4</f>
        <v>59.45945945945946</v>
      </c>
      <c r="E6" s="160">
        <f>(SUMIFS('Larvae Collection'!$Q:$Q, 'Larvae Collection'!$A:$A,'SPAWNING PLOTS-normalized'!$A6, 'Larvae Collection'!$C:$C, 'SPAWNING PLOTS-normalized'!E$3))/SUMMARIES!$M$5</f>
        <v>0</v>
      </c>
      <c r="F6" s="160">
        <f>(SUMIFS('Larvae Collection'!$Q:$Q, 'Larvae Collection'!$A:$A,'SPAWNING PLOTS-normalized'!$A6, 'Larvae Collection'!$C:$C, 'SPAWNING PLOTS-normalized'!F$3))/SUMMARIES!$M$6</f>
        <v>227.67052767052766</v>
      </c>
      <c r="G6" s="160">
        <f>(SUMIFS('Larvae Collection'!$Q:$Q, 'Larvae Collection'!$A:$A,'SPAWNING PLOTS-normalized'!$A6, 'Larvae Collection'!$C:$C, 'SPAWNING PLOTS-normalized'!G$3))/SUMMARIES!$M$7</f>
        <v>74.81481481481481</v>
      </c>
      <c r="H6" s="160">
        <f>(SUMIFS('Larvae Collection'!$Q:$Q, 'Larvae Collection'!$A:$A,'SPAWNING PLOTS-normalized'!$A6, 'Larvae Collection'!$C:$C, 'SPAWNING PLOTS-normalized'!H$3))/SUMMARIES!$M$8</f>
        <v>306.83760683760687</v>
      </c>
      <c r="I6" s="160">
        <f>(SUMIFS('Larvae Collection'!$Q:$Q, 'Larvae Collection'!$A:$A,'SPAWNING PLOTS-normalized'!$A6, 'Larvae Collection'!$C:$C, 'SPAWNING PLOTS-normalized'!I$3))/SUMMARIES!$M$9</f>
        <v>31.658536585365855</v>
      </c>
      <c r="J6" s="160">
        <f>(SUMIFS('Larvae Collection'!$Q:$Q, 'Larvae Collection'!$A:$A,'SPAWNING PLOTS-normalized'!$A6, 'Larvae Collection'!$C:$C, 'SPAWNING PLOTS-normalized'!J$3))/SUMMARIES!$M$10</f>
        <v>0</v>
      </c>
      <c r="K6" s="160">
        <f>(SUMIFS('Larvae Collection'!$Q:$Q, 'Larvae Collection'!$A:$A,'SPAWNING PLOTS-normalized'!$A6, 'Larvae Collection'!$C:$C, 'SPAWNING PLOTS-normalized'!K$3))/SUMMARIES!$M$11</f>
        <v>0</v>
      </c>
      <c r="L6" s="160">
        <f>(SUMIFS('Larvae Collection'!$Q:$Q, 'Larvae Collection'!$A:$A,'SPAWNING PLOTS-normalized'!$A6, 'Larvae Collection'!$C:$C, 'SPAWNING PLOTS-normalized'!L$3))/SUMMARIES!$M$12</f>
        <v>0</v>
      </c>
      <c r="M6" s="160">
        <f>(SUMIFS('Larvae Collection'!$Q:$Q, 'Larvae Collection'!$A:$A,'SPAWNING PLOTS-normalized'!$A6, 'Larvae Collection'!$C:$C, 'SPAWNING PLOTS-normalized'!M$3))/SUMMARIES!$M$13</f>
        <v>0</v>
      </c>
      <c r="N6" s="160">
        <f>(SUMIFS('Larvae Collection'!$Q:$Q, 'Larvae Collection'!$A:$A,'SPAWNING PLOTS-normalized'!$A6, 'Larvae Collection'!$C:$C, 'SPAWNING PLOTS-normalized'!N$3))/SUMMARIES!$M$14</f>
        <v>0</v>
      </c>
      <c r="O6" s="160">
        <f>(SUMIFS('Larvae Collection'!$Q:$Q, 'Larvae Collection'!$A:$A,'SPAWNING PLOTS-normalized'!$A6, 'Larvae Collection'!$C:$C, 'SPAWNING PLOTS-normalized'!O$3))/SUMMARIES!$M$15</f>
        <v>11.538461538461538</v>
      </c>
      <c r="P6" s="160">
        <f>(SUMIFS('Larvae Collection'!$Q:$Q, 'Larvae Collection'!$A:$A,'SPAWNING PLOTS-normalized'!$A6, 'Larvae Collection'!$C:$C, 'SPAWNING PLOTS-normalized'!P$3))/SUMMARIES!$M$16</f>
        <v>0</v>
      </c>
      <c r="Q6" s="160">
        <f>(SUMIFS('Larvae Collection'!$Q:$Q, 'Larvae Collection'!$A:$A,'SPAWNING PLOTS-normalized'!$A6, 'Larvae Collection'!$C:$C, 'SPAWNING PLOTS-normalized'!Q$3))/SUMMARIES!$M$17</f>
        <v>27.513227513227516</v>
      </c>
      <c r="R6" s="158">
        <f t="shared" si="0"/>
        <v>418</v>
      </c>
      <c r="S6" s="158">
        <f t="shared" si="1"/>
        <v>0</v>
      </c>
      <c r="T6" s="158">
        <f t="shared" si="2"/>
        <v>1245.8738738738739</v>
      </c>
      <c r="U6" s="158">
        <f t="shared" si="2"/>
        <v>732.35294117647061</v>
      </c>
      <c r="V6" s="158">
        <f t="shared" si="2"/>
        <v>227.67052767052766</v>
      </c>
      <c r="W6" s="158">
        <f t="shared" si="2"/>
        <v>4461.6296296296296</v>
      </c>
      <c r="X6" s="158">
        <f t="shared" si="2"/>
        <v>6020.1367521367511</v>
      </c>
      <c r="Y6" s="158">
        <f t="shared" si="2"/>
        <v>2014.8780487804879</v>
      </c>
      <c r="Z6" s="158">
        <f t="shared" si="2"/>
        <v>0</v>
      </c>
      <c r="AA6" s="158">
        <f t="shared" si="2"/>
        <v>0</v>
      </c>
      <c r="AB6" s="158">
        <f t="shared" si="2"/>
        <v>0</v>
      </c>
      <c r="AC6" s="158">
        <f t="shared" si="2"/>
        <v>0</v>
      </c>
      <c r="AD6" s="158">
        <f t="shared" si="2"/>
        <v>0</v>
      </c>
      <c r="AE6" s="158">
        <f t="shared" si="2"/>
        <v>11.538461538461538</v>
      </c>
      <c r="AF6" s="158">
        <f t="shared" si="2"/>
        <v>0</v>
      </c>
      <c r="AG6" s="158">
        <f t="shared" si="2"/>
        <v>27.513227513227516</v>
      </c>
    </row>
    <row r="7" spans="1:33" ht="18">
      <c r="A7" s="157">
        <v>43192</v>
      </c>
      <c r="B7" s="160">
        <f>(SUMIFS('Larvae Collection'!$Q:$Q, 'Larvae Collection'!$A:$A,'SPAWNING PLOTS-normalized'!$A7, 'Larvae Collection'!$C:$C, 'SPAWNING PLOTS-normalized'!B$3))/SUMMARIES!$M$2</f>
        <v>0</v>
      </c>
      <c r="C7" s="160">
        <f>(SUMIFS('Larvae Collection'!$Q:$Q, 'Larvae Collection'!$A:$A,'SPAWNING PLOTS-normalized'!$A7, 'Larvae Collection'!$C:$C, 'SPAWNING PLOTS-normalized'!C$3))/SUMMARIES!$M$3</f>
        <v>3354.6666666666665</v>
      </c>
      <c r="D7" s="160">
        <f>(SUMIFS('Larvae Collection'!$Q:$Q, 'Larvae Collection'!$A:$A,'SPAWNING PLOTS-normalized'!$A7, 'Larvae Collection'!$C:$C, 'SPAWNING PLOTS-normalized'!D$3))/SUMMARIES!$M$4</f>
        <v>2470.2702702702704</v>
      </c>
      <c r="E7" s="160">
        <f>(SUMIFS('Larvae Collection'!$Q:$Q, 'Larvae Collection'!$A:$A,'SPAWNING PLOTS-normalized'!$A7, 'Larvae Collection'!$C:$C, 'SPAWNING PLOTS-normalized'!E$3))/SUMMARIES!$M$5</f>
        <v>0</v>
      </c>
      <c r="F7" s="160">
        <f>(SUMIFS('Larvae Collection'!$Q:$Q, 'Larvae Collection'!$A:$A,'SPAWNING PLOTS-normalized'!$A7, 'Larvae Collection'!$C:$C, 'SPAWNING PLOTS-normalized'!F$3))/SUMMARIES!$M$6</f>
        <v>1714.4504504504503</v>
      </c>
      <c r="G7" s="160">
        <f>(SUMIFS('Larvae Collection'!$Q:$Q, 'Larvae Collection'!$A:$A,'SPAWNING PLOTS-normalized'!$A7, 'Larvae Collection'!$C:$C, 'SPAWNING PLOTS-normalized'!G$3))/SUMMARIES!$M$7</f>
        <v>0</v>
      </c>
      <c r="H7" s="160">
        <f>(SUMIFS('Larvae Collection'!$Q:$Q, 'Larvae Collection'!$A:$A,'SPAWNING PLOTS-normalized'!$A7, 'Larvae Collection'!$C:$C, 'SPAWNING PLOTS-normalized'!H$3))/SUMMARIES!$M$8</f>
        <v>1662.2222222222222</v>
      </c>
      <c r="I7" s="160">
        <f>(SUMIFS('Larvae Collection'!$Q:$Q, 'Larvae Collection'!$A:$A,'SPAWNING PLOTS-normalized'!$A7, 'Larvae Collection'!$C:$C, 'SPAWNING PLOTS-normalized'!I$3))/SUMMARIES!$M$9</f>
        <v>1825.5284552845528</v>
      </c>
      <c r="J7" s="160">
        <f>(SUMIFS('Larvae Collection'!$Q:$Q, 'Larvae Collection'!$A:$A,'SPAWNING PLOTS-normalized'!$A7, 'Larvae Collection'!$C:$C, 'SPAWNING PLOTS-normalized'!J$3))/SUMMARIES!$M$10</f>
        <v>0</v>
      </c>
      <c r="K7" s="160">
        <f>(SUMIFS('Larvae Collection'!$Q:$Q, 'Larvae Collection'!$A:$A,'SPAWNING PLOTS-normalized'!$A7, 'Larvae Collection'!$C:$C, 'SPAWNING PLOTS-normalized'!K$3))/SUMMARIES!$M$11</f>
        <v>0</v>
      </c>
      <c r="L7" s="160">
        <f>(SUMIFS('Larvae Collection'!$Q:$Q, 'Larvae Collection'!$A:$A,'SPAWNING PLOTS-normalized'!$A7, 'Larvae Collection'!$C:$C, 'SPAWNING PLOTS-normalized'!L$3))/SUMMARIES!$M$12</f>
        <v>0</v>
      </c>
      <c r="M7" s="160">
        <f>(SUMIFS('Larvae Collection'!$Q:$Q, 'Larvae Collection'!$A:$A,'SPAWNING PLOTS-normalized'!$A7, 'Larvae Collection'!$C:$C, 'SPAWNING PLOTS-normalized'!M$3))/SUMMARIES!$M$13</f>
        <v>0</v>
      </c>
      <c r="N7" s="160">
        <f>(SUMIFS('Larvae Collection'!$Q:$Q, 'Larvae Collection'!$A:$A,'SPAWNING PLOTS-normalized'!$A7, 'Larvae Collection'!$C:$C, 'SPAWNING PLOTS-normalized'!N$3))/SUMMARIES!$M$14</f>
        <v>2497.939393939394</v>
      </c>
      <c r="O7" s="160">
        <f>(SUMIFS('Larvae Collection'!$Q:$Q, 'Larvae Collection'!$A:$A,'SPAWNING PLOTS-normalized'!$A7, 'Larvae Collection'!$C:$C, 'SPAWNING PLOTS-normalized'!O$3))/SUMMARIES!$M$15</f>
        <v>4510.3589743589746</v>
      </c>
      <c r="P7" s="160">
        <f>(SUMIFS('Larvae Collection'!$Q:$Q, 'Larvae Collection'!$A:$A,'SPAWNING PLOTS-normalized'!$A7, 'Larvae Collection'!$C:$C, 'SPAWNING PLOTS-normalized'!P$3))/SUMMARIES!$M$16</f>
        <v>4173.333333333333</v>
      </c>
      <c r="Q7" s="160">
        <f>(SUMIFS('Larvae Collection'!$Q:$Q, 'Larvae Collection'!$A:$A,'SPAWNING PLOTS-normalized'!$A7, 'Larvae Collection'!$C:$C, 'SPAWNING PLOTS-normalized'!Q$3))/SUMMARIES!$M$17</f>
        <v>339.04761904761904</v>
      </c>
      <c r="R7" s="158">
        <f t="shared" si="0"/>
        <v>418</v>
      </c>
      <c r="S7" s="158">
        <f t="shared" si="1"/>
        <v>3354.6666666666665</v>
      </c>
      <c r="T7" s="158">
        <f t="shared" si="2"/>
        <v>3716.1441441441443</v>
      </c>
      <c r="U7" s="158">
        <f t="shared" si="2"/>
        <v>732.35294117647061</v>
      </c>
      <c r="V7" s="158">
        <f t="shared" si="2"/>
        <v>1942.120978120978</v>
      </c>
      <c r="W7" s="158">
        <f t="shared" si="2"/>
        <v>4461.6296296296296</v>
      </c>
      <c r="X7" s="158">
        <f t="shared" si="2"/>
        <v>7682.3589743589728</v>
      </c>
      <c r="Y7" s="158">
        <f t="shared" si="2"/>
        <v>3840.4065040650407</v>
      </c>
      <c r="Z7" s="158">
        <f t="shared" si="2"/>
        <v>0</v>
      </c>
      <c r="AA7" s="158">
        <f t="shared" si="2"/>
        <v>0</v>
      </c>
      <c r="AB7" s="158">
        <f t="shared" si="2"/>
        <v>0</v>
      </c>
      <c r="AC7" s="158">
        <f t="shared" si="2"/>
        <v>0</v>
      </c>
      <c r="AD7" s="158">
        <f t="shared" si="2"/>
        <v>2497.939393939394</v>
      </c>
      <c r="AE7" s="158">
        <f t="shared" si="2"/>
        <v>4521.8974358974365</v>
      </c>
      <c r="AF7" s="158">
        <f t="shared" si="2"/>
        <v>4173.333333333333</v>
      </c>
      <c r="AG7" s="158">
        <f t="shared" si="2"/>
        <v>366.56084656084653</v>
      </c>
    </row>
    <row r="8" spans="1:33" ht="18">
      <c r="A8" s="157">
        <v>43193</v>
      </c>
      <c r="B8" s="160">
        <f>(SUMIFS('Larvae Collection'!$Q:$Q, 'Larvae Collection'!$A:$A,'SPAWNING PLOTS-normalized'!$A8, 'Larvae Collection'!$C:$C, 'SPAWNING PLOTS-normalized'!B$3))/SUMMARIES!$M$2</f>
        <v>756</v>
      </c>
      <c r="C8" s="160">
        <f>(SUMIFS('Larvae Collection'!$Q:$Q, 'Larvae Collection'!$A:$A,'SPAWNING PLOTS-normalized'!$A8, 'Larvae Collection'!$C:$C, 'SPAWNING PLOTS-normalized'!C$3))/SUMMARIES!$M$3</f>
        <v>2393.6</v>
      </c>
      <c r="D8" s="160">
        <f>(SUMIFS('Larvae Collection'!$Q:$Q, 'Larvae Collection'!$A:$A,'SPAWNING PLOTS-normalized'!$A8, 'Larvae Collection'!$C:$C, 'SPAWNING PLOTS-normalized'!D$3))/SUMMARIES!$M$4</f>
        <v>0</v>
      </c>
      <c r="E8" s="160">
        <f>(SUMIFS('Larvae Collection'!$Q:$Q, 'Larvae Collection'!$A:$A,'SPAWNING PLOTS-normalized'!$A8, 'Larvae Collection'!$C:$C, 'SPAWNING PLOTS-normalized'!E$3))/SUMMARIES!$M$5</f>
        <v>1575.686274509804</v>
      </c>
      <c r="F8" s="160">
        <f>(SUMIFS('Larvae Collection'!$Q:$Q, 'Larvae Collection'!$A:$A,'SPAWNING PLOTS-normalized'!$A8, 'Larvae Collection'!$C:$C, 'SPAWNING PLOTS-normalized'!F$3))/SUMMARIES!$M$6</f>
        <v>0</v>
      </c>
      <c r="G8" s="160">
        <f>(SUMIFS('Larvae Collection'!$Q:$Q, 'Larvae Collection'!$A:$A,'SPAWNING PLOTS-normalized'!$A8, 'Larvae Collection'!$C:$C, 'SPAWNING PLOTS-normalized'!G$3))/SUMMARIES!$M$7</f>
        <v>0</v>
      </c>
      <c r="H8" s="160">
        <f>(SUMIFS('Larvae Collection'!$Q:$Q, 'Larvae Collection'!$A:$A,'SPAWNING PLOTS-normalized'!$A8, 'Larvae Collection'!$C:$C, 'SPAWNING PLOTS-normalized'!H$3))/SUMMARIES!$M$8</f>
        <v>0</v>
      </c>
      <c r="I8" s="160">
        <f>(SUMIFS('Larvae Collection'!$Q:$Q, 'Larvae Collection'!$A:$A,'SPAWNING PLOTS-normalized'!$A8, 'Larvae Collection'!$C:$C, 'SPAWNING PLOTS-normalized'!I$3))/SUMMARIES!$M$9</f>
        <v>0</v>
      </c>
      <c r="J8" s="160">
        <f>(SUMIFS('Larvae Collection'!$Q:$Q, 'Larvae Collection'!$A:$A,'SPAWNING PLOTS-normalized'!$A8, 'Larvae Collection'!$C:$C, 'SPAWNING PLOTS-normalized'!J$3))/SUMMARIES!$M$10</f>
        <v>0</v>
      </c>
      <c r="K8" s="160">
        <f>(SUMIFS('Larvae Collection'!$Q:$Q, 'Larvae Collection'!$A:$A,'SPAWNING PLOTS-normalized'!$A8, 'Larvae Collection'!$C:$C, 'SPAWNING PLOTS-normalized'!K$3))/SUMMARIES!$M$11</f>
        <v>0</v>
      </c>
      <c r="L8" s="160">
        <f>(SUMIFS('Larvae Collection'!$Q:$Q, 'Larvae Collection'!$A:$A,'SPAWNING PLOTS-normalized'!$A8, 'Larvae Collection'!$C:$C, 'SPAWNING PLOTS-normalized'!L$3))/SUMMARIES!$M$12</f>
        <v>0</v>
      </c>
      <c r="M8" s="160">
        <f>(SUMIFS('Larvae Collection'!$Q:$Q, 'Larvae Collection'!$A:$A,'SPAWNING PLOTS-normalized'!$A8, 'Larvae Collection'!$C:$C, 'SPAWNING PLOTS-normalized'!M$3))/SUMMARIES!$M$13</f>
        <v>0</v>
      </c>
      <c r="N8" s="160">
        <f>(SUMIFS('Larvae Collection'!$Q:$Q, 'Larvae Collection'!$A:$A,'SPAWNING PLOTS-normalized'!$A8, 'Larvae Collection'!$C:$C, 'SPAWNING PLOTS-normalized'!N$3))/SUMMARIES!$M$14</f>
        <v>0</v>
      </c>
      <c r="O8" s="160">
        <f>(SUMIFS('Larvae Collection'!$Q:$Q, 'Larvae Collection'!$A:$A,'SPAWNING PLOTS-normalized'!$A8, 'Larvae Collection'!$C:$C, 'SPAWNING PLOTS-normalized'!O$3))/SUMMARIES!$M$15</f>
        <v>171.93162393162393</v>
      </c>
      <c r="P8" s="160">
        <f>(SUMIFS('Larvae Collection'!$Q:$Q, 'Larvae Collection'!$A:$A,'SPAWNING PLOTS-normalized'!$A8, 'Larvae Collection'!$C:$C, 'SPAWNING PLOTS-normalized'!P$3))/SUMMARIES!$M$16</f>
        <v>233.03703703703707</v>
      </c>
      <c r="Q8" s="160">
        <f>(SUMIFS('Larvae Collection'!$Q:$Q, 'Larvae Collection'!$A:$A,'SPAWNING PLOTS-normalized'!$A8, 'Larvae Collection'!$C:$C, 'SPAWNING PLOTS-normalized'!Q$3))/SUMMARIES!$M$17</f>
        <v>2120</v>
      </c>
      <c r="R8" s="158">
        <f t="shared" si="0"/>
        <v>1174</v>
      </c>
      <c r="S8" s="158">
        <f t="shared" si="1"/>
        <v>5748.2666666666664</v>
      </c>
      <c r="T8" s="158">
        <f t="shared" si="2"/>
        <v>3716.1441441441443</v>
      </c>
      <c r="U8" s="158">
        <f t="shared" si="2"/>
        <v>2308.0392156862745</v>
      </c>
      <c r="V8" s="158">
        <f t="shared" si="2"/>
        <v>1942.120978120978</v>
      </c>
      <c r="W8" s="158">
        <f t="shared" si="2"/>
        <v>4461.6296296296296</v>
      </c>
      <c r="X8" s="158">
        <f t="shared" si="2"/>
        <v>7682.3589743589728</v>
      </c>
      <c r="Y8" s="158">
        <f t="shared" si="2"/>
        <v>3840.4065040650407</v>
      </c>
      <c r="Z8" s="158">
        <f t="shared" si="2"/>
        <v>0</v>
      </c>
      <c r="AA8" s="158">
        <f t="shared" si="2"/>
        <v>0</v>
      </c>
      <c r="AB8" s="158">
        <f t="shared" si="2"/>
        <v>0</v>
      </c>
      <c r="AC8" s="158">
        <f t="shared" si="2"/>
        <v>0</v>
      </c>
      <c r="AD8" s="158">
        <f t="shared" si="2"/>
        <v>2497.939393939394</v>
      </c>
      <c r="AE8" s="158">
        <f t="shared" si="2"/>
        <v>4693.8290598290605</v>
      </c>
      <c r="AF8" s="158">
        <f t="shared" si="2"/>
        <v>4406.3703703703704</v>
      </c>
      <c r="AG8" s="158">
        <f t="shared" si="2"/>
        <v>2486.5608465608466</v>
      </c>
    </row>
    <row r="9" spans="1:33" ht="18">
      <c r="A9" s="157">
        <v>43194</v>
      </c>
      <c r="B9" s="160">
        <f>(SUMIFS('Larvae Collection'!$Q:$Q, 'Larvae Collection'!$A:$A,'SPAWNING PLOTS-normalized'!$A9, 'Larvae Collection'!$C:$C, 'SPAWNING PLOTS-normalized'!B$3))/SUMMARIES!$M$2</f>
        <v>4013.8888888888891</v>
      </c>
      <c r="C9" s="160">
        <f>(SUMIFS('Larvae Collection'!$Q:$Q, 'Larvae Collection'!$A:$A,'SPAWNING PLOTS-normalized'!$A9, 'Larvae Collection'!$C:$C, 'SPAWNING PLOTS-normalized'!C$3))/SUMMARIES!$M$3</f>
        <v>1348.9777777777776</v>
      </c>
      <c r="D9" s="160">
        <f>(SUMIFS('Larvae Collection'!$Q:$Q, 'Larvae Collection'!$A:$A,'SPAWNING PLOTS-normalized'!$A9, 'Larvae Collection'!$C:$C, 'SPAWNING PLOTS-normalized'!D$3))/SUMMARIES!$M$4</f>
        <v>3808.333333333333</v>
      </c>
      <c r="E9" s="160">
        <f>(SUMIFS('Larvae Collection'!$Q:$Q, 'Larvae Collection'!$A:$A,'SPAWNING PLOTS-normalized'!$A9, 'Larvae Collection'!$C:$C, 'SPAWNING PLOTS-normalized'!E$3))/SUMMARIES!$M$5</f>
        <v>0</v>
      </c>
      <c r="F9" s="160">
        <f>(SUMIFS('Larvae Collection'!$Q:$Q, 'Larvae Collection'!$A:$A,'SPAWNING PLOTS-normalized'!$A9, 'Larvae Collection'!$C:$C, 'SPAWNING PLOTS-normalized'!F$3))/SUMMARIES!$M$6</f>
        <v>0</v>
      </c>
      <c r="G9" s="160">
        <f>(SUMIFS('Larvae Collection'!$Q:$Q, 'Larvae Collection'!$A:$A,'SPAWNING PLOTS-normalized'!$A9, 'Larvae Collection'!$C:$C, 'SPAWNING PLOTS-normalized'!G$3))/SUMMARIES!$M$7</f>
        <v>0</v>
      </c>
      <c r="H9" s="160">
        <f>(SUMIFS('Larvae Collection'!$Q:$Q, 'Larvae Collection'!$A:$A,'SPAWNING PLOTS-normalized'!$A9, 'Larvae Collection'!$C:$C, 'SPAWNING PLOTS-normalized'!H$3))/SUMMARIES!$M$8</f>
        <v>0</v>
      </c>
      <c r="I9" s="160">
        <f>(SUMIFS('Larvae Collection'!$Q:$Q, 'Larvae Collection'!$A:$A,'SPAWNING PLOTS-normalized'!$A9, 'Larvae Collection'!$C:$C, 'SPAWNING PLOTS-normalized'!I$3))/SUMMARIES!$M$9</f>
        <v>2781.7886178861786</v>
      </c>
      <c r="J9" s="160">
        <f>(SUMIFS('Larvae Collection'!$Q:$Q, 'Larvae Collection'!$A:$A,'SPAWNING PLOTS-normalized'!$A9, 'Larvae Collection'!$C:$C, 'SPAWNING PLOTS-normalized'!J$3))/SUMMARIES!$M$10</f>
        <v>0</v>
      </c>
      <c r="K9" s="160">
        <f>(SUMIFS('Larvae Collection'!$Q:$Q, 'Larvae Collection'!$A:$A,'SPAWNING PLOTS-normalized'!$A9, 'Larvae Collection'!$C:$C, 'SPAWNING PLOTS-normalized'!K$3))/SUMMARIES!$M$11</f>
        <v>526.15384615384619</v>
      </c>
      <c r="L9" s="160">
        <f>(SUMIFS('Larvae Collection'!$Q:$Q, 'Larvae Collection'!$A:$A,'SPAWNING PLOTS-normalized'!$A9, 'Larvae Collection'!$C:$C, 'SPAWNING PLOTS-normalized'!L$3))/SUMMARIES!$M$12</f>
        <v>1994.3859649122805</v>
      </c>
      <c r="M9" s="160">
        <f>(SUMIFS('Larvae Collection'!$Q:$Q, 'Larvae Collection'!$A:$A,'SPAWNING PLOTS-normalized'!$A9, 'Larvae Collection'!$C:$C, 'SPAWNING PLOTS-normalized'!M$3))/SUMMARIES!$M$13</f>
        <v>1470.5128205128203</v>
      </c>
      <c r="N9" s="160">
        <f>(SUMIFS('Larvae Collection'!$Q:$Q, 'Larvae Collection'!$A:$A,'SPAWNING PLOTS-normalized'!$A9, 'Larvae Collection'!$C:$C, 'SPAWNING PLOTS-normalized'!N$3))/SUMMARIES!$M$14</f>
        <v>0</v>
      </c>
      <c r="O9" s="160">
        <f>(SUMIFS('Larvae Collection'!$Q:$Q, 'Larvae Collection'!$A:$A,'SPAWNING PLOTS-normalized'!$A9, 'Larvae Collection'!$C:$C, 'SPAWNING PLOTS-normalized'!O$3))/SUMMARIES!$M$15</f>
        <v>1063.5897435897436</v>
      </c>
      <c r="P9" s="160">
        <f>(SUMIFS('Larvae Collection'!$Q:$Q, 'Larvae Collection'!$A:$A,'SPAWNING PLOTS-normalized'!$A9, 'Larvae Collection'!$C:$C, 'SPAWNING PLOTS-normalized'!P$3))/SUMMARIES!$M$16</f>
        <v>0</v>
      </c>
      <c r="Q9" s="160">
        <f>(SUMIFS('Larvae Collection'!$Q:$Q, 'Larvae Collection'!$A:$A,'SPAWNING PLOTS-normalized'!$A9, 'Larvae Collection'!$C:$C, 'SPAWNING PLOTS-normalized'!Q$3))/SUMMARIES!$M$17</f>
        <v>372.85714285714283</v>
      </c>
      <c r="R9" s="158">
        <f t="shared" si="0"/>
        <v>5187.8888888888887</v>
      </c>
      <c r="S9" s="158">
        <f t="shared" si="1"/>
        <v>7097.2444444444445</v>
      </c>
      <c r="T9" s="158">
        <f t="shared" si="2"/>
        <v>7524.4774774774778</v>
      </c>
      <c r="U9" s="158">
        <f t="shared" si="2"/>
        <v>2308.0392156862745</v>
      </c>
      <c r="V9" s="158">
        <f t="shared" si="2"/>
        <v>1942.120978120978</v>
      </c>
      <c r="W9" s="158">
        <f t="shared" si="2"/>
        <v>4461.6296296296296</v>
      </c>
      <c r="X9" s="158">
        <f t="shared" si="2"/>
        <v>7682.3589743589728</v>
      </c>
      <c r="Y9" s="158">
        <f t="shared" si="2"/>
        <v>6622.1951219512193</v>
      </c>
      <c r="Z9" s="158">
        <f t="shared" si="2"/>
        <v>0</v>
      </c>
      <c r="AA9" s="158">
        <f t="shared" si="2"/>
        <v>526.15384615384619</v>
      </c>
      <c r="AB9" s="158">
        <f t="shared" si="2"/>
        <v>1994.3859649122805</v>
      </c>
      <c r="AC9" s="158">
        <f t="shared" si="2"/>
        <v>1470.5128205128203</v>
      </c>
      <c r="AD9" s="158">
        <f t="shared" si="2"/>
        <v>2497.939393939394</v>
      </c>
      <c r="AE9" s="158">
        <f t="shared" si="2"/>
        <v>5757.4188034188046</v>
      </c>
      <c r="AF9" s="158">
        <f t="shared" si="2"/>
        <v>4406.3703703703704</v>
      </c>
      <c r="AG9" s="158">
        <f t="shared" si="2"/>
        <v>2859.4179894179892</v>
      </c>
    </row>
    <row r="10" spans="1:33" ht="18">
      <c r="A10" s="157">
        <v>43195</v>
      </c>
      <c r="B10" s="160">
        <f>(SUMIFS('Larvae Collection'!$Q:$Q, 'Larvae Collection'!$A:$A,'SPAWNING PLOTS-normalized'!$A10, 'Larvae Collection'!$C:$C, 'SPAWNING PLOTS-normalized'!B$3))/SUMMARIES!$M$2</f>
        <v>0</v>
      </c>
      <c r="C10" s="160">
        <f>(SUMIFS('Larvae Collection'!$Q:$Q, 'Larvae Collection'!$A:$A,'SPAWNING PLOTS-normalized'!$A10, 'Larvae Collection'!$C:$C, 'SPAWNING PLOTS-normalized'!C$3))/SUMMARIES!$M$3</f>
        <v>0</v>
      </c>
      <c r="D10" s="160">
        <f>(SUMIFS('Larvae Collection'!$Q:$Q, 'Larvae Collection'!$A:$A,'SPAWNING PLOTS-normalized'!$A10, 'Larvae Collection'!$C:$C, 'SPAWNING PLOTS-normalized'!D$3))/SUMMARIES!$M$4</f>
        <v>0</v>
      </c>
      <c r="E10" s="160">
        <f>(SUMIFS('Larvae Collection'!$Q:$Q, 'Larvae Collection'!$A:$A,'SPAWNING PLOTS-normalized'!$A10, 'Larvae Collection'!$C:$C, 'SPAWNING PLOTS-normalized'!E$3))/SUMMARIES!$M$5</f>
        <v>0</v>
      </c>
      <c r="F10" s="160">
        <f>(SUMIFS('Larvae Collection'!$Q:$Q, 'Larvae Collection'!$A:$A,'SPAWNING PLOTS-normalized'!$A10, 'Larvae Collection'!$C:$C, 'SPAWNING PLOTS-normalized'!F$3))/SUMMARIES!$M$6</f>
        <v>2231.3513513513512</v>
      </c>
      <c r="G10" s="160">
        <f>(SUMIFS('Larvae Collection'!$Q:$Q, 'Larvae Collection'!$A:$A,'SPAWNING PLOTS-normalized'!$A10, 'Larvae Collection'!$C:$C, 'SPAWNING PLOTS-normalized'!G$3))/SUMMARIES!$M$7</f>
        <v>0</v>
      </c>
      <c r="H10" s="160">
        <f>(SUMIFS('Larvae Collection'!$Q:$Q, 'Larvae Collection'!$A:$A,'SPAWNING PLOTS-normalized'!$A10, 'Larvae Collection'!$C:$C, 'SPAWNING PLOTS-normalized'!H$3))/SUMMARIES!$M$8</f>
        <v>1193.5897435897436</v>
      </c>
      <c r="I10" s="160">
        <f>(SUMIFS('Larvae Collection'!$Q:$Q, 'Larvae Collection'!$A:$A,'SPAWNING PLOTS-normalized'!$A10, 'Larvae Collection'!$C:$C, 'SPAWNING PLOTS-normalized'!I$3))/SUMMARIES!$M$9</f>
        <v>0</v>
      </c>
      <c r="J10" s="160">
        <f>(SUMIFS('Larvae Collection'!$Q:$Q, 'Larvae Collection'!$A:$A,'SPAWNING PLOTS-normalized'!$A10, 'Larvae Collection'!$C:$C, 'SPAWNING PLOTS-normalized'!J$3))/SUMMARIES!$M$10</f>
        <v>0</v>
      </c>
      <c r="K10" s="160">
        <f>(SUMIFS('Larvae Collection'!$Q:$Q, 'Larvae Collection'!$A:$A,'SPAWNING PLOTS-normalized'!$A10, 'Larvae Collection'!$C:$C, 'SPAWNING PLOTS-normalized'!K$3))/SUMMARIES!$M$11</f>
        <v>4482.0512820512822</v>
      </c>
      <c r="L10" s="160">
        <f>(SUMIFS('Larvae Collection'!$Q:$Q, 'Larvae Collection'!$A:$A,'SPAWNING PLOTS-normalized'!$A10, 'Larvae Collection'!$C:$C, 'SPAWNING PLOTS-normalized'!L$3))/SUMMARIES!$M$12</f>
        <v>0</v>
      </c>
      <c r="M10" s="160">
        <f>(SUMIFS('Larvae Collection'!$Q:$Q, 'Larvae Collection'!$A:$A,'SPAWNING PLOTS-normalized'!$A10, 'Larvae Collection'!$C:$C, 'SPAWNING PLOTS-normalized'!M$3))/SUMMARIES!$M$13</f>
        <v>0</v>
      </c>
      <c r="N10" s="160">
        <f>(SUMIFS('Larvae Collection'!$Q:$Q, 'Larvae Collection'!$A:$A,'SPAWNING PLOTS-normalized'!$A10, 'Larvae Collection'!$C:$C, 'SPAWNING PLOTS-normalized'!N$3))/SUMMARIES!$M$14</f>
        <v>1992.121212121212</v>
      </c>
      <c r="O10" s="160">
        <f>(SUMIFS('Larvae Collection'!$Q:$Q, 'Larvae Collection'!$A:$A,'SPAWNING PLOTS-normalized'!$A10, 'Larvae Collection'!$C:$C, 'SPAWNING PLOTS-normalized'!O$3))/SUMMARIES!$M$15</f>
        <v>697.43589743589746</v>
      </c>
      <c r="P10" s="160">
        <f>(SUMIFS('Larvae Collection'!$Q:$Q, 'Larvae Collection'!$A:$A,'SPAWNING PLOTS-normalized'!$A10, 'Larvae Collection'!$C:$C, 'SPAWNING PLOTS-normalized'!P$3))/SUMMARIES!$M$16</f>
        <v>0</v>
      </c>
      <c r="Q10" s="160">
        <f>(SUMIFS('Larvae Collection'!$Q:$Q, 'Larvae Collection'!$A:$A,'SPAWNING PLOTS-normalized'!$A10, 'Larvae Collection'!$C:$C, 'SPAWNING PLOTS-normalized'!Q$3))/SUMMARIES!$M$17</f>
        <v>2045.7142857142858</v>
      </c>
      <c r="R10" s="158">
        <f t="shared" si="0"/>
        <v>5187.8888888888887</v>
      </c>
      <c r="S10" s="158">
        <f t="shared" si="1"/>
        <v>7097.2444444444445</v>
      </c>
      <c r="T10" s="158">
        <f t="shared" si="2"/>
        <v>7524.4774774774778</v>
      </c>
      <c r="U10" s="158">
        <f t="shared" si="2"/>
        <v>2308.0392156862745</v>
      </c>
      <c r="V10" s="158">
        <f t="shared" si="2"/>
        <v>4173.472329472329</v>
      </c>
      <c r="W10" s="158">
        <f t="shared" si="2"/>
        <v>4461.6296296296296</v>
      </c>
      <c r="X10" s="158">
        <f t="shared" si="2"/>
        <v>8875.9487179487169</v>
      </c>
      <c r="Y10" s="158">
        <f t="shared" si="2"/>
        <v>6622.1951219512193</v>
      </c>
      <c r="Z10" s="158">
        <f t="shared" si="2"/>
        <v>0</v>
      </c>
      <c r="AA10" s="158">
        <f t="shared" si="2"/>
        <v>5008.2051282051289</v>
      </c>
      <c r="AB10" s="158">
        <f t="shared" si="2"/>
        <v>1994.3859649122805</v>
      </c>
      <c r="AC10" s="158">
        <f t="shared" si="2"/>
        <v>1470.5128205128203</v>
      </c>
      <c r="AD10" s="158">
        <f t="shared" si="2"/>
        <v>4490.060606060606</v>
      </c>
      <c r="AE10" s="158">
        <f t="shared" si="2"/>
        <v>6454.8547008547021</v>
      </c>
      <c r="AF10" s="158">
        <f t="shared" si="2"/>
        <v>4406.3703703703704</v>
      </c>
      <c r="AG10" s="158">
        <f t="shared" si="2"/>
        <v>4905.132275132275</v>
      </c>
    </row>
    <row r="11" spans="1:33" ht="18">
      <c r="A11" s="157">
        <v>43196</v>
      </c>
      <c r="B11" s="160">
        <f>(SUMIFS('Larvae Collection'!$Q:$Q, 'Larvae Collection'!$A:$A,'SPAWNING PLOTS-normalized'!$A11, 'Larvae Collection'!$C:$C, 'SPAWNING PLOTS-normalized'!B$3))/SUMMARIES!$M$2</f>
        <v>0</v>
      </c>
      <c r="C11" s="160">
        <f>(SUMIFS('Larvae Collection'!$Q:$Q, 'Larvae Collection'!$A:$A,'SPAWNING PLOTS-normalized'!$A11, 'Larvae Collection'!$C:$C, 'SPAWNING PLOTS-normalized'!C$3))/SUMMARIES!$M$3</f>
        <v>2073.3333333333335</v>
      </c>
      <c r="D11" s="160">
        <f>(SUMIFS('Larvae Collection'!$Q:$Q, 'Larvae Collection'!$A:$A,'SPAWNING PLOTS-normalized'!$A11, 'Larvae Collection'!$C:$C, 'SPAWNING PLOTS-normalized'!D$3))/SUMMARIES!$M$4</f>
        <v>1613.3333333333335</v>
      </c>
      <c r="E11" s="160">
        <f>(SUMIFS('Larvae Collection'!$Q:$Q, 'Larvae Collection'!$A:$A,'SPAWNING PLOTS-normalized'!$A11, 'Larvae Collection'!$C:$C, 'SPAWNING PLOTS-normalized'!E$3))/SUMMARIES!$M$5</f>
        <v>0</v>
      </c>
      <c r="F11" s="160">
        <f>(SUMIFS('Larvae Collection'!$Q:$Q, 'Larvae Collection'!$A:$A,'SPAWNING PLOTS-normalized'!$A11, 'Larvae Collection'!$C:$C, 'SPAWNING PLOTS-normalized'!F$3))/SUMMARIES!$M$6</f>
        <v>0</v>
      </c>
      <c r="G11" s="160">
        <f>(SUMIFS('Larvae Collection'!$Q:$Q, 'Larvae Collection'!$A:$A,'SPAWNING PLOTS-normalized'!$A11, 'Larvae Collection'!$C:$C, 'SPAWNING PLOTS-normalized'!G$3))/SUMMARIES!$M$7</f>
        <v>0</v>
      </c>
      <c r="H11" s="160">
        <f>(SUMIFS('Larvae Collection'!$Q:$Q, 'Larvae Collection'!$A:$A,'SPAWNING PLOTS-normalized'!$A11, 'Larvae Collection'!$C:$C, 'SPAWNING PLOTS-normalized'!H$3))/SUMMARIES!$M$8</f>
        <v>733.84615384615381</v>
      </c>
      <c r="I11" s="160">
        <f>(SUMIFS('Larvae Collection'!$Q:$Q, 'Larvae Collection'!$A:$A,'SPAWNING PLOTS-normalized'!$A11, 'Larvae Collection'!$C:$C, 'SPAWNING PLOTS-normalized'!I$3))/SUMMARIES!$M$9</f>
        <v>0</v>
      </c>
      <c r="J11" s="160">
        <f>(SUMIFS('Larvae Collection'!$Q:$Q, 'Larvae Collection'!$A:$A,'SPAWNING PLOTS-normalized'!$A11, 'Larvae Collection'!$C:$C, 'SPAWNING PLOTS-normalized'!J$3))/SUMMARIES!$M$10</f>
        <v>0</v>
      </c>
      <c r="K11" s="160">
        <f>(SUMIFS('Larvae Collection'!$Q:$Q, 'Larvae Collection'!$A:$A,'SPAWNING PLOTS-normalized'!$A11, 'Larvae Collection'!$C:$C, 'SPAWNING PLOTS-normalized'!K$3))/SUMMARIES!$M$11</f>
        <v>0</v>
      </c>
      <c r="L11" s="160">
        <f>(SUMIFS('Larvae Collection'!$Q:$Q, 'Larvae Collection'!$A:$A,'SPAWNING PLOTS-normalized'!$A11, 'Larvae Collection'!$C:$C, 'SPAWNING PLOTS-normalized'!L$3))/SUMMARIES!$M$12</f>
        <v>0</v>
      </c>
      <c r="M11" s="160">
        <f>(SUMIFS('Larvae Collection'!$Q:$Q, 'Larvae Collection'!$A:$A,'SPAWNING PLOTS-normalized'!$A11, 'Larvae Collection'!$C:$C, 'SPAWNING PLOTS-normalized'!M$3))/SUMMARIES!$M$13</f>
        <v>0</v>
      </c>
      <c r="N11" s="160">
        <f>(SUMIFS('Larvae Collection'!$Q:$Q, 'Larvae Collection'!$A:$A,'SPAWNING PLOTS-normalized'!$A11, 'Larvae Collection'!$C:$C, 'SPAWNING PLOTS-normalized'!N$3))/SUMMARIES!$M$14</f>
        <v>408</v>
      </c>
      <c r="O11" s="160">
        <f>(SUMIFS('Larvae Collection'!$Q:$Q, 'Larvae Collection'!$A:$A,'SPAWNING PLOTS-normalized'!$A11, 'Larvae Collection'!$C:$C, 'SPAWNING PLOTS-normalized'!O$3))/SUMMARIES!$M$15</f>
        <v>65.054945054945051</v>
      </c>
      <c r="P11" s="160">
        <f>(SUMIFS('Larvae Collection'!$Q:$Q, 'Larvae Collection'!$A:$A,'SPAWNING PLOTS-normalized'!$A11, 'Larvae Collection'!$C:$C, 'SPAWNING PLOTS-normalized'!P$3))/SUMMARIES!$M$16</f>
        <v>0</v>
      </c>
      <c r="Q11" s="160">
        <f>(SUMIFS('Larvae Collection'!$Q:$Q, 'Larvae Collection'!$A:$A,'SPAWNING PLOTS-normalized'!$A11, 'Larvae Collection'!$C:$C, 'SPAWNING PLOTS-normalized'!Q$3))/SUMMARIES!$M$17</f>
        <v>0</v>
      </c>
      <c r="R11" s="158">
        <f t="shared" si="0"/>
        <v>5187.8888888888887</v>
      </c>
      <c r="S11" s="158">
        <f t="shared" si="1"/>
        <v>9170.5777777777785</v>
      </c>
      <c r="T11" s="158">
        <f t="shared" si="2"/>
        <v>9137.8108108108117</v>
      </c>
      <c r="U11" s="158">
        <f t="shared" si="2"/>
        <v>2308.0392156862745</v>
      </c>
      <c r="V11" s="158">
        <f t="shared" si="2"/>
        <v>4173.472329472329</v>
      </c>
      <c r="W11" s="158">
        <f t="shared" si="2"/>
        <v>4461.6296296296296</v>
      </c>
      <c r="X11" s="158">
        <f t="shared" si="2"/>
        <v>9609.7948717948711</v>
      </c>
      <c r="Y11" s="158">
        <f t="shared" si="2"/>
        <v>6622.1951219512193</v>
      </c>
      <c r="Z11" s="158">
        <f t="shared" si="2"/>
        <v>0</v>
      </c>
      <c r="AA11" s="158">
        <f t="shared" si="2"/>
        <v>5008.2051282051289</v>
      </c>
      <c r="AB11" s="158">
        <f t="shared" si="2"/>
        <v>1994.3859649122805</v>
      </c>
      <c r="AC11" s="158">
        <f t="shared" si="2"/>
        <v>1470.5128205128203</v>
      </c>
      <c r="AD11" s="158">
        <f t="shared" si="2"/>
        <v>4898.060606060606</v>
      </c>
      <c r="AE11" s="158">
        <f t="shared" si="2"/>
        <v>6519.9096459096472</v>
      </c>
      <c r="AF11" s="158">
        <f t="shared" si="2"/>
        <v>4406.3703703703704</v>
      </c>
      <c r="AG11" s="158">
        <f t="shared" si="2"/>
        <v>4905.132275132275</v>
      </c>
    </row>
    <row r="12" spans="1:33" s="161" customFormat="1" ht="19" thickBot="1">
      <c r="A12" s="157">
        <v>43197</v>
      </c>
      <c r="B12" s="160">
        <f>(SUMIFS('Larvae Collection'!$Q:$Q, 'Larvae Collection'!$A:$A,'SPAWNING PLOTS-normalized'!$A12, 'Larvae Collection'!$C:$C, 'SPAWNING PLOTS-normalized'!B$3))/SUMMARIES!$M$2</f>
        <v>59.0625</v>
      </c>
      <c r="C12" s="160">
        <f>(SUMIFS('Larvae Collection'!$Q:$Q, 'Larvae Collection'!$A:$A,'SPAWNING PLOTS-normalized'!$A12, 'Larvae Collection'!$C:$C, 'SPAWNING PLOTS-normalized'!C$3))/SUMMARIES!$M$3</f>
        <v>68.933333333333337</v>
      </c>
      <c r="D12" s="160">
        <f>(SUMIFS('Larvae Collection'!$Q:$Q, 'Larvae Collection'!$A:$A,'SPAWNING PLOTS-normalized'!$A12, 'Larvae Collection'!$C:$C, 'SPAWNING PLOTS-normalized'!D$3))/SUMMARIES!$M$4</f>
        <v>143.38738738738738</v>
      </c>
      <c r="E12" s="160">
        <f>(SUMIFS('Larvae Collection'!$Q:$Q, 'Larvae Collection'!$A:$A,'SPAWNING PLOTS-normalized'!$A12, 'Larvae Collection'!$C:$C, 'SPAWNING PLOTS-normalized'!E$3))/SUMMARIES!$M$5</f>
        <v>56.470588235294116</v>
      </c>
      <c r="F12" s="160">
        <f>(SUMIFS('Larvae Collection'!$Q:$Q, 'Larvae Collection'!$A:$A,'SPAWNING PLOTS-normalized'!$A12, 'Larvae Collection'!$C:$C, 'SPAWNING PLOTS-normalized'!F$3))/SUMMARIES!$M$6</f>
        <v>181.76576576576579</v>
      </c>
      <c r="G12" s="160">
        <f>(SUMIFS('Larvae Collection'!$Q:$Q, 'Larvae Collection'!$A:$A,'SPAWNING PLOTS-normalized'!$A12, 'Larvae Collection'!$C:$C, 'SPAWNING PLOTS-normalized'!G$3))/SUMMARIES!$M$7</f>
        <v>0</v>
      </c>
      <c r="H12" s="160">
        <f>(SUMIFS('Larvae Collection'!$Q:$Q, 'Larvae Collection'!$A:$A,'SPAWNING PLOTS-normalized'!$A12, 'Larvae Collection'!$C:$C, 'SPAWNING PLOTS-normalized'!H$3))/SUMMARIES!$M$8</f>
        <v>5866.666666666667</v>
      </c>
      <c r="I12" s="160">
        <f>(SUMIFS('Larvae Collection'!$Q:$Q, 'Larvae Collection'!$A:$A,'SPAWNING PLOTS-normalized'!$A12, 'Larvae Collection'!$C:$C, 'SPAWNING PLOTS-normalized'!I$3))/SUMMARIES!$M$9</f>
        <v>868.83468834688335</v>
      </c>
      <c r="J12" s="160">
        <f>(SUMIFS('Larvae Collection'!$Q:$Q, 'Larvae Collection'!$A:$A,'SPAWNING PLOTS-normalized'!$A12, 'Larvae Collection'!$C:$C, 'SPAWNING PLOTS-normalized'!J$3))/SUMMARIES!$M$10</f>
        <v>914.90909090909088</v>
      </c>
      <c r="K12" s="160">
        <f>(SUMIFS('Larvae Collection'!$Q:$Q, 'Larvae Collection'!$A:$A,'SPAWNING PLOTS-normalized'!$A12, 'Larvae Collection'!$C:$C, 'SPAWNING PLOTS-normalized'!K$3))/SUMMARIES!$M$11</f>
        <v>184.61538461538461</v>
      </c>
      <c r="L12" s="160">
        <f>(SUMIFS('Larvae Collection'!$Q:$Q, 'Larvae Collection'!$A:$A,'SPAWNING PLOTS-normalized'!$A12, 'Larvae Collection'!$C:$C, 'SPAWNING PLOTS-normalized'!L$3))/SUMMARIES!$M$12</f>
        <v>967.71929824561414</v>
      </c>
      <c r="M12" s="160">
        <f>(SUMIFS('Larvae Collection'!$Q:$Q, 'Larvae Collection'!$A:$A,'SPAWNING PLOTS-normalized'!$A12, 'Larvae Collection'!$C:$C, 'SPAWNING PLOTS-normalized'!M$3))/SUMMARIES!$M$13</f>
        <v>0</v>
      </c>
      <c r="N12" s="160">
        <f>(SUMIFS('Larvae Collection'!$Q:$Q, 'Larvae Collection'!$A:$A,'SPAWNING PLOTS-normalized'!$A12, 'Larvae Collection'!$C:$C, 'SPAWNING PLOTS-normalized'!N$3))/SUMMARIES!$M$14</f>
        <v>0</v>
      </c>
      <c r="O12" s="160">
        <f>(SUMIFS('Larvae Collection'!$Q:$Q, 'Larvae Collection'!$A:$A,'SPAWNING PLOTS-normalized'!$A12, 'Larvae Collection'!$C:$C, 'SPAWNING PLOTS-normalized'!O$3))/SUMMARIES!$M$15</f>
        <v>1756.4102564102564</v>
      </c>
      <c r="P12" s="160">
        <f>(SUMIFS('Larvae Collection'!$Q:$Q, 'Larvae Collection'!$A:$A,'SPAWNING PLOTS-normalized'!$A12, 'Larvae Collection'!$C:$C, 'SPAWNING PLOTS-normalized'!P$3))/SUMMARIES!$M$16</f>
        <v>524.44444444444446</v>
      </c>
      <c r="Q12" s="160">
        <f>(SUMIFS('Larvae Collection'!$Q:$Q, 'Larvae Collection'!$A:$A,'SPAWNING PLOTS-normalized'!$A12, 'Larvae Collection'!$C:$C, 'SPAWNING PLOTS-normalized'!Q$3))/SUMMARIES!$M$17</f>
        <v>4488.0952380952385</v>
      </c>
      <c r="R12" s="158">
        <f t="shared" si="0"/>
        <v>5246.9513888888887</v>
      </c>
      <c r="S12" s="158">
        <f t="shared" si="1"/>
        <v>9239.5111111111109</v>
      </c>
      <c r="T12" s="158">
        <f t="shared" si="2"/>
        <v>9281.198198198199</v>
      </c>
      <c r="U12" s="158">
        <f t="shared" si="2"/>
        <v>2364.5098039215686</v>
      </c>
      <c r="V12" s="158">
        <f t="shared" si="2"/>
        <v>4355.2380952380945</v>
      </c>
      <c r="W12" s="158">
        <f t="shared" si="2"/>
        <v>4461.6296296296296</v>
      </c>
      <c r="X12" s="158">
        <f t="shared" si="2"/>
        <v>15476.461538461539</v>
      </c>
      <c r="Y12" s="158">
        <f t="shared" si="2"/>
        <v>7491.0298102981023</v>
      </c>
      <c r="Z12" s="158">
        <f t="shared" si="2"/>
        <v>914.90909090909088</v>
      </c>
      <c r="AA12" s="158">
        <f t="shared" si="2"/>
        <v>5192.8205128205136</v>
      </c>
      <c r="AB12" s="158">
        <f t="shared" si="2"/>
        <v>2962.1052631578946</v>
      </c>
      <c r="AC12" s="158">
        <f t="shared" si="2"/>
        <v>1470.5128205128203</v>
      </c>
      <c r="AD12" s="158">
        <f t="shared" si="2"/>
        <v>4898.060606060606</v>
      </c>
      <c r="AE12" s="158">
        <f t="shared" si="2"/>
        <v>8276.3199023199031</v>
      </c>
      <c r="AF12" s="158">
        <f t="shared" si="2"/>
        <v>4930.8148148148148</v>
      </c>
      <c r="AG12" s="158">
        <f t="shared" si="2"/>
        <v>9393.2275132275136</v>
      </c>
    </row>
    <row r="13" spans="1:33" ht="19" thickTop="1">
      <c r="A13" s="157">
        <v>43198</v>
      </c>
      <c r="B13" s="160">
        <f>(SUMIFS('Larvae Collection'!$Q:$Q, 'Larvae Collection'!$A:$A,'SPAWNING PLOTS-normalized'!$A13, 'Larvae Collection'!$C:$C, 'SPAWNING PLOTS-normalized'!B$3))/SUMMARIES!$M$2</f>
        <v>12933.333333333334</v>
      </c>
      <c r="C13" s="160">
        <f>(SUMIFS('Larvae Collection'!$Q:$Q, 'Larvae Collection'!$A:$A,'SPAWNING PLOTS-normalized'!$A13, 'Larvae Collection'!$C:$C, 'SPAWNING PLOTS-normalized'!C$3))/SUMMARIES!$M$3</f>
        <v>9126.6666666666661</v>
      </c>
      <c r="D13" s="160">
        <f>(SUMIFS('Larvae Collection'!$Q:$Q, 'Larvae Collection'!$A:$A,'SPAWNING PLOTS-normalized'!$A13, 'Larvae Collection'!$C:$C, 'SPAWNING PLOTS-normalized'!D$3))/SUMMARIES!$M$4</f>
        <v>0</v>
      </c>
      <c r="E13" s="160">
        <f>(SUMIFS('Larvae Collection'!$Q:$Q, 'Larvae Collection'!$A:$A,'SPAWNING PLOTS-normalized'!$A13, 'Larvae Collection'!$C:$C, 'SPAWNING PLOTS-normalized'!E$3))/SUMMARIES!$M$5</f>
        <v>1400</v>
      </c>
      <c r="F13" s="160">
        <f>(SUMIFS('Larvae Collection'!$Q:$Q, 'Larvae Collection'!$A:$A,'SPAWNING PLOTS-normalized'!$A13, 'Larvae Collection'!$C:$C, 'SPAWNING PLOTS-normalized'!F$3))/SUMMARIES!$M$6</f>
        <v>1399.8198198198197</v>
      </c>
      <c r="G13" s="160">
        <f>(SUMIFS('Larvae Collection'!$Q:$Q, 'Larvae Collection'!$A:$A,'SPAWNING PLOTS-normalized'!$A13, 'Larvae Collection'!$C:$C, 'SPAWNING PLOTS-normalized'!G$3))/SUMMARIES!$M$7</f>
        <v>3640</v>
      </c>
      <c r="H13" s="160">
        <f>(SUMIFS('Larvae Collection'!$Q:$Q, 'Larvae Collection'!$A:$A,'SPAWNING PLOTS-normalized'!$A13, 'Larvae Collection'!$C:$C, 'SPAWNING PLOTS-normalized'!H$3))/SUMMARIES!$M$8</f>
        <v>0</v>
      </c>
      <c r="I13" s="160">
        <f>(SUMIFS('Larvae Collection'!$Q:$Q, 'Larvae Collection'!$A:$A,'SPAWNING PLOTS-normalized'!$A13, 'Larvae Collection'!$C:$C, 'SPAWNING PLOTS-normalized'!I$3))/SUMMARIES!$M$9</f>
        <v>1507.8455284552847</v>
      </c>
      <c r="J13" s="160">
        <f>(SUMIFS('Larvae Collection'!$Q:$Q, 'Larvae Collection'!$A:$A,'SPAWNING PLOTS-normalized'!$A13, 'Larvae Collection'!$C:$C, 'SPAWNING PLOTS-normalized'!J$3))/SUMMARIES!$M$10</f>
        <v>6810.5050505050513</v>
      </c>
      <c r="K13" s="160">
        <f>(SUMIFS('Larvae Collection'!$Q:$Q, 'Larvae Collection'!$A:$A,'SPAWNING PLOTS-normalized'!$A13, 'Larvae Collection'!$C:$C, 'SPAWNING PLOTS-normalized'!K$3))/SUMMARIES!$M$11</f>
        <v>2839.8290598290596</v>
      </c>
      <c r="L13" s="160">
        <f>(SUMIFS('Larvae Collection'!$Q:$Q, 'Larvae Collection'!$A:$A,'SPAWNING PLOTS-normalized'!$A13, 'Larvae Collection'!$C:$C, 'SPAWNING PLOTS-normalized'!L$3))/SUMMARIES!$M$12</f>
        <v>3590.5263157894738</v>
      </c>
      <c r="M13" s="160">
        <f>(SUMIFS('Larvae Collection'!$Q:$Q, 'Larvae Collection'!$A:$A,'SPAWNING PLOTS-normalized'!$A13, 'Larvae Collection'!$C:$C, 'SPAWNING PLOTS-normalized'!M$3))/SUMMARIES!$M$13</f>
        <v>0</v>
      </c>
      <c r="N13" s="160">
        <f>(SUMIFS('Larvae Collection'!$Q:$Q, 'Larvae Collection'!$A:$A,'SPAWNING PLOTS-normalized'!$A13, 'Larvae Collection'!$C:$C, 'SPAWNING PLOTS-normalized'!N$3))/SUMMARIES!$M$14</f>
        <v>7054.545454545455</v>
      </c>
      <c r="O13" s="160">
        <f>(SUMIFS('Larvae Collection'!$Q:$Q, 'Larvae Collection'!$A:$A,'SPAWNING PLOTS-normalized'!$A13, 'Larvae Collection'!$C:$C, 'SPAWNING PLOTS-normalized'!O$3))/SUMMARIES!$M$15</f>
        <v>2754.8717948717949</v>
      </c>
      <c r="P13" s="160">
        <f>(SUMIFS('Larvae Collection'!$Q:$Q, 'Larvae Collection'!$A:$A,'SPAWNING PLOTS-normalized'!$A13, 'Larvae Collection'!$C:$C, 'SPAWNING PLOTS-normalized'!P$3))/SUMMARIES!$M$16</f>
        <v>537.03703703703707</v>
      </c>
      <c r="Q13" s="160">
        <f>(SUMIFS('Larvae Collection'!$Q:$Q, 'Larvae Collection'!$A:$A,'SPAWNING PLOTS-normalized'!$A13, 'Larvae Collection'!$C:$C, 'SPAWNING PLOTS-normalized'!Q$3))/SUMMARIES!$M$17</f>
        <v>862.5</v>
      </c>
      <c r="R13" s="158">
        <f t="shared" si="0"/>
        <v>18180.284722222223</v>
      </c>
      <c r="S13" s="158">
        <f t="shared" si="1"/>
        <v>18366.177777777775</v>
      </c>
      <c r="T13" s="158">
        <f t="shared" si="2"/>
        <v>9281.198198198199</v>
      </c>
      <c r="U13" s="158">
        <f t="shared" si="2"/>
        <v>3764.5098039215686</v>
      </c>
      <c r="V13" s="158">
        <f t="shared" si="2"/>
        <v>5755.0579150579142</v>
      </c>
      <c r="W13" s="158">
        <f t="shared" si="2"/>
        <v>8101.6296296296296</v>
      </c>
      <c r="X13" s="158">
        <f t="shared" si="2"/>
        <v>15476.461538461539</v>
      </c>
      <c r="Y13" s="158">
        <f t="shared" si="2"/>
        <v>8998.875338753387</v>
      </c>
      <c r="Z13" s="158">
        <f t="shared" si="2"/>
        <v>7725.4141414141423</v>
      </c>
      <c r="AA13" s="158">
        <f t="shared" si="2"/>
        <v>8032.6495726495732</v>
      </c>
      <c r="AB13" s="158">
        <f t="shared" si="2"/>
        <v>6552.6315789473683</v>
      </c>
      <c r="AC13" s="158">
        <f t="shared" si="2"/>
        <v>1470.5128205128203</v>
      </c>
      <c r="AD13" s="158">
        <f t="shared" si="2"/>
        <v>11952.60606060606</v>
      </c>
      <c r="AE13" s="158">
        <f t="shared" si="2"/>
        <v>11031.191697191698</v>
      </c>
      <c r="AF13" s="158">
        <f t="shared" si="2"/>
        <v>5467.8518518518522</v>
      </c>
      <c r="AG13" s="158">
        <f t="shared" si="2"/>
        <v>10255.727513227514</v>
      </c>
    </row>
    <row r="14" spans="1:33" ht="18">
      <c r="A14" s="157">
        <v>43199</v>
      </c>
      <c r="B14" s="160">
        <f>(SUMIFS('Larvae Collection'!$Q:$Q, 'Larvae Collection'!$A:$A,'SPAWNING PLOTS-normalized'!$A14, 'Larvae Collection'!$C:$C, 'SPAWNING PLOTS-normalized'!B$3))/SUMMARIES!$M$2</f>
        <v>528.64583333333326</v>
      </c>
      <c r="C14" s="160">
        <f>(SUMIFS('Larvae Collection'!$Q:$Q, 'Larvae Collection'!$A:$A,'SPAWNING PLOTS-normalized'!$A14, 'Larvae Collection'!$C:$C, 'SPAWNING PLOTS-normalized'!C$3))/SUMMARIES!$M$3</f>
        <v>0</v>
      </c>
      <c r="D14" s="160">
        <f>(SUMIFS('Larvae Collection'!$Q:$Q, 'Larvae Collection'!$A:$A,'SPAWNING PLOTS-normalized'!$A14, 'Larvae Collection'!$C:$C, 'SPAWNING PLOTS-normalized'!D$3))/SUMMARIES!$M$4</f>
        <v>0</v>
      </c>
      <c r="E14" s="160">
        <f>(SUMIFS('Larvae Collection'!$Q:$Q, 'Larvae Collection'!$A:$A,'SPAWNING PLOTS-normalized'!$A14, 'Larvae Collection'!$C:$C, 'SPAWNING PLOTS-normalized'!E$3))/SUMMARIES!$M$5</f>
        <v>0</v>
      </c>
      <c r="F14" s="160">
        <f>(SUMIFS('Larvae Collection'!$Q:$Q, 'Larvae Collection'!$A:$A,'SPAWNING PLOTS-normalized'!$A14, 'Larvae Collection'!$C:$C, 'SPAWNING PLOTS-normalized'!F$3))/SUMMARIES!$M$6</f>
        <v>0</v>
      </c>
      <c r="G14" s="160">
        <f>(SUMIFS('Larvae Collection'!$Q:$Q, 'Larvae Collection'!$A:$A,'SPAWNING PLOTS-normalized'!$A14, 'Larvae Collection'!$C:$C, 'SPAWNING PLOTS-normalized'!G$3))/SUMMARIES!$M$7</f>
        <v>4511.1111111111113</v>
      </c>
      <c r="H14" s="160">
        <f>(SUMIFS('Larvae Collection'!$Q:$Q, 'Larvae Collection'!$A:$A,'SPAWNING PLOTS-normalized'!$A14, 'Larvae Collection'!$C:$C, 'SPAWNING PLOTS-normalized'!H$3))/SUMMARIES!$M$8</f>
        <v>0</v>
      </c>
      <c r="I14" s="160">
        <f>(SUMIFS('Larvae Collection'!$Q:$Q, 'Larvae Collection'!$A:$A,'SPAWNING PLOTS-normalized'!$A14, 'Larvae Collection'!$C:$C, 'SPAWNING PLOTS-normalized'!I$3))/SUMMARIES!$M$9</f>
        <v>1246.7208672086722</v>
      </c>
      <c r="J14" s="160">
        <f>(SUMIFS('Larvae Collection'!$Q:$Q, 'Larvae Collection'!$A:$A,'SPAWNING PLOTS-normalized'!$A14, 'Larvae Collection'!$C:$C, 'SPAWNING PLOTS-normalized'!J$3))/SUMMARIES!$M$10</f>
        <v>1505.0505050505053</v>
      </c>
      <c r="K14" s="160">
        <f>(SUMIFS('Larvae Collection'!$Q:$Q, 'Larvae Collection'!$A:$A,'SPAWNING PLOTS-normalized'!$A14, 'Larvae Collection'!$C:$C, 'SPAWNING PLOTS-normalized'!K$3))/SUMMARIES!$M$11</f>
        <v>415.38461538461536</v>
      </c>
      <c r="L14" s="160">
        <f>(SUMIFS('Larvae Collection'!$Q:$Q, 'Larvae Collection'!$A:$A,'SPAWNING PLOTS-normalized'!$A14, 'Larvae Collection'!$C:$C, 'SPAWNING PLOTS-normalized'!L$3))/SUMMARIES!$M$12</f>
        <v>2680</v>
      </c>
      <c r="M14" s="160">
        <f>(SUMIFS('Larvae Collection'!$Q:$Q, 'Larvae Collection'!$A:$A,'SPAWNING PLOTS-normalized'!$A14, 'Larvae Collection'!$C:$C, 'SPAWNING PLOTS-normalized'!M$3))/SUMMARIES!$M$13</f>
        <v>0</v>
      </c>
      <c r="N14" s="160">
        <f>(SUMIFS('Larvae Collection'!$Q:$Q, 'Larvae Collection'!$A:$A,'SPAWNING PLOTS-normalized'!$A14, 'Larvae Collection'!$C:$C, 'SPAWNING PLOTS-normalized'!N$3))/SUMMARIES!$M$14</f>
        <v>4081.212121212121</v>
      </c>
      <c r="O14" s="160">
        <f>(SUMIFS('Larvae Collection'!$Q:$Q, 'Larvae Collection'!$A:$A,'SPAWNING PLOTS-normalized'!$A14, 'Larvae Collection'!$C:$C, 'SPAWNING PLOTS-normalized'!O$3))/SUMMARIES!$M$15</f>
        <v>0</v>
      </c>
      <c r="P14" s="160">
        <f>(SUMIFS('Larvae Collection'!$Q:$Q, 'Larvae Collection'!$A:$A,'SPAWNING PLOTS-normalized'!$A14, 'Larvae Collection'!$C:$C, 'SPAWNING PLOTS-normalized'!P$3))/SUMMARIES!$M$16</f>
        <v>173.33333333333331</v>
      </c>
      <c r="Q14" s="160">
        <f>(SUMIFS('Larvae Collection'!$Q:$Q, 'Larvae Collection'!$A:$A,'SPAWNING PLOTS-normalized'!$A14, 'Larvae Collection'!$C:$C, 'SPAWNING PLOTS-normalized'!Q$3))/SUMMARIES!$M$17</f>
        <v>1493.3333333333333</v>
      </c>
      <c r="R14" s="158">
        <f t="shared" si="0"/>
        <v>18708.930555555555</v>
      </c>
      <c r="S14" s="158">
        <f t="shared" si="1"/>
        <v>18366.177777777775</v>
      </c>
      <c r="T14" s="158">
        <f t="shared" si="2"/>
        <v>9281.198198198199</v>
      </c>
      <c r="U14" s="158">
        <f t="shared" si="2"/>
        <v>3764.5098039215686</v>
      </c>
      <c r="V14" s="158">
        <f t="shared" si="2"/>
        <v>5755.0579150579142</v>
      </c>
      <c r="W14" s="158">
        <f t="shared" si="2"/>
        <v>12612.740740740741</v>
      </c>
      <c r="X14" s="158">
        <f t="shared" si="2"/>
        <v>15476.461538461539</v>
      </c>
      <c r="Y14" s="158">
        <f t="shared" si="2"/>
        <v>10245.59620596206</v>
      </c>
      <c r="Z14" s="158">
        <f t="shared" si="2"/>
        <v>9230.4646464646466</v>
      </c>
      <c r="AA14" s="158">
        <f t="shared" si="2"/>
        <v>8448.0341880341894</v>
      </c>
      <c r="AB14" s="158">
        <f t="shared" si="2"/>
        <v>9232.6315789473683</v>
      </c>
      <c r="AC14" s="158">
        <f t="shared" si="2"/>
        <v>1470.5128205128203</v>
      </c>
      <c r="AD14" s="158">
        <f t="shared" si="2"/>
        <v>16033.81818181818</v>
      </c>
      <c r="AE14" s="158">
        <f t="shared" si="2"/>
        <v>11031.191697191698</v>
      </c>
      <c r="AF14" s="158">
        <f t="shared" si="2"/>
        <v>5641.1851851851852</v>
      </c>
      <c r="AG14" s="158">
        <f t="shared" si="2"/>
        <v>11749.060846560847</v>
      </c>
    </row>
    <row r="15" spans="1:33" ht="18">
      <c r="A15" s="157">
        <v>43200</v>
      </c>
      <c r="B15" s="160">
        <f>(SUMIFS('Larvae Collection'!$Q:$Q, 'Larvae Collection'!$A:$A,'SPAWNING PLOTS-normalized'!$A15, 'Larvae Collection'!$C:$C, 'SPAWNING PLOTS-normalized'!B$3))/SUMMARIES!$M$2</f>
        <v>80.952380952380963</v>
      </c>
      <c r="C15" s="160">
        <f>(SUMIFS('Larvae Collection'!$Q:$Q, 'Larvae Collection'!$A:$A,'SPAWNING PLOTS-normalized'!$A15, 'Larvae Collection'!$C:$C, 'SPAWNING PLOTS-normalized'!C$3))/SUMMARIES!$M$3</f>
        <v>0</v>
      </c>
      <c r="D15" s="160">
        <f>(SUMIFS('Larvae Collection'!$Q:$Q, 'Larvae Collection'!$A:$A,'SPAWNING PLOTS-normalized'!$A15, 'Larvae Collection'!$C:$C, 'SPAWNING PLOTS-normalized'!D$3))/SUMMARIES!$M$4</f>
        <v>0</v>
      </c>
      <c r="E15" s="160">
        <f>(SUMIFS('Larvae Collection'!$Q:$Q, 'Larvae Collection'!$A:$A,'SPAWNING PLOTS-normalized'!$A15, 'Larvae Collection'!$C:$C, 'SPAWNING PLOTS-normalized'!E$3))/SUMMARIES!$M$5</f>
        <v>1350.9803921568628</v>
      </c>
      <c r="F15" s="160">
        <f>(SUMIFS('Larvae Collection'!$Q:$Q, 'Larvae Collection'!$A:$A,'SPAWNING PLOTS-normalized'!$A15, 'Larvae Collection'!$C:$C, 'SPAWNING PLOTS-normalized'!F$3))/SUMMARIES!$M$6</f>
        <v>3828.8288288288286</v>
      </c>
      <c r="G15" s="160">
        <f>(SUMIFS('Larvae Collection'!$Q:$Q, 'Larvae Collection'!$A:$A,'SPAWNING PLOTS-normalized'!$A15, 'Larvae Collection'!$C:$C, 'SPAWNING PLOTS-normalized'!G$3))/SUMMARIES!$M$7</f>
        <v>188.14814814814818</v>
      </c>
      <c r="H15" s="160">
        <f>(SUMIFS('Larvae Collection'!$Q:$Q, 'Larvae Collection'!$A:$A,'SPAWNING PLOTS-normalized'!$A15, 'Larvae Collection'!$C:$C, 'SPAWNING PLOTS-normalized'!H$3))/SUMMARIES!$M$8</f>
        <v>0</v>
      </c>
      <c r="I15" s="160">
        <f>(SUMIFS('Larvae Collection'!$Q:$Q, 'Larvae Collection'!$A:$A,'SPAWNING PLOTS-normalized'!$A15, 'Larvae Collection'!$C:$C, 'SPAWNING PLOTS-normalized'!I$3))/SUMMARIES!$M$9</f>
        <v>0</v>
      </c>
      <c r="J15" s="160">
        <f>(SUMIFS('Larvae Collection'!$Q:$Q, 'Larvae Collection'!$A:$A,'SPAWNING PLOTS-normalized'!$A15, 'Larvae Collection'!$C:$C, 'SPAWNING PLOTS-normalized'!J$3))/SUMMARIES!$M$10</f>
        <v>1946.5319865319868</v>
      </c>
      <c r="K15" s="160">
        <f>(SUMIFS('Larvae Collection'!$Q:$Q, 'Larvae Collection'!$A:$A,'SPAWNING PLOTS-normalized'!$A15, 'Larvae Collection'!$C:$C, 'SPAWNING PLOTS-normalized'!K$3))/SUMMARIES!$M$11</f>
        <v>4710.2564102564093</v>
      </c>
      <c r="L15" s="160">
        <f>(SUMIFS('Larvae Collection'!$Q:$Q, 'Larvae Collection'!$A:$A,'SPAWNING PLOTS-normalized'!$A15, 'Larvae Collection'!$C:$C, 'SPAWNING PLOTS-normalized'!L$3))/SUMMARIES!$M$12</f>
        <v>1599.2982456140353</v>
      </c>
      <c r="M15" s="160">
        <f>(SUMIFS('Larvae Collection'!$Q:$Q, 'Larvae Collection'!$A:$A,'SPAWNING PLOTS-normalized'!$A15, 'Larvae Collection'!$C:$C, 'SPAWNING PLOTS-normalized'!M$3))/SUMMARIES!$M$13</f>
        <v>0</v>
      </c>
      <c r="N15" s="160">
        <f>(SUMIFS('Larvae Collection'!$Q:$Q, 'Larvae Collection'!$A:$A,'SPAWNING PLOTS-normalized'!$A15, 'Larvae Collection'!$C:$C, 'SPAWNING PLOTS-normalized'!N$3))/SUMMARIES!$M$14</f>
        <v>1995.9595959595963</v>
      </c>
      <c r="O15" s="160">
        <f>(SUMIFS('Larvae Collection'!$Q:$Q, 'Larvae Collection'!$A:$A,'SPAWNING PLOTS-normalized'!$A15, 'Larvae Collection'!$C:$C, 'SPAWNING PLOTS-normalized'!O$3))/SUMMARIES!$M$15</f>
        <v>0</v>
      </c>
      <c r="P15" s="160">
        <f>(SUMIFS('Larvae Collection'!$Q:$Q, 'Larvae Collection'!$A:$A,'SPAWNING PLOTS-normalized'!$A15, 'Larvae Collection'!$C:$C, 'SPAWNING PLOTS-normalized'!P$3))/SUMMARIES!$M$16</f>
        <v>0</v>
      </c>
      <c r="Q15" s="160">
        <f>(SUMIFS('Larvae Collection'!$Q:$Q, 'Larvae Collection'!$A:$A,'SPAWNING PLOTS-normalized'!$A15, 'Larvae Collection'!$C:$C, 'SPAWNING PLOTS-normalized'!Q$3))/SUMMARIES!$M$17</f>
        <v>4272.6984126984125</v>
      </c>
      <c r="R15" s="158">
        <f t="shared" si="0"/>
        <v>18789.882936507936</v>
      </c>
      <c r="S15" s="158">
        <f t="shared" si="1"/>
        <v>18366.177777777775</v>
      </c>
      <c r="T15" s="158">
        <f t="shared" si="2"/>
        <v>9281.198198198199</v>
      </c>
      <c r="U15" s="158">
        <f t="shared" si="2"/>
        <v>5115.4901960784318</v>
      </c>
      <c r="V15" s="158">
        <f t="shared" si="2"/>
        <v>9583.8867438867419</v>
      </c>
      <c r="W15" s="158">
        <f t="shared" si="2"/>
        <v>12800.888888888889</v>
      </c>
      <c r="X15" s="158">
        <f t="shared" si="2"/>
        <v>15476.461538461539</v>
      </c>
      <c r="Y15" s="158">
        <f t="shared" si="2"/>
        <v>10245.59620596206</v>
      </c>
      <c r="Z15" s="158">
        <f t="shared" si="2"/>
        <v>11176.996632996634</v>
      </c>
      <c r="AA15" s="158">
        <f t="shared" si="2"/>
        <v>13158.290598290598</v>
      </c>
      <c r="AB15" s="158">
        <f t="shared" si="2"/>
        <v>10831.929824561405</v>
      </c>
      <c r="AC15" s="158">
        <f t="shared" si="2"/>
        <v>1470.5128205128203</v>
      </c>
      <c r="AD15" s="158">
        <f t="shared" si="2"/>
        <v>18029.777777777777</v>
      </c>
      <c r="AE15" s="158">
        <f t="shared" si="2"/>
        <v>11031.191697191698</v>
      </c>
      <c r="AF15" s="158">
        <f t="shared" si="2"/>
        <v>5641.1851851851852</v>
      </c>
      <c r="AG15" s="158">
        <f t="shared" si="2"/>
        <v>16021.759259259259</v>
      </c>
    </row>
    <row r="16" spans="1:33" ht="18">
      <c r="A16" s="157">
        <v>43201</v>
      </c>
      <c r="B16" s="160">
        <f>(SUMIFS('Larvae Collection'!$Q:$Q, 'Larvae Collection'!$A:$A,'SPAWNING PLOTS-normalized'!$A16, 'Larvae Collection'!$C:$C, 'SPAWNING PLOTS-normalized'!B$3))/SUMMARIES!$M$2</f>
        <v>0</v>
      </c>
      <c r="C16" s="160">
        <f>(SUMIFS('Larvae Collection'!$Q:$Q, 'Larvae Collection'!$A:$A,'SPAWNING PLOTS-normalized'!$A16, 'Larvae Collection'!$C:$C, 'SPAWNING PLOTS-normalized'!C$3))/SUMMARIES!$M$3</f>
        <v>0</v>
      </c>
      <c r="D16" s="160">
        <f>(SUMIFS('Larvae Collection'!$Q:$Q, 'Larvae Collection'!$A:$A,'SPAWNING PLOTS-normalized'!$A16, 'Larvae Collection'!$C:$C, 'SPAWNING PLOTS-normalized'!D$3))/SUMMARIES!$M$4</f>
        <v>0</v>
      </c>
      <c r="E16" s="160">
        <f>(SUMIFS('Larvae Collection'!$Q:$Q, 'Larvae Collection'!$A:$A,'SPAWNING PLOTS-normalized'!$A16, 'Larvae Collection'!$C:$C, 'SPAWNING PLOTS-normalized'!E$3))/SUMMARIES!$M$5</f>
        <v>0</v>
      </c>
      <c r="F16" s="160">
        <f>(SUMIFS('Larvae Collection'!$Q:$Q, 'Larvae Collection'!$A:$A,'SPAWNING PLOTS-normalized'!$A16, 'Larvae Collection'!$C:$C, 'SPAWNING PLOTS-normalized'!F$3))/SUMMARIES!$M$6</f>
        <v>0</v>
      </c>
      <c r="G16" s="160">
        <f>(SUMIFS('Larvae Collection'!$Q:$Q, 'Larvae Collection'!$A:$A,'SPAWNING PLOTS-normalized'!$A16, 'Larvae Collection'!$C:$C, 'SPAWNING PLOTS-normalized'!G$3))/SUMMARIES!$M$7</f>
        <v>0</v>
      </c>
      <c r="H16" s="160">
        <f>(SUMIFS('Larvae Collection'!$Q:$Q, 'Larvae Collection'!$A:$A,'SPAWNING PLOTS-normalized'!$A16, 'Larvae Collection'!$C:$C, 'SPAWNING PLOTS-normalized'!H$3))/SUMMARIES!$M$8</f>
        <v>777.43589743589746</v>
      </c>
      <c r="I16" s="160">
        <f>(SUMIFS('Larvae Collection'!$Q:$Q, 'Larvae Collection'!$A:$A,'SPAWNING PLOTS-normalized'!$A16, 'Larvae Collection'!$C:$C, 'SPAWNING PLOTS-normalized'!I$3))/SUMMARIES!$M$9</f>
        <v>544.97560975609758</v>
      </c>
      <c r="J16" s="160">
        <f>(SUMIFS('Larvae Collection'!$Q:$Q, 'Larvae Collection'!$A:$A,'SPAWNING PLOTS-normalized'!$A16, 'Larvae Collection'!$C:$C, 'SPAWNING PLOTS-normalized'!J$3))/SUMMARIES!$M$10</f>
        <v>0</v>
      </c>
      <c r="K16" s="160">
        <f>(SUMIFS('Larvae Collection'!$Q:$Q, 'Larvae Collection'!$A:$A,'SPAWNING PLOTS-normalized'!$A16, 'Larvae Collection'!$C:$C, 'SPAWNING PLOTS-normalized'!K$3))/SUMMARIES!$M$11</f>
        <v>0</v>
      </c>
      <c r="L16" s="160">
        <f>(SUMIFS('Larvae Collection'!$Q:$Q, 'Larvae Collection'!$A:$A,'SPAWNING PLOTS-normalized'!$A16, 'Larvae Collection'!$C:$C, 'SPAWNING PLOTS-normalized'!L$3))/SUMMARIES!$M$12</f>
        <v>0</v>
      </c>
      <c r="M16" s="160">
        <f>(SUMIFS('Larvae Collection'!$Q:$Q, 'Larvae Collection'!$A:$A,'SPAWNING PLOTS-normalized'!$A16, 'Larvae Collection'!$C:$C, 'SPAWNING PLOTS-normalized'!M$3))/SUMMARIES!$M$13</f>
        <v>0</v>
      </c>
      <c r="N16" s="160">
        <f>(SUMIFS('Larvae Collection'!$Q:$Q, 'Larvae Collection'!$A:$A,'SPAWNING PLOTS-normalized'!$A16, 'Larvae Collection'!$C:$C, 'SPAWNING PLOTS-normalized'!N$3))/SUMMARIES!$M$14</f>
        <v>0</v>
      </c>
      <c r="O16" s="160">
        <f>(SUMIFS('Larvae Collection'!$Q:$Q, 'Larvae Collection'!$A:$A,'SPAWNING PLOTS-normalized'!$A16, 'Larvae Collection'!$C:$C, 'SPAWNING PLOTS-normalized'!O$3))/SUMMARIES!$M$15</f>
        <v>0</v>
      </c>
      <c r="P16" s="160">
        <f>(SUMIFS('Larvae Collection'!$Q:$Q, 'Larvae Collection'!$A:$A,'SPAWNING PLOTS-normalized'!$A16, 'Larvae Collection'!$C:$C, 'SPAWNING PLOTS-normalized'!P$3))/SUMMARIES!$M$16</f>
        <v>0</v>
      </c>
      <c r="Q16" s="160">
        <f>(SUMIFS('Larvae Collection'!$Q:$Q, 'Larvae Collection'!$A:$A,'SPAWNING PLOTS-normalized'!$A16, 'Larvae Collection'!$C:$C, 'SPAWNING PLOTS-normalized'!Q$3))/SUMMARIES!$M$17</f>
        <v>369.84126984126988</v>
      </c>
      <c r="R16" s="158">
        <f t="shared" si="0"/>
        <v>18789.882936507936</v>
      </c>
      <c r="S16" s="158">
        <f t="shared" si="1"/>
        <v>18366.177777777775</v>
      </c>
      <c r="T16" s="158">
        <f t="shared" si="2"/>
        <v>9281.198198198199</v>
      </c>
      <c r="U16" s="158">
        <f t="shared" si="2"/>
        <v>5115.4901960784318</v>
      </c>
      <c r="V16" s="158">
        <f t="shared" si="2"/>
        <v>9583.8867438867419</v>
      </c>
      <c r="W16" s="158">
        <f t="shared" si="2"/>
        <v>12800.888888888889</v>
      </c>
      <c r="X16" s="158">
        <f t="shared" si="2"/>
        <v>16253.897435897437</v>
      </c>
      <c r="Y16" s="158">
        <f t="shared" si="2"/>
        <v>10790.571815718158</v>
      </c>
      <c r="Z16" s="158">
        <f t="shared" si="2"/>
        <v>11176.996632996634</v>
      </c>
      <c r="AA16" s="158">
        <f t="shared" si="2"/>
        <v>13158.290598290598</v>
      </c>
      <c r="AB16" s="158">
        <f t="shared" si="2"/>
        <v>10831.929824561405</v>
      </c>
      <c r="AC16" s="158">
        <f t="shared" si="2"/>
        <v>1470.5128205128203</v>
      </c>
      <c r="AD16" s="158">
        <f t="shared" si="2"/>
        <v>18029.777777777777</v>
      </c>
      <c r="AE16" s="158">
        <f t="shared" si="2"/>
        <v>11031.191697191698</v>
      </c>
      <c r="AF16" s="158">
        <f t="shared" si="2"/>
        <v>5641.1851851851852</v>
      </c>
      <c r="AG16" s="158">
        <f t="shared" si="2"/>
        <v>16391.600529100528</v>
      </c>
    </row>
    <row r="17" spans="1:33" ht="18">
      <c r="A17" s="157">
        <v>43202</v>
      </c>
      <c r="B17" s="160">
        <f>(SUMIFS('Larvae Collection'!$Q:$Q, 'Larvae Collection'!$A:$A,'SPAWNING PLOTS-normalized'!$A17, 'Larvae Collection'!$C:$C, 'SPAWNING PLOTS-normalized'!B$3))/SUMMARIES!$M$2</f>
        <v>969.79166666666674</v>
      </c>
      <c r="C17" s="160">
        <f>(SUMIFS('Larvae Collection'!$Q:$Q, 'Larvae Collection'!$A:$A,'SPAWNING PLOTS-normalized'!$A17, 'Larvae Collection'!$C:$C, 'SPAWNING PLOTS-normalized'!C$3))/SUMMARIES!$M$3</f>
        <v>0</v>
      </c>
      <c r="D17" s="160">
        <f>(SUMIFS('Larvae Collection'!$Q:$Q, 'Larvae Collection'!$A:$A,'SPAWNING PLOTS-normalized'!$A17, 'Larvae Collection'!$C:$C, 'SPAWNING PLOTS-normalized'!D$3))/SUMMARIES!$M$4</f>
        <v>0</v>
      </c>
      <c r="E17" s="160">
        <f>(SUMIFS('Larvae Collection'!$Q:$Q, 'Larvae Collection'!$A:$A,'SPAWNING PLOTS-normalized'!$A17, 'Larvae Collection'!$C:$C, 'SPAWNING PLOTS-normalized'!E$3))/SUMMARIES!$M$5</f>
        <v>653.92156862745094</v>
      </c>
      <c r="F17" s="160">
        <f>(SUMIFS('Larvae Collection'!$Q:$Q, 'Larvae Collection'!$A:$A,'SPAWNING PLOTS-normalized'!$A17, 'Larvae Collection'!$C:$C, 'SPAWNING PLOTS-normalized'!F$3))/SUMMARIES!$M$6</f>
        <v>0</v>
      </c>
      <c r="G17" s="160">
        <f>(SUMIFS('Larvae Collection'!$Q:$Q, 'Larvae Collection'!$A:$A,'SPAWNING PLOTS-normalized'!$A17, 'Larvae Collection'!$C:$C, 'SPAWNING PLOTS-normalized'!G$3))/SUMMARIES!$M$7</f>
        <v>1165.493827160494</v>
      </c>
      <c r="H17" s="160">
        <f>(SUMIFS('Larvae Collection'!$Q:$Q, 'Larvae Collection'!$A:$A,'SPAWNING PLOTS-normalized'!$A17, 'Larvae Collection'!$C:$C, 'SPAWNING PLOTS-normalized'!H$3))/SUMMARIES!$M$8</f>
        <v>4740.1709401709395</v>
      </c>
      <c r="I17" s="160">
        <f>(SUMIFS('Larvae Collection'!$Q:$Q, 'Larvae Collection'!$A:$A,'SPAWNING PLOTS-normalized'!$A17, 'Larvae Collection'!$C:$C, 'SPAWNING PLOTS-normalized'!I$3))/SUMMARIES!$M$9</f>
        <v>0</v>
      </c>
      <c r="J17" s="160">
        <f>(SUMIFS('Larvae Collection'!$Q:$Q, 'Larvae Collection'!$A:$A,'SPAWNING PLOTS-normalized'!$A17, 'Larvae Collection'!$C:$C, 'SPAWNING PLOTS-normalized'!J$3))/SUMMARIES!$M$10</f>
        <v>0</v>
      </c>
      <c r="K17" s="160">
        <f>(SUMIFS('Larvae Collection'!$Q:$Q, 'Larvae Collection'!$A:$A,'SPAWNING PLOTS-normalized'!$A17, 'Larvae Collection'!$C:$C, 'SPAWNING PLOTS-normalized'!K$3))/SUMMARIES!$M$11</f>
        <v>0</v>
      </c>
      <c r="L17" s="160">
        <f>(SUMIFS('Larvae Collection'!$Q:$Q, 'Larvae Collection'!$A:$A,'SPAWNING PLOTS-normalized'!$A17, 'Larvae Collection'!$C:$C, 'SPAWNING PLOTS-normalized'!L$3))/SUMMARIES!$M$12</f>
        <v>0</v>
      </c>
      <c r="M17" s="160">
        <f>(SUMIFS('Larvae Collection'!$Q:$Q, 'Larvae Collection'!$A:$A,'SPAWNING PLOTS-normalized'!$A17, 'Larvae Collection'!$C:$C, 'SPAWNING PLOTS-normalized'!M$3))/SUMMARIES!$M$13</f>
        <v>0</v>
      </c>
      <c r="N17" s="160">
        <f>(SUMIFS('Larvae Collection'!$Q:$Q, 'Larvae Collection'!$A:$A,'SPAWNING PLOTS-normalized'!$A17, 'Larvae Collection'!$C:$C, 'SPAWNING PLOTS-normalized'!N$3))/SUMMARIES!$M$14</f>
        <v>114.47811447811449</v>
      </c>
      <c r="O17" s="160">
        <f>(SUMIFS('Larvae Collection'!$Q:$Q, 'Larvae Collection'!$A:$A,'SPAWNING PLOTS-normalized'!$A17, 'Larvae Collection'!$C:$C, 'SPAWNING PLOTS-normalized'!O$3))/SUMMARIES!$M$15</f>
        <v>0</v>
      </c>
      <c r="P17" s="160">
        <f>(SUMIFS('Larvae Collection'!$Q:$Q, 'Larvae Collection'!$A:$A,'SPAWNING PLOTS-normalized'!$A17, 'Larvae Collection'!$C:$C, 'SPAWNING PLOTS-normalized'!P$3))/SUMMARIES!$M$16</f>
        <v>0</v>
      </c>
      <c r="Q17" s="160">
        <f>(SUMIFS('Larvae Collection'!$Q:$Q, 'Larvae Collection'!$A:$A,'SPAWNING PLOTS-normalized'!$A17, 'Larvae Collection'!$C:$C, 'SPAWNING PLOTS-normalized'!Q$3))/SUMMARIES!$M$17</f>
        <v>0</v>
      </c>
      <c r="R17" s="158">
        <f t="shared" si="0"/>
        <v>19759.674603174604</v>
      </c>
      <c r="S17" s="158">
        <f t="shared" si="1"/>
        <v>18366.177777777775</v>
      </c>
      <c r="T17" s="158">
        <f t="shared" si="2"/>
        <v>9281.198198198199</v>
      </c>
      <c r="U17" s="158">
        <f t="shared" si="2"/>
        <v>5769.4117647058829</v>
      </c>
      <c r="V17" s="158">
        <f t="shared" si="2"/>
        <v>9583.8867438867419</v>
      </c>
      <c r="W17" s="158">
        <f t="shared" si="2"/>
        <v>13966.382716049382</v>
      </c>
      <c r="X17" s="158">
        <f t="shared" si="2"/>
        <v>20994.068376068375</v>
      </c>
      <c r="Y17" s="158">
        <f t="shared" si="2"/>
        <v>10790.571815718158</v>
      </c>
      <c r="Z17" s="158">
        <f t="shared" si="2"/>
        <v>11176.996632996634</v>
      </c>
      <c r="AA17" s="158">
        <f t="shared" si="2"/>
        <v>13158.290598290598</v>
      </c>
      <c r="AB17" s="158">
        <f t="shared" si="2"/>
        <v>10831.929824561405</v>
      </c>
      <c r="AC17" s="158">
        <f t="shared" si="2"/>
        <v>1470.5128205128203</v>
      </c>
      <c r="AD17" s="158">
        <f t="shared" si="2"/>
        <v>18144.255892255893</v>
      </c>
      <c r="AE17" s="158">
        <f t="shared" si="2"/>
        <v>11031.191697191698</v>
      </c>
      <c r="AF17" s="158">
        <f t="shared" si="2"/>
        <v>5641.1851851851852</v>
      </c>
      <c r="AG17" s="158">
        <f t="shared" si="2"/>
        <v>16391.600529100528</v>
      </c>
    </row>
    <row r="18" spans="1:33" ht="18">
      <c r="A18" s="157">
        <v>43203</v>
      </c>
      <c r="B18" s="160">
        <f>(SUMIFS('Larvae Collection'!$Q:$Q, 'Larvae Collection'!$A:$A,'SPAWNING PLOTS-normalized'!$A18, 'Larvae Collection'!$C:$C, 'SPAWNING PLOTS-normalized'!B$3))/SUMMARIES!$M$2</f>
        <v>1710</v>
      </c>
      <c r="C18" s="160">
        <f>(SUMIFS('Larvae Collection'!$Q:$Q, 'Larvae Collection'!$A:$A,'SPAWNING PLOTS-normalized'!$A18, 'Larvae Collection'!$C:$C, 'SPAWNING PLOTS-normalized'!C$3))/SUMMARIES!$M$3</f>
        <v>0</v>
      </c>
      <c r="D18" s="160">
        <f>(SUMIFS('Larvae Collection'!$Q:$Q, 'Larvae Collection'!$A:$A,'SPAWNING PLOTS-normalized'!$A18, 'Larvae Collection'!$C:$C, 'SPAWNING PLOTS-normalized'!D$3))/SUMMARIES!$M$4</f>
        <v>2837.8378378378379</v>
      </c>
      <c r="E18" s="160">
        <f>(SUMIFS('Larvae Collection'!$Q:$Q, 'Larvae Collection'!$A:$A,'SPAWNING PLOTS-normalized'!$A18, 'Larvae Collection'!$C:$C, 'SPAWNING PLOTS-normalized'!E$3))/SUMMARIES!$M$5</f>
        <v>0</v>
      </c>
      <c r="F18" s="160">
        <f>(SUMIFS('Larvae Collection'!$Q:$Q, 'Larvae Collection'!$A:$A,'SPAWNING PLOTS-normalized'!$A18, 'Larvae Collection'!$C:$C, 'SPAWNING PLOTS-normalized'!F$3))/SUMMARIES!$M$6</f>
        <v>0</v>
      </c>
      <c r="G18" s="160">
        <f>(SUMIFS('Larvae Collection'!$Q:$Q, 'Larvae Collection'!$A:$A,'SPAWNING PLOTS-normalized'!$A18, 'Larvae Collection'!$C:$C, 'SPAWNING PLOTS-normalized'!G$3))/SUMMARIES!$M$7</f>
        <v>0</v>
      </c>
      <c r="H18" s="160">
        <f>(SUMIFS('Larvae Collection'!$Q:$Q, 'Larvae Collection'!$A:$A,'SPAWNING PLOTS-normalized'!$A18, 'Larvae Collection'!$C:$C, 'SPAWNING PLOTS-normalized'!H$3))/SUMMARIES!$M$8</f>
        <v>1161.5384615384614</v>
      </c>
      <c r="I18" s="160">
        <f>(SUMIFS('Larvae Collection'!$Q:$Q, 'Larvae Collection'!$A:$A,'SPAWNING PLOTS-normalized'!$A18, 'Larvae Collection'!$C:$C, 'SPAWNING PLOTS-normalized'!I$3))/SUMMARIES!$M$9</f>
        <v>0</v>
      </c>
      <c r="J18" s="160">
        <f>(SUMIFS('Larvae Collection'!$Q:$Q, 'Larvae Collection'!$A:$A,'SPAWNING PLOTS-normalized'!$A18, 'Larvae Collection'!$C:$C, 'SPAWNING PLOTS-normalized'!J$3))/SUMMARIES!$M$10</f>
        <v>0</v>
      </c>
      <c r="K18" s="160">
        <f>(SUMIFS('Larvae Collection'!$Q:$Q, 'Larvae Collection'!$A:$A,'SPAWNING PLOTS-normalized'!$A18, 'Larvae Collection'!$C:$C, 'SPAWNING PLOTS-normalized'!K$3))/SUMMARIES!$M$11</f>
        <v>3312.8205128205127</v>
      </c>
      <c r="L18" s="160">
        <f>(SUMIFS('Larvae Collection'!$Q:$Q, 'Larvae Collection'!$A:$A,'SPAWNING PLOTS-normalized'!$A18, 'Larvae Collection'!$C:$C, 'SPAWNING PLOTS-normalized'!L$3))/SUMMARIES!$M$12</f>
        <v>0</v>
      </c>
      <c r="M18" s="160">
        <f>(SUMIFS('Larvae Collection'!$Q:$Q, 'Larvae Collection'!$A:$A,'SPAWNING PLOTS-normalized'!$A18, 'Larvae Collection'!$C:$C, 'SPAWNING PLOTS-normalized'!M$3))/SUMMARIES!$M$13</f>
        <v>0</v>
      </c>
      <c r="N18" s="160">
        <f>(SUMIFS('Larvae Collection'!$Q:$Q, 'Larvae Collection'!$A:$A,'SPAWNING PLOTS-normalized'!$A18, 'Larvae Collection'!$C:$C, 'SPAWNING PLOTS-normalized'!N$3))/SUMMARIES!$M$14</f>
        <v>0</v>
      </c>
      <c r="O18" s="160">
        <f>(SUMIFS('Larvae Collection'!$Q:$Q, 'Larvae Collection'!$A:$A,'SPAWNING PLOTS-normalized'!$A18, 'Larvae Collection'!$C:$C, 'SPAWNING PLOTS-normalized'!O$3))/SUMMARIES!$M$15</f>
        <v>1307.6923076923076</v>
      </c>
      <c r="P18" s="160">
        <f>(SUMIFS('Larvae Collection'!$Q:$Q, 'Larvae Collection'!$A:$A,'SPAWNING PLOTS-normalized'!$A18, 'Larvae Collection'!$C:$C, 'SPAWNING PLOTS-normalized'!P$3))/SUMMARIES!$M$16</f>
        <v>886.66666666666663</v>
      </c>
      <c r="Q18" s="160">
        <f>(SUMIFS('Larvae Collection'!$Q:$Q, 'Larvae Collection'!$A:$A,'SPAWNING PLOTS-normalized'!$A18, 'Larvae Collection'!$C:$C, 'SPAWNING PLOTS-normalized'!Q$3))/SUMMARIES!$M$17</f>
        <v>460.51587301587301</v>
      </c>
      <c r="R18" s="158">
        <f t="shared" si="0"/>
        <v>21469.674603174604</v>
      </c>
      <c r="S18" s="158">
        <f t="shared" si="1"/>
        <v>18366.177777777775</v>
      </c>
      <c r="T18" s="158">
        <f t="shared" si="2"/>
        <v>12119.036036036037</v>
      </c>
      <c r="U18" s="158">
        <f t="shared" si="2"/>
        <v>5769.4117647058829</v>
      </c>
      <c r="V18" s="158">
        <f t="shared" si="2"/>
        <v>9583.8867438867419</v>
      </c>
      <c r="W18" s="158">
        <f t="shared" si="2"/>
        <v>13966.382716049382</v>
      </c>
      <c r="X18" s="158">
        <f t="shared" si="2"/>
        <v>22155.606837606836</v>
      </c>
      <c r="Y18" s="158">
        <f t="shared" si="2"/>
        <v>10790.571815718158</v>
      </c>
      <c r="Z18" s="158">
        <f t="shared" si="2"/>
        <v>11176.996632996634</v>
      </c>
      <c r="AA18" s="158">
        <f t="shared" si="2"/>
        <v>16471.111111111109</v>
      </c>
      <c r="AB18" s="158">
        <f t="shared" si="2"/>
        <v>10831.929824561405</v>
      </c>
      <c r="AC18" s="158">
        <f t="shared" si="2"/>
        <v>1470.5128205128203</v>
      </c>
      <c r="AD18" s="158">
        <f t="shared" si="2"/>
        <v>18144.255892255893</v>
      </c>
      <c r="AE18" s="158">
        <f t="shared" si="2"/>
        <v>12338.884004884007</v>
      </c>
      <c r="AF18" s="158">
        <f t="shared" si="2"/>
        <v>6527.8518518518522</v>
      </c>
      <c r="AG18" s="158">
        <f t="shared" si="2"/>
        <v>16852.1164021164</v>
      </c>
    </row>
    <row r="19" spans="1:33" ht="18">
      <c r="A19" s="157">
        <v>43204</v>
      </c>
      <c r="B19" s="160">
        <f>(SUMIFS('Larvae Collection'!$Q:$Q, 'Larvae Collection'!$A:$A,'SPAWNING PLOTS-normalized'!$A19, 'Larvae Collection'!$C:$C, 'SPAWNING PLOTS-normalized'!B$3))/SUMMARIES!$M$2</f>
        <v>6573.3333333333339</v>
      </c>
      <c r="C19" s="160">
        <f>(SUMIFS('Larvae Collection'!$Q:$Q, 'Larvae Collection'!$A:$A,'SPAWNING PLOTS-normalized'!$A19, 'Larvae Collection'!$C:$C, 'SPAWNING PLOTS-normalized'!C$3))/SUMMARIES!$M$3</f>
        <v>1125.3333333333333</v>
      </c>
      <c r="D19" s="160">
        <f>(SUMIFS('Larvae Collection'!$Q:$Q, 'Larvae Collection'!$A:$A,'SPAWNING PLOTS-normalized'!$A19, 'Larvae Collection'!$C:$C, 'SPAWNING PLOTS-normalized'!D$3))/SUMMARIES!$M$4</f>
        <v>1904.3543543543544</v>
      </c>
      <c r="E19" s="160">
        <f>(SUMIFS('Larvae Collection'!$Q:$Q, 'Larvae Collection'!$A:$A,'SPAWNING PLOTS-normalized'!$A19, 'Larvae Collection'!$C:$C, 'SPAWNING PLOTS-normalized'!E$3))/SUMMARIES!$M$5</f>
        <v>0</v>
      </c>
      <c r="F19" s="160">
        <f>(SUMIFS('Larvae Collection'!$Q:$Q, 'Larvae Collection'!$A:$A,'SPAWNING PLOTS-normalized'!$A19, 'Larvae Collection'!$C:$C, 'SPAWNING PLOTS-normalized'!F$3))/SUMMARIES!$M$6</f>
        <v>0</v>
      </c>
      <c r="G19" s="160">
        <f>(SUMIFS('Larvae Collection'!$Q:$Q, 'Larvae Collection'!$A:$A,'SPAWNING PLOTS-normalized'!$A19, 'Larvae Collection'!$C:$C, 'SPAWNING PLOTS-normalized'!G$3))/SUMMARIES!$M$7</f>
        <v>0</v>
      </c>
      <c r="H19" s="160">
        <f>(SUMIFS('Larvae Collection'!$Q:$Q, 'Larvae Collection'!$A:$A,'SPAWNING PLOTS-normalized'!$A19, 'Larvae Collection'!$C:$C, 'SPAWNING PLOTS-normalized'!H$3))/SUMMARIES!$M$8</f>
        <v>0</v>
      </c>
      <c r="I19" s="160">
        <f>(SUMIFS('Larvae Collection'!$Q:$Q, 'Larvae Collection'!$A:$A,'SPAWNING PLOTS-normalized'!$A19, 'Larvae Collection'!$C:$C, 'SPAWNING PLOTS-normalized'!I$3))/SUMMARIES!$M$9</f>
        <v>0</v>
      </c>
      <c r="J19" s="160">
        <f>(SUMIFS('Larvae Collection'!$Q:$Q, 'Larvae Collection'!$A:$A,'SPAWNING PLOTS-normalized'!$A19, 'Larvae Collection'!$C:$C, 'SPAWNING PLOTS-normalized'!J$3))/SUMMARIES!$M$10</f>
        <v>6799.7979797979806</v>
      </c>
      <c r="K19" s="160">
        <f>(SUMIFS('Larvae Collection'!$Q:$Q, 'Larvae Collection'!$A:$A,'SPAWNING PLOTS-normalized'!$A19, 'Larvae Collection'!$C:$C, 'SPAWNING PLOTS-normalized'!K$3))/SUMMARIES!$M$11</f>
        <v>1912.8205128205129</v>
      </c>
      <c r="L19" s="160">
        <f>(SUMIFS('Larvae Collection'!$Q:$Q, 'Larvae Collection'!$A:$A,'SPAWNING PLOTS-normalized'!$A19, 'Larvae Collection'!$C:$C, 'SPAWNING PLOTS-normalized'!L$3))/SUMMARIES!$M$12</f>
        <v>992.69005847953224</v>
      </c>
      <c r="M19" s="160">
        <f>(SUMIFS('Larvae Collection'!$Q:$Q, 'Larvae Collection'!$A:$A,'SPAWNING PLOTS-normalized'!$A19, 'Larvae Collection'!$C:$C, 'SPAWNING PLOTS-normalized'!M$3))/SUMMARIES!$M$13</f>
        <v>0</v>
      </c>
      <c r="N19" s="160">
        <f>(SUMIFS('Larvae Collection'!$Q:$Q, 'Larvae Collection'!$A:$A,'SPAWNING PLOTS-normalized'!$A19, 'Larvae Collection'!$C:$C, 'SPAWNING PLOTS-normalized'!N$3))/SUMMARIES!$M$14</f>
        <v>0</v>
      </c>
      <c r="O19" s="160">
        <f>(SUMIFS('Larvae Collection'!$Q:$Q, 'Larvae Collection'!$A:$A,'SPAWNING PLOTS-normalized'!$A19, 'Larvae Collection'!$C:$C, 'SPAWNING PLOTS-normalized'!O$3))/SUMMARIES!$M$15</f>
        <v>532.76353276353279</v>
      </c>
      <c r="P19" s="160">
        <f>(SUMIFS('Larvae Collection'!$Q:$Q, 'Larvae Collection'!$A:$A,'SPAWNING PLOTS-normalized'!$A19, 'Larvae Collection'!$C:$C, 'SPAWNING PLOTS-normalized'!P$3))/SUMMARIES!$M$16</f>
        <v>0</v>
      </c>
      <c r="Q19" s="160">
        <f>(SUMIFS('Larvae Collection'!$Q:$Q, 'Larvae Collection'!$A:$A,'SPAWNING PLOTS-normalized'!$A19, 'Larvae Collection'!$C:$C, 'SPAWNING PLOTS-normalized'!Q$3))/SUMMARIES!$M$17</f>
        <v>0</v>
      </c>
      <c r="R19" s="158">
        <f t="shared" si="0"/>
        <v>28043.007936507936</v>
      </c>
      <c r="S19" s="158">
        <f t="shared" si="1"/>
        <v>19491.511111111107</v>
      </c>
      <c r="T19" s="158">
        <f t="shared" si="2"/>
        <v>14023.390390390392</v>
      </c>
      <c r="U19" s="158">
        <f t="shared" si="2"/>
        <v>5769.4117647058829</v>
      </c>
      <c r="V19" s="158">
        <f t="shared" si="2"/>
        <v>9583.8867438867419</v>
      </c>
      <c r="W19" s="158">
        <f t="shared" si="2"/>
        <v>13966.382716049382</v>
      </c>
      <c r="X19" s="158">
        <f t="shared" si="2"/>
        <v>22155.606837606836</v>
      </c>
      <c r="Y19" s="158">
        <f t="shared" si="2"/>
        <v>10790.571815718158</v>
      </c>
      <c r="Z19" s="158">
        <f t="shared" si="2"/>
        <v>17976.794612794612</v>
      </c>
      <c r="AA19" s="158">
        <f t="shared" si="2"/>
        <v>18383.931623931621</v>
      </c>
      <c r="AB19" s="158">
        <f t="shared" si="2"/>
        <v>11824.619883040938</v>
      </c>
      <c r="AC19" s="158">
        <f t="shared" si="2"/>
        <v>1470.5128205128203</v>
      </c>
      <c r="AD19" s="158">
        <f t="shared" si="2"/>
        <v>18144.255892255893</v>
      </c>
      <c r="AE19" s="158">
        <f t="shared" si="2"/>
        <v>12871.647537647539</v>
      </c>
      <c r="AF19" s="158">
        <f t="shared" si="2"/>
        <v>6527.8518518518522</v>
      </c>
      <c r="AG19" s="158">
        <f t="shared" si="2"/>
        <v>16852.1164021164</v>
      </c>
    </row>
    <row r="20" spans="1:33" ht="18">
      <c r="A20" s="157">
        <v>43205</v>
      </c>
      <c r="B20" s="160">
        <f>(SUMIFS('Larvae Collection'!$Q:$Q, 'Larvae Collection'!$A:$A,'SPAWNING PLOTS-normalized'!$A20, 'Larvae Collection'!$C:$C, 'SPAWNING PLOTS-normalized'!B$3))/SUMMARIES!$Q$2</f>
        <v>0</v>
      </c>
      <c r="C20" s="160">
        <f>(SUMIFS('Larvae Collection'!$Q:$Q, 'Larvae Collection'!$A:$A,'SPAWNING PLOTS-normalized'!$A20, 'Larvae Collection'!$C:$C, 'SPAWNING PLOTS-normalized'!C$3))/SUMMARIES!$Q$3</f>
        <v>0</v>
      </c>
      <c r="D20" s="160">
        <f>(SUMIFS('Larvae Collection'!$Q:$Q, 'Larvae Collection'!$A:$A,'SPAWNING PLOTS-normalized'!$A20, 'Larvae Collection'!$C:$C, 'SPAWNING PLOTS-normalized'!D$3))/SUMMARIES!$Q$4</f>
        <v>3481.9459459459458</v>
      </c>
      <c r="E20" s="160">
        <f>(SUMIFS('Larvae Collection'!$Q:$Q, 'Larvae Collection'!$A:$A,'SPAWNING PLOTS-normalized'!$A20, 'Larvae Collection'!$C:$C, 'SPAWNING PLOTS-normalized'!E$3))/SUMMARIES!$Q$5</f>
        <v>0</v>
      </c>
      <c r="F20" s="160">
        <f>(SUMIFS('Larvae Collection'!$Q:$Q, 'Larvae Collection'!$A:$A,'SPAWNING PLOTS-normalized'!$A20, 'Larvae Collection'!$C:$C, 'SPAWNING PLOTS-normalized'!F$3))/SUMMARIES!$Q$6</f>
        <v>0</v>
      </c>
      <c r="G20" s="160">
        <f>(SUMIFS('Larvae Collection'!$Q:$Q, 'Larvae Collection'!$A:$A,'SPAWNING PLOTS-normalized'!$A20, 'Larvae Collection'!$C:$C, 'SPAWNING PLOTS-normalized'!G$3))/SUMMARIES!$Q$7</f>
        <v>2688.8888888888887</v>
      </c>
      <c r="H20" s="160">
        <f>(SUMIFS('Larvae Collection'!$Q:$Q, 'Larvae Collection'!$A:$A,'SPAWNING PLOTS-normalized'!$A20, 'Larvae Collection'!$C:$C, 'SPAWNING PLOTS-normalized'!H$3))/SUMMARIES!$Q$8</f>
        <v>1110.8156028368794</v>
      </c>
      <c r="I20" s="160">
        <f>(SUMIFS('Larvae Collection'!$Q:$Q, 'Larvae Collection'!$A:$A,'SPAWNING PLOTS-normalized'!$A20, 'Larvae Collection'!$C:$C, 'SPAWNING PLOTS-normalized'!I$3))/SUMMARIES!$Q$9</f>
        <v>0</v>
      </c>
      <c r="J20" s="160">
        <f>(SUMIFS('Larvae Collection'!$Q:$Q, 'Larvae Collection'!$A:$A,'SPAWNING PLOTS-normalized'!$A20, 'Larvae Collection'!$C:$C, 'SPAWNING PLOTS-normalized'!J$3))/SUMMARIES!$Q$10</f>
        <v>0</v>
      </c>
      <c r="K20" s="160">
        <f>(SUMIFS('Larvae Collection'!$Q:$Q, 'Larvae Collection'!$A:$A,'SPAWNING PLOTS-normalized'!$A20, 'Larvae Collection'!$C:$C, 'SPAWNING PLOTS-normalized'!K$3))/SUMMARIES!$Q$11</f>
        <v>0</v>
      </c>
      <c r="L20" s="160">
        <f>(SUMIFS('Larvae Collection'!$Q:$Q, 'Larvae Collection'!$A:$A,'SPAWNING PLOTS-normalized'!$A20, 'Larvae Collection'!$C:$C, 'SPAWNING PLOTS-normalized'!L$3))/SUMMARIES!$Q$12</f>
        <v>0</v>
      </c>
      <c r="M20" s="160">
        <f>(SUMIFS('Larvae Collection'!$Q:$Q, 'Larvae Collection'!$A:$A,'SPAWNING PLOTS-normalized'!$A20, 'Larvae Collection'!$C:$C, 'SPAWNING PLOTS-normalized'!M$3))/SUMMARIES!$Q$13</f>
        <v>4737.5384615384619</v>
      </c>
      <c r="N20" s="160">
        <f>(SUMIFS('Larvae Collection'!$Q:$Q, 'Larvae Collection'!$A:$A,'SPAWNING PLOTS-normalized'!$A20, 'Larvae Collection'!$C:$C, 'SPAWNING PLOTS-normalized'!N$3))/SUMMARIES!$Q$14</f>
        <v>0</v>
      </c>
      <c r="O20" s="160">
        <f>(SUMIFS('Larvae Collection'!$Q:$Q, 'Larvae Collection'!$A:$A,'SPAWNING PLOTS-normalized'!$A20, 'Larvae Collection'!$C:$C, 'SPAWNING PLOTS-normalized'!O$3))/SUMMARIES!$Q$15</f>
        <v>4338.4615384615381</v>
      </c>
      <c r="P20" s="160">
        <f>(SUMIFS('Larvae Collection'!$Q:$Q, 'Larvae Collection'!$A:$A,'SPAWNING PLOTS-normalized'!$A20, 'Larvae Collection'!$C:$C, 'SPAWNING PLOTS-normalized'!P$3))/SUMMARIES!$Q$16</f>
        <v>0</v>
      </c>
      <c r="Q20" s="160">
        <f>(SUMIFS('Larvae Collection'!$Q:$Q, 'Larvae Collection'!$A:$A,'SPAWNING PLOTS-normalized'!$A20, 'Larvae Collection'!$C:$C, 'SPAWNING PLOTS-normalized'!Q$3))/SUMMARIES!$Q$17</f>
        <v>873.84920634920627</v>
      </c>
      <c r="R20" s="158">
        <f t="shared" si="0"/>
        <v>28043.007936507936</v>
      </c>
      <c r="S20" s="158">
        <f t="shared" si="1"/>
        <v>19491.511111111107</v>
      </c>
      <c r="T20" s="158">
        <f t="shared" ref="T20:AG20" si="3">SUMIFS(D$4:D$31, $A$4:$A$31, "&lt;="&amp;$A20)</f>
        <v>17505.336336336339</v>
      </c>
      <c r="U20" s="158">
        <f t="shared" si="3"/>
        <v>5769.4117647058829</v>
      </c>
      <c r="V20" s="158">
        <f t="shared" si="3"/>
        <v>9583.8867438867419</v>
      </c>
      <c r="W20" s="158">
        <f t="shared" si="3"/>
        <v>16655.271604938273</v>
      </c>
      <c r="X20" s="158">
        <f t="shared" si="3"/>
        <v>23266.422440443715</v>
      </c>
      <c r="Y20" s="158">
        <f t="shared" si="3"/>
        <v>10790.571815718158</v>
      </c>
      <c r="Z20" s="158">
        <f t="shared" si="3"/>
        <v>17976.794612794612</v>
      </c>
      <c r="AA20" s="158">
        <f t="shared" si="3"/>
        <v>18383.931623931621</v>
      </c>
      <c r="AB20" s="158">
        <f t="shared" si="3"/>
        <v>11824.619883040938</v>
      </c>
      <c r="AC20" s="158">
        <f t="shared" si="3"/>
        <v>6208.0512820512822</v>
      </c>
      <c r="AD20" s="158">
        <f t="shared" si="3"/>
        <v>18144.255892255893</v>
      </c>
      <c r="AE20" s="158">
        <f t="shared" si="3"/>
        <v>17210.109076109078</v>
      </c>
      <c r="AF20" s="158">
        <f t="shared" si="3"/>
        <v>6527.8518518518522</v>
      </c>
      <c r="AG20" s="158">
        <f t="shared" si="3"/>
        <v>17725.965608465605</v>
      </c>
    </row>
    <row r="21" spans="1:33" ht="18">
      <c r="A21" s="157">
        <v>43206</v>
      </c>
      <c r="B21" s="160">
        <f>(SUMIFS('Larvae Collection'!$Q:$Q, 'Larvae Collection'!$A:$A,'SPAWNING PLOTS-normalized'!$A21, 'Larvae Collection'!$C:$C, 'SPAWNING PLOTS-normalized'!B$3))/SUMMARIES!$Q$2</f>
        <v>0</v>
      </c>
      <c r="C21" s="160">
        <f>(SUMIFS('Larvae Collection'!$Q:$Q, 'Larvae Collection'!$A:$A,'SPAWNING PLOTS-normalized'!$A21, 'Larvae Collection'!$C:$C, 'SPAWNING PLOTS-normalized'!C$3))/SUMMARIES!$Q$3</f>
        <v>0</v>
      </c>
      <c r="D21" s="160">
        <f>(SUMIFS('Larvae Collection'!$Q:$Q, 'Larvae Collection'!$A:$A,'SPAWNING PLOTS-normalized'!$A21, 'Larvae Collection'!$C:$C, 'SPAWNING PLOTS-normalized'!D$3))/SUMMARIES!$Q$4</f>
        <v>0</v>
      </c>
      <c r="E21" s="160">
        <f>(SUMIFS('Larvae Collection'!$Q:$Q, 'Larvae Collection'!$A:$A,'SPAWNING PLOTS-normalized'!$A21, 'Larvae Collection'!$C:$C, 'SPAWNING PLOTS-normalized'!E$3))/SUMMARIES!$Q$5</f>
        <v>0</v>
      </c>
      <c r="F21" s="160">
        <f>(SUMIFS('Larvae Collection'!$Q:$Q, 'Larvae Collection'!$A:$A,'SPAWNING PLOTS-normalized'!$A21, 'Larvae Collection'!$C:$C, 'SPAWNING PLOTS-normalized'!F$3))/SUMMARIES!$Q$6</f>
        <v>0</v>
      </c>
      <c r="G21" s="160">
        <f>(SUMIFS('Larvae Collection'!$Q:$Q, 'Larvae Collection'!$A:$A,'SPAWNING PLOTS-normalized'!$A21, 'Larvae Collection'!$C:$C, 'SPAWNING PLOTS-normalized'!G$3))/SUMMARIES!$Q$7</f>
        <v>0</v>
      </c>
      <c r="H21" s="160">
        <f>(SUMIFS('Larvae Collection'!$Q:$Q, 'Larvae Collection'!$A:$A,'SPAWNING PLOTS-normalized'!$A21, 'Larvae Collection'!$C:$C, 'SPAWNING PLOTS-normalized'!H$3))/SUMMARIES!$Q$8</f>
        <v>0</v>
      </c>
      <c r="I21" s="160">
        <f>(SUMIFS('Larvae Collection'!$Q:$Q, 'Larvae Collection'!$A:$A,'SPAWNING PLOTS-normalized'!$A21, 'Larvae Collection'!$C:$C, 'SPAWNING PLOTS-normalized'!I$3))/SUMMARIES!$Q$9</f>
        <v>492.65582655826563</v>
      </c>
      <c r="J21" s="160">
        <f>(SUMIFS('Larvae Collection'!$Q:$Q, 'Larvae Collection'!$A:$A,'SPAWNING PLOTS-normalized'!$A21, 'Larvae Collection'!$C:$C, 'SPAWNING PLOTS-normalized'!J$3))/SUMMARIES!$Q$10</f>
        <v>0</v>
      </c>
      <c r="K21" s="160">
        <f>(SUMIFS('Larvae Collection'!$Q:$Q, 'Larvae Collection'!$A:$A,'SPAWNING PLOTS-normalized'!$A21, 'Larvae Collection'!$C:$C, 'SPAWNING PLOTS-normalized'!K$3))/SUMMARIES!$Q$11</f>
        <v>0</v>
      </c>
      <c r="L21" s="160">
        <f>(SUMIFS('Larvae Collection'!$Q:$Q, 'Larvae Collection'!$A:$A,'SPAWNING PLOTS-normalized'!$A21, 'Larvae Collection'!$C:$C, 'SPAWNING PLOTS-normalized'!L$3))/SUMMARIES!$Q$12</f>
        <v>1954.1666666666667</v>
      </c>
      <c r="M21" s="160">
        <f>(SUMIFS('Larvae Collection'!$Q:$Q, 'Larvae Collection'!$A:$A,'SPAWNING PLOTS-normalized'!$A21, 'Larvae Collection'!$C:$C, 'SPAWNING PLOTS-normalized'!M$3))/SUMMARIES!$Q$13</f>
        <v>91.34615384615384</v>
      </c>
      <c r="N21" s="160">
        <f>(SUMIFS('Larvae Collection'!$Q:$Q, 'Larvae Collection'!$A:$A,'SPAWNING PLOTS-normalized'!$A21, 'Larvae Collection'!$C:$C, 'SPAWNING PLOTS-normalized'!N$3))/SUMMARIES!$Q$14</f>
        <v>0</v>
      </c>
      <c r="O21" s="160">
        <f>(SUMIFS('Larvae Collection'!$Q:$Q, 'Larvae Collection'!$A:$A,'SPAWNING PLOTS-normalized'!$A21, 'Larvae Collection'!$C:$C, 'SPAWNING PLOTS-normalized'!O$3))/SUMMARIES!$Q$15</f>
        <v>0</v>
      </c>
      <c r="P21" s="160">
        <f>(SUMIFS('Larvae Collection'!$Q:$Q, 'Larvae Collection'!$A:$A,'SPAWNING PLOTS-normalized'!$A21, 'Larvae Collection'!$C:$C, 'SPAWNING PLOTS-normalized'!P$3))/SUMMARIES!$Q$16</f>
        <v>0</v>
      </c>
      <c r="Q21" s="160">
        <f>(SUMIFS('Larvae Collection'!$Q:$Q, 'Larvae Collection'!$A:$A,'SPAWNING PLOTS-normalized'!$A21, 'Larvae Collection'!$C:$C, 'SPAWNING PLOTS-normalized'!Q$3))/SUMMARIES!$Q$17</f>
        <v>0</v>
      </c>
      <c r="R21" s="158">
        <f t="shared" ref="R21:AG31" si="4">SUMIFS(B$4:B$31, $A$4:$A$31, "&lt;="&amp;$A21)</f>
        <v>28043.007936507936</v>
      </c>
      <c r="S21" s="158">
        <f t="shared" si="4"/>
        <v>19491.511111111107</v>
      </c>
      <c r="T21" s="158">
        <f t="shared" si="4"/>
        <v>17505.336336336339</v>
      </c>
      <c r="U21" s="158">
        <f t="shared" si="4"/>
        <v>5769.4117647058829</v>
      </c>
      <c r="V21" s="158">
        <f t="shared" si="4"/>
        <v>9583.8867438867419</v>
      </c>
      <c r="W21" s="158">
        <f t="shared" si="4"/>
        <v>16655.271604938273</v>
      </c>
      <c r="X21" s="158">
        <f t="shared" si="4"/>
        <v>23266.422440443715</v>
      </c>
      <c r="Y21" s="158">
        <f t="shared" si="4"/>
        <v>11283.227642276424</v>
      </c>
      <c r="Z21" s="158">
        <f t="shared" si="4"/>
        <v>17976.794612794612</v>
      </c>
      <c r="AA21" s="158">
        <f t="shared" si="4"/>
        <v>18383.931623931621</v>
      </c>
      <c r="AB21" s="158">
        <f t="shared" si="4"/>
        <v>13778.786549707604</v>
      </c>
      <c r="AC21" s="158">
        <f t="shared" si="4"/>
        <v>6299.3974358974365</v>
      </c>
      <c r="AD21" s="158">
        <f t="shared" si="4"/>
        <v>18144.255892255893</v>
      </c>
      <c r="AE21" s="158">
        <f t="shared" si="4"/>
        <v>17210.109076109078</v>
      </c>
      <c r="AF21" s="158">
        <f t="shared" si="4"/>
        <v>6527.8518518518522</v>
      </c>
      <c r="AG21" s="158">
        <f t="shared" si="4"/>
        <v>17725.965608465605</v>
      </c>
    </row>
    <row r="22" spans="1:33" ht="18">
      <c r="A22" s="157">
        <v>43207</v>
      </c>
      <c r="B22" s="160">
        <f>(SUMIFS('Larvae Collection'!$Q:$Q, 'Larvae Collection'!$A:$A,'SPAWNING PLOTS-normalized'!$A22, 'Larvae Collection'!$C:$C, 'SPAWNING PLOTS-normalized'!B$3))/SUMMARIES!$Q$2</f>
        <v>0</v>
      </c>
      <c r="C22" s="160">
        <f>(SUMIFS('Larvae Collection'!$Q:$Q, 'Larvae Collection'!$A:$A,'SPAWNING PLOTS-normalized'!$A22, 'Larvae Collection'!$C:$C, 'SPAWNING PLOTS-normalized'!C$3))/SUMMARIES!$Q$3</f>
        <v>0</v>
      </c>
      <c r="D22" s="160">
        <f>(SUMIFS('Larvae Collection'!$Q:$Q, 'Larvae Collection'!$A:$A,'SPAWNING PLOTS-normalized'!$A22, 'Larvae Collection'!$C:$C, 'SPAWNING PLOTS-normalized'!D$3))/SUMMARIES!$Q$4</f>
        <v>0</v>
      </c>
      <c r="E22" s="160">
        <f>(SUMIFS('Larvae Collection'!$Q:$Q, 'Larvae Collection'!$A:$A,'SPAWNING PLOTS-normalized'!$A22, 'Larvae Collection'!$C:$C, 'SPAWNING PLOTS-normalized'!E$3))/SUMMARIES!$Q$5</f>
        <v>85.859943977591044</v>
      </c>
      <c r="F22" s="160">
        <f>(SUMIFS('Larvae Collection'!$Q:$Q, 'Larvae Collection'!$A:$A,'SPAWNING PLOTS-normalized'!$A22, 'Larvae Collection'!$C:$C, 'SPAWNING PLOTS-normalized'!F$3))/SUMMARIES!$Q$6</f>
        <v>0</v>
      </c>
      <c r="G22" s="160">
        <f>(SUMIFS('Larvae Collection'!$Q:$Q, 'Larvae Collection'!$A:$A,'SPAWNING PLOTS-normalized'!$A22, 'Larvae Collection'!$C:$C, 'SPAWNING PLOTS-normalized'!G$3))/SUMMARIES!$Q$7</f>
        <v>0</v>
      </c>
      <c r="H22" s="160">
        <f>(SUMIFS('Larvae Collection'!$Q:$Q, 'Larvae Collection'!$A:$A,'SPAWNING PLOTS-normalized'!$A22, 'Larvae Collection'!$C:$C, 'SPAWNING PLOTS-normalized'!H$3))/SUMMARIES!$Q$8</f>
        <v>0</v>
      </c>
      <c r="I22" s="160">
        <f>(SUMIFS('Larvae Collection'!$Q:$Q, 'Larvae Collection'!$A:$A,'SPAWNING PLOTS-normalized'!$A22, 'Larvae Collection'!$C:$C, 'SPAWNING PLOTS-normalized'!I$3))/SUMMARIES!$Q$9</f>
        <v>0</v>
      </c>
      <c r="J22" s="160">
        <f>(SUMIFS('Larvae Collection'!$Q:$Q, 'Larvae Collection'!$A:$A,'SPAWNING PLOTS-normalized'!$A22, 'Larvae Collection'!$C:$C, 'SPAWNING PLOTS-normalized'!J$3))/SUMMARIES!$Q$10</f>
        <v>157.40740740740739</v>
      </c>
      <c r="K22" s="160">
        <f>(SUMIFS('Larvae Collection'!$Q:$Q, 'Larvae Collection'!$A:$A,'SPAWNING PLOTS-normalized'!$A22, 'Larvae Collection'!$C:$C, 'SPAWNING PLOTS-normalized'!K$3))/SUMMARIES!$Q$11</f>
        <v>0</v>
      </c>
      <c r="L22" s="160">
        <f>(SUMIFS('Larvae Collection'!$Q:$Q, 'Larvae Collection'!$A:$A,'SPAWNING PLOTS-normalized'!$A22, 'Larvae Collection'!$C:$C, 'SPAWNING PLOTS-normalized'!L$3))/SUMMARIES!$Q$12</f>
        <v>0</v>
      </c>
      <c r="M22" s="160">
        <f>(SUMIFS('Larvae Collection'!$Q:$Q, 'Larvae Collection'!$A:$A,'SPAWNING PLOTS-normalized'!$A22, 'Larvae Collection'!$C:$C, 'SPAWNING PLOTS-normalized'!M$3))/SUMMARIES!$Q$13</f>
        <v>0</v>
      </c>
      <c r="N22" s="160">
        <f>(SUMIFS('Larvae Collection'!$Q:$Q, 'Larvae Collection'!$A:$A,'SPAWNING PLOTS-normalized'!$A22, 'Larvae Collection'!$C:$C, 'SPAWNING PLOTS-normalized'!N$3))/SUMMARIES!$Q$14</f>
        <v>0</v>
      </c>
      <c r="O22" s="160">
        <f>(SUMIFS('Larvae Collection'!$Q:$Q, 'Larvae Collection'!$A:$A,'SPAWNING PLOTS-normalized'!$A22, 'Larvae Collection'!$C:$C, 'SPAWNING PLOTS-normalized'!O$3))/SUMMARIES!$Q$15</f>
        <v>0</v>
      </c>
      <c r="P22" s="160">
        <f>(SUMIFS('Larvae Collection'!$Q:$Q, 'Larvae Collection'!$A:$A,'SPAWNING PLOTS-normalized'!$A22, 'Larvae Collection'!$C:$C, 'SPAWNING PLOTS-normalized'!P$3))/SUMMARIES!$Q$16</f>
        <v>0</v>
      </c>
      <c r="Q22" s="160">
        <f>(SUMIFS('Larvae Collection'!$Q:$Q, 'Larvae Collection'!$A:$A,'SPAWNING PLOTS-normalized'!$A22, 'Larvae Collection'!$C:$C, 'SPAWNING PLOTS-normalized'!Q$3))/SUMMARIES!$Q$17</f>
        <v>0</v>
      </c>
      <c r="R22" s="158">
        <f t="shared" si="4"/>
        <v>28043.007936507936</v>
      </c>
      <c r="S22" s="158">
        <f t="shared" si="4"/>
        <v>19491.511111111107</v>
      </c>
      <c r="T22" s="158">
        <f t="shared" si="4"/>
        <v>17505.336336336339</v>
      </c>
      <c r="U22" s="158">
        <f t="shared" si="4"/>
        <v>5855.2717086834737</v>
      </c>
      <c r="V22" s="158">
        <f t="shared" si="4"/>
        <v>9583.8867438867419</v>
      </c>
      <c r="W22" s="158">
        <f t="shared" si="4"/>
        <v>16655.271604938273</v>
      </c>
      <c r="X22" s="158">
        <f t="shared" si="4"/>
        <v>23266.422440443715</v>
      </c>
      <c r="Y22" s="158">
        <f t="shared" si="4"/>
        <v>11283.227642276424</v>
      </c>
      <c r="Z22" s="158">
        <f t="shared" si="4"/>
        <v>18134.202020202021</v>
      </c>
      <c r="AA22" s="158">
        <f t="shared" si="4"/>
        <v>18383.931623931621</v>
      </c>
      <c r="AB22" s="158">
        <f t="shared" si="4"/>
        <v>13778.786549707604</v>
      </c>
      <c r="AC22" s="158">
        <f t="shared" si="4"/>
        <v>6299.3974358974365</v>
      </c>
      <c r="AD22" s="158">
        <f t="shared" si="4"/>
        <v>18144.255892255893</v>
      </c>
      <c r="AE22" s="158">
        <f t="shared" si="4"/>
        <v>17210.109076109078</v>
      </c>
      <c r="AF22" s="158">
        <f t="shared" si="4"/>
        <v>6527.8518518518522</v>
      </c>
      <c r="AG22" s="158">
        <f t="shared" si="4"/>
        <v>17725.965608465605</v>
      </c>
    </row>
    <row r="23" spans="1:33" ht="18">
      <c r="A23" s="157">
        <v>43208</v>
      </c>
      <c r="B23" s="160">
        <f>(SUMIFS('Larvae Collection'!$Q:$Q, 'Larvae Collection'!$A:$A,'SPAWNING PLOTS-normalized'!$A23, 'Larvae Collection'!$C:$C, 'SPAWNING PLOTS-normalized'!B$3))/SUMMARIES!$R$2</f>
        <v>342.58064516129031</v>
      </c>
      <c r="C23" s="160">
        <f>(SUMIFS('Larvae Collection'!$Q:$Q, 'Larvae Collection'!$A:$A,'SPAWNING PLOTS-normalized'!$A23, 'Larvae Collection'!$C:$C, 'SPAWNING PLOTS-normalized'!C$3))/SUMMARIES!$R$3</f>
        <v>0</v>
      </c>
      <c r="D23" s="160">
        <f>(SUMIFS('Larvae Collection'!$Q:$Q, 'Larvae Collection'!$A:$A,'SPAWNING PLOTS-normalized'!$A23, 'Larvae Collection'!$C:$C, 'SPAWNING PLOTS-normalized'!D$3))/SUMMARIES!$R$4</f>
        <v>0</v>
      </c>
      <c r="E23" s="160">
        <f>(SUMIFS('Larvae Collection'!$Q:$Q, 'Larvae Collection'!$A:$A,'SPAWNING PLOTS-normalized'!$A23, 'Larvae Collection'!$C:$C, 'SPAWNING PLOTS-normalized'!E$3))/SUMMARIES!$R$5</f>
        <v>0</v>
      </c>
      <c r="F23" s="160">
        <f>(SUMIFS('Larvae Collection'!$Q:$Q, 'Larvae Collection'!$A:$A,'SPAWNING PLOTS-normalized'!$A23, 'Larvae Collection'!$C:$C, 'SPAWNING PLOTS-normalized'!F$3))/SUMMARIES!$R$6</f>
        <v>0</v>
      </c>
      <c r="G23" s="160">
        <f>(SUMIFS('Larvae Collection'!$Q:$Q, 'Larvae Collection'!$A:$A,'SPAWNING PLOTS-normalized'!$A23, 'Larvae Collection'!$C:$C, 'SPAWNING PLOTS-normalized'!G$3))/SUMMARIES!$R$7</f>
        <v>0</v>
      </c>
      <c r="H23" s="160">
        <f>(SUMIFS('Larvae Collection'!$Q:$Q, 'Larvae Collection'!$A:$A,'SPAWNING PLOTS-normalized'!$A23, 'Larvae Collection'!$C:$C, 'SPAWNING PLOTS-normalized'!H$3))/SUMMARIES!$R$8</f>
        <v>0</v>
      </c>
      <c r="I23" s="160">
        <f>(SUMIFS('Larvae Collection'!$Q:$Q, 'Larvae Collection'!$A:$A,'SPAWNING PLOTS-normalized'!$A23, 'Larvae Collection'!$C:$C, 'SPAWNING PLOTS-normalized'!I$3))/SUMMARIES!$R$9</f>
        <v>1566.178861788618</v>
      </c>
      <c r="J23" s="160">
        <f>(SUMIFS('Larvae Collection'!$Q:$Q, 'Larvae Collection'!$A:$A,'SPAWNING PLOTS-normalized'!$A23, 'Larvae Collection'!$C:$C, 'SPAWNING PLOTS-normalized'!J$3))/SUMMARIES!$R$10</f>
        <v>683.00653594771245</v>
      </c>
      <c r="K23" s="160">
        <f>(SUMIFS('Larvae Collection'!$Q:$Q, 'Larvae Collection'!$A:$A,'SPAWNING PLOTS-normalized'!$A23, 'Larvae Collection'!$C:$C, 'SPAWNING PLOTS-normalized'!K$3))/SUMMARIES!$R$11</f>
        <v>0</v>
      </c>
      <c r="L23" s="160">
        <f>(SUMIFS('Larvae Collection'!$Q:$Q, 'Larvae Collection'!$A:$A,'SPAWNING PLOTS-normalized'!$A23, 'Larvae Collection'!$C:$C, 'SPAWNING PLOTS-normalized'!L$3))/SUMMARIES!$R$12</f>
        <v>0</v>
      </c>
      <c r="M23" s="160">
        <f>(SUMIFS('Larvae Collection'!$Q:$Q, 'Larvae Collection'!$A:$A,'SPAWNING PLOTS-normalized'!$A23, 'Larvae Collection'!$C:$C, 'SPAWNING PLOTS-normalized'!M$3))/SUMMARIES!$R$13</f>
        <v>0</v>
      </c>
      <c r="N23" s="160">
        <f>(SUMIFS('Larvae Collection'!$Q:$Q, 'Larvae Collection'!$A:$A,'SPAWNING PLOTS-normalized'!$A23, 'Larvae Collection'!$C:$C, 'SPAWNING PLOTS-normalized'!N$3))/SUMMARIES!$R$14</f>
        <v>0</v>
      </c>
      <c r="O23" s="160">
        <f>(SUMIFS('Larvae Collection'!$Q:$Q, 'Larvae Collection'!$A:$A,'SPAWNING PLOTS-normalized'!$A23, 'Larvae Collection'!$C:$C, 'SPAWNING PLOTS-normalized'!O$3))/SUMMARIES!$R$15</f>
        <v>169.02564102564102</v>
      </c>
      <c r="P23" s="160">
        <f>(SUMIFS('Larvae Collection'!$Q:$Q, 'Larvae Collection'!$A:$A,'SPAWNING PLOTS-normalized'!$A23, 'Larvae Collection'!$C:$C, 'SPAWNING PLOTS-normalized'!P$3))/SUMMARIES!$R$16</f>
        <v>104.44444444444444</v>
      </c>
      <c r="Q23" s="160">
        <f>(SUMIFS('Larvae Collection'!$Q:$Q, 'Larvae Collection'!$A:$A,'SPAWNING PLOTS-normalized'!$A23, 'Larvae Collection'!$C:$C, 'SPAWNING PLOTS-normalized'!Q$3))/SUMMARIES!$R$17</f>
        <v>745.71428571428567</v>
      </c>
      <c r="R23" s="158">
        <f t="shared" si="4"/>
        <v>28385.588581669228</v>
      </c>
      <c r="S23" s="158">
        <f t="shared" si="4"/>
        <v>19491.511111111107</v>
      </c>
      <c r="T23" s="158">
        <f t="shared" si="4"/>
        <v>17505.336336336339</v>
      </c>
      <c r="U23" s="158">
        <f t="shared" si="4"/>
        <v>5855.2717086834737</v>
      </c>
      <c r="V23" s="158">
        <f t="shared" si="4"/>
        <v>9583.8867438867419</v>
      </c>
      <c r="W23" s="158">
        <f t="shared" si="4"/>
        <v>16655.271604938273</v>
      </c>
      <c r="X23" s="158">
        <f t="shared" si="4"/>
        <v>23266.422440443715</v>
      </c>
      <c r="Y23" s="158">
        <f t="shared" si="4"/>
        <v>12849.406504065042</v>
      </c>
      <c r="Z23" s="158">
        <f t="shared" si="4"/>
        <v>18817.208556149733</v>
      </c>
      <c r="AA23" s="158">
        <f t="shared" si="4"/>
        <v>18383.931623931621</v>
      </c>
      <c r="AB23" s="158">
        <f t="shared" si="4"/>
        <v>13778.786549707604</v>
      </c>
      <c r="AC23" s="158">
        <f t="shared" si="4"/>
        <v>6299.3974358974365</v>
      </c>
      <c r="AD23" s="158">
        <f t="shared" si="4"/>
        <v>18144.255892255893</v>
      </c>
      <c r="AE23" s="158">
        <f t="shared" si="4"/>
        <v>17379.134717134719</v>
      </c>
      <c r="AF23" s="158">
        <f t="shared" si="4"/>
        <v>6632.2962962962965</v>
      </c>
      <c r="AG23" s="158">
        <f t="shared" si="4"/>
        <v>18471.679894179892</v>
      </c>
    </row>
    <row r="24" spans="1:33" ht="18">
      <c r="A24" s="157">
        <v>43209</v>
      </c>
      <c r="B24" s="160">
        <f>(SUMIFS('Larvae Collection'!$Q:$Q, 'Larvae Collection'!$A:$A,'SPAWNING PLOTS-normalized'!$A24, 'Larvae Collection'!$C:$C, 'SPAWNING PLOTS-normalized'!B$3))/SUMMARIES!$R$2</f>
        <v>0</v>
      </c>
      <c r="C24" s="160">
        <f>(SUMIFS('Larvae Collection'!$Q:$Q, 'Larvae Collection'!$A:$A,'SPAWNING PLOTS-normalized'!$A24, 'Larvae Collection'!$C:$C, 'SPAWNING PLOTS-normalized'!C$3))/SUMMARIES!$R$3</f>
        <v>0</v>
      </c>
      <c r="D24" s="160">
        <f>(SUMIFS('Larvae Collection'!$Q:$Q, 'Larvae Collection'!$A:$A,'SPAWNING PLOTS-normalized'!$A24, 'Larvae Collection'!$C:$C, 'SPAWNING PLOTS-normalized'!D$3))/SUMMARIES!$R$4</f>
        <v>0</v>
      </c>
      <c r="E24" s="160">
        <f>(SUMIFS('Larvae Collection'!$Q:$Q, 'Larvae Collection'!$A:$A,'SPAWNING PLOTS-normalized'!$A24, 'Larvae Collection'!$C:$C, 'SPAWNING PLOTS-normalized'!E$3))/SUMMARIES!$R$5</f>
        <v>0</v>
      </c>
      <c r="F24" s="160">
        <f>(SUMIFS('Larvae Collection'!$Q:$Q, 'Larvae Collection'!$A:$A,'SPAWNING PLOTS-normalized'!$A24, 'Larvae Collection'!$C:$C, 'SPAWNING PLOTS-normalized'!F$3))/SUMMARIES!$R$6</f>
        <v>542.34234234234236</v>
      </c>
      <c r="G24" s="160">
        <f>(SUMIFS('Larvae Collection'!$Q:$Q, 'Larvae Collection'!$A:$A,'SPAWNING PLOTS-normalized'!$A24, 'Larvae Collection'!$C:$C, 'SPAWNING PLOTS-normalized'!G$3))/SUMMARIES!$R$7</f>
        <v>0</v>
      </c>
      <c r="H24" s="160">
        <f>(SUMIFS('Larvae Collection'!$Q:$Q, 'Larvae Collection'!$A:$A,'SPAWNING PLOTS-normalized'!$A24, 'Larvae Collection'!$C:$C, 'SPAWNING PLOTS-normalized'!H$3))/SUMMARIES!$R$8</f>
        <v>0</v>
      </c>
      <c r="I24" s="160">
        <f>(SUMIFS('Larvae Collection'!$Q:$Q, 'Larvae Collection'!$A:$A,'SPAWNING PLOTS-normalized'!$A24, 'Larvae Collection'!$C:$C, 'SPAWNING PLOTS-normalized'!I$3))/SUMMARIES!$R$9</f>
        <v>0</v>
      </c>
      <c r="J24" s="160">
        <f>(SUMIFS('Larvae Collection'!$Q:$Q, 'Larvae Collection'!$A:$A,'SPAWNING PLOTS-normalized'!$A24, 'Larvae Collection'!$C:$C, 'SPAWNING PLOTS-normalized'!J$3))/SUMMARIES!$R$10</f>
        <v>0</v>
      </c>
      <c r="K24" s="160">
        <f>(SUMIFS('Larvae Collection'!$Q:$Q, 'Larvae Collection'!$A:$A,'SPAWNING PLOTS-normalized'!$A24, 'Larvae Collection'!$C:$C, 'SPAWNING PLOTS-normalized'!K$3))/SUMMARIES!$R$11</f>
        <v>567.17948717948718</v>
      </c>
      <c r="L24" s="160">
        <f>(SUMIFS('Larvae Collection'!$Q:$Q, 'Larvae Collection'!$A:$A,'SPAWNING PLOTS-normalized'!$A24, 'Larvae Collection'!$C:$C, 'SPAWNING PLOTS-normalized'!L$3))/SUMMARIES!$R$12</f>
        <v>0</v>
      </c>
      <c r="M24" s="160">
        <f>(SUMIFS('Larvae Collection'!$Q:$Q, 'Larvae Collection'!$A:$A,'SPAWNING PLOTS-normalized'!$A24, 'Larvae Collection'!$C:$C, 'SPAWNING PLOTS-normalized'!M$3))/SUMMARIES!$R$13</f>
        <v>3405.1282051282051</v>
      </c>
      <c r="N24" s="160">
        <f>(SUMIFS('Larvae Collection'!$Q:$Q, 'Larvae Collection'!$A:$A,'SPAWNING PLOTS-normalized'!$A24, 'Larvae Collection'!$C:$C, 'SPAWNING PLOTS-normalized'!N$3))/SUMMARIES!$R$14</f>
        <v>0</v>
      </c>
      <c r="O24" s="160">
        <f>(SUMIFS('Larvae Collection'!$Q:$Q, 'Larvae Collection'!$A:$A,'SPAWNING PLOTS-normalized'!$A24, 'Larvae Collection'!$C:$C, 'SPAWNING PLOTS-normalized'!O$3))/SUMMARIES!$R$15</f>
        <v>0</v>
      </c>
      <c r="P24" s="160">
        <f>(SUMIFS('Larvae Collection'!$Q:$Q, 'Larvae Collection'!$A:$A,'SPAWNING PLOTS-normalized'!$A24, 'Larvae Collection'!$C:$C, 'SPAWNING PLOTS-normalized'!P$3))/SUMMARIES!$R$16</f>
        <v>1730.3703703703704</v>
      </c>
      <c r="Q24" s="160">
        <f>(SUMIFS('Larvae Collection'!$Q:$Q, 'Larvae Collection'!$A:$A,'SPAWNING PLOTS-normalized'!$A24, 'Larvae Collection'!$C:$C, 'SPAWNING PLOTS-normalized'!Q$3))/SUMMARIES!$R$17</f>
        <v>0</v>
      </c>
      <c r="R24" s="158">
        <f t="shared" si="4"/>
        <v>28385.588581669228</v>
      </c>
      <c r="S24" s="158">
        <f t="shared" si="4"/>
        <v>19491.511111111107</v>
      </c>
      <c r="T24" s="158">
        <f t="shared" si="4"/>
        <v>17505.336336336339</v>
      </c>
      <c r="U24" s="158">
        <f t="shared" si="4"/>
        <v>5855.2717086834737</v>
      </c>
      <c r="V24" s="158">
        <f t="shared" si="4"/>
        <v>10126.229086229085</v>
      </c>
      <c r="W24" s="158">
        <f t="shared" si="4"/>
        <v>16655.271604938273</v>
      </c>
      <c r="X24" s="158">
        <f t="shared" si="4"/>
        <v>23266.422440443715</v>
      </c>
      <c r="Y24" s="158">
        <f t="shared" si="4"/>
        <v>12849.406504065042</v>
      </c>
      <c r="Z24" s="158">
        <f t="shared" si="4"/>
        <v>18817.208556149733</v>
      </c>
      <c r="AA24" s="158">
        <f t="shared" si="4"/>
        <v>18951.111111111109</v>
      </c>
      <c r="AB24" s="158">
        <f t="shared" si="4"/>
        <v>13778.786549707604</v>
      </c>
      <c r="AC24" s="158">
        <f t="shared" si="4"/>
        <v>9704.5256410256407</v>
      </c>
      <c r="AD24" s="158">
        <f t="shared" si="4"/>
        <v>18144.255892255893</v>
      </c>
      <c r="AE24" s="158">
        <f t="shared" si="4"/>
        <v>17379.134717134719</v>
      </c>
      <c r="AF24" s="158">
        <f t="shared" si="4"/>
        <v>8362.6666666666679</v>
      </c>
      <c r="AG24" s="158">
        <f t="shared" si="4"/>
        <v>18471.679894179892</v>
      </c>
    </row>
    <row r="25" spans="1:33" ht="18">
      <c r="A25" s="157">
        <v>43210</v>
      </c>
      <c r="B25" s="160">
        <f>(SUMIFS('Larvae Collection'!$Q:$Q, 'Larvae Collection'!$A:$A,'SPAWNING PLOTS-normalized'!$A25, 'Larvae Collection'!$C:$C, 'SPAWNING PLOTS-normalized'!B$3))/SUMMARIES!$R$2</f>
        <v>1100.8064516129032</v>
      </c>
      <c r="C25" s="160">
        <f>(SUMIFS('Larvae Collection'!$Q:$Q, 'Larvae Collection'!$A:$A,'SPAWNING PLOTS-normalized'!$A25, 'Larvae Collection'!$C:$C, 'SPAWNING PLOTS-normalized'!C$3))/SUMMARIES!$R$3</f>
        <v>0</v>
      </c>
      <c r="D25" s="160">
        <f>(SUMIFS('Larvae Collection'!$Q:$Q, 'Larvae Collection'!$A:$A,'SPAWNING PLOTS-normalized'!$A25, 'Larvae Collection'!$C:$C, 'SPAWNING PLOTS-normalized'!D$3))/SUMMARIES!$R$4</f>
        <v>0</v>
      </c>
      <c r="E25" s="160">
        <f>(SUMIFS('Larvae Collection'!$Q:$Q, 'Larvae Collection'!$A:$A,'SPAWNING PLOTS-normalized'!$A25, 'Larvae Collection'!$C:$C, 'SPAWNING PLOTS-normalized'!E$3))/SUMMARIES!$R$5</f>
        <v>0</v>
      </c>
      <c r="F25" s="160">
        <f>(SUMIFS('Larvae Collection'!$Q:$Q, 'Larvae Collection'!$A:$A,'SPAWNING PLOTS-normalized'!$A25, 'Larvae Collection'!$C:$C, 'SPAWNING PLOTS-normalized'!F$3))/SUMMARIES!$R$6</f>
        <v>192.01201201201204</v>
      </c>
      <c r="G25" s="160">
        <f>(SUMIFS('Larvae Collection'!$Q:$Q, 'Larvae Collection'!$A:$A,'SPAWNING PLOTS-normalized'!$A25, 'Larvae Collection'!$C:$C, 'SPAWNING PLOTS-normalized'!G$3))/SUMMARIES!$R$7</f>
        <v>2361.8055555555557</v>
      </c>
      <c r="H25" s="160">
        <f>(SUMIFS('Larvae Collection'!$Q:$Q, 'Larvae Collection'!$A:$A,'SPAWNING PLOTS-normalized'!$A25, 'Larvae Collection'!$C:$C, 'SPAWNING PLOTS-normalized'!H$3))/SUMMARIES!$R$8</f>
        <v>643.61702127659578</v>
      </c>
      <c r="I25" s="160">
        <f>(SUMIFS('Larvae Collection'!$Q:$Q, 'Larvae Collection'!$A:$A,'SPAWNING PLOTS-normalized'!$A25, 'Larvae Collection'!$C:$C, 'SPAWNING PLOTS-normalized'!I$3))/SUMMARIES!$R$9</f>
        <v>0</v>
      </c>
      <c r="J25" s="160">
        <f>(SUMIFS('Larvae Collection'!$Q:$Q, 'Larvae Collection'!$A:$A,'SPAWNING PLOTS-normalized'!$A25, 'Larvae Collection'!$C:$C, 'SPAWNING PLOTS-normalized'!J$3))/SUMMARIES!$R$10</f>
        <v>0</v>
      </c>
      <c r="K25" s="160">
        <f>(SUMIFS('Larvae Collection'!$Q:$Q, 'Larvae Collection'!$A:$A,'SPAWNING PLOTS-normalized'!$A25, 'Larvae Collection'!$C:$C, 'SPAWNING PLOTS-normalized'!K$3))/SUMMARIES!$R$11</f>
        <v>0</v>
      </c>
      <c r="L25" s="160">
        <f>(SUMIFS('Larvae Collection'!$Q:$Q, 'Larvae Collection'!$A:$A,'SPAWNING PLOTS-normalized'!$A25, 'Larvae Collection'!$C:$C, 'SPAWNING PLOTS-normalized'!L$3))/SUMMARIES!$R$12</f>
        <v>4907.894736842105</v>
      </c>
      <c r="M25" s="160">
        <f>(SUMIFS('Larvae Collection'!$Q:$Q, 'Larvae Collection'!$A:$A,'SPAWNING PLOTS-normalized'!$A25, 'Larvae Collection'!$C:$C, 'SPAWNING PLOTS-normalized'!M$3))/SUMMARIES!$R$13</f>
        <v>0</v>
      </c>
      <c r="N25" s="160">
        <f>(SUMIFS('Larvae Collection'!$Q:$Q, 'Larvae Collection'!$A:$A,'SPAWNING PLOTS-normalized'!$A25, 'Larvae Collection'!$C:$C, 'SPAWNING PLOTS-normalized'!N$3))/SUMMARIES!$R$14</f>
        <v>0</v>
      </c>
      <c r="O25" s="160">
        <f>(SUMIFS('Larvae Collection'!$Q:$Q, 'Larvae Collection'!$A:$A,'SPAWNING PLOTS-normalized'!$A25, 'Larvae Collection'!$C:$C, 'SPAWNING PLOTS-normalized'!O$3))/SUMMARIES!$R$15</f>
        <v>0</v>
      </c>
      <c r="P25" s="160">
        <f>(SUMIFS('Larvae Collection'!$Q:$Q, 'Larvae Collection'!$A:$A,'SPAWNING PLOTS-normalized'!$A25, 'Larvae Collection'!$C:$C, 'SPAWNING PLOTS-normalized'!P$3))/SUMMARIES!$R$16</f>
        <v>3010</v>
      </c>
      <c r="Q25" s="160">
        <f>(SUMIFS('Larvae Collection'!$Q:$Q, 'Larvae Collection'!$A:$A,'SPAWNING PLOTS-normalized'!$A25, 'Larvae Collection'!$C:$C, 'SPAWNING PLOTS-normalized'!Q$3))/SUMMARIES!$R$17</f>
        <v>0</v>
      </c>
      <c r="R25" s="158">
        <f t="shared" si="4"/>
        <v>29486.39503328213</v>
      </c>
      <c r="S25" s="158">
        <f t="shared" si="4"/>
        <v>19491.511111111107</v>
      </c>
      <c r="T25" s="158">
        <f t="shared" si="4"/>
        <v>17505.336336336339</v>
      </c>
      <c r="U25" s="158">
        <f t="shared" si="4"/>
        <v>5855.2717086834737</v>
      </c>
      <c r="V25" s="158">
        <f t="shared" si="4"/>
        <v>10318.241098241097</v>
      </c>
      <c r="W25" s="158">
        <f t="shared" si="4"/>
        <v>19017.077160493827</v>
      </c>
      <c r="X25" s="158">
        <f t="shared" si="4"/>
        <v>23910.039461720313</v>
      </c>
      <c r="Y25" s="158">
        <f t="shared" si="4"/>
        <v>12849.406504065042</v>
      </c>
      <c r="Z25" s="158">
        <f t="shared" si="4"/>
        <v>18817.208556149733</v>
      </c>
      <c r="AA25" s="158">
        <f t="shared" si="4"/>
        <v>18951.111111111109</v>
      </c>
      <c r="AB25" s="158">
        <f t="shared" si="4"/>
        <v>18686.681286549709</v>
      </c>
      <c r="AC25" s="158">
        <f t="shared" si="4"/>
        <v>9704.5256410256407</v>
      </c>
      <c r="AD25" s="158">
        <f t="shared" si="4"/>
        <v>18144.255892255893</v>
      </c>
      <c r="AE25" s="158">
        <f t="shared" si="4"/>
        <v>17379.134717134719</v>
      </c>
      <c r="AF25" s="158">
        <f t="shared" si="4"/>
        <v>11372.666666666668</v>
      </c>
      <c r="AG25" s="158">
        <f t="shared" si="4"/>
        <v>18471.679894179892</v>
      </c>
    </row>
    <row r="26" spans="1:33" ht="18">
      <c r="A26" s="157">
        <v>43211</v>
      </c>
      <c r="B26" s="160">
        <f>(SUMIFS('Larvae Collection'!$Q:$Q, 'Larvae Collection'!$A:$A,'SPAWNING PLOTS-normalized'!$A26, 'Larvae Collection'!$C:$C, 'SPAWNING PLOTS-normalized'!B$3))/SUMMARIES!$R$2</f>
        <v>6569.8924731182788</v>
      </c>
      <c r="C26" s="160">
        <f>(SUMIFS('Larvae Collection'!$Q:$Q, 'Larvae Collection'!$A:$A,'SPAWNING PLOTS-normalized'!$A26, 'Larvae Collection'!$C:$C, 'SPAWNING PLOTS-normalized'!C$3))/SUMMARIES!$R$3</f>
        <v>0</v>
      </c>
      <c r="D26" s="160">
        <f>(SUMIFS('Larvae Collection'!$Q:$Q, 'Larvae Collection'!$A:$A,'SPAWNING PLOTS-normalized'!$A26, 'Larvae Collection'!$C:$C, 'SPAWNING PLOTS-normalized'!D$3))/SUMMARIES!$R$4</f>
        <v>0</v>
      </c>
      <c r="E26" s="160">
        <f>(SUMIFS('Larvae Collection'!$Q:$Q, 'Larvae Collection'!$A:$A,'SPAWNING PLOTS-normalized'!$A26, 'Larvae Collection'!$C:$C, 'SPAWNING PLOTS-normalized'!E$3))/SUMMARIES!$R$5</f>
        <v>0</v>
      </c>
      <c r="F26" s="160">
        <f>(SUMIFS('Larvae Collection'!$Q:$Q, 'Larvae Collection'!$A:$A,'SPAWNING PLOTS-normalized'!$A26, 'Larvae Collection'!$C:$C, 'SPAWNING PLOTS-normalized'!F$3))/SUMMARIES!$R$6</f>
        <v>0</v>
      </c>
      <c r="G26" s="160">
        <f>(SUMIFS('Larvae Collection'!$Q:$Q, 'Larvae Collection'!$A:$A,'SPAWNING PLOTS-normalized'!$A26, 'Larvae Collection'!$C:$C, 'SPAWNING PLOTS-normalized'!G$3))/SUMMARIES!$R$7</f>
        <v>0</v>
      </c>
      <c r="H26" s="160">
        <f>(SUMIFS('Larvae Collection'!$Q:$Q, 'Larvae Collection'!$A:$A,'SPAWNING PLOTS-normalized'!$A26, 'Larvae Collection'!$C:$C, 'SPAWNING PLOTS-normalized'!H$3))/SUMMARIES!$R$8</f>
        <v>0</v>
      </c>
      <c r="I26" s="160">
        <f>(SUMIFS('Larvae Collection'!$Q:$Q, 'Larvae Collection'!$A:$A,'SPAWNING PLOTS-normalized'!$A26, 'Larvae Collection'!$C:$C, 'SPAWNING PLOTS-normalized'!I$3))/SUMMARIES!$R$9</f>
        <v>1270.4607046070462</v>
      </c>
      <c r="J26" s="160">
        <f>(SUMIFS('Larvae Collection'!$Q:$Q, 'Larvae Collection'!$A:$A,'SPAWNING PLOTS-normalized'!$A26, 'Larvae Collection'!$C:$C, 'SPAWNING PLOTS-normalized'!J$3))/SUMMARIES!$R$10</f>
        <v>0</v>
      </c>
      <c r="K26" s="160">
        <f>(SUMIFS('Larvae Collection'!$Q:$Q, 'Larvae Collection'!$A:$A,'SPAWNING PLOTS-normalized'!$A26, 'Larvae Collection'!$C:$C, 'SPAWNING PLOTS-normalized'!K$3))/SUMMARIES!$R$11</f>
        <v>0</v>
      </c>
      <c r="L26" s="160">
        <f>(SUMIFS('Larvae Collection'!$Q:$Q, 'Larvae Collection'!$A:$A,'SPAWNING PLOTS-normalized'!$A26, 'Larvae Collection'!$C:$C, 'SPAWNING PLOTS-normalized'!L$3))/SUMMARIES!$R$12</f>
        <v>0</v>
      </c>
      <c r="M26" s="160">
        <f>(SUMIFS('Larvae Collection'!$Q:$Q, 'Larvae Collection'!$A:$A,'SPAWNING PLOTS-normalized'!$A26, 'Larvae Collection'!$C:$C, 'SPAWNING PLOTS-normalized'!M$3))/SUMMARIES!$R$13</f>
        <v>0</v>
      </c>
      <c r="N26" s="160">
        <f>(SUMIFS('Larvae Collection'!$Q:$Q, 'Larvae Collection'!$A:$A,'SPAWNING PLOTS-normalized'!$A26, 'Larvae Collection'!$C:$C, 'SPAWNING PLOTS-normalized'!N$3))/SUMMARIES!$R$14</f>
        <v>0</v>
      </c>
      <c r="O26" s="160">
        <f>(SUMIFS('Larvae Collection'!$Q:$Q, 'Larvae Collection'!$A:$A,'SPAWNING PLOTS-normalized'!$A26, 'Larvae Collection'!$C:$C, 'SPAWNING PLOTS-normalized'!O$3))/SUMMARIES!$R$15</f>
        <v>0</v>
      </c>
      <c r="P26" s="160">
        <f>(SUMIFS('Larvae Collection'!$Q:$Q, 'Larvae Collection'!$A:$A,'SPAWNING PLOTS-normalized'!$A26, 'Larvae Collection'!$C:$C, 'SPAWNING PLOTS-normalized'!P$3))/SUMMARIES!$R$16</f>
        <v>0</v>
      </c>
      <c r="Q26" s="160">
        <f>(SUMIFS('Larvae Collection'!$Q:$Q, 'Larvae Collection'!$A:$A,'SPAWNING PLOTS-normalized'!$A26, 'Larvae Collection'!$C:$C, 'SPAWNING PLOTS-normalized'!Q$3))/SUMMARIES!$R$17</f>
        <v>0</v>
      </c>
      <c r="R26" s="158">
        <f t="shared" si="4"/>
        <v>36056.287506400411</v>
      </c>
      <c r="S26" s="158">
        <f t="shared" si="4"/>
        <v>19491.511111111107</v>
      </c>
      <c r="T26" s="158">
        <f t="shared" si="4"/>
        <v>17505.336336336339</v>
      </c>
      <c r="U26" s="158">
        <f t="shared" si="4"/>
        <v>5855.2717086834737</v>
      </c>
      <c r="V26" s="158">
        <f t="shared" si="4"/>
        <v>10318.241098241097</v>
      </c>
      <c r="W26" s="158">
        <f t="shared" si="4"/>
        <v>19017.077160493827</v>
      </c>
      <c r="X26" s="158">
        <f t="shared" si="4"/>
        <v>23910.039461720313</v>
      </c>
      <c r="Y26" s="158">
        <f t="shared" si="4"/>
        <v>14119.867208672089</v>
      </c>
      <c r="Z26" s="158">
        <f t="shared" si="4"/>
        <v>18817.208556149733</v>
      </c>
      <c r="AA26" s="158">
        <f t="shared" si="4"/>
        <v>18951.111111111109</v>
      </c>
      <c r="AB26" s="158">
        <f t="shared" si="4"/>
        <v>18686.681286549709</v>
      </c>
      <c r="AC26" s="158">
        <f t="shared" si="4"/>
        <v>9704.5256410256407</v>
      </c>
      <c r="AD26" s="158">
        <f t="shared" si="4"/>
        <v>18144.255892255893</v>
      </c>
      <c r="AE26" s="158">
        <f t="shared" si="4"/>
        <v>17379.134717134719</v>
      </c>
      <c r="AF26" s="158">
        <f t="shared" si="4"/>
        <v>11372.666666666668</v>
      </c>
      <c r="AG26" s="158">
        <f t="shared" si="4"/>
        <v>18471.679894179892</v>
      </c>
    </row>
    <row r="27" spans="1:33" ht="18">
      <c r="A27" s="157">
        <v>43212</v>
      </c>
      <c r="B27" s="160">
        <f>(SUMIFS('Larvae Collection'!$Q:$Q, 'Larvae Collection'!$A:$A,'SPAWNING PLOTS-normalized'!$A27, 'Larvae Collection'!$C:$C, 'SPAWNING PLOTS-normalized'!B$3))/SUMMARIES!$R$2</f>
        <v>0</v>
      </c>
      <c r="C27" s="160">
        <f>(SUMIFS('Larvae Collection'!$Q:$Q, 'Larvae Collection'!$A:$A,'SPAWNING PLOTS-normalized'!$A27, 'Larvae Collection'!$C:$C, 'SPAWNING PLOTS-normalized'!C$3))/SUMMARIES!$R$3</f>
        <v>1418.6666666666667</v>
      </c>
      <c r="D27" s="160">
        <f>(SUMIFS('Larvae Collection'!$Q:$Q, 'Larvae Collection'!$A:$A,'SPAWNING PLOTS-normalized'!$A27, 'Larvae Collection'!$C:$C, 'SPAWNING PLOTS-normalized'!D$3))/SUMMARIES!$R$4</f>
        <v>0</v>
      </c>
      <c r="E27" s="160">
        <f>(SUMIFS('Larvae Collection'!$Q:$Q, 'Larvae Collection'!$A:$A,'SPAWNING PLOTS-normalized'!$A27, 'Larvae Collection'!$C:$C, 'SPAWNING PLOTS-normalized'!E$3))/SUMMARIES!$R$5</f>
        <v>0</v>
      </c>
      <c r="F27" s="160">
        <f>(SUMIFS('Larvae Collection'!$Q:$Q, 'Larvae Collection'!$A:$A,'SPAWNING PLOTS-normalized'!$A27, 'Larvae Collection'!$C:$C, 'SPAWNING PLOTS-normalized'!F$3))/SUMMARIES!$R$6</f>
        <v>1511.9519519519517</v>
      </c>
      <c r="G27" s="160">
        <f>(SUMIFS('Larvae Collection'!$Q:$Q, 'Larvae Collection'!$A:$A,'SPAWNING PLOTS-normalized'!$A27, 'Larvae Collection'!$C:$C, 'SPAWNING PLOTS-normalized'!G$3))/SUMMARIES!$R$7</f>
        <v>0</v>
      </c>
      <c r="H27" s="160">
        <f>(SUMIFS('Larvae Collection'!$Q:$Q, 'Larvae Collection'!$A:$A,'SPAWNING PLOTS-normalized'!$A27, 'Larvae Collection'!$C:$C, 'SPAWNING PLOTS-normalized'!H$3))/SUMMARIES!$R$8</f>
        <v>0</v>
      </c>
      <c r="I27" s="160">
        <f>(SUMIFS('Larvae Collection'!$Q:$Q, 'Larvae Collection'!$A:$A,'SPAWNING PLOTS-normalized'!$A27, 'Larvae Collection'!$C:$C, 'SPAWNING PLOTS-normalized'!I$3))/SUMMARIES!$R$9</f>
        <v>283.9430894308943</v>
      </c>
      <c r="J27" s="160">
        <f>(SUMIFS('Larvae Collection'!$Q:$Q, 'Larvae Collection'!$A:$A,'SPAWNING PLOTS-normalized'!$A27, 'Larvae Collection'!$C:$C, 'SPAWNING PLOTS-normalized'!J$3))/SUMMARIES!$R$10</f>
        <v>0</v>
      </c>
      <c r="K27" s="160">
        <f>(SUMIFS('Larvae Collection'!$Q:$Q, 'Larvae Collection'!$A:$A,'SPAWNING PLOTS-normalized'!$A27, 'Larvae Collection'!$C:$C, 'SPAWNING PLOTS-normalized'!K$3))/SUMMARIES!$R$11</f>
        <v>0</v>
      </c>
      <c r="L27" s="160">
        <f>(SUMIFS('Larvae Collection'!$Q:$Q, 'Larvae Collection'!$A:$A,'SPAWNING PLOTS-normalized'!$A27, 'Larvae Collection'!$C:$C, 'SPAWNING PLOTS-normalized'!L$3))/SUMMARIES!$R$12</f>
        <v>0</v>
      </c>
      <c r="M27" s="160">
        <f>(SUMIFS('Larvae Collection'!$Q:$Q, 'Larvae Collection'!$A:$A,'SPAWNING PLOTS-normalized'!$A27, 'Larvae Collection'!$C:$C, 'SPAWNING PLOTS-normalized'!M$3))/SUMMARIES!$R$13</f>
        <v>0</v>
      </c>
      <c r="N27" s="160">
        <f>(SUMIFS('Larvae Collection'!$Q:$Q, 'Larvae Collection'!$A:$A,'SPAWNING PLOTS-normalized'!$A27, 'Larvae Collection'!$C:$C, 'SPAWNING PLOTS-normalized'!N$3))/SUMMARIES!$R$14</f>
        <v>1878.6379928315416</v>
      </c>
      <c r="O27" s="160">
        <f>(SUMIFS('Larvae Collection'!$Q:$Q, 'Larvae Collection'!$A:$A,'SPAWNING PLOTS-normalized'!$A27, 'Larvae Collection'!$C:$C, 'SPAWNING PLOTS-normalized'!O$3))/SUMMARIES!$R$15</f>
        <v>0</v>
      </c>
      <c r="P27" s="160">
        <f>(SUMIFS('Larvae Collection'!$Q:$Q, 'Larvae Collection'!$A:$A,'SPAWNING PLOTS-normalized'!$A27, 'Larvae Collection'!$C:$C, 'SPAWNING PLOTS-normalized'!P$3))/SUMMARIES!$R$16</f>
        <v>3582.2222222222222</v>
      </c>
      <c r="Q27" s="160">
        <f>(SUMIFS('Larvae Collection'!$Q:$Q, 'Larvae Collection'!$A:$A,'SPAWNING PLOTS-normalized'!$A27, 'Larvae Collection'!$C:$C, 'SPAWNING PLOTS-normalized'!Q$3))/SUMMARIES!$R$17</f>
        <v>0</v>
      </c>
      <c r="R27" s="158">
        <f t="shared" si="4"/>
        <v>36056.287506400411</v>
      </c>
      <c r="S27" s="158">
        <f t="shared" si="4"/>
        <v>20910.177777777775</v>
      </c>
      <c r="T27" s="158">
        <f t="shared" si="4"/>
        <v>17505.336336336339</v>
      </c>
      <c r="U27" s="158">
        <f t="shared" si="4"/>
        <v>5855.2717086834737</v>
      </c>
      <c r="V27" s="158">
        <f t="shared" si="4"/>
        <v>11830.193050193047</v>
      </c>
      <c r="W27" s="158">
        <f t="shared" si="4"/>
        <v>19017.077160493827</v>
      </c>
      <c r="X27" s="158">
        <f t="shared" si="4"/>
        <v>23910.039461720313</v>
      </c>
      <c r="Y27" s="158">
        <f t="shared" si="4"/>
        <v>14403.810298102982</v>
      </c>
      <c r="Z27" s="158">
        <f t="shared" si="4"/>
        <v>18817.208556149733</v>
      </c>
      <c r="AA27" s="158">
        <f t="shared" si="4"/>
        <v>18951.111111111109</v>
      </c>
      <c r="AB27" s="158">
        <f t="shared" si="4"/>
        <v>18686.681286549709</v>
      </c>
      <c r="AC27" s="158">
        <f t="shared" si="4"/>
        <v>9704.5256410256407</v>
      </c>
      <c r="AD27" s="158">
        <f t="shared" si="4"/>
        <v>20022.893885087433</v>
      </c>
      <c r="AE27" s="158">
        <f t="shared" si="4"/>
        <v>17379.134717134719</v>
      </c>
      <c r="AF27" s="158">
        <f t="shared" si="4"/>
        <v>14954.888888888891</v>
      </c>
      <c r="AG27" s="158">
        <f t="shared" si="4"/>
        <v>18471.679894179892</v>
      </c>
    </row>
    <row r="28" spans="1:33" ht="18">
      <c r="A28" s="157">
        <v>43213</v>
      </c>
      <c r="B28" s="160">
        <f>(SUMIFS('Larvae Collection'!$Q:$Q, 'Larvae Collection'!$A:$A,'SPAWNING PLOTS-normalized'!$A28, 'Larvae Collection'!$C:$C, 'SPAWNING PLOTS-normalized'!B$3))/SUMMARIES!$S$2</f>
        <v>0</v>
      </c>
      <c r="C28" s="160">
        <f>(SUMIFS('Larvae Collection'!$Q:$Q, 'Larvae Collection'!$A:$A,'SPAWNING PLOTS-normalized'!$A28, 'Larvae Collection'!$C:$C, 'SPAWNING PLOTS-normalized'!C$3))/SUMMARIES!$S$3</f>
        <v>0</v>
      </c>
      <c r="D28" s="160">
        <f>(SUMIFS('Larvae Collection'!$Q:$Q, 'Larvae Collection'!$A:$A,'SPAWNING PLOTS-normalized'!$A28, 'Larvae Collection'!$C:$C, 'SPAWNING PLOTS-normalized'!D$3))/SUMMARIES!$S$4</f>
        <v>0</v>
      </c>
      <c r="E28" s="160">
        <f>(SUMIFS('Larvae Collection'!$Q:$Q, 'Larvae Collection'!$A:$A,'SPAWNING PLOTS-normalized'!$A28, 'Larvae Collection'!$C:$C, 'SPAWNING PLOTS-normalized'!E$3))/SUMMARIES!$S$5</f>
        <v>0</v>
      </c>
      <c r="F28" s="160">
        <f>(SUMIFS('Larvae Collection'!$Q:$Q, 'Larvae Collection'!$A:$A,'SPAWNING PLOTS-normalized'!$A28, 'Larvae Collection'!$C:$C, 'SPAWNING PLOTS-normalized'!F$3))/SUMMARIES!$S$6</f>
        <v>0</v>
      </c>
      <c r="G28" s="160">
        <f>(SUMIFS('Larvae Collection'!$Q:$Q, 'Larvae Collection'!$A:$A,'SPAWNING PLOTS-normalized'!$A28, 'Larvae Collection'!$C:$C, 'SPAWNING PLOTS-normalized'!G$3))/SUMMARIES!$S$7</f>
        <v>0</v>
      </c>
      <c r="H28" s="160">
        <f>(SUMIFS('Larvae Collection'!$Q:$Q, 'Larvae Collection'!$A:$A,'SPAWNING PLOTS-normalized'!$A28, 'Larvae Collection'!$C:$C, 'SPAWNING PLOTS-normalized'!H$3))/SUMMARIES!$S$8</f>
        <v>0</v>
      </c>
      <c r="I28" s="160">
        <f>(SUMIFS('Larvae Collection'!$Q:$Q, 'Larvae Collection'!$A:$A,'SPAWNING PLOTS-normalized'!$A28, 'Larvae Collection'!$C:$C, 'SPAWNING PLOTS-normalized'!I$3))/SUMMARIES!$S$9</f>
        <v>0</v>
      </c>
      <c r="J28" s="160">
        <f>(SUMIFS('Larvae Collection'!$Q:$Q, 'Larvae Collection'!$A:$A,'SPAWNING PLOTS-normalized'!$A28, 'Larvae Collection'!$C:$C, 'SPAWNING PLOTS-normalized'!J$3))/SUMMARIES!$S$10</f>
        <v>0</v>
      </c>
      <c r="K28" s="160">
        <f>(SUMIFS('Larvae Collection'!$Q:$Q, 'Larvae Collection'!$A:$A,'SPAWNING PLOTS-normalized'!$A28, 'Larvae Collection'!$C:$C, 'SPAWNING PLOTS-normalized'!K$3))/SUMMARIES!$S$11</f>
        <v>0</v>
      </c>
      <c r="L28" s="160">
        <f>(SUMIFS('Larvae Collection'!$Q:$Q, 'Larvae Collection'!$A:$A,'SPAWNING PLOTS-normalized'!$A28, 'Larvae Collection'!$C:$C, 'SPAWNING PLOTS-normalized'!L$3))/SUMMARIES!$S$12</f>
        <v>0</v>
      </c>
      <c r="M28" s="160">
        <f>(SUMIFS('Larvae Collection'!$Q:$Q, 'Larvae Collection'!$A:$A,'SPAWNING PLOTS-normalized'!$A28, 'Larvae Collection'!$C:$C, 'SPAWNING PLOTS-normalized'!M$3))/SUMMARIES!$S$13</f>
        <v>0</v>
      </c>
      <c r="N28" s="160">
        <f>(SUMIFS('Larvae Collection'!$Q:$Q, 'Larvae Collection'!$A:$A,'SPAWNING PLOTS-normalized'!$A28, 'Larvae Collection'!$C:$C, 'SPAWNING PLOTS-normalized'!N$3))/SUMMARIES!$S$14</f>
        <v>0</v>
      </c>
      <c r="O28" s="160">
        <f>(SUMIFS('Larvae Collection'!$Q:$Q, 'Larvae Collection'!$A:$A,'SPAWNING PLOTS-normalized'!$A28, 'Larvae Collection'!$C:$C, 'SPAWNING PLOTS-normalized'!O$3))/SUMMARIES!$S$15</f>
        <v>0</v>
      </c>
      <c r="P28" s="160">
        <f>(SUMIFS('Larvae Collection'!$Q:$Q, 'Larvae Collection'!$A:$A,'SPAWNING PLOTS-normalized'!$A28, 'Larvae Collection'!$C:$C, 'SPAWNING PLOTS-normalized'!P$3))/SUMMARIES!$S$16</f>
        <v>0</v>
      </c>
      <c r="Q28" s="160">
        <f>(SUMIFS('Larvae Collection'!$Q:$Q, 'Larvae Collection'!$A:$A,'SPAWNING PLOTS-normalized'!$A28, 'Larvae Collection'!$C:$C, 'SPAWNING PLOTS-normalized'!Q$3))/SUMMARIES!$S$17</f>
        <v>0</v>
      </c>
      <c r="R28" s="158">
        <f t="shared" si="4"/>
        <v>36056.287506400411</v>
      </c>
      <c r="S28" s="158">
        <f t="shared" si="4"/>
        <v>20910.177777777775</v>
      </c>
      <c r="T28" s="158">
        <f t="shared" si="4"/>
        <v>17505.336336336339</v>
      </c>
      <c r="U28" s="158">
        <f t="shared" si="4"/>
        <v>5855.2717086834737</v>
      </c>
      <c r="V28" s="158">
        <f t="shared" si="4"/>
        <v>11830.193050193047</v>
      </c>
      <c r="W28" s="158">
        <f t="shared" si="4"/>
        <v>19017.077160493827</v>
      </c>
      <c r="X28" s="158">
        <f t="shared" si="4"/>
        <v>23910.039461720313</v>
      </c>
      <c r="Y28" s="158">
        <f t="shared" si="4"/>
        <v>14403.810298102982</v>
      </c>
      <c r="Z28" s="158">
        <f t="shared" si="4"/>
        <v>18817.208556149733</v>
      </c>
      <c r="AA28" s="158">
        <f t="shared" si="4"/>
        <v>18951.111111111109</v>
      </c>
      <c r="AB28" s="158">
        <f t="shared" si="4"/>
        <v>18686.681286549709</v>
      </c>
      <c r="AC28" s="158">
        <f t="shared" si="4"/>
        <v>9704.5256410256407</v>
      </c>
      <c r="AD28" s="158">
        <f t="shared" si="4"/>
        <v>20022.893885087433</v>
      </c>
      <c r="AE28" s="158">
        <f t="shared" si="4"/>
        <v>17379.134717134719</v>
      </c>
      <c r="AF28" s="158">
        <f t="shared" si="4"/>
        <v>14954.888888888891</v>
      </c>
      <c r="AG28" s="158">
        <f t="shared" si="4"/>
        <v>18471.679894179892</v>
      </c>
    </row>
    <row r="29" spans="1:33" ht="18">
      <c r="A29" s="157">
        <v>43214</v>
      </c>
      <c r="B29" s="160">
        <f>(SUMIFS('Larvae Collection'!$Q:$Q, 'Larvae Collection'!$A:$A,'SPAWNING PLOTS-normalized'!$A29, 'Larvae Collection'!$C:$C, 'SPAWNING PLOTS-normalized'!B$3))/SUMMARIES!$S$2</f>
        <v>0</v>
      </c>
      <c r="C29" s="160">
        <f>(SUMIFS('Larvae Collection'!$Q:$Q, 'Larvae Collection'!$A:$A,'SPAWNING PLOTS-normalized'!$A29, 'Larvae Collection'!$C:$C, 'SPAWNING PLOTS-normalized'!C$3))/SUMMARIES!$S$3</f>
        <v>0</v>
      </c>
      <c r="D29" s="160">
        <f>(SUMIFS('Larvae Collection'!$Q:$Q, 'Larvae Collection'!$A:$A,'SPAWNING PLOTS-normalized'!$A29, 'Larvae Collection'!$C:$C, 'SPAWNING PLOTS-normalized'!D$3))/SUMMARIES!$S$4</f>
        <v>0</v>
      </c>
      <c r="E29" s="160">
        <f>(SUMIFS('Larvae Collection'!$Q:$Q, 'Larvae Collection'!$A:$A,'SPAWNING PLOTS-normalized'!$A29, 'Larvae Collection'!$C:$C, 'SPAWNING PLOTS-normalized'!E$3))/SUMMARIES!$S$5</f>
        <v>0</v>
      </c>
      <c r="F29" s="160">
        <f>(SUMIFS('Larvae Collection'!$Q:$Q, 'Larvae Collection'!$A:$A,'SPAWNING PLOTS-normalized'!$A29, 'Larvae Collection'!$C:$C, 'SPAWNING PLOTS-normalized'!F$3))/SUMMARIES!$S$6</f>
        <v>1650.9909909909911</v>
      </c>
      <c r="G29" s="160">
        <f>(SUMIFS('Larvae Collection'!$Q:$Q, 'Larvae Collection'!$A:$A,'SPAWNING PLOTS-normalized'!$A29, 'Larvae Collection'!$C:$C, 'SPAWNING PLOTS-normalized'!G$3))/SUMMARIES!$S$7</f>
        <v>0</v>
      </c>
      <c r="H29" s="160">
        <f>(SUMIFS('Larvae Collection'!$Q:$Q, 'Larvae Collection'!$A:$A,'SPAWNING PLOTS-normalized'!$A29, 'Larvae Collection'!$C:$C, 'SPAWNING PLOTS-normalized'!H$3))/SUMMARIES!$S$8</f>
        <v>0</v>
      </c>
      <c r="I29" s="160">
        <f>(SUMIFS('Larvae Collection'!$Q:$Q, 'Larvae Collection'!$A:$A,'SPAWNING PLOTS-normalized'!$A29, 'Larvae Collection'!$C:$C, 'SPAWNING PLOTS-normalized'!I$3))/SUMMARIES!$S$9</f>
        <v>0</v>
      </c>
      <c r="J29" s="160">
        <f>(SUMIFS('Larvae Collection'!$Q:$Q, 'Larvae Collection'!$A:$A,'SPAWNING PLOTS-normalized'!$A29, 'Larvae Collection'!$C:$C, 'SPAWNING PLOTS-normalized'!J$3))/SUMMARIES!$S$10</f>
        <v>0</v>
      </c>
      <c r="K29" s="160">
        <f>(SUMIFS('Larvae Collection'!$Q:$Q, 'Larvae Collection'!$A:$A,'SPAWNING PLOTS-normalized'!$A29, 'Larvae Collection'!$C:$C, 'SPAWNING PLOTS-normalized'!K$3))/SUMMARIES!$S$11</f>
        <v>0</v>
      </c>
      <c r="L29" s="160">
        <f>(SUMIFS('Larvae Collection'!$Q:$Q, 'Larvae Collection'!$A:$A,'SPAWNING PLOTS-normalized'!$A29, 'Larvae Collection'!$C:$C, 'SPAWNING PLOTS-normalized'!L$3))/SUMMARIES!$S$12</f>
        <v>0</v>
      </c>
      <c r="M29" s="160">
        <f>(SUMIFS('Larvae Collection'!$Q:$Q, 'Larvae Collection'!$A:$A,'SPAWNING PLOTS-normalized'!$A29, 'Larvae Collection'!$C:$C, 'SPAWNING PLOTS-normalized'!M$3))/SUMMARIES!$S$13</f>
        <v>0</v>
      </c>
      <c r="N29" s="160">
        <f>(SUMIFS('Larvae Collection'!$Q:$Q, 'Larvae Collection'!$A:$A,'SPAWNING PLOTS-normalized'!$A29, 'Larvae Collection'!$C:$C, 'SPAWNING PLOTS-normalized'!N$3))/SUMMARIES!$S$14</f>
        <v>0</v>
      </c>
      <c r="O29" s="160">
        <f>(SUMIFS('Larvae Collection'!$Q:$Q, 'Larvae Collection'!$A:$A,'SPAWNING PLOTS-normalized'!$A29, 'Larvae Collection'!$C:$C, 'SPAWNING PLOTS-normalized'!O$3))/SUMMARIES!$S$15</f>
        <v>0</v>
      </c>
      <c r="P29" s="160">
        <f>(SUMIFS('Larvae Collection'!$Q:$Q, 'Larvae Collection'!$A:$A,'SPAWNING PLOTS-normalized'!$A29, 'Larvae Collection'!$C:$C, 'SPAWNING PLOTS-normalized'!P$3))/SUMMARIES!$S$16</f>
        <v>0</v>
      </c>
      <c r="Q29" s="160">
        <f>(SUMIFS('Larvae Collection'!$Q:$Q, 'Larvae Collection'!$A:$A,'SPAWNING PLOTS-normalized'!$A29, 'Larvae Collection'!$C:$C, 'SPAWNING PLOTS-normalized'!Q$3))/SUMMARIES!$S$17</f>
        <v>0</v>
      </c>
      <c r="R29" s="158">
        <f t="shared" si="4"/>
        <v>36056.287506400411</v>
      </c>
      <c r="S29" s="158">
        <f t="shared" si="4"/>
        <v>20910.177777777775</v>
      </c>
      <c r="T29" s="158">
        <f t="shared" si="4"/>
        <v>17505.336336336339</v>
      </c>
      <c r="U29" s="158">
        <f t="shared" si="4"/>
        <v>5855.2717086834737</v>
      </c>
      <c r="V29" s="158">
        <f t="shared" si="4"/>
        <v>13481.184041184039</v>
      </c>
      <c r="W29" s="158">
        <f t="shared" si="4"/>
        <v>19017.077160493827</v>
      </c>
      <c r="X29" s="158">
        <f t="shared" si="4"/>
        <v>23910.039461720313</v>
      </c>
      <c r="Y29" s="158">
        <f t="shared" si="4"/>
        <v>14403.810298102982</v>
      </c>
      <c r="Z29" s="158">
        <f t="shared" si="4"/>
        <v>18817.208556149733</v>
      </c>
      <c r="AA29" s="158">
        <f t="shared" si="4"/>
        <v>18951.111111111109</v>
      </c>
      <c r="AB29" s="158">
        <f t="shared" si="4"/>
        <v>18686.681286549709</v>
      </c>
      <c r="AC29" s="158">
        <f t="shared" si="4"/>
        <v>9704.5256410256407</v>
      </c>
      <c r="AD29" s="158">
        <f t="shared" si="4"/>
        <v>20022.893885087433</v>
      </c>
      <c r="AE29" s="158">
        <f t="shared" si="4"/>
        <v>17379.134717134719</v>
      </c>
      <c r="AF29" s="158">
        <f t="shared" si="4"/>
        <v>14954.888888888891</v>
      </c>
      <c r="AG29" s="158">
        <f t="shared" si="4"/>
        <v>18471.679894179892</v>
      </c>
    </row>
    <row r="30" spans="1:33" ht="18">
      <c r="A30" s="157">
        <v>43215</v>
      </c>
      <c r="B30" s="160">
        <f>(SUMIFS('Larvae Collection'!$Q:$Q, 'Larvae Collection'!$A:$A,'SPAWNING PLOTS-normalized'!$A30, 'Larvae Collection'!$C:$C, 'SPAWNING PLOTS-normalized'!B$3))/SUMMARIES!$S$2</f>
        <v>1831.5412186379931</v>
      </c>
      <c r="C30" s="160">
        <f>(SUMIFS('Larvae Collection'!$Q:$Q, 'Larvae Collection'!$A:$A,'SPAWNING PLOTS-normalized'!$A30, 'Larvae Collection'!$C:$C, 'SPAWNING PLOTS-normalized'!C$3))/SUMMARIES!$S$3</f>
        <v>0</v>
      </c>
      <c r="D30" s="160">
        <f>(SUMIFS('Larvae Collection'!$Q:$Q, 'Larvae Collection'!$A:$A,'SPAWNING PLOTS-normalized'!$A30, 'Larvae Collection'!$C:$C, 'SPAWNING PLOTS-normalized'!D$3))/SUMMARIES!$S$4</f>
        <v>2560.3603603603606</v>
      </c>
      <c r="E30" s="160">
        <f>(SUMIFS('Larvae Collection'!$Q:$Q, 'Larvae Collection'!$A:$A,'SPAWNING PLOTS-normalized'!$A30, 'Larvae Collection'!$C:$C, 'SPAWNING PLOTS-normalized'!E$3))/SUMMARIES!$S$5</f>
        <v>0</v>
      </c>
      <c r="F30" s="160">
        <f>(SUMIFS('Larvae Collection'!$Q:$Q, 'Larvae Collection'!$A:$A,'SPAWNING PLOTS-normalized'!$A30, 'Larvae Collection'!$C:$C, 'SPAWNING PLOTS-normalized'!F$3))/SUMMARIES!$S$6</f>
        <v>4945.5855855855852</v>
      </c>
      <c r="G30" s="160">
        <f>(SUMIFS('Larvae Collection'!$Q:$Q, 'Larvae Collection'!$A:$A,'SPAWNING PLOTS-normalized'!$A30, 'Larvae Collection'!$C:$C, 'SPAWNING PLOTS-normalized'!G$3))/SUMMARIES!$S$7</f>
        <v>0</v>
      </c>
      <c r="H30" s="160">
        <f>(SUMIFS('Larvae Collection'!$Q:$Q, 'Larvae Collection'!$A:$A,'SPAWNING PLOTS-normalized'!$A30, 'Larvae Collection'!$C:$C, 'SPAWNING PLOTS-normalized'!H$3))/SUMMARIES!$S$8</f>
        <v>1233.1560283687943</v>
      </c>
      <c r="I30" s="160">
        <f>(SUMIFS('Larvae Collection'!$Q:$Q, 'Larvae Collection'!$A:$A,'SPAWNING PLOTS-normalized'!$A30, 'Larvae Collection'!$C:$C, 'SPAWNING PLOTS-normalized'!I$3))/SUMMARIES!$S$9</f>
        <v>0</v>
      </c>
      <c r="J30" s="160">
        <f>(SUMIFS('Larvae Collection'!$Q:$Q, 'Larvae Collection'!$A:$A,'SPAWNING PLOTS-normalized'!$A30, 'Larvae Collection'!$C:$C, 'SPAWNING PLOTS-normalized'!J$3))/SUMMARIES!$S$10</f>
        <v>0</v>
      </c>
      <c r="K30" s="160">
        <f>(SUMIFS('Larvae Collection'!$Q:$Q, 'Larvae Collection'!$A:$A,'SPAWNING PLOTS-normalized'!$A30, 'Larvae Collection'!$C:$C, 'SPAWNING PLOTS-normalized'!K$3))/SUMMARIES!$S$11</f>
        <v>0</v>
      </c>
      <c r="L30" s="160">
        <f>(SUMIFS('Larvae Collection'!$Q:$Q, 'Larvae Collection'!$A:$A,'SPAWNING PLOTS-normalized'!$A30, 'Larvae Collection'!$C:$C, 'SPAWNING PLOTS-normalized'!L$3))/SUMMARIES!$S$12</f>
        <v>0</v>
      </c>
      <c r="M30" s="160">
        <f>(SUMIFS('Larvae Collection'!$Q:$Q, 'Larvae Collection'!$A:$A,'SPAWNING PLOTS-normalized'!$A30, 'Larvae Collection'!$C:$C, 'SPAWNING PLOTS-normalized'!M$3))/SUMMARIES!$S$13</f>
        <v>3833.8461538461543</v>
      </c>
      <c r="N30" s="160">
        <f>(SUMIFS('Larvae Collection'!$Q:$Q, 'Larvae Collection'!$A:$A,'SPAWNING PLOTS-normalized'!$A30, 'Larvae Collection'!$C:$C, 'SPAWNING PLOTS-normalized'!N$3))/SUMMARIES!$S$14</f>
        <v>1586.9175627240145</v>
      </c>
      <c r="O30" s="160">
        <f>(SUMIFS('Larvae Collection'!$Q:$Q, 'Larvae Collection'!$A:$A,'SPAWNING PLOTS-normalized'!$A30, 'Larvae Collection'!$C:$C, 'SPAWNING PLOTS-normalized'!O$3))/SUMMARIES!$S$15</f>
        <v>0</v>
      </c>
      <c r="P30" s="160">
        <f>(SUMIFS('Larvae Collection'!$Q:$Q, 'Larvae Collection'!$A:$A,'SPAWNING PLOTS-normalized'!$A30, 'Larvae Collection'!$C:$C, 'SPAWNING PLOTS-normalized'!P$3))/SUMMARIES!$S$16</f>
        <v>0</v>
      </c>
      <c r="Q30" s="160">
        <f>(SUMIFS('Larvae Collection'!$Q:$Q, 'Larvae Collection'!$A:$A,'SPAWNING PLOTS-normalized'!$A30, 'Larvae Collection'!$C:$C, 'SPAWNING PLOTS-normalized'!Q$3))/SUMMARIES!$S$17</f>
        <v>0</v>
      </c>
      <c r="R30" s="158">
        <f t="shared" si="4"/>
        <v>37887.828725038402</v>
      </c>
      <c r="S30" s="158">
        <f t="shared" si="4"/>
        <v>20910.177777777775</v>
      </c>
      <c r="T30" s="158">
        <f t="shared" si="4"/>
        <v>20065.696696696701</v>
      </c>
      <c r="U30" s="158">
        <f t="shared" si="4"/>
        <v>5855.2717086834737</v>
      </c>
      <c r="V30" s="158">
        <f t="shared" si="4"/>
        <v>18426.769626769623</v>
      </c>
      <c r="W30" s="158">
        <f t="shared" si="4"/>
        <v>19017.077160493827</v>
      </c>
      <c r="X30" s="158">
        <f t="shared" si="4"/>
        <v>25143.195490089107</v>
      </c>
      <c r="Y30" s="158">
        <f t="shared" si="4"/>
        <v>14403.810298102982</v>
      </c>
      <c r="Z30" s="158">
        <f t="shared" si="4"/>
        <v>18817.208556149733</v>
      </c>
      <c r="AA30" s="158">
        <f t="shared" si="4"/>
        <v>18951.111111111109</v>
      </c>
      <c r="AB30" s="158">
        <f t="shared" si="4"/>
        <v>18686.681286549709</v>
      </c>
      <c r="AC30" s="158">
        <f t="shared" si="4"/>
        <v>13538.371794871795</v>
      </c>
      <c r="AD30" s="158">
        <f t="shared" si="4"/>
        <v>21609.811447811448</v>
      </c>
      <c r="AE30" s="158">
        <f t="shared" si="4"/>
        <v>17379.134717134719</v>
      </c>
      <c r="AF30" s="158">
        <f t="shared" si="4"/>
        <v>14954.888888888891</v>
      </c>
      <c r="AG30" s="158">
        <f t="shared" si="4"/>
        <v>18471.679894179892</v>
      </c>
    </row>
    <row r="31" spans="1:33" ht="18">
      <c r="A31" s="157">
        <v>43216</v>
      </c>
      <c r="B31" s="160">
        <f>(SUMIFS('Larvae Collection'!$Q:$Q, 'Larvae Collection'!$A:$A,'SPAWNING PLOTS-normalized'!$A31, 'Larvae Collection'!$C:$C, 'SPAWNING PLOTS-normalized'!B$3))/SUMMARIES!$S$2</f>
        <v>0</v>
      </c>
      <c r="C31" s="160">
        <f>(SUMIFS('Larvae Collection'!$Q:$Q, 'Larvae Collection'!$A:$A,'SPAWNING PLOTS-normalized'!$A31, 'Larvae Collection'!$C:$C, 'SPAWNING PLOTS-normalized'!C$3))/SUMMARIES!$S$3</f>
        <v>0</v>
      </c>
      <c r="D31" s="160">
        <f>(SUMIFS('Larvae Collection'!$Q:$Q, 'Larvae Collection'!$A:$A,'SPAWNING PLOTS-normalized'!$A31, 'Larvae Collection'!$C:$C, 'SPAWNING PLOTS-normalized'!D$3))/SUMMARIES!$S$4</f>
        <v>0</v>
      </c>
      <c r="E31" s="160">
        <f>(SUMIFS('Larvae Collection'!$Q:$Q, 'Larvae Collection'!$A:$A,'SPAWNING PLOTS-normalized'!$A31, 'Larvae Collection'!$C:$C, 'SPAWNING PLOTS-normalized'!E$3))/SUMMARIES!$S$5</f>
        <v>0</v>
      </c>
      <c r="F31" s="160">
        <f>(SUMIFS('Larvae Collection'!$Q:$Q, 'Larvae Collection'!$A:$A,'SPAWNING PLOTS-normalized'!$A31, 'Larvae Collection'!$C:$C, 'SPAWNING PLOTS-normalized'!F$3))/SUMMARIES!$S$6</f>
        <v>0</v>
      </c>
      <c r="G31" s="160">
        <f>(SUMIFS('Larvae Collection'!$Q:$Q, 'Larvae Collection'!$A:$A,'SPAWNING PLOTS-normalized'!$A31, 'Larvae Collection'!$C:$C, 'SPAWNING PLOTS-normalized'!G$3))/SUMMARIES!$S$7</f>
        <v>0</v>
      </c>
      <c r="H31" s="160">
        <f>(SUMIFS('Larvae Collection'!$Q:$Q, 'Larvae Collection'!$A:$A,'SPAWNING PLOTS-normalized'!$A31, 'Larvae Collection'!$C:$C, 'SPAWNING PLOTS-normalized'!H$3))/SUMMARIES!$S$8</f>
        <v>0</v>
      </c>
      <c r="I31" s="160">
        <f>(SUMIFS('Larvae Collection'!$Q:$Q, 'Larvae Collection'!$A:$A,'SPAWNING PLOTS-normalized'!$A31, 'Larvae Collection'!$C:$C, 'SPAWNING PLOTS-normalized'!I$3))/SUMMARIES!$S$9</f>
        <v>0</v>
      </c>
      <c r="J31" s="160">
        <f>(SUMIFS('Larvae Collection'!$Q:$Q, 'Larvae Collection'!$A:$A,'SPAWNING PLOTS-normalized'!$A31, 'Larvae Collection'!$C:$C, 'SPAWNING PLOTS-normalized'!J$3))/SUMMARIES!$S$10</f>
        <v>0</v>
      </c>
      <c r="K31" s="160">
        <f>(SUMIFS('Larvae Collection'!$Q:$Q, 'Larvae Collection'!$A:$A,'SPAWNING PLOTS-normalized'!$A31, 'Larvae Collection'!$C:$C, 'SPAWNING PLOTS-normalized'!K$3))/SUMMARIES!$S$11</f>
        <v>0</v>
      </c>
      <c r="L31" s="160">
        <f>(SUMIFS('Larvae Collection'!$Q:$Q, 'Larvae Collection'!$A:$A,'SPAWNING PLOTS-normalized'!$A31, 'Larvae Collection'!$C:$C, 'SPAWNING PLOTS-normalized'!L$3))/SUMMARIES!$S$12</f>
        <v>0</v>
      </c>
      <c r="M31" s="160">
        <f>(SUMIFS('Larvae Collection'!$Q:$Q, 'Larvae Collection'!$A:$A,'SPAWNING PLOTS-normalized'!$A31, 'Larvae Collection'!$C:$C, 'SPAWNING PLOTS-normalized'!M$3))/SUMMARIES!$S$13</f>
        <v>0</v>
      </c>
      <c r="N31" s="160">
        <f>(SUMIFS('Larvae Collection'!$Q:$Q, 'Larvae Collection'!$A:$A,'SPAWNING PLOTS-normalized'!$A31, 'Larvae Collection'!$C:$C, 'SPAWNING PLOTS-normalized'!N$3))/SUMMARIES!$S$14</f>
        <v>0</v>
      </c>
      <c r="O31" s="160">
        <f>(SUMIFS('Larvae Collection'!$Q:$Q, 'Larvae Collection'!$A:$A,'SPAWNING PLOTS-normalized'!$A31, 'Larvae Collection'!$C:$C, 'SPAWNING PLOTS-normalized'!O$3))/SUMMARIES!$S$15</f>
        <v>0</v>
      </c>
      <c r="P31" s="160">
        <f>(SUMIFS('Larvae Collection'!$Q:$Q, 'Larvae Collection'!$A:$A,'SPAWNING PLOTS-normalized'!$A31, 'Larvae Collection'!$C:$C, 'SPAWNING PLOTS-normalized'!P$3))/SUMMARIES!$S$16</f>
        <v>0</v>
      </c>
      <c r="Q31" s="160">
        <f>(SUMIFS('Larvae Collection'!$Q:$Q, 'Larvae Collection'!$A:$A,'SPAWNING PLOTS-normalized'!$A31, 'Larvae Collection'!$C:$C, 'SPAWNING PLOTS-normalized'!Q$3))/SUMMARIES!$S$17</f>
        <v>0</v>
      </c>
      <c r="R31" s="158">
        <f t="shared" si="4"/>
        <v>37887.828725038402</v>
      </c>
      <c r="S31" s="158">
        <f t="shared" si="4"/>
        <v>20910.177777777775</v>
      </c>
      <c r="T31" s="158">
        <f t="shared" si="4"/>
        <v>20065.696696696701</v>
      </c>
      <c r="U31" s="158">
        <f t="shared" si="4"/>
        <v>5855.2717086834737</v>
      </c>
      <c r="V31" s="158">
        <f t="shared" si="4"/>
        <v>18426.769626769623</v>
      </c>
      <c r="W31" s="158">
        <f t="shared" si="4"/>
        <v>19017.077160493827</v>
      </c>
      <c r="X31" s="158">
        <f t="shared" si="4"/>
        <v>25143.195490089107</v>
      </c>
      <c r="Y31" s="158">
        <f t="shared" si="4"/>
        <v>14403.810298102982</v>
      </c>
      <c r="Z31" s="158">
        <f t="shared" si="4"/>
        <v>18817.208556149733</v>
      </c>
      <c r="AA31" s="158">
        <f t="shared" si="4"/>
        <v>18951.111111111109</v>
      </c>
      <c r="AB31" s="158">
        <f t="shared" si="4"/>
        <v>18686.681286549709</v>
      </c>
      <c r="AC31" s="158">
        <f t="shared" si="4"/>
        <v>13538.371794871795</v>
      </c>
      <c r="AD31" s="158">
        <f t="shared" si="4"/>
        <v>21609.811447811448</v>
      </c>
      <c r="AE31" s="158">
        <f t="shared" si="4"/>
        <v>17379.134717134719</v>
      </c>
      <c r="AF31" s="158">
        <f t="shared" si="4"/>
        <v>14954.888888888891</v>
      </c>
      <c r="AG31" s="158">
        <f t="shared" si="4"/>
        <v>18471.679894179892</v>
      </c>
    </row>
    <row r="32" spans="1:33">
      <c r="A32" s="159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>
      <c r="A33" s="159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 s="162" customFormat="1">
      <c r="A34" s="171" t="s">
        <v>201</v>
      </c>
      <c r="B34" s="170">
        <f>SUM(B4:B31)</f>
        <v>37887.828725038402</v>
      </c>
      <c r="C34" s="170">
        <f t="shared" ref="C34:Q34" si="5">SUM(C4:C31)</f>
        <v>20910.177777777775</v>
      </c>
      <c r="D34" s="170">
        <f t="shared" si="5"/>
        <v>20065.696696696701</v>
      </c>
      <c r="E34" s="170">
        <f t="shared" si="5"/>
        <v>5855.2717086834737</v>
      </c>
      <c r="F34" s="170">
        <f t="shared" si="5"/>
        <v>18426.769626769623</v>
      </c>
      <c r="G34" s="170">
        <f t="shared" si="5"/>
        <v>19017.077160493827</v>
      </c>
      <c r="H34" s="170">
        <f t="shared" si="5"/>
        <v>25143.195490089107</v>
      </c>
      <c r="I34" s="170">
        <f t="shared" si="5"/>
        <v>14403.810298102982</v>
      </c>
      <c r="J34" s="170">
        <f t="shared" si="5"/>
        <v>18817.208556149733</v>
      </c>
      <c r="K34" s="170">
        <f t="shared" si="5"/>
        <v>18951.111111111109</v>
      </c>
      <c r="L34" s="170">
        <f t="shared" si="5"/>
        <v>18686.681286549709</v>
      </c>
      <c r="M34" s="170">
        <f t="shared" si="5"/>
        <v>13538.371794871795</v>
      </c>
      <c r="N34" s="170">
        <f t="shared" si="5"/>
        <v>21609.811447811448</v>
      </c>
      <c r="O34" s="170">
        <f t="shared" si="5"/>
        <v>17379.134717134719</v>
      </c>
      <c r="P34" s="170">
        <f t="shared" si="5"/>
        <v>14954.888888888891</v>
      </c>
      <c r="Q34" s="170">
        <f t="shared" si="5"/>
        <v>18471.679894179892</v>
      </c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</row>
    <row r="35" spans="1:33">
      <c r="A35" s="159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  <row r="44" spans="1:33">
      <c r="A44" s="159"/>
    </row>
  </sheetData>
  <mergeCells count="24">
    <mergeCell ref="AD2:AE2"/>
    <mergeCell ref="AF2:AG2"/>
    <mergeCell ref="R2:S2"/>
    <mergeCell ref="T2:U2"/>
    <mergeCell ref="V2:W2"/>
    <mergeCell ref="X2:Y2"/>
    <mergeCell ref="Z2:AA2"/>
    <mergeCell ref="AB2:AC2"/>
    <mergeCell ref="Z1:AC1"/>
    <mergeCell ref="AD1:AG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I1"/>
    <mergeCell ref="J1:M1"/>
    <mergeCell ref="N1:Q1"/>
    <mergeCell ref="R1:U1"/>
    <mergeCell ref="V1:Y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Larvae Collection</vt:lpstr>
      <vt:lpstr>Water Change Calcs</vt:lpstr>
      <vt:lpstr>Broodstock Mortality</vt:lpstr>
      <vt:lpstr>Broodstock volume, numbers</vt:lpstr>
      <vt:lpstr>SUMMARIES</vt:lpstr>
      <vt:lpstr>Stocking Count Check</vt:lpstr>
      <vt:lpstr>Random data</vt:lpstr>
      <vt:lpstr>SPAWNING PLOTS-raw</vt:lpstr>
      <vt:lpstr>SPAWNING PLOTS-normalized</vt:lpstr>
      <vt:lpstr>5-week-survival</vt:lpstr>
      <vt:lpstr>7-week-survival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2018-03-30T19:36:03Z</dcterms:created>
  <dcterms:modified xsi:type="dcterms:W3CDTF">2018-07-22T13:06:22Z</dcterms:modified>
</cp:coreProperties>
</file>